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profiles\user_profile$\fritsch\Desktop\"/>
    </mc:Choice>
  </mc:AlternateContent>
  <bookViews>
    <workbookView xWindow="20370" yWindow="-120" windowWidth="29040" windowHeight="15840" tabRatio="808"/>
  </bookViews>
  <sheets>
    <sheet name="Einführung" sheetId="24" r:id="rId1"/>
    <sheet name="DüV-N-Ackerbau" sheetId="41" r:id="rId2"/>
    <sheet name="DüV-N-Ackerbau NbG" sheetId="72" r:id="rId3"/>
    <sheet name="DüV-N-Zweit-Zwischenfrucht" sheetId="76" r:id="rId4"/>
    <sheet name="DüV-N-Zweit-Zwischenfrucht NbG" sheetId="77" r:id="rId5"/>
    <sheet name="DüV-N-Grünland" sheetId="67" r:id="rId6"/>
    <sheet name="DüV-N-Grünland NbG" sheetId="74" r:id="rId7"/>
    <sheet name="DüV-N-Feldfutter" sheetId="66" r:id="rId8"/>
    <sheet name="DüV-N-Feldfutter NbG" sheetId="75" r:id="rId9"/>
    <sheet name="N-Weinbau" sheetId="71" r:id="rId10"/>
    <sheet name="N-Weinbau NbG" sheetId="73" r:id="rId11"/>
    <sheet name="DüV-N-Gemüse" sheetId="78" r:id="rId12"/>
    <sheet name="DüV-N-Gemüse NbG" sheetId="79" r:id="rId13"/>
    <sheet name="DüV-N-Folgekultur-Gem.-H&amp;G" sheetId="83" r:id="rId14"/>
    <sheet name="DüV-N-Folgekultur-Gemüse NbG" sheetId="84" r:id="rId15"/>
    <sheet name="DüV-N-Heil- &amp; Gewürz" sheetId="80" r:id="rId16"/>
    <sheet name="DüV-N-Heil- &amp; Gewürz NbG" sheetId="81" r:id="rId17"/>
    <sheet name="Organ. Dünger" sheetId="46" r:id="rId18"/>
    <sheet name="Tierhaltung" sheetId="45" r:id="rId19"/>
    <sheet name="Auswertung" sheetId="65" r:id="rId20"/>
    <sheet name="Düngemittel" sheetId="68" r:id="rId21"/>
    <sheet name="Daten Tierhaltung" sheetId="44" r:id="rId22"/>
    <sheet name="Nährstoffplaner Ackerland" sheetId="36" r:id="rId23"/>
    <sheet name="Nährstoffplaner Grünland" sheetId="42" r:id="rId24"/>
    <sheet name="Nährstoffplaner Gemüse" sheetId="82" r:id="rId25"/>
    <sheet name="Wz" sheetId="40" r:id="rId26"/>
    <sheet name="Trit" sheetId="49" r:id="rId27"/>
    <sheet name="Ro" sheetId="50" r:id="rId28"/>
    <sheet name="Wi-FuGe" sheetId="51" r:id="rId29"/>
    <sheet name="Wi-BrGe" sheetId="52" r:id="rId30"/>
    <sheet name="So-Ge" sheetId="53" r:id="rId31"/>
    <sheet name="Hafer" sheetId="54" r:id="rId32"/>
    <sheet name="ZRübe" sheetId="64" r:id="rId33"/>
    <sheet name="Raps" sheetId="55" r:id="rId34"/>
    <sheet name="K-Mais" sheetId="56" r:id="rId35"/>
    <sheet name="S-Mais" sheetId="57" r:id="rId36"/>
    <sheet name="Kart" sheetId="58" r:id="rId37"/>
    <sheet name="FrühKart" sheetId="59" r:id="rId38"/>
    <sheet name="Wiese" sheetId="60" r:id="rId39"/>
    <sheet name="Weide" sheetId="61" r:id="rId40"/>
    <sheet name="Mähweide" sheetId="62" r:id="rId41"/>
    <sheet name="GrasKleeLuz" sheetId="63" r:id="rId42"/>
    <sheet name="Faktoren" sheetId="39" r:id="rId43"/>
    <sheet name="Funktionen" sheetId="3" r:id="rId44"/>
  </sheets>
  <externalReferences>
    <externalReference r:id="rId45"/>
  </externalReferences>
  <definedNames>
    <definedName name="_23.02.21" localSheetId="5">'DüV-N-Grünland'!$V$8</definedName>
    <definedName name="_23.02.21" localSheetId="6">'DüV-N-Grünland NbG'!$V$8</definedName>
    <definedName name="Abreife" localSheetId="37">FrühKart!$J$27:$J$27</definedName>
    <definedName name="Abreife" localSheetId="41">GrasKleeLuz!#REF!</definedName>
    <definedName name="Abreife" localSheetId="31">Hafer!$J$36:$J$38</definedName>
    <definedName name="Abreife" localSheetId="36">Kart!#REF!</definedName>
    <definedName name="Abreife" localSheetId="34">'K-Mais'!$J$29:$J$31</definedName>
    <definedName name="Abreife" localSheetId="40">Mähweide!#REF!</definedName>
    <definedName name="Abreife" localSheetId="35">'S-Mais'!$G$46:$G$46</definedName>
    <definedName name="Abreife" localSheetId="30">'So-Ge'!$J$12:$J$14</definedName>
    <definedName name="Abreife" localSheetId="39">Weide!#REF!</definedName>
    <definedName name="Abreife" localSheetId="38">Wiese!#REF!</definedName>
    <definedName name="Abreife" localSheetId="32">ZRübe!#REF!</definedName>
    <definedName name="Abreife">#REF!</definedName>
    <definedName name="Ackerfutter" localSheetId="1">'DüV-N-Ackerbau'!#REF!</definedName>
    <definedName name="Ackerfutter" localSheetId="2">'DüV-N-Ackerbau NbG'!#REF!</definedName>
    <definedName name="Ackerfutter" localSheetId="7">'DüV-N-Feldfutter'!$BO$8:$BQ$18</definedName>
    <definedName name="Ackerfutter" localSheetId="8">'DüV-N-Feldfutter NbG'!$BO$8:$BQ$20</definedName>
    <definedName name="Ackerfutter" localSheetId="5">'DüV-N-Grünland'!$CJ$6:$CL$13</definedName>
    <definedName name="Ackerfutter" localSheetId="6">'DüV-N-Grünland NbG'!$CJ$6:$CJ$6</definedName>
    <definedName name="Ackerfutter" localSheetId="3">'DüV-N-Zweit-Zwischenfrucht'!$BH$8:$BJ$17</definedName>
    <definedName name="Ackerfutter" localSheetId="4">'DüV-N-Zweit-Zwischenfrucht NbG'!$AW$8:$AY$17</definedName>
    <definedName name="Ackerfutter" localSheetId="9">'N-Weinbau'!#REF!</definedName>
    <definedName name="Ackerfutter" localSheetId="10">'N-Weinbau NbG'!#REF!</definedName>
    <definedName name="Ackerfutter">#REF!</definedName>
    <definedName name="Aufnahme_organischer_Dünger__Wirtschaftsdünger_und_Gärreste__von_anderen_Betrieben__ohne_Kompost">Düngemittel!$B$6:$B$64</definedName>
    <definedName name="cvbx">#REF!</definedName>
    <definedName name="Daten_GL_Futter" localSheetId="7">#REF!</definedName>
    <definedName name="Daten_GL_Futter" localSheetId="8">#REF!</definedName>
    <definedName name="Daten_GL_Futter" localSheetId="5">#REF!</definedName>
    <definedName name="Daten_GL_Futter" localSheetId="6">#REF!</definedName>
    <definedName name="Daten_GL_Futter" localSheetId="3">#REF!</definedName>
    <definedName name="Daten_GL_Futter" localSheetId="4">#REF!</definedName>
    <definedName name="Daten_GL_Futter">#REF!</definedName>
    <definedName name="_xlnm.Print_Area" localSheetId="19">Auswertung!$A$5:$R$51</definedName>
    <definedName name="_xlnm.Print_Area" localSheetId="20">Düngemittel!$A$1:$H$96</definedName>
    <definedName name="_xlnm.Print_Area" localSheetId="1">'DüV-N-Ackerbau'!$A$1:$BE$53</definedName>
    <definedName name="_xlnm.Print_Area" localSheetId="2">'DüV-N-Ackerbau NbG'!$A$1:$BE$53</definedName>
    <definedName name="_xlnm.Print_Area" localSheetId="7">'DüV-N-Feldfutter'!$A$1:$BA$43</definedName>
    <definedName name="_xlnm.Print_Area" localSheetId="8">'DüV-N-Feldfutter NbG'!$A$1:$BA$43</definedName>
    <definedName name="_xlnm.Print_Area" localSheetId="13">'DüV-N-Folgekultur-Gem.-H&amp;G'!$A$1:$BH$45</definedName>
    <definedName name="_xlnm.Print_Area" localSheetId="11">'DüV-N-Gemüse'!$A$1:$BL$52</definedName>
    <definedName name="_xlnm.Print_Area" localSheetId="12">'DüV-N-Gemüse NbG'!$A$1:$BO$52</definedName>
    <definedName name="_xlnm.Print_Area" localSheetId="5">'DüV-N-Grünland'!$A$1:$CL$43</definedName>
    <definedName name="_xlnm.Print_Area" localSheetId="6">'DüV-N-Grünland NbG'!$A$1:$CK$43</definedName>
    <definedName name="_xlnm.Print_Area" localSheetId="15">'DüV-N-Heil- &amp; Gewürz'!$A$1:$BK$31</definedName>
    <definedName name="_xlnm.Print_Area" localSheetId="16">'DüV-N-Heil- &amp; Gewürz NbG'!$A$1:$BK$31</definedName>
    <definedName name="_xlnm.Print_Area" localSheetId="3">'DüV-N-Zweit-Zwischenfrucht'!$A$1:$BG$55</definedName>
    <definedName name="_xlnm.Print_Area" localSheetId="4">'DüV-N-Zweit-Zwischenfrucht NbG'!$A$1:$AH$53</definedName>
    <definedName name="_xlnm.Print_Area" localSheetId="37">FrühKart!$A$1:$D$39</definedName>
    <definedName name="_xlnm.Print_Area" localSheetId="41">GrasKleeLuz!$A$1:$K$47</definedName>
    <definedName name="_xlnm.Print_Area" localSheetId="31">Hafer!$A$1:$D$41</definedName>
    <definedName name="_xlnm.Print_Area" localSheetId="36">Kart!$A$1:$D$39</definedName>
    <definedName name="_xlnm.Print_Area" localSheetId="34">'K-Mais'!$A$1:$D$40</definedName>
    <definedName name="_xlnm.Print_Area" localSheetId="40">Mähweide!$A$1:$N$37</definedName>
    <definedName name="_xlnm.Print_Area" localSheetId="22">'Nährstoffplaner Ackerland'!$B$2:$R$46</definedName>
    <definedName name="_xlnm.Print_Area" localSheetId="23">'Nährstoffplaner Grünland'!$C$2:$Q$22</definedName>
    <definedName name="_xlnm.Print_Area" localSheetId="9">'N-Weinbau'!$A$1:$AN$55</definedName>
    <definedName name="_xlnm.Print_Area" localSheetId="10">'N-Weinbau NbG'!$A$1:$AN$55</definedName>
    <definedName name="_xlnm.Print_Area" localSheetId="33">Raps!$A$1:$D$41</definedName>
    <definedName name="_xlnm.Print_Area" localSheetId="27">Ro!$A$1:$D$45</definedName>
    <definedName name="_xlnm.Print_Area" localSheetId="35">'S-Mais'!$A$1:$E$41</definedName>
    <definedName name="_xlnm.Print_Area" localSheetId="30">'So-Ge'!$A$1:$D$42</definedName>
    <definedName name="_xlnm.Print_Area" localSheetId="18">Tierhaltung!$A$1:$S$43</definedName>
    <definedName name="_xlnm.Print_Area" localSheetId="26">Trit!$A$1:$D$45</definedName>
    <definedName name="_xlnm.Print_Area" localSheetId="39">Weide!$A$1:$M$41</definedName>
    <definedName name="_xlnm.Print_Area" localSheetId="29">'Wi-BrGe'!$A$1:$D$44</definedName>
    <definedName name="_xlnm.Print_Area" localSheetId="38">Wiese!$A$1:$O$49</definedName>
    <definedName name="_xlnm.Print_Area" localSheetId="28">'Wi-FuGe'!$A$1:$D$44</definedName>
    <definedName name="_xlnm.Print_Area" localSheetId="25">Wz!$A$1:$D$45</definedName>
    <definedName name="_xlnm.Print_Area" localSheetId="32">ZRübe!$A$1:$G$42</definedName>
    <definedName name="Düngemittel" localSheetId="6">'DüV-N-Grünland NbG'!$U$63:$Z$98</definedName>
    <definedName name="Düngemittel">'DüV-N-Grünland'!$U$63:$Z$98</definedName>
    <definedName name="FM" localSheetId="33">Raps!$J$12:$J$18</definedName>
    <definedName name="FM">#REF!</definedName>
    <definedName name="Großvieheinheit">#REF!</definedName>
    <definedName name="Grünlandhumus" localSheetId="1">'DüV-N-Ackerbau'!$CD$9:$CF$13</definedName>
    <definedName name="Grünlandhumus" localSheetId="2">'DüV-N-Ackerbau NbG'!$CD$9:$CF$13</definedName>
    <definedName name="Grünlandhumus" localSheetId="7">'DüV-N-Feldfutter'!$BS$8:$BU$12</definedName>
    <definedName name="Grünlandhumus" localSheetId="8">'DüV-N-Feldfutter NbG'!$BS$8:$BU$12</definedName>
    <definedName name="Grünlandhumus" localSheetId="5">'DüV-N-Grünland'!$CN$6:$CQ$10</definedName>
    <definedName name="Grünlandhumus" localSheetId="6">'DüV-N-Grünland NbG'!$CL$6:$CN$10</definedName>
    <definedName name="Grünlandhumus" localSheetId="3">'DüV-N-Zweit-Zwischenfrucht'!#REF!</definedName>
    <definedName name="Grünlandhumus" localSheetId="4">'DüV-N-Zweit-Zwischenfrucht NbG'!$BA$8:$BC$12</definedName>
    <definedName name="Grünlandhumus" localSheetId="9">'N-Weinbau'!$BC$10:$BC$14</definedName>
    <definedName name="Grünlandhumus" localSheetId="10">'N-Weinbau NbG'!$BC$10:$BC$14</definedName>
    <definedName name="Grünlandhumus">#REF!</definedName>
    <definedName name="Grünlandleguminosen" localSheetId="1">'DüV-N-Ackerbau'!$CE$17:$CF$22</definedName>
    <definedName name="Grünlandleguminosen" localSheetId="2">'DüV-N-Ackerbau NbG'!$CE$17:$CF$22</definedName>
    <definedName name="Grünlandleguminosen" localSheetId="7">'DüV-N-Feldfutter'!$BT$25:$BU$28</definedName>
    <definedName name="Grünlandleguminosen" localSheetId="8">'DüV-N-Feldfutter NbG'!$BT$25:$BU$28</definedName>
    <definedName name="Grünlandleguminosen" localSheetId="5">'DüV-N-Grünland'!$CP$17:$CQ$20</definedName>
    <definedName name="Grünlandleguminosen" localSheetId="6">'DüV-N-Grünland NbG'!$CM$17:$CN$20</definedName>
    <definedName name="Grünlandleguminosen" localSheetId="3">'DüV-N-Zweit-Zwischenfrucht'!$BU$9:$BV$12</definedName>
    <definedName name="Grünlandleguminosen" localSheetId="4">'DüV-N-Zweit-Zwischenfrucht NbG'!$BB$25:$BC$28</definedName>
    <definedName name="Grünlandleguminosen" localSheetId="9">'N-Weinbau'!$BC$18:$BC$26</definedName>
    <definedName name="Grünlandleguminosen" localSheetId="10">'N-Weinbau NbG'!$BC$18:$BC$26</definedName>
    <definedName name="Grünlandleguminosen">#REF!</definedName>
    <definedName name="Grünlandschlag">#REF!</definedName>
    <definedName name="Humus" localSheetId="1">'DüV-N-Ackerbau'!$BW$87:$BX$88</definedName>
    <definedName name="Humus" localSheetId="2">'DüV-N-Ackerbau NbG'!$BW$87:$BX$88</definedName>
    <definedName name="Humus" localSheetId="7">'DüV-N-Feldfutter'!$BO$48:$BP$48</definedName>
    <definedName name="Humus" localSheetId="8">'DüV-N-Feldfutter NbG'!$BO$48:$BP$48</definedName>
    <definedName name="Humus" localSheetId="5">'DüV-N-Grünland'!$CJ$44:$CK$44</definedName>
    <definedName name="Humus" localSheetId="6">'DüV-N-Grünland NbG'!$CJ$8:$CJ$8</definedName>
    <definedName name="Humus" localSheetId="3">'DüV-N-Zweit-Zwischenfrucht'!$BH$37:$BI$37</definedName>
    <definedName name="Humus" localSheetId="4">'DüV-N-Zweit-Zwischenfrucht NbG'!$AW$58:$AX$58</definedName>
    <definedName name="Humus" localSheetId="37">#REF!</definedName>
    <definedName name="Humus" localSheetId="41">#REF!</definedName>
    <definedName name="Humus" localSheetId="31">#REF!</definedName>
    <definedName name="Humus" localSheetId="36">#REF!</definedName>
    <definedName name="Humus" localSheetId="34">#REF!</definedName>
    <definedName name="Humus" localSheetId="40">#REF!</definedName>
    <definedName name="Humus" localSheetId="23">#REF!</definedName>
    <definedName name="Humus" localSheetId="9">'N-Weinbau'!#REF!</definedName>
    <definedName name="Humus" localSheetId="10">'N-Weinbau NbG'!#REF!</definedName>
    <definedName name="Humus" localSheetId="33">#REF!</definedName>
    <definedName name="Humus" localSheetId="27">#REF!</definedName>
    <definedName name="Humus" localSheetId="35">#REF!</definedName>
    <definedName name="Humus" localSheetId="30">#REF!</definedName>
    <definedName name="Humus" localSheetId="26">#REF!</definedName>
    <definedName name="Humus" localSheetId="39">#REF!</definedName>
    <definedName name="Humus" localSheetId="29">#REF!</definedName>
    <definedName name="Humus" localSheetId="38">#REF!</definedName>
    <definedName name="Humus" localSheetId="28">#REF!</definedName>
    <definedName name="Humus" localSheetId="25">#REF!</definedName>
    <definedName name="Humus" localSheetId="32">#REF!</definedName>
    <definedName name="Humus">#REF!</definedName>
    <definedName name="Humus2" localSheetId="7">#REF!</definedName>
    <definedName name="Humus2" localSheetId="8">#REF!</definedName>
    <definedName name="Humus2" localSheetId="5">#REF!</definedName>
    <definedName name="Humus2" localSheetId="6">#REF!</definedName>
    <definedName name="Humus2" localSheetId="3">#REF!</definedName>
    <definedName name="Humus2" localSheetId="4">#REF!</definedName>
    <definedName name="Humus2" localSheetId="37">#REF!</definedName>
    <definedName name="Humus2" localSheetId="41">#REF!</definedName>
    <definedName name="Humus2" localSheetId="31">#REF!</definedName>
    <definedName name="Humus2" localSheetId="36">#REF!</definedName>
    <definedName name="Humus2" localSheetId="34">#REF!</definedName>
    <definedName name="Humus2" localSheetId="40">#REF!</definedName>
    <definedName name="Humus2" localSheetId="23">#REF!</definedName>
    <definedName name="Humus2" localSheetId="33">#REF!</definedName>
    <definedName name="Humus2" localSheetId="27">#REF!</definedName>
    <definedName name="Humus2" localSheetId="35">#REF!</definedName>
    <definedName name="Humus2" localSheetId="30">#REF!</definedName>
    <definedName name="Humus2" localSheetId="26">#REF!</definedName>
    <definedName name="Humus2" localSheetId="39">#REF!</definedName>
    <definedName name="Humus2" localSheetId="29">#REF!</definedName>
    <definedName name="Humus2" localSheetId="38">#REF!</definedName>
    <definedName name="Humus2" localSheetId="28">#REF!</definedName>
    <definedName name="Humus2" localSheetId="32">#REF!</definedName>
    <definedName name="Humus2">#REF!</definedName>
    <definedName name="Kompost">'[1]Daten Düngemittel'!$B$54:$B$60</definedName>
    <definedName name="Kulturen" localSheetId="1">'DüV-N-Ackerbau'!$BW$4:$CA$42</definedName>
    <definedName name="Kulturen" localSheetId="2">'DüV-N-Ackerbau NbG'!$BW$4:$CA$42</definedName>
    <definedName name="Kulturen" localSheetId="7">'DüV-N-Feldfutter'!#REF!</definedName>
    <definedName name="Kulturen" localSheetId="8">'DüV-N-Feldfutter NbG'!#REF!</definedName>
    <definedName name="Kulturen" localSheetId="5">'DüV-N-Grünland'!#REF!</definedName>
    <definedName name="Kulturen" localSheetId="6">'DüV-N-Grünland NbG'!#REF!</definedName>
    <definedName name="Kulturen" localSheetId="3">'DüV-N-Zweit-Zwischenfrucht'!#REF!</definedName>
    <definedName name="Kulturen" localSheetId="4">'DüV-N-Zweit-Zwischenfrucht NbG'!#REF!</definedName>
    <definedName name="Kulturen" localSheetId="37">#REF!</definedName>
    <definedName name="Kulturen" localSheetId="41">#REF!</definedName>
    <definedName name="Kulturen" localSheetId="31">#REF!</definedName>
    <definedName name="Kulturen" localSheetId="36">#REF!</definedName>
    <definedName name="Kulturen" localSheetId="34">#REF!</definedName>
    <definedName name="Kulturen" localSheetId="40">#REF!</definedName>
    <definedName name="Kulturen" localSheetId="23">#REF!</definedName>
    <definedName name="Kulturen" localSheetId="9">'N-Weinbau'!#REF!</definedName>
    <definedName name="Kulturen" localSheetId="10">'N-Weinbau NbG'!#REF!</definedName>
    <definedName name="Kulturen" localSheetId="33">#REF!</definedName>
    <definedName name="Kulturen" localSheetId="27">#REF!</definedName>
    <definedName name="Kulturen" localSheetId="35">#REF!</definedName>
    <definedName name="Kulturen" localSheetId="30">#REF!</definedName>
    <definedName name="Kulturen" localSheetId="26">#REF!</definedName>
    <definedName name="Kulturen" localSheetId="39">#REF!</definedName>
    <definedName name="Kulturen" localSheetId="29">#REF!</definedName>
    <definedName name="Kulturen" localSheetId="38">#REF!</definedName>
    <definedName name="Kulturen" localSheetId="28">#REF!</definedName>
    <definedName name="Kulturen" localSheetId="25">#REF!</definedName>
    <definedName name="Kulturen" localSheetId="32">#REF!</definedName>
    <definedName name="Kulturen">#REF!</definedName>
    <definedName name="loD" localSheetId="37">FrühKart!$J$21:$J$26</definedName>
    <definedName name="loD" localSheetId="41">GrasKleeLuz!$N$24:$N$25</definedName>
    <definedName name="loD" localSheetId="31">Hafer!$J$21:$J$26</definedName>
    <definedName name="loD" localSheetId="36">Kart!$I$21:$I$26</definedName>
    <definedName name="loD" localSheetId="34">'K-Mais'!$J$12:$J$17</definedName>
    <definedName name="loD" localSheetId="40">Mähweide!#REF!</definedName>
    <definedName name="loD" localSheetId="35">'S-Mais'!$J$22:$J$27</definedName>
    <definedName name="loD" localSheetId="30">'So-Ge'!$J$21:$J$26</definedName>
    <definedName name="loD" localSheetId="39">Weide!#REF!</definedName>
    <definedName name="loD" localSheetId="38">Wiese!$R$29:$R$30</definedName>
    <definedName name="loD" localSheetId="32">ZRübe!$M$22:$M$27</definedName>
    <definedName name="loD">#REF!</definedName>
    <definedName name="N_Bindung_der_Leguminosen" localSheetId="41">GrasKleeLuz!$N$14:$N$25</definedName>
    <definedName name="N_Bindung_der_Leguminosen">#REF!</definedName>
    <definedName name="NP_Lösung_10_34" localSheetId="8">'DüV-N-Feldfutter NbG'!$U$9</definedName>
    <definedName name="NP_Lösung_10_34" localSheetId="3">'DüV-N-Zweit-Zwischenfrucht'!$AA$9</definedName>
    <definedName name="NP_Lösung_10_34" localSheetId="4">'DüV-N-Zweit-Zwischenfrucht NbG'!$R$9</definedName>
    <definedName name="NP_Lösung_10_34">'DüV-N-Feldfutter'!$U$9</definedName>
    <definedName name="oD" localSheetId="33">Raps!$J$23:$J$28</definedName>
    <definedName name="oD" localSheetId="27">Ro!$J$12:$J$17</definedName>
    <definedName name="oD" localSheetId="26">Trit!$J$12:$J$17</definedName>
    <definedName name="oD" localSheetId="29">'Wi-BrGe'!$J$12:$J$17</definedName>
    <definedName name="oD" localSheetId="28">'Wi-FuGe'!$J$12:$J$17</definedName>
    <definedName name="oD" localSheetId="25">Wz!$I$21:$I$26</definedName>
    <definedName name="oD">#REF!</definedName>
    <definedName name="OrgDg">'[1]Daten Düngemittel'!$B$5:$B$51</definedName>
    <definedName name="OrgDgohne">'[1]Daten Düngemittel'!$B$5:$B$45</definedName>
    <definedName name="Ponys_und_Kleinpferde" localSheetId="6">'DüV-N-Grünland NbG'!#REF!</definedName>
    <definedName name="Ponys_und_Kleinpferde">'DüV-N-Grünland'!#REF!</definedName>
    <definedName name="Qualitätsgruppe" localSheetId="37">FrühKart!#REF!</definedName>
    <definedName name="Qualitätsgruppe" localSheetId="41">GrasKleeLuz!#REF!</definedName>
    <definedName name="Qualitätsgruppe" localSheetId="31">Hafer!#REF!</definedName>
    <definedName name="Qualitätsgruppe" localSheetId="36">Kart!#REF!</definedName>
    <definedName name="Qualitätsgruppe" localSheetId="34">'K-Mais'!#REF!</definedName>
    <definedName name="Qualitätsgruppe" localSheetId="40">Mähweide!#REF!</definedName>
    <definedName name="Qualitätsgruppe" localSheetId="33">Raps!#REF!</definedName>
    <definedName name="Qualitätsgruppe" localSheetId="27">Ro!#REF!</definedName>
    <definedName name="Qualitätsgruppe" localSheetId="35">'S-Mais'!#REF!</definedName>
    <definedName name="Qualitätsgruppe" localSheetId="30">'So-Ge'!#REF!</definedName>
    <definedName name="Qualitätsgruppe" localSheetId="26">Trit!#REF!</definedName>
    <definedName name="Qualitätsgruppe" localSheetId="39">Weide!#REF!</definedName>
    <definedName name="Qualitätsgruppe" localSheetId="29">'Wi-BrGe'!#REF!</definedName>
    <definedName name="Qualitätsgruppe" localSheetId="38">Wiese!#REF!</definedName>
    <definedName name="Qualitätsgruppe" localSheetId="28">'Wi-FuGe'!#REF!</definedName>
    <definedName name="Qualitätsgruppe" localSheetId="25">Wz!$I$14:$I$16</definedName>
    <definedName name="Qualitätsgruppe" localSheetId="32">ZRübe!#REF!</definedName>
    <definedName name="Qualitätsgruppe">#REF!</definedName>
    <definedName name="Reife" localSheetId="33">Raps!$J$11:$J$13</definedName>
    <definedName name="Reife" localSheetId="27">Ro!$J$22:$J$24</definedName>
    <definedName name="Reife" localSheetId="26">Trit!$J$22:$J$24</definedName>
    <definedName name="Reife" localSheetId="29">'Wi-BrGe'!$J$22:$J$24</definedName>
    <definedName name="Reife" localSheetId="28">'Wi-FuGe'!$J$22:$J$24</definedName>
    <definedName name="Reife" localSheetId="25">Wz!$I$29:$I$31</definedName>
    <definedName name="Reife">#REF!</definedName>
    <definedName name="Rindergülle" localSheetId="2">'DüV-N-Ackerbau NbG'!$Y$8</definedName>
    <definedName name="Rindergülle">'DüV-N-Ackerbau'!$Y$8</definedName>
    <definedName name="Sortenauswahl" localSheetId="1">#REF!</definedName>
    <definedName name="Sortenauswahl" localSheetId="2">#REF!</definedName>
    <definedName name="Sortenauswahl" localSheetId="7">#REF!</definedName>
    <definedName name="Sortenauswahl" localSheetId="8">#REF!</definedName>
    <definedName name="Sortenauswahl" localSheetId="5">#REF!</definedName>
    <definedName name="Sortenauswahl" localSheetId="6">#REF!</definedName>
    <definedName name="Sortenauswahl" localSheetId="3">#REF!</definedName>
    <definedName name="Sortenauswahl" localSheetId="4">#REF!</definedName>
    <definedName name="Sortenauswahl" localSheetId="37">#REF!</definedName>
    <definedName name="Sortenauswahl" localSheetId="41">#REF!</definedName>
    <definedName name="Sortenauswahl" localSheetId="31">#REF!</definedName>
    <definedName name="Sortenauswahl" localSheetId="36">Kart!#REF!</definedName>
    <definedName name="Sortenauswahl" localSheetId="34">#REF!</definedName>
    <definedName name="Sortenauswahl" localSheetId="40">#REF!</definedName>
    <definedName name="Sortenauswahl" localSheetId="23">#REF!</definedName>
    <definedName name="Sortenauswahl" localSheetId="9">#REF!</definedName>
    <definedName name="Sortenauswahl" localSheetId="10">#REF!</definedName>
    <definedName name="Sortenauswahl" localSheetId="33">#REF!</definedName>
    <definedName name="Sortenauswahl" localSheetId="27">#REF!</definedName>
    <definedName name="Sortenauswahl" localSheetId="35">#REF!</definedName>
    <definedName name="Sortenauswahl" localSheetId="30">#REF!</definedName>
    <definedName name="Sortenauswahl" localSheetId="26">#REF!</definedName>
    <definedName name="Sortenauswahl" localSheetId="39">#REF!</definedName>
    <definedName name="Sortenauswahl" localSheetId="29">#REF!</definedName>
    <definedName name="Sortenauswahl" localSheetId="38">#REF!</definedName>
    <definedName name="Sortenauswahl" localSheetId="28">#REF!</definedName>
    <definedName name="Sortenauswahl" localSheetId="25">#REF!</definedName>
    <definedName name="Sortenauswahl" localSheetId="32">#REF!</definedName>
    <definedName name="Sortenauswahl">#REF!</definedName>
    <definedName name="Standard_Rindergülle_7_5___TM">Düngemittel!$B$6:$B$64</definedName>
    <definedName name="Tierart">#REF!</definedName>
    <definedName name="Tierhaltungsform">'[1]Daten Tierhaltung'!$B$7:$B$108</definedName>
    <definedName name="Tierkategorien">'Daten Tierhaltung'!$B$7:$B$108</definedName>
    <definedName name="Vorfrucht" localSheetId="37">FrühKart!$G$8:$G$18</definedName>
    <definedName name="Vorfrucht" localSheetId="41">GrasKleeLuz!#REF!</definedName>
    <definedName name="Vorfrucht" localSheetId="31">Hafer!$G$8:$G$19</definedName>
    <definedName name="Vorfrucht" localSheetId="36">Kart!$G$8:$G$18</definedName>
    <definedName name="Vorfrucht" localSheetId="34">'K-Mais'!$G$6:$G$16</definedName>
    <definedName name="Vorfrucht" localSheetId="40">Mähweide!$P$14:$P$18</definedName>
    <definedName name="Vorfrucht" localSheetId="33">Raps!$G$8:$G$18</definedName>
    <definedName name="Vorfrucht" localSheetId="27">Ro!$G$8:$G$18</definedName>
    <definedName name="Vorfrucht" localSheetId="35">'S-Mais'!$G$8:$G$18</definedName>
    <definedName name="Vorfrucht" localSheetId="30">'So-Ge'!$G$8:$G$19</definedName>
    <definedName name="Vorfrucht" localSheetId="26">Trit!$G$8:$G$18</definedName>
    <definedName name="Vorfrucht" localSheetId="39">Weide!$P$14:$P$18</definedName>
    <definedName name="Vorfrucht" localSheetId="29">'Wi-BrGe'!$G$8:$G$18</definedName>
    <definedName name="Vorfrucht" localSheetId="38">Wiese!$R$17:$R$21</definedName>
    <definedName name="Vorfrucht" localSheetId="28">'Wi-FuGe'!$G$8:$G$18</definedName>
    <definedName name="Vorfrucht" localSheetId="25">Wz!$F$8:$F$18</definedName>
    <definedName name="Vorfrucht" localSheetId="32">ZRübe!$J$8:$J$18</definedName>
    <definedName name="Vorfrucht">#REF!</definedName>
    <definedName name="Weidetagebuch">#REF!</definedName>
    <definedName name="Witterung" localSheetId="33">Raps!$J$12:$J$13</definedName>
    <definedName name="Witterung" localSheetId="27">Ro!$J$23:$J$24</definedName>
    <definedName name="Witterung" localSheetId="26">Trit!$J$23:$J$24</definedName>
    <definedName name="Witterung" localSheetId="29">'Wi-BrGe'!$J$23:$J$24</definedName>
    <definedName name="Witterung" localSheetId="28">'Wi-FuGe'!$J$23:$J$24</definedName>
    <definedName name="Witterung" localSheetId="25">Wz!$I$30:$I$31</definedName>
    <definedName name="Witterung">#REF!</definedName>
    <definedName name="xy" localSheetId="6">'DüV-N-Grünland NbG'!$U$63:$Z$98</definedName>
    <definedName name="xy">'DüV-N-Grünland'!$U$63:$Z$98</definedName>
    <definedName name="Zwischenfrucht" localSheetId="37">FrühKart!$G$22:$G$30</definedName>
    <definedName name="Zwischenfrucht" localSheetId="41">GrasKleeLuz!$N$15:$N$18</definedName>
    <definedName name="Zwischenfrucht" localSheetId="31">Hafer!$G$22:$G$30</definedName>
    <definedName name="Zwischenfrucht" localSheetId="36">Kart!$G$22:$G$30</definedName>
    <definedName name="Zwischenfrucht" localSheetId="34">'K-Mais'!$G$20:$G$28</definedName>
    <definedName name="Zwischenfrucht" localSheetId="40">Mähweide!$P$22:$P$24</definedName>
    <definedName name="Zwischenfrucht" localSheetId="33">Raps!$G$23:$G$31</definedName>
    <definedName name="Zwischenfrucht" localSheetId="27">Ro!$G$23:$G$31</definedName>
    <definedName name="Zwischenfrucht" localSheetId="35">'S-Mais'!$G$23:$G$31</definedName>
    <definedName name="Zwischenfrucht" localSheetId="30">'So-Ge'!$G$22:$G$30</definedName>
    <definedName name="Zwischenfrucht" localSheetId="26">Trit!$G$23:$G$31</definedName>
    <definedName name="Zwischenfrucht" localSheetId="39">Weide!$P$22:$P$24</definedName>
    <definedName name="Zwischenfrucht" localSheetId="29">'Wi-BrGe'!$G$23:$G$31</definedName>
    <definedName name="Zwischenfrucht" localSheetId="38">Wiese!$R$24:$R$26</definedName>
    <definedName name="Zwischenfrucht" localSheetId="28">'Wi-FuGe'!$G$23:$G$31</definedName>
    <definedName name="Zwischenfrucht" localSheetId="25">Wz!$F$22:$F$30</definedName>
    <definedName name="Zwischenfrucht" localSheetId="32">ZRübe!$J$23:$J$31</definedName>
    <definedName name="Zwischenfrucht">#REF!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8" i="77" l="1"/>
  <c r="N99" i="77"/>
  <c r="N100" i="77"/>
  <c r="N101" i="77"/>
  <c r="N102" i="77"/>
  <c r="N103" i="77"/>
  <c r="N104" i="77"/>
  <c r="N105" i="77"/>
  <c r="N106" i="77"/>
  <c r="N107" i="77"/>
  <c r="N108" i="77"/>
  <c r="N109" i="77"/>
  <c r="N110" i="77"/>
  <c r="N111" i="77"/>
  <c r="N112" i="77"/>
  <c r="N113" i="77"/>
  <c r="N114" i="77"/>
  <c r="N115" i="77"/>
  <c r="N116" i="77"/>
  <c r="N117" i="77"/>
  <c r="N118" i="77"/>
  <c r="M98" i="77"/>
  <c r="M99" i="77"/>
  <c r="M100" i="77"/>
  <c r="M101" i="77"/>
  <c r="M102" i="77"/>
  <c r="M103" i="77"/>
  <c r="M104" i="77"/>
  <c r="M105" i="77"/>
  <c r="M106" i="77"/>
  <c r="M107" i="77"/>
  <c r="M108" i="77"/>
  <c r="M109" i="77"/>
  <c r="M110" i="77"/>
  <c r="M111" i="77"/>
  <c r="M112" i="77"/>
  <c r="M113" i="77"/>
  <c r="M114" i="77"/>
  <c r="M115" i="77"/>
  <c r="M116" i="77"/>
  <c r="M117" i="77"/>
  <c r="M118" i="77"/>
  <c r="F98" i="77"/>
  <c r="F99" i="77"/>
  <c r="F100" i="77"/>
  <c r="F101" i="77"/>
  <c r="F102" i="77"/>
  <c r="F103" i="77"/>
  <c r="F104" i="77"/>
  <c r="F105" i="77"/>
  <c r="F106" i="77"/>
  <c r="F107" i="77"/>
  <c r="F108" i="77"/>
  <c r="F109" i="77"/>
  <c r="F110" i="77"/>
  <c r="F111" i="77"/>
  <c r="F112" i="77"/>
  <c r="F113" i="77"/>
  <c r="F114" i="77"/>
  <c r="F115" i="77"/>
  <c r="F116" i="77"/>
  <c r="F117" i="77"/>
  <c r="F118" i="77"/>
  <c r="E98" i="77"/>
  <c r="E99" i="77"/>
  <c r="E100" i="77"/>
  <c r="E101" i="77"/>
  <c r="E102" i="77"/>
  <c r="E103" i="77"/>
  <c r="E104" i="77"/>
  <c r="E105" i="77"/>
  <c r="E106" i="77"/>
  <c r="E107" i="77"/>
  <c r="E108" i="77"/>
  <c r="E109" i="77"/>
  <c r="E110" i="77"/>
  <c r="E111" i="77"/>
  <c r="E112" i="77"/>
  <c r="E113" i="77"/>
  <c r="E114" i="77"/>
  <c r="E115" i="77"/>
  <c r="E116" i="77"/>
  <c r="E117" i="77"/>
  <c r="E118" i="77"/>
  <c r="D98" i="77"/>
  <c r="D99" i="77"/>
  <c r="D100" i="77"/>
  <c r="D101" i="77"/>
  <c r="D102" i="77"/>
  <c r="D103" i="77"/>
  <c r="D104" i="77"/>
  <c r="D105" i="77"/>
  <c r="D106" i="77"/>
  <c r="D107" i="77"/>
  <c r="D108" i="77"/>
  <c r="D109" i="77"/>
  <c r="D110" i="77"/>
  <c r="D111" i="77"/>
  <c r="D112" i="77"/>
  <c r="D113" i="77"/>
  <c r="D114" i="77"/>
  <c r="D115" i="77"/>
  <c r="D116" i="77"/>
  <c r="D117" i="77"/>
  <c r="D118" i="77"/>
  <c r="E73" i="77"/>
  <c r="E74" i="77"/>
  <c r="E75" i="77"/>
  <c r="E76" i="77"/>
  <c r="E77" i="77"/>
  <c r="E78" i="77"/>
  <c r="E79" i="77"/>
  <c r="E80" i="77"/>
  <c r="E81" i="77"/>
  <c r="E82" i="77"/>
  <c r="E83" i="77"/>
  <c r="E84" i="77"/>
  <c r="E85" i="77"/>
  <c r="E86" i="77"/>
  <c r="E87" i="77"/>
  <c r="E88" i="77"/>
  <c r="E89" i="77"/>
  <c r="E90" i="77"/>
  <c r="E91" i="77"/>
  <c r="Q9" i="72" l="1"/>
  <c r="R9" i="72"/>
  <c r="Q10" i="72"/>
  <c r="R10" i="72"/>
  <c r="Q11" i="72"/>
  <c r="R11" i="72" s="1"/>
  <c r="Q12" i="72"/>
  <c r="R12" i="72"/>
  <c r="Q13" i="72"/>
  <c r="R13" i="72"/>
  <c r="Q14" i="72"/>
  <c r="R14" i="72" s="1"/>
  <c r="Q15" i="72"/>
  <c r="R15" i="72"/>
  <c r="Q16" i="72"/>
  <c r="R16" i="72"/>
  <c r="Q17" i="72"/>
  <c r="R17" i="72" s="1"/>
  <c r="Q18" i="72"/>
  <c r="R18" i="72"/>
  <c r="Q19" i="72"/>
  <c r="R19" i="72"/>
  <c r="Q20" i="72"/>
  <c r="R20" i="72" s="1"/>
  <c r="Q21" i="72"/>
  <c r="R21" i="72"/>
  <c r="Q22" i="72"/>
  <c r="R22" i="72"/>
  <c r="Q23" i="72"/>
  <c r="R23" i="72" s="1"/>
  <c r="Q24" i="72"/>
  <c r="R24" i="72"/>
  <c r="Q25" i="72"/>
  <c r="R25" i="72"/>
  <c r="Q26" i="72"/>
  <c r="R26" i="72" s="1"/>
  <c r="Q27" i="72"/>
  <c r="R27" i="72"/>
  <c r="Q28" i="72"/>
  <c r="R28" i="72"/>
  <c r="Q29" i="72"/>
  <c r="R29" i="72" s="1"/>
  <c r="Q30" i="72"/>
  <c r="R30" i="72"/>
  <c r="Q31" i="72"/>
  <c r="R31" i="72"/>
  <c r="Q32" i="72"/>
  <c r="R32" i="72" s="1"/>
  <c r="Q33" i="72"/>
  <c r="R33" i="72"/>
  <c r="Q34" i="72"/>
  <c r="R34" i="72"/>
  <c r="Q35" i="72"/>
  <c r="R35" i="72" s="1"/>
  <c r="Q36" i="72"/>
  <c r="R36" i="72"/>
  <c r="Q37" i="72"/>
  <c r="R37" i="72"/>
  <c r="Q38" i="72"/>
  <c r="R38" i="72" s="1"/>
  <c r="Q39" i="72"/>
  <c r="R39" i="72"/>
  <c r="Q40" i="72"/>
  <c r="R40" i="72"/>
  <c r="Q41" i="72"/>
  <c r="R41" i="72" s="1"/>
  <c r="Q42" i="72"/>
  <c r="R42" i="72"/>
  <c r="Q43" i="72"/>
  <c r="R43" i="72"/>
  <c r="Q44" i="72"/>
  <c r="R44" i="72" s="1"/>
  <c r="Q45" i="72"/>
  <c r="R45" i="72"/>
  <c r="Q46" i="72"/>
  <c r="R46" i="72"/>
  <c r="Q47" i="72"/>
  <c r="R47" i="72" s="1"/>
  <c r="Q48" i="72"/>
  <c r="R48" i="72"/>
  <c r="Q49" i="72"/>
  <c r="R49" i="72"/>
  <c r="Q50" i="72"/>
  <c r="R50" i="72" s="1"/>
  <c r="Q51" i="72"/>
  <c r="R51" i="72"/>
  <c r="Q52" i="72"/>
  <c r="R52" i="72"/>
  <c r="S10" i="76" l="1"/>
  <c r="S11" i="76"/>
  <c r="S12" i="76"/>
  <c r="S13" i="76"/>
  <c r="S14" i="76"/>
  <c r="S15" i="76"/>
  <c r="S16" i="76"/>
  <c r="S17" i="76"/>
  <c r="S18" i="76"/>
  <c r="S19" i="76"/>
  <c r="S20" i="76"/>
  <c r="S21" i="76"/>
  <c r="S22" i="76"/>
  <c r="S23" i="76"/>
  <c r="S24" i="76"/>
  <c r="S25" i="76"/>
  <c r="S26" i="76"/>
  <c r="S27" i="76"/>
  <c r="S28" i="76"/>
  <c r="S29" i="76"/>
  <c r="S30" i="76"/>
  <c r="S31" i="76"/>
  <c r="S32" i="76"/>
  <c r="S33" i="76"/>
  <c r="S34" i="76"/>
  <c r="S35" i="76"/>
  <c r="S36" i="76"/>
  <c r="S37" i="76"/>
  <c r="S38" i="76"/>
  <c r="S39" i="76"/>
  <c r="S40" i="76"/>
  <c r="S41" i="76"/>
  <c r="S42" i="76"/>
  <c r="S43" i="76"/>
  <c r="S44" i="76"/>
  <c r="S45" i="76"/>
  <c r="S46" i="76"/>
  <c r="S47" i="76"/>
  <c r="S48" i="76"/>
  <c r="S49" i="76"/>
  <c r="S50" i="76"/>
  <c r="S51" i="76"/>
  <c r="S52" i="76"/>
  <c r="X9" i="78"/>
  <c r="Y9" i="78"/>
  <c r="X10" i="78"/>
  <c r="Y10" i="78"/>
  <c r="X11" i="78"/>
  <c r="Y11" i="78" s="1"/>
  <c r="X12" i="78"/>
  <c r="Y12" i="78"/>
  <c r="X13" i="78"/>
  <c r="Y13" i="78"/>
  <c r="X14" i="78"/>
  <c r="Y14" i="78" s="1"/>
  <c r="X15" i="78"/>
  <c r="Y15" i="78"/>
  <c r="X16" i="78"/>
  <c r="Y16" i="78" s="1"/>
  <c r="X17" i="78"/>
  <c r="Y17" i="78" s="1"/>
  <c r="X18" i="78"/>
  <c r="Y18" i="78"/>
  <c r="X19" i="78"/>
  <c r="Y19" i="78"/>
  <c r="X20" i="78"/>
  <c r="Y20" i="78" s="1"/>
  <c r="X21" i="78"/>
  <c r="Y21" i="78"/>
  <c r="X22" i="78"/>
  <c r="Y22" i="78"/>
  <c r="X23" i="78"/>
  <c r="Y23" i="78" s="1"/>
  <c r="X24" i="78"/>
  <c r="Y24" i="78"/>
  <c r="X25" i="78"/>
  <c r="Y25" i="78" s="1"/>
  <c r="X26" i="78"/>
  <c r="Y26" i="78" s="1"/>
  <c r="X27" i="78"/>
  <c r="Y27" i="78"/>
  <c r="X28" i="78"/>
  <c r="Y28" i="78" s="1"/>
  <c r="X29" i="78"/>
  <c r="Y29" i="78" s="1"/>
  <c r="X30" i="78"/>
  <c r="Y30" i="78"/>
  <c r="X31" i="78"/>
  <c r="Y31" i="78" s="1"/>
  <c r="X32" i="78"/>
  <c r="Y32" i="78" s="1"/>
  <c r="X33" i="78"/>
  <c r="Y33" i="78"/>
  <c r="X34" i="78"/>
  <c r="Y34" i="78" s="1"/>
  <c r="X35" i="78"/>
  <c r="Y35" i="78" s="1"/>
  <c r="X36" i="78"/>
  <c r="Y36" i="78"/>
  <c r="X37" i="78"/>
  <c r="Y37" i="78" s="1"/>
  <c r="X38" i="78"/>
  <c r="Y38" i="78" s="1"/>
  <c r="X39" i="78"/>
  <c r="Y39" i="78"/>
  <c r="X40" i="78"/>
  <c r="Y40" i="78" s="1"/>
  <c r="X41" i="78"/>
  <c r="Y41" i="78" s="1"/>
  <c r="X42" i="78"/>
  <c r="Y42" i="78"/>
  <c r="X43" i="78"/>
  <c r="Y43" i="78" s="1"/>
  <c r="X44" i="78"/>
  <c r="Y44" i="78" s="1"/>
  <c r="X45" i="78"/>
  <c r="Y45" i="78"/>
  <c r="X46" i="78"/>
  <c r="Y46" i="78" s="1"/>
  <c r="X47" i="78"/>
  <c r="Y47" i="78" s="1"/>
  <c r="X48" i="78"/>
  <c r="Y48" i="78"/>
  <c r="X49" i="78"/>
  <c r="Y49" i="78" s="1"/>
  <c r="X50" i="78"/>
  <c r="Y50" i="78" s="1"/>
  <c r="X51" i="78"/>
  <c r="Y51" i="78"/>
  <c r="X52" i="78"/>
  <c r="Y52" i="78" s="1"/>
  <c r="U9" i="83"/>
  <c r="V9" i="83"/>
  <c r="U10" i="83"/>
  <c r="V10" i="83"/>
  <c r="U11" i="83"/>
  <c r="V11" i="83" s="1"/>
  <c r="U12" i="83"/>
  <c r="V12" i="83"/>
  <c r="U13" i="83"/>
  <c r="V13" i="83"/>
  <c r="U14" i="83"/>
  <c r="V14" i="83" s="1"/>
  <c r="U15" i="83"/>
  <c r="V15" i="83"/>
  <c r="U16" i="83"/>
  <c r="V16" i="83"/>
  <c r="U17" i="83"/>
  <c r="V17" i="83" s="1"/>
  <c r="U18" i="83"/>
  <c r="V18" i="83"/>
  <c r="U19" i="83"/>
  <c r="V19" i="83"/>
  <c r="U20" i="83"/>
  <c r="V20" i="83" s="1"/>
  <c r="U21" i="83"/>
  <c r="V21" i="83"/>
  <c r="U22" i="83"/>
  <c r="V22" i="83"/>
  <c r="U23" i="83"/>
  <c r="V23" i="83" s="1"/>
  <c r="U24" i="83"/>
  <c r="V24" i="83"/>
  <c r="U25" i="83"/>
  <c r="V25" i="83"/>
  <c r="U26" i="83"/>
  <c r="V26" i="83" s="1"/>
  <c r="U27" i="83"/>
  <c r="V27" i="83"/>
  <c r="U28" i="83"/>
  <c r="V28" i="83"/>
  <c r="U29" i="83"/>
  <c r="V29" i="83" s="1"/>
  <c r="U30" i="83"/>
  <c r="V30" i="83"/>
  <c r="U31" i="83"/>
  <c r="V31" i="83"/>
  <c r="U32" i="83"/>
  <c r="V32" i="83" s="1"/>
  <c r="U33" i="83"/>
  <c r="V33" i="83"/>
  <c r="U34" i="83"/>
  <c r="V34" i="83"/>
  <c r="U35" i="83"/>
  <c r="V35" i="83" s="1"/>
  <c r="U36" i="83"/>
  <c r="V36" i="83"/>
  <c r="U37" i="83"/>
  <c r="V37" i="83"/>
  <c r="U38" i="83"/>
  <c r="V38" i="83" s="1"/>
  <c r="U39" i="83"/>
  <c r="V39" i="83"/>
  <c r="U40" i="83"/>
  <c r="V40" i="83"/>
  <c r="U41" i="83"/>
  <c r="V41" i="83" s="1"/>
  <c r="U42" i="83"/>
  <c r="V42" i="83"/>
  <c r="U9" i="84"/>
  <c r="V9" i="84"/>
  <c r="U10" i="84"/>
  <c r="V10" i="84"/>
  <c r="U11" i="84"/>
  <c r="V11" i="84" s="1"/>
  <c r="U12" i="84"/>
  <c r="V12" i="84"/>
  <c r="U13" i="84"/>
  <c r="V13" i="84"/>
  <c r="U14" i="84"/>
  <c r="V14" i="84" s="1"/>
  <c r="U15" i="84"/>
  <c r="V15" i="84"/>
  <c r="U16" i="84"/>
  <c r="V16" i="84"/>
  <c r="U17" i="84"/>
  <c r="V17" i="84" s="1"/>
  <c r="U18" i="84"/>
  <c r="V18" i="84"/>
  <c r="U19" i="84"/>
  <c r="V19" i="84"/>
  <c r="U20" i="84"/>
  <c r="V20" i="84" s="1"/>
  <c r="U21" i="84"/>
  <c r="V21" i="84"/>
  <c r="U22" i="84"/>
  <c r="V22" i="84"/>
  <c r="U23" i="84"/>
  <c r="V23" i="84" s="1"/>
  <c r="U24" i="84"/>
  <c r="V24" i="84"/>
  <c r="U25" i="84"/>
  <c r="V25" i="84"/>
  <c r="U26" i="84"/>
  <c r="V26" i="84" s="1"/>
  <c r="U27" i="84"/>
  <c r="V27" i="84"/>
  <c r="U28" i="84"/>
  <c r="V28" i="84"/>
  <c r="U29" i="84"/>
  <c r="V29" i="84" s="1"/>
  <c r="U30" i="84"/>
  <c r="V30" i="84"/>
  <c r="U31" i="84"/>
  <c r="V31" i="84"/>
  <c r="U32" i="84"/>
  <c r="V32" i="84" s="1"/>
  <c r="U33" i="84"/>
  <c r="V33" i="84"/>
  <c r="U34" i="84"/>
  <c r="V34" i="84"/>
  <c r="U35" i="84"/>
  <c r="V35" i="84" s="1"/>
  <c r="U36" i="84"/>
  <c r="V36" i="84"/>
  <c r="U37" i="84"/>
  <c r="V37" i="84"/>
  <c r="U38" i="84"/>
  <c r="V38" i="84" s="1"/>
  <c r="U39" i="84"/>
  <c r="V39" i="84"/>
  <c r="U40" i="84"/>
  <c r="V40" i="84"/>
  <c r="U41" i="84"/>
  <c r="V41" i="84" s="1"/>
  <c r="U42" i="84"/>
  <c r="V42" i="84"/>
  <c r="W9" i="80"/>
  <c r="X9" i="80"/>
  <c r="W10" i="80"/>
  <c r="X10" i="80"/>
  <c r="W11" i="80"/>
  <c r="X11" i="80" s="1"/>
  <c r="W12" i="80"/>
  <c r="X12" i="80"/>
  <c r="W13" i="80"/>
  <c r="X13" i="80"/>
  <c r="W14" i="80"/>
  <c r="X14" i="80" s="1"/>
  <c r="W15" i="80"/>
  <c r="X15" i="80"/>
  <c r="W16" i="80"/>
  <c r="X16" i="80"/>
  <c r="W17" i="80"/>
  <c r="X17" i="80" s="1"/>
  <c r="W18" i="80"/>
  <c r="X18" i="80"/>
  <c r="W19" i="80"/>
  <c r="X19" i="80"/>
  <c r="W20" i="80"/>
  <c r="X20" i="80" s="1"/>
  <c r="W21" i="80"/>
  <c r="X21" i="80"/>
  <c r="W22" i="80"/>
  <c r="X22" i="80"/>
  <c r="W23" i="80"/>
  <c r="X23" i="80" s="1"/>
  <c r="W24" i="80"/>
  <c r="X24" i="80"/>
  <c r="W25" i="80"/>
  <c r="X25" i="80"/>
  <c r="W26" i="80"/>
  <c r="X26" i="80" s="1"/>
  <c r="W27" i="80"/>
  <c r="X27" i="80"/>
  <c r="W28" i="80"/>
  <c r="X28" i="80"/>
  <c r="W29" i="80"/>
  <c r="X29" i="80" s="1"/>
  <c r="W30" i="80"/>
  <c r="X30" i="80"/>
  <c r="W31" i="80"/>
  <c r="X31" i="80"/>
  <c r="W9" i="81"/>
  <c r="X9" i="81"/>
  <c r="W10" i="81"/>
  <c r="X10" i="81"/>
  <c r="W11" i="81"/>
  <c r="X11" i="81" s="1"/>
  <c r="W12" i="81"/>
  <c r="X12" i="81"/>
  <c r="W13" i="81"/>
  <c r="X13" i="81"/>
  <c r="W14" i="81"/>
  <c r="X14" i="81" s="1"/>
  <c r="W15" i="81"/>
  <c r="X15" i="81"/>
  <c r="W16" i="81"/>
  <c r="X16" i="81"/>
  <c r="W17" i="81"/>
  <c r="X17" i="81" s="1"/>
  <c r="W18" i="81"/>
  <c r="X18" i="81"/>
  <c r="W19" i="81"/>
  <c r="X19" i="81"/>
  <c r="W20" i="81"/>
  <c r="X20" i="81" s="1"/>
  <c r="W21" i="81"/>
  <c r="X21" i="81"/>
  <c r="W22" i="81"/>
  <c r="X22" i="81"/>
  <c r="W23" i="81"/>
  <c r="X23" i="81" s="1"/>
  <c r="W24" i="81"/>
  <c r="X24" i="81"/>
  <c r="W25" i="81"/>
  <c r="X25" i="81"/>
  <c r="W26" i="81"/>
  <c r="X26" i="81" s="1"/>
  <c r="W27" i="81"/>
  <c r="X27" i="81"/>
  <c r="W28" i="81"/>
  <c r="X28" i="81"/>
  <c r="W29" i="81"/>
  <c r="X29" i="81" s="1"/>
  <c r="W30" i="81"/>
  <c r="X30" i="81"/>
  <c r="W31" i="81"/>
  <c r="X31" i="81"/>
  <c r="Q52" i="41"/>
  <c r="Q10" i="41"/>
  <c r="R10" i="41"/>
  <c r="Q11" i="41"/>
  <c r="R11" i="41"/>
  <c r="Q12" i="41"/>
  <c r="R12" i="41" s="1"/>
  <c r="Q13" i="41"/>
  <c r="R13" i="41"/>
  <c r="Q14" i="41"/>
  <c r="R14" i="41"/>
  <c r="Q15" i="41"/>
  <c r="R15" i="41" s="1"/>
  <c r="Q16" i="41"/>
  <c r="R16" i="41"/>
  <c r="Q17" i="41"/>
  <c r="R17" i="41"/>
  <c r="Q18" i="41"/>
  <c r="R18" i="41" s="1"/>
  <c r="Q19" i="41"/>
  <c r="R19" i="41"/>
  <c r="Q20" i="41"/>
  <c r="R20" i="41"/>
  <c r="Q21" i="41"/>
  <c r="R21" i="41" s="1"/>
  <c r="Q22" i="41"/>
  <c r="R22" i="41"/>
  <c r="Q23" i="41"/>
  <c r="R23" i="41"/>
  <c r="Q24" i="41"/>
  <c r="R24" i="41" s="1"/>
  <c r="Q25" i="41"/>
  <c r="R25" i="41"/>
  <c r="Q26" i="41"/>
  <c r="R26" i="41"/>
  <c r="Q27" i="41"/>
  <c r="R27" i="41" s="1"/>
  <c r="Q28" i="41"/>
  <c r="R28" i="41"/>
  <c r="Q29" i="41"/>
  <c r="R29" i="41"/>
  <c r="Q30" i="41"/>
  <c r="R30" i="41" s="1"/>
  <c r="Q31" i="41"/>
  <c r="R31" i="41"/>
  <c r="Q32" i="41"/>
  <c r="R32" i="41"/>
  <c r="Q33" i="41"/>
  <c r="R33" i="41" s="1"/>
  <c r="Q34" i="41"/>
  <c r="R34" i="41"/>
  <c r="Q35" i="41"/>
  <c r="R35" i="41"/>
  <c r="Q36" i="41"/>
  <c r="R36" i="41" s="1"/>
  <c r="Q37" i="41"/>
  <c r="R37" i="41"/>
  <c r="Q38" i="41"/>
  <c r="R38" i="41"/>
  <c r="Q39" i="41"/>
  <c r="R39" i="41" s="1"/>
  <c r="Q40" i="41"/>
  <c r="R40" i="41"/>
  <c r="Q41" i="41"/>
  <c r="R41" i="41"/>
  <c r="Q42" i="41"/>
  <c r="R42" i="41" s="1"/>
  <c r="Q43" i="41"/>
  <c r="R43" i="41"/>
  <c r="Q44" i="41"/>
  <c r="R44" i="41"/>
  <c r="Q45" i="41"/>
  <c r="R45" i="41" s="1"/>
  <c r="Q46" i="41"/>
  <c r="R46" i="41"/>
  <c r="Q47" i="41"/>
  <c r="R47" i="41"/>
  <c r="Q48" i="41"/>
  <c r="R48" i="41" s="1"/>
  <c r="Q49" i="41"/>
  <c r="R49" i="41"/>
  <c r="Q50" i="41"/>
  <c r="R50" i="41"/>
  <c r="Q51" i="41"/>
  <c r="R51" i="41" s="1"/>
  <c r="Q9" i="41"/>
  <c r="BH9" i="67" l="1"/>
  <c r="BH10" i="67"/>
  <c r="BH11" i="67"/>
  <c r="BH12" i="67"/>
  <c r="BH13" i="67"/>
  <c r="BH14" i="67"/>
  <c r="BH15" i="67"/>
  <c r="BH16" i="67"/>
  <c r="BH17" i="67"/>
  <c r="BH18" i="67"/>
  <c r="BH19" i="67"/>
  <c r="BH20" i="67"/>
  <c r="BH21" i="67"/>
  <c r="BH22" i="67"/>
  <c r="BH23" i="67"/>
  <c r="BH24" i="67"/>
  <c r="BH25" i="67"/>
  <c r="BH26" i="67"/>
  <c r="BH27" i="67"/>
  <c r="BH28" i="67"/>
  <c r="BH29" i="67"/>
  <c r="BH30" i="67"/>
  <c r="BH31" i="67"/>
  <c r="BH32" i="67"/>
  <c r="BH33" i="67"/>
  <c r="BH34" i="67"/>
  <c r="BH35" i="67"/>
  <c r="BH36" i="67"/>
  <c r="BH37" i="67"/>
  <c r="BH38" i="67"/>
  <c r="BH39" i="67"/>
  <c r="BH40" i="67"/>
  <c r="BH41" i="67"/>
  <c r="BH42" i="67"/>
  <c r="BE9" i="67"/>
  <c r="BE10" i="67"/>
  <c r="BE11" i="67"/>
  <c r="BE12" i="67"/>
  <c r="BE13" i="67"/>
  <c r="BE14" i="67"/>
  <c r="BE15" i="67"/>
  <c r="BE16" i="67"/>
  <c r="BE17" i="67"/>
  <c r="BE18" i="67"/>
  <c r="BE19" i="67"/>
  <c r="BE20" i="67"/>
  <c r="BE21" i="67"/>
  <c r="BE22" i="67"/>
  <c r="BE23" i="67"/>
  <c r="BE24" i="67"/>
  <c r="BE25" i="67"/>
  <c r="BE26" i="67"/>
  <c r="BE27" i="67"/>
  <c r="BE28" i="67"/>
  <c r="BE29" i="67"/>
  <c r="BE30" i="67"/>
  <c r="BE31" i="67"/>
  <c r="BE32" i="67"/>
  <c r="BE33" i="67"/>
  <c r="BE34" i="67"/>
  <c r="BE35" i="67"/>
  <c r="BE36" i="67"/>
  <c r="BE37" i="67"/>
  <c r="BE38" i="67"/>
  <c r="BE39" i="67"/>
  <c r="BE40" i="67"/>
  <c r="BE41" i="67"/>
  <c r="BE42" i="67"/>
  <c r="BF9" i="67"/>
  <c r="BG9" i="67"/>
  <c r="BI9" i="67"/>
  <c r="BF10" i="67"/>
  <c r="BG10" i="67"/>
  <c r="BI10" i="67"/>
  <c r="BF11" i="67"/>
  <c r="BG11" i="67"/>
  <c r="BI11" i="67"/>
  <c r="BF12" i="67"/>
  <c r="BG12" i="67"/>
  <c r="BI12" i="67"/>
  <c r="BF13" i="67"/>
  <c r="BG13" i="67"/>
  <c r="BI13" i="67"/>
  <c r="BF14" i="67"/>
  <c r="BG14" i="67"/>
  <c r="BI14" i="67"/>
  <c r="BF15" i="67"/>
  <c r="BG15" i="67"/>
  <c r="BI15" i="67"/>
  <c r="BF16" i="67"/>
  <c r="BG16" i="67"/>
  <c r="BI16" i="67"/>
  <c r="BF17" i="67"/>
  <c r="BG17" i="67"/>
  <c r="BI17" i="67"/>
  <c r="BF18" i="67"/>
  <c r="BG18" i="67"/>
  <c r="BI18" i="67"/>
  <c r="BF19" i="67"/>
  <c r="BG19" i="67"/>
  <c r="BI19" i="67"/>
  <c r="BF20" i="67"/>
  <c r="BG20" i="67"/>
  <c r="BI20" i="67"/>
  <c r="BF21" i="67"/>
  <c r="BG21" i="67"/>
  <c r="BI21" i="67"/>
  <c r="BF22" i="67"/>
  <c r="BG22" i="67"/>
  <c r="BI22" i="67"/>
  <c r="BF23" i="67"/>
  <c r="BG23" i="67"/>
  <c r="BI23" i="67"/>
  <c r="BF24" i="67"/>
  <c r="BG24" i="67"/>
  <c r="BI24" i="67"/>
  <c r="BF25" i="67"/>
  <c r="BG25" i="67"/>
  <c r="BI25" i="67"/>
  <c r="BF26" i="67"/>
  <c r="BG26" i="67"/>
  <c r="BI26" i="67"/>
  <c r="BF27" i="67"/>
  <c r="BG27" i="67"/>
  <c r="BI27" i="67"/>
  <c r="BF28" i="67"/>
  <c r="BG28" i="67"/>
  <c r="BI28" i="67"/>
  <c r="BF29" i="67"/>
  <c r="BG29" i="67"/>
  <c r="BI29" i="67"/>
  <c r="BF30" i="67"/>
  <c r="BG30" i="67"/>
  <c r="BI30" i="67"/>
  <c r="BF31" i="67"/>
  <c r="BG31" i="67"/>
  <c r="BI31" i="67"/>
  <c r="BF32" i="67"/>
  <c r="BG32" i="67"/>
  <c r="BI32" i="67"/>
  <c r="BF33" i="67"/>
  <c r="BG33" i="67"/>
  <c r="BI33" i="67"/>
  <c r="BF34" i="67"/>
  <c r="BG34" i="67"/>
  <c r="BI34" i="67"/>
  <c r="BF35" i="67"/>
  <c r="BG35" i="67"/>
  <c r="BI35" i="67"/>
  <c r="BF36" i="67"/>
  <c r="BG36" i="67"/>
  <c r="BI36" i="67"/>
  <c r="BF37" i="67"/>
  <c r="BG37" i="67"/>
  <c r="BI37" i="67"/>
  <c r="BF38" i="67"/>
  <c r="BG38" i="67"/>
  <c r="BI38" i="67"/>
  <c r="BF39" i="67"/>
  <c r="BG39" i="67"/>
  <c r="BI39" i="67"/>
  <c r="BF40" i="67"/>
  <c r="BG40" i="67"/>
  <c r="BI40" i="67"/>
  <c r="BF41" i="67"/>
  <c r="BG41" i="67"/>
  <c r="BI41" i="67"/>
  <c r="BF42" i="67"/>
  <c r="BG42" i="67"/>
  <c r="BI42" i="67"/>
  <c r="B53" i="72"/>
  <c r="E31" i="73" l="1"/>
  <c r="I31" i="73"/>
  <c r="Q31" i="73"/>
  <c r="X31" i="73"/>
  <c r="Y31" i="73"/>
  <c r="Z31" i="73"/>
  <c r="AE31" i="73"/>
  <c r="AF31" i="73"/>
  <c r="AG31" i="73"/>
  <c r="AL31" i="73"/>
  <c r="AM31" i="73"/>
  <c r="AN31" i="73"/>
  <c r="BA31" i="73"/>
  <c r="BB31" i="73"/>
  <c r="N31" i="73" s="1"/>
  <c r="O31" i="73" s="1"/>
  <c r="E32" i="73"/>
  <c r="BB32" i="73" s="1"/>
  <c r="N32" i="73" s="1"/>
  <c r="O32" i="73" s="1"/>
  <c r="I32" i="73"/>
  <c r="Q32" i="73"/>
  <c r="X32" i="73"/>
  <c r="Y32" i="73"/>
  <c r="Z32" i="73"/>
  <c r="AE32" i="73"/>
  <c r="AF32" i="73"/>
  <c r="AG32" i="73"/>
  <c r="AL32" i="73"/>
  <c r="AM32" i="73"/>
  <c r="AN32" i="73"/>
  <c r="BA32" i="73"/>
  <c r="E33" i="73"/>
  <c r="I33" i="73"/>
  <c r="Q33" i="73"/>
  <c r="X33" i="73"/>
  <c r="Y33" i="73"/>
  <c r="Z33" i="73"/>
  <c r="AE33" i="73"/>
  <c r="AF33" i="73"/>
  <c r="AG33" i="73"/>
  <c r="AT33" i="73" s="1"/>
  <c r="AZ33" i="73" s="1"/>
  <c r="AL33" i="73"/>
  <c r="AM33" i="73"/>
  <c r="AN33" i="73"/>
  <c r="BA33" i="73"/>
  <c r="E34" i="73"/>
  <c r="BB34" i="73" s="1"/>
  <c r="N34" i="73" s="1"/>
  <c r="O34" i="73" s="1"/>
  <c r="I34" i="73"/>
  <c r="Q34" i="73"/>
  <c r="X34" i="73"/>
  <c r="Y34" i="73"/>
  <c r="Z34" i="73"/>
  <c r="AE34" i="73"/>
  <c r="AS34" i="73" s="1"/>
  <c r="AY34" i="73" s="1"/>
  <c r="AF34" i="73"/>
  <c r="AG34" i="73"/>
  <c r="AT34" i="73" s="1"/>
  <c r="AZ34" i="73" s="1"/>
  <c r="AL34" i="73"/>
  <c r="AM34" i="73"/>
  <c r="AN34" i="73"/>
  <c r="AR34" i="73"/>
  <c r="AX34" i="73" s="1"/>
  <c r="BA34" i="73"/>
  <c r="E35" i="73"/>
  <c r="I35" i="73"/>
  <c r="Q35" i="73"/>
  <c r="X35" i="73"/>
  <c r="Y35" i="73"/>
  <c r="Z35" i="73"/>
  <c r="AE35" i="73"/>
  <c r="AF35" i="73"/>
  <c r="AG35" i="73"/>
  <c r="AL35" i="73"/>
  <c r="AM35" i="73"/>
  <c r="AN35" i="73"/>
  <c r="BA35" i="73"/>
  <c r="BB35" i="73"/>
  <c r="N35" i="73" s="1"/>
  <c r="O35" i="73" s="1"/>
  <c r="E36" i="73"/>
  <c r="I36" i="73"/>
  <c r="Q36" i="73"/>
  <c r="X36" i="73"/>
  <c r="Y36" i="73"/>
  <c r="Z36" i="73"/>
  <c r="AE36" i="73"/>
  <c r="AF36" i="73"/>
  <c r="AG36" i="73"/>
  <c r="AL36" i="73"/>
  <c r="AM36" i="73"/>
  <c r="AN36" i="73"/>
  <c r="BA36" i="73"/>
  <c r="E37" i="73"/>
  <c r="BB37" i="73" s="1"/>
  <c r="N37" i="73" s="1"/>
  <c r="O37" i="73" s="1"/>
  <c r="I37" i="73"/>
  <c r="Q37" i="73"/>
  <c r="X37" i="73"/>
  <c r="Y37" i="73"/>
  <c r="Z37" i="73"/>
  <c r="AE37" i="73"/>
  <c r="AF37" i="73"/>
  <c r="AG37" i="73"/>
  <c r="AL37" i="73"/>
  <c r="AM37" i="73"/>
  <c r="AN37" i="73"/>
  <c r="BA37" i="73"/>
  <c r="E38" i="73"/>
  <c r="I38" i="73"/>
  <c r="BB38" i="73" s="1"/>
  <c r="N38" i="73" s="1"/>
  <c r="O38" i="73" s="1"/>
  <c r="Q38" i="73"/>
  <c r="X38" i="73"/>
  <c r="Y38" i="73"/>
  <c r="Z38" i="73"/>
  <c r="AE38" i="73"/>
  <c r="AF38" i="73"/>
  <c r="AG38" i="73"/>
  <c r="AL38" i="73"/>
  <c r="AM38" i="73"/>
  <c r="AN38" i="73"/>
  <c r="BA38" i="73"/>
  <c r="E39" i="73"/>
  <c r="I39" i="73"/>
  <c r="Q39" i="73"/>
  <c r="X39" i="73"/>
  <c r="Y39" i="73"/>
  <c r="Z39" i="73"/>
  <c r="AE39" i="73"/>
  <c r="AF39" i="73"/>
  <c r="AG39" i="73"/>
  <c r="AL39" i="73"/>
  <c r="AM39" i="73"/>
  <c r="AN39" i="73"/>
  <c r="BA39" i="73"/>
  <c r="E40" i="73"/>
  <c r="BB40" i="73" s="1"/>
  <c r="N40" i="73" s="1"/>
  <c r="O40" i="73" s="1"/>
  <c r="I40" i="73"/>
  <c r="Q40" i="73"/>
  <c r="X40" i="73"/>
  <c r="Y40" i="73"/>
  <c r="Z40" i="73"/>
  <c r="AE40" i="73"/>
  <c r="AF40" i="73"/>
  <c r="AG40" i="73"/>
  <c r="AL40" i="73"/>
  <c r="AM40" i="73"/>
  <c r="AN40" i="73"/>
  <c r="BA40" i="73"/>
  <c r="E41" i="73"/>
  <c r="I41" i="73"/>
  <c r="Q41" i="73"/>
  <c r="X41" i="73"/>
  <c r="Y41" i="73"/>
  <c r="Z41" i="73"/>
  <c r="AE41" i="73"/>
  <c r="AF41" i="73"/>
  <c r="AG41" i="73"/>
  <c r="AL41" i="73"/>
  <c r="AM41" i="73"/>
  <c r="AN41" i="73"/>
  <c r="BA41" i="73"/>
  <c r="BB41" i="73"/>
  <c r="N41" i="73" s="1"/>
  <c r="O41" i="73" s="1"/>
  <c r="E42" i="73"/>
  <c r="I42" i="73"/>
  <c r="Q42" i="73"/>
  <c r="X42" i="73"/>
  <c r="Y42" i="73"/>
  <c r="Z42" i="73"/>
  <c r="AE42" i="73"/>
  <c r="AF42" i="73"/>
  <c r="AG42" i="73"/>
  <c r="AL42" i="73"/>
  <c r="AM42" i="73"/>
  <c r="AN42" i="73"/>
  <c r="BA42" i="73"/>
  <c r="E43" i="73"/>
  <c r="BB43" i="73" s="1"/>
  <c r="N43" i="73" s="1"/>
  <c r="O43" i="73" s="1"/>
  <c r="I43" i="73"/>
  <c r="Q43" i="73"/>
  <c r="X43" i="73"/>
  <c r="Y43" i="73"/>
  <c r="Z43" i="73"/>
  <c r="AE43" i="73"/>
  <c r="AF43" i="73"/>
  <c r="AG43" i="73"/>
  <c r="AL43" i="73"/>
  <c r="AM43" i="73"/>
  <c r="AN43" i="73"/>
  <c r="BA43" i="73"/>
  <c r="E44" i="73"/>
  <c r="I44" i="73"/>
  <c r="BB44" i="73" s="1"/>
  <c r="N44" i="73" s="1"/>
  <c r="O44" i="73" s="1"/>
  <c r="Q44" i="73"/>
  <c r="X44" i="73"/>
  <c r="Y44" i="73"/>
  <c r="Z44" i="73"/>
  <c r="AE44" i="73"/>
  <c r="AF44" i="73"/>
  <c r="AG44" i="73"/>
  <c r="AL44" i="73"/>
  <c r="AM44" i="73"/>
  <c r="AN44" i="73"/>
  <c r="BA44" i="73"/>
  <c r="E45" i="73"/>
  <c r="I45" i="73"/>
  <c r="Q45" i="73"/>
  <c r="X45" i="73"/>
  <c r="Y45" i="73"/>
  <c r="Z45" i="73"/>
  <c r="AE45" i="73"/>
  <c r="AF45" i="73"/>
  <c r="AG45" i="73"/>
  <c r="AL45" i="73"/>
  <c r="AM45" i="73"/>
  <c r="AN45" i="73"/>
  <c r="BA45" i="73"/>
  <c r="E46" i="73"/>
  <c r="BB46" i="73" s="1"/>
  <c r="N46" i="73" s="1"/>
  <c r="O46" i="73" s="1"/>
  <c r="I46" i="73"/>
  <c r="Q46" i="73"/>
  <c r="X46" i="73"/>
  <c r="Y46" i="73"/>
  <c r="Z46" i="73"/>
  <c r="AE46" i="73"/>
  <c r="AF46" i="73"/>
  <c r="AG46" i="73"/>
  <c r="AT46" i="73" s="1"/>
  <c r="AZ46" i="73" s="1"/>
  <c r="AL46" i="73"/>
  <c r="AM46" i="73"/>
  <c r="AN46" i="73"/>
  <c r="AR46" i="73"/>
  <c r="AX46" i="73" s="1"/>
  <c r="BA46" i="73"/>
  <c r="E47" i="73"/>
  <c r="I47" i="73"/>
  <c r="Q47" i="73"/>
  <c r="X47" i="73"/>
  <c r="Y47" i="73"/>
  <c r="Z47" i="73"/>
  <c r="AE47" i="73"/>
  <c r="AF47" i="73"/>
  <c r="AG47" i="73"/>
  <c r="AL47" i="73"/>
  <c r="AM47" i="73"/>
  <c r="AN47" i="73"/>
  <c r="BA47" i="73"/>
  <c r="BB47" i="73"/>
  <c r="N47" i="73" s="1"/>
  <c r="O47" i="73" s="1"/>
  <c r="E48" i="73"/>
  <c r="I48" i="73"/>
  <c r="Q48" i="73"/>
  <c r="X48" i="73"/>
  <c r="Y48" i="73"/>
  <c r="Z48" i="73"/>
  <c r="AE48" i="73"/>
  <c r="AF48" i="73"/>
  <c r="AG48" i="73"/>
  <c r="AL48" i="73"/>
  <c r="AM48" i="73"/>
  <c r="AN48" i="73"/>
  <c r="BA48" i="73"/>
  <c r="E49" i="73"/>
  <c r="BB49" i="73" s="1"/>
  <c r="N49" i="73" s="1"/>
  <c r="O49" i="73" s="1"/>
  <c r="I49" i="73"/>
  <c r="Q49" i="73"/>
  <c r="X49" i="73"/>
  <c r="Y49" i="73"/>
  <c r="Z49" i="73"/>
  <c r="AE49" i="73"/>
  <c r="AF49" i="73"/>
  <c r="AG49" i="73"/>
  <c r="AL49" i="73"/>
  <c r="AM49" i="73"/>
  <c r="AN49" i="73"/>
  <c r="BA49" i="73"/>
  <c r="E50" i="73"/>
  <c r="I50" i="73"/>
  <c r="BB50" i="73" s="1"/>
  <c r="N50" i="73" s="1"/>
  <c r="O50" i="73" s="1"/>
  <c r="Q50" i="73"/>
  <c r="X50" i="73"/>
  <c r="Y50" i="73"/>
  <c r="Z50" i="73"/>
  <c r="AE50" i="73"/>
  <c r="AF50" i="73"/>
  <c r="AG50" i="73"/>
  <c r="AL50" i="73"/>
  <c r="AM50" i="73"/>
  <c r="AN50" i="73"/>
  <c r="BA50" i="73"/>
  <c r="E51" i="73"/>
  <c r="I51" i="73"/>
  <c r="Q51" i="73"/>
  <c r="X51" i="73"/>
  <c r="Y51" i="73"/>
  <c r="Z51" i="73"/>
  <c r="AE51" i="73"/>
  <c r="AF51" i="73"/>
  <c r="AG51" i="73"/>
  <c r="AL51" i="73"/>
  <c r="AM51" i="73"/>
  <c r="AN51" i="73"/>
  <c r="BA51" i="73"/>
  <c r="E52" i="73"/>
  <c r="BB52" i="73" s="1"/>
  <c r="N52" i="73" s="1"/>
  <c r="O52" i="73" s="1"/>
  <c r="I52" i="73"/>
  <c r="Q52" i="73"/>
  <c r="X52" i="73"/>
  <c r="Y52" i="73"/>
  <c r="Z52" i="73"/>
  <c r="AE52" i="73"/>
  <c r="AF52" i="73"/>
  <c r="AG52" i="73"/>
  <c r="AL52" i="73"/>
  <c r="AM52" i="73"/>
  <c r="AN52" i="73"/>
  <c r="BA52" i="73"/>
  <c r="E53" i="73"/>
  <c r="I53" i="73"/>
  <c r="Q53" i="73"/>
  <c r="X53" i="73"/>
  <c r="Y53" i="73"/>
  <c r="Z53" i="73"/>
  <c r="AE53" i="73"/>
  <c r="AF53" i="73"/>
  <c r="AG53" i="73"/>
  <c r="AL53" i="73"/>
  <c r="AM53" i="73"/>
  <c r="AN53" i="73"/>
  <c r="BA53" i="73"/>
  <c r="BB53" i="73"/>
  <c r="N53" i="73" s="1"/>
  <c r="O53" i="73" s="1"/>
  <c r="E54" i="73"/>
  <c r="I54" i="73"/>
  <c r="Q54" i="73"/>
  <c r="X54" i="73"/>
  <c r="Y54" i="73"/>
  <c r="Z54" i="73"/>
  <c r="AE54" i="73"/>
  <c r="AF54" i="73"/>
  <c r="AG54" i="73"/>
  <c r="AL54" i="73"/>
  <c r="AM54" i="73"/>
  <c r="AN54" i="73"/>
  <c r="BA54" i="73"/>
  <c r="E30" i="71"/>
  <c r="G30" i="71"/>
  <c r="I30" i="71"/>
  <c r="Q30" i="71"/>
  <c r="S30" i="71"/>
  <c r="X30" i="71"/>
  <c r="Y30" i="71"/>
  <c r="Z30" i="71"/>
  <c r="AE30" i="71"/>
  <c r="AF30" i="71"/>
  <c r="AG30" i="71"/>
  <c r="AL30" i="71"/>
  <c r="AM30" i="71"/>
  <c r="AN30" i="71"/>
  <c r="BA30" i="71"/>
  <c r="L30" i="71" s="1"/>
  <c r="E31" i="71"/>
  <c r="G31" i="71"/>
  <c r="I31" i="71"/>
  <c r="Q31" i="71"/>
  <c r="S31" i="71"/>
  <c r="X31" i="71"/>
  <c r="Y31" i="71"/>
  <c r="Z31" i="71"/>
  <c r="AE31" i="71"/>
  <c r="AF31" i="71"/>
  <c r="AG31" i="71"/>
  <c r="AL31" i="71"/>
  <c r="AM31" i="71"/>
  <c r="AN31" i="71"/>
  <c r="BA31" i="71"/>
  <c r="L31" i="71" s="1"/>
  <c r="E32" i="71"/>
  <c r="G32" i="71"/>
  <c r="I32" i="71"/>
  <c r="Q32" i="71"/>
  <c r="S32" i="71"/>
  <c r="X32" i="71"/>
  <c r="Y32" i="71"/>
  <c r="Z32" i="71"/>
  <c r="AE32" i="71"/>
  <c r="AF32" i="71"/>
  <c r="AG32" i="71"/>
  <c r="AL32" i="71"/>
  <c r="AM32" i="71"/>
  <c r="AN32" i="71"/>
  <c r="BA32" i="71"/>
  <c r="L32" i="71" s="1"/>
  <c r="E33" i="71"/>
  <c r="G33" i="71"/>
  <c r="I33" i="71"/>
  <c r="Q33" i="71"/>
  <c r="S33" i="71"/>
  <c r="X33" i="71"/>
  <c r="Y33" i="71"/>
  <c r="Z33" i="71"/>
  <c r="AE33" i="71"/>
  <c r="AF33" i="71"/>
  <c r="AG33" i="71"/>
  <c r="AL33" i="71"/>
  <c r="AM33" i="71"/>
  <c r="AN33" i="71"/>
  <c r="BA33" i="71"/>
  <c r="L33" i="71" s="1"/>
  <c r="E34" i="71"/>
  <c r="G34" i="71"/>
  <c r="I34" i="71"/>
  <c r="Q34" i="71"/>
  <c r="S34" i="71"/>
  <c r="X34" i="71"/>
  <c r="Y34" i="71"/>
  <c r="Z34" i="71"/>
  <c r="AE34" i="71"/>
  <c r="AF34" i="71"/>
  <c r="AG34" i="71"/>
  <c r="AL34" i="71"/>
  <c r="AM34" i="71"/>
  <c r="AN34" i="71"/>
  <c r="BA34" i="71"/>
  <c r="L34" i="71" s="1"/>
  <c r="E35" i="71"/>
  <c r="BB35" i="71" s="1"/>
  <c r="N35" i="71" s="1"/>
  <c r="O35" i="71" s="1"/>
  <c r="G35" i="71"/>
  <c r="I35" i="71"/>
  <c r="Q35" i="71"/>
  <c r="S35" i="71"/>
  <c r="X35" i="71"/>
  <c r="Y35" i="71"/>
  <c r="Z35" i="71"/>
  <c r="AE35" i="71"/>
  <c r="AF35" i="71"/>
  <c r="AG35" i="71"/>
  <c r="AL35" i="71"/>
  <c r="AM35" i="71"/>
  <c r="AN35" i="71"/>
  <c r="BA35" i="71"/>
  <c r="L35" i="71" s="1"/>
  <c r="E36" i="71"/>
  <c r="G36" i="71"/>
  <c r="I36" i="71"/>
  <c r="Q36" i="71"/>
  <c r="S36" i="71"/>
  <c r="X36" i="71"/>
  <c r="Y36" i="71"/>
  <c r="Z36" i="71"/>
  <c r="AE36" i="71"/>
  <c r="AF36" i="71"/>
  <c r="AG36" i="71"/>
  <c r="AL36" i="71"/>
  <c r="AM36" i="71"/>
  <c r="AN36" i="71"/>
  <c r="BA36" i="71"/>
  <c r="L36" i="71" s="1"/>
  <c r="E37" i="71"/>
  <c r="G37" i="71"/>
  <c r="I37" i="71"/>
  <c r="Q37" i="71"/>
  <c r="S37" i="71"/>
  <c r="X37" i="71"/>
  <c r="Y37" i="71"/>
  <c r="Z37" i="71"/>
  <c r="AE37" i="71"/>
  <c r="AF37" i="71"/>
  <c r="AG37" i="71"/>
  <c r="AL37" i="71"/>
  <c r="AM37" i="71"/>
  <c r="AN37" i="71"/>
  <c r="BA37" i="71"/>
  <c r="L37" i="71" s="1"/>
  <c r="E38" i="71"/>
  <c r="G38" i="71"/>
  <c r="I38" i="71"/>
  <c r="Q38" i="71"/>
  <c r="S38" i="71"/>
  <c r="X38" i="71"/>
  <c r="Y38" i="71"/>
  <c r="Z38" i="71"/>
  <c r="AE38" i="71"/>
  <c r="AF38" i="71"/>
  <c r="AG38" i="71"/>
  <c r="AL38" i="71"/>
  <c r="AM38" i="71"/>
  <c r="AN38" i="71"/>
  <c r="BA38" i="71"/>
  <c r="L38" i="71" s="1"/>
  <c r="E39" i="71"/>
  <c r="G39" i="71"/>
  <c r="I39" i="71"/>
  <c r="Q39" i="71"/>
  <c r="S39" i="71"/>
  <c r="X39" i="71"/>
  <c r="Y39" i="71"/>
  <c r="Z39" i="71"/>
  <c r="AE39" i="71"/>
  <c r="AF39" i="71"/>
  <c r="AG39" i="71"/>
  <c r="AL39" i="71"/>
  <c r="AM39" i="71"/>
  <c r="AN39" i="71"/>
  <c r="BA39" i="71"/>
  <c r="L39" i="71" s="1"/>
  <c r="E40" i="71"/>
  <c r="G40" i="71"/>
  <c r="I40" i="71"/>
  <c r="Q40" i="71"/>
  <c r="S40" i="71"/>
  <c r="X40" i="71"/>
  <c r="Y40" i="71"/>
  <c r="Z40" i="71"/>
  <c r="AE40" i="71"/>
  <c r="AF40" i="71"/>
  <c r="AR40" i="71" s="1"/>
  <c r="AX40" i="71" s="1"/>
  <c r="AG40" i="71"/>
  <c r="AL40" i="71"/>
  <c r="AM40" i="71"/>
  <c r="AN40" i="71"/>
  <c r="BA40" i="71"/>
  <c r="L40" i="71" s="1"/>
  <c r="E41" i="71"/>
  <c r="G41" i="71"/>
  <c r="I41" i="71"/>
  <c r="Q41" i="71"/>
  <c r="S41" i="71"/>
  <c r="X41" i="71"/>
  <c r="Y41" i="71"/>
  <c r="Z41" i="71"/>
  <c r="AE41" i="71"/>
  <c r="AF41" i="71"/>
  <c r="AG41" i="71"/>
  <c r="AL41" i="71"/>
  <c r="AM41" i="71"/>
  <c r="AN41" i="71"/>
  <c r="BA41" i="71"/>
  <c r="L41" i="71" s="1"/>
  <c r="E42" i="71"/>
  <c r="G42" i="71"/>
  <c r="I42" i="71"/>
  <c r="Q42" i="71"/>
  <c r="S42" i="71"/>
  <c r="X42" i="71"/>
  <c r="Y42" i="71"/>
  <c r="Z42" i="71"/>
  <c r="AE42" i="71"/>
  <c r="AF42" i="71"/>
  <c r="AG42" i="71"/>
  <c r="AL42" i="71"/>
  <c r="AM42" i="71"/>
  <c r="AN42" i="71"/>
  <c r="BA42" i="71"/>
  <c r="L42" i="71" s="1"/>
  <c r="E43" i="71"/>
  <c r="G43" i="71"/>
  <c r="I43" i="71"/>
  <c r="Q43" i="71"/>
  <c r="S43" i="71"/>
  <c r="X43" i="71"/>
  <c r="Y43" i="71"/>
  <c r="Z43" i="71"/>
  <c r="AE43" i="71"/>
  <c r="AF43" i="71"/>
  <c r="AG43" i="71"/>
  <c r="AL43" i="71"/>
  <c r="AM43" i="71"/>
  <c r="AN43" i="71"/>
  <c r="AT43" i="71" s="1"/>
  <c r="AZ43" i="71" s="1"/>
  <c r="BA43" i="71"/>
  <c r="L43" i="71" s="1"/>
  <c r="E44" i="71"/>
  <c r="G44" i="71"/>
  <c r="I44" i="71"/>
  <c r="Q44" i="71"/>
  <c r="S44" i="71"/>
  <c r="X44" i="71"/>
  <c r="Y44" i="71"/>
  <c r="Z44" i="71"/>
  <c r="AE44" i="71"/>
  <c r="AF44" i="71"/>
  <c r="AG44" i="71"/>
  <c r="AL44" i="71"/>
  <c r="AQ44" i="71" s="1"/>
  <c r="AW44" i="71" s="1"/>
  <c r="AM44" i="71"/>
  <c r="AN44" i="71"/>
  <c r="BA44" i="71"/>
  <c r="L44" i="71" s="1"/>
  <c r="E45" i="71"/>
  <c r="G45" i="71"/>
  <c r="I45" i="71"/>
  <c r="Q45" i="71"/>
  <c r="S45" i="71"/>
  <c r="X45" i="71"/>
  <c r="Y45" i="71"/>
  <c r="Z45" i="71"/>
  <c r="AE45" i="71"/>
  <c r="AF45" i="71"/>
  <c r="AG45" i="71"/>
  <c r="AL45" i="71"/>
  <c r="AM45" i="71"/>
  <c r="AN45" i="71"/>
  <c r="BA45" i="71"/>
  <c r="L45" i="71" s="1"/>
  <c r="E46" i="71"/>
  <c r="G46" i="71"/>
  <c r="I46" i="71"/>
  <c r="Q46" i="71"/>
  <c r="S46" i="71"/>
  <c r="X46" i="71"/>
  <c r="Y46" i="71"/>
  <c r="Z46" i="71"/>
  <c r="AE46" i="71"/>
  <c r="AF46" i="71"/>
  <c r="AG46" i="71"/>
  <c r="AL46" i="71"/>
  <c r="AM46" i="71"/>
  <c r="AN46" i="71"/>
  <c r="BA46" i="71"/>
  <c r="L46" i="71" s="1"/>
  <c r="E47" i="71"/>
  <c r="G47" i="71"/>
  <c r="I47" i="71"/>
  <c r="Q47" i="71"/>
  <c r="S47" i="71"/>
  <c r="X47" i="71"/>
  <c r="Y47" i="71"/>
  <c r="Z47" i="71"/>
  <c r="AE47" i="71"/>
  <c r="AF47" i="71"/>
  <c r="AG47" i="71"/>
  <c r="AL47" i="71"/>
  <c r="AM47" i="71"/>
  <c r="AN47" i="71"/>
  <c r="BA47" i="71"/>
  <c r="L47" i="71" s="1"/>
  <c r="E48" i="71"/>
  <c r="G48" i="71"/>
  <c r="I48" i="71"/>
  <c r="Q48" i="71"/>
  <c r="S48" i="71"/>
  <c r="X48" i="71"/>
  <c r="Y48" i="71"/>
  <c r="Z48" i="71"/>
  <c r="AE48" i="71"/>
  <c r="AS48" i="71" s="1"/>
  <c r="AY48" i="71" s="1"/>
  <c r="AF48" i="71"/>
  <c r="AG48" i="71"/>
  <c r="AL48" i="71"/>
  <c r="AM48" i="71"/>
  <c r="AN48" i="71"/>
  <c r="BA48" i="71"/>
  <c r="L48" i="71" s="1"/>
  <c r="E49" i="71"/>
  <c r="G49" i="71"/>
  <c r="I49" i="71"/>
  <c r="Q49" i="71"/>
  <c r="S49" i="71"/>
  <c r="X49" i="71"/>
  <c r="Y49" i="71"/>
  <c r="Z49" i="71"/>
  <c r="AE49" i="71"/>
  <c r="AF49" i="71"/>
  <c r="AG49" i="71"/>
  <c r="AL49" i="71"/>
  <c r="AM49" i="71"/>
  <c r="AN49" i="71"/>
  <c r="BA49" i="71"/>
  <c r="L49" i="71" s="1"/>
  <c r="E50" i="71"/>
  <c r="G50" i="71"/>
  <c r="I50" i="71"/>
  <c r="Q50" i="71"/>
  <c r="S50" i="71"/>
  <c r="X50" i="71"/>
  <c r="Y50" i="71"/>
  <c r="Z50" i="71"/>
  <c r="AE50" i="71"/>
  <c r="AF50" i="71"/>
  <c r="AG50" i="71"/>
  <c r="AL50" i="71"/>
  <c r="AM50" i="71"/>
  <c r="AN50" i="71"/>
  <c r="BA50" i="71"/>
  <c r="L50" i="71" s="1"/>
  <c r="E51" i="71"/>
  <c r="G51" i="71"/>
  <c r="I51" i="71"/>
  <c r="Q51" i="71"/>
  <c r="S51" i="71"/>
  <c r="X51" i="71"/>
  <c r="Y51" i="71"/>
  <c r="Z51" i="71"/>
  <c r="AE51" i="71"/>
  <c r="AF51" i="71"/>
  <c r="AG51" i="71"/>
  <c r="AL51" i="71"/>
  <c r="AM51" i="71"/>
  <c r="AN51" i="71"/>
  <c r="AR51" i="71"/>
  <c r="AX51" i="71" s="1"/>
  <c r="BA51" i="71"/>
  <c r="L51" i="71" s="1"/>
  <c r="E52" i="71"/>
  <c r="G52" i="71"/>
  <c r="I52" i="71"/>
  <c r="Q52" i="71"/>
  <c r="S52" i="71"/>
  <c r="X52" i="71"/>
  <c r="Y52" i="71"/>
  <c r="Z52" i="71"/>
  <c r="AE52" i="71"/>
  <c r="AF52" i="71"/>
  <c r="AG52" i="71"/>
  <c r="AL52" i="71"/>
  <c r="AM52" i="71"/>
  <c r="AN52" i="71"/>
  <c r="BA52" i="71"/>
  <c r="L52" i="71" s="1"/>
  <c r="E53" i="71"/>
  <c r="BB53" i="71" s="1"/>
  <c r="N53" i="71" s="1"/>
  <c r="O53" i="71" s="1"/>
  <c r="G53" i="71"/>
  <c r="I53" i="71"/>
  <c r="Q53" i="71"/>
  <c r="S53" i="71"/>
  <c r="X53" i="71"/>
  <c r="Y53" i="71"/>
  <c r="Z53" i="71"/>
  <c r="AE53" i="71"/>
  <c r="AF53" i="71"/>
  <c r="AG53" i="71"/>
  <c r="AL53" i="71"/>
  <c r="AM53" i="71"/>
  <c r="AN53" i="71"/>
  <c r="BA53" i="71"/>
  <c r="L53" i="71" s="1"/>
  <c r="E54" i="71"/>
  <c r="G54" i="71"/>
  <c r="I54" i="71"/>
  <c r="Q54" i="71"/>
  <c r="S54" i="71"/>
  <c r="X54" i="71"/>
  <c r="Y54" i="71"/>
  <c r="Z54" i="71"/>
  <c r="AE54" i="71"/>
  <c r="AF54" i="71"/>
  <c r="AG54" i="71"/>
  <c r="AL54" i="71"/>
  <c r="AM54" i="71"/>
  <c r="AN54" i="71"/>
  <c r="BA54" i="71"/>
  <c r="L54" i="71" s="1"/>
  <c r="D30" i="75"/>
  <c r="E30" i="75"/>
  <c r="F30" i="75" s="1"/>
  <c r="I30" i="75"/>
  <c r="M30" i="75" s="1"/>
  <c r="N30" i="75" s="1"/>
  <c r="K30" i="75"/>
  <c r="O30" i="75"/>
  <c r="P30" i="75" s="1"/>
  <c r="R30" i="75"/>
  <c r="S30" i="75"/>
  <c r="W30" i="75"/>
  <c r="X30" i="75"/>
  <c r="Y30" i="75"/>
  <c r="AD30" i="75"/>
  <c r="AE30" i="75"/>
  <c r="AF30" i="75"/>
  <c r="AK30" i="75"/>
  <c r="AL30" i="75"/>
  <c r="AM30" i="75"/>
  <c r="AR30" i="75"/>
  <c r="AS30" i="75"/>
  <c r="AT30" i="75"/>
  <c r="AY30" i="75"/>
  <c r="AZ30" i="75"/>
  <c r="BA30" i="75"/>
  <c r="D31" i="75"/>
  <c r="F31" i="75" s="1"/>
  <c r="E31" i="75"/>
  <c r="I31" i="75"/>
  <c r="M31" i="75" s="1"/>
  <c r="N31" i="75" s="1"/>
  <c r="K31" i="75"/>
  <c r="O31" i="75"/>
  <c r="P31" i="75"/>
  <c r="R31" i="75"/>
  <c r="S31" i="75"/>
  <c r="W31" i="75"/>
  <c r="X31" i="75"/>
  <c r="Y31" i="75"/>
  <c r="AD31" i="75"/>
  <c r="BC31" i="75" s="1"/>
  <c r="BI31" i="75" s="1"/>
  <c r="AE31" i="75"/>
  <c r="AF31" i="75"/>
  <c r="AK31" i="75"/>
  <c r="AL31" i="75"/>
  <c r="AM31" i="75"/>
  <c r="AR31" i="75"/>
  <c r="AS31" i="75"/>
  <c r="AT31" i="75"/>
  <c r="AY31" i="75"/>
  <c r="AZ31" i="75"/>
  <c r="BA31" i="75"/>
  <c r="D32" i="75"/>
  <c r="F32" i="75" s="1"/>
  <c r="E32" i="75"/>
  <c r="I32" i="75"/>
  <c r="K32" i="75"/>
  <c r="O32" i="75"/>
  <c r="P32" i="75"/>
  <c r="R32" i="75"/>
  <c r="S32" i="75"/>
  <c r="W32" i="75"/>
  <c r="X32" i="75"/>
  <c r="Y32" i="75"/>
  <c r="AD32" i="75"/>
  <c r="AE32" i="75"/>
  <c r="AF32" i="75"/>
  <c r="AK32" i="75"/>
  <c r="AL32" i="75"/>
  <c r="AM32" i="75"/>
  <c r="AR32" i="75"/>
  <c r="AS32" i="75"/>
  <c r="AT32" i="75"/>
  <c r="AY32" i="75"/>
  <c r="AZ32" i="75"/>
  <c r="BA32" i="75"/>
  <c r="D33" i="75"/>
  <c r="E33" i="75"/>
  <c r="F33" i="75"/>
  <c r="I33" i="75"/>
  <c r="K33" i="75"/>
  <c r="O33" i="75"/>
  <c r="P33" i="75" s="1"/>
  <c r="R33" i="75"/>
  <c r="S33" i="75"/>
  <c r="W33" i="75"/>
  <c r="X33" i="75"/>
  <c r="Y33" i="75"/>
  <c r="AD33" i="75"/>
  <c r="AE33" i="75"/>
  <c r="AF33" i="75"/>
  <c r="AK33" i="75"/>
  <c r="AL33" i="75"/>
  <c r="AM33" i="75"/>
  <c r="AR33" i="75"/>
  <c r="AS33" i="75"/>
  <c r="AT33" i="75"/>
  <c r="AY33" i="75"/>
  <c r="AZ33" i="75"/>
  <c r="BA33" i="75"/>
  <c r="D34" i="75"/>
  <c r="F34" i="75" s="1"/>
  <c r="E34" i="75"/>
  <c r="I34" i="75"/>
  <c r="M34" i="75" s="1"/>
  <c r="N34" i="75" s="1"/>
  <c r="K34" i="75"/>
  <c r="O34" i="75"/>
  <c r="P34" i="75"/>
  <c r="R34" i="75"/>
  <c r="S34" i="75"/>
  <c r="W34" i="75"/>
  <c r="X34" i="75"/>
  <c r="Y34" i="75"/>
  <c r="AD34" i="75"/>
  <c r="AE34" i="75"/>
  <c r="AF34" i="75"/>
  <c r="AK34" i="75"/>
  <c r="AL34" i="75"/>
  <c r="AM34" i="75"/>
  <c r="AR34" i="75"/>
  <c r="AS34" i="75"/>
  <c r="AT34" i="75"/>
  <c r="AY34" i="75"/>
  <c r="AZ34" i="75"/>
  <c r="BA34" i="75"/>
  <c r="BE34" i="75"/>
  <c r="BK34" i="75" s="1"/>
  <c r="D35" i="75"/>
  <c r="F35" i="75" s="1"/>
  <c r="E35" i="75"/>
  <c r="I35" i="75"/>
  <c r="K35" i="75"/>
  <c r="O35" i="75"/>
  <c r="P35" i="75"/>
  <c r="R35" i="75"/>
  <c r="S35" i="75"/>
  <c r="W35" i="75"/>
  <c r="X35" i="75"/>
  <c r="Y35" i="75"/>
  <c r="AD35" i="75"/>
  <c r="AE35" i="75"/>
  <c r="AF35" i="75"/>
  <c r="AK35" i="75"/>
  <c r="AL35" i="75"/>
  <c r="AM35" i="75"/>
  <c r="AR35" i="75"/>
  <c r="AS35" i="75"/>
  <c r="AT35" i="75"/>
  <c r="AY35" i="75"/>
  <c r="AZ35" i="75"/>
  <c r="BA35" i="75"/>
  <c r="D36" i="75"/>
  <c r="E36" i="75"/>
  <c r="F36" i="75"/>
  <c r="I36" i="75"/>
  <c r="K36" i="75"/>
  <c r="O36" i="75"/>
  <c r="P36" i="75" s="1"/>
  <c r="R36" i="75"/>
  <c r="S36" i="75"/>
  <c r="W36" i="75"/>
  <c r="X36" i="75"/>
  <c r="Y36" i="75"/>
  <c r="AD36" i="75"/>
  <c r="AE36" i="75"/>
  <c r="AF36" i="75"/>
  <c r="AK36" i="75"/>
  <c r="AL36" i="75"/>
  <c r="AM36" i="75"/>
  <c r="AR36" i="75"/>
  <c r="AS36" i="75"/>
  <c r="AT36" i="75"/>
  <c r="AY36" i="75"/>
  <c r="AZ36" i="75"/>
  <c r="BA36" i="75"/>
  <c r="D37" i="75"/>
  <c r="F37" i="75" s="1"/>
  <c r="E37" i="75"/>
  <c r="I37" i="75"/>
  <c r="M37" i="75" s="1"/>
  <c r="N37" i="75" s="1"/>
  <c r="K37" i="75"/>
  <c r="O37" i="75"/>
  <c r="P37" i="75"/>
  <c r="R37" i="75"/>
  <c r="S37" i="75"/>
  <c r="W37" i="75"/>
  <c r="X37" i="75"/>
  <c r="Y37" i="75"/>
  <c r="AD37" i="75"/>
  <c r="AE37" i="75"/>
  <c r="AF37" i="75"/>
  <c r="AK37" i="75"/>
  <c r="AL37" i="75"/>
  <c r="AM37" i="75"/>
  <c r="AR37" i="75"/>
  <c r="AS37" i="75"/>
  <c r="AT37" i="75"/>
  <c r="AY37" i="75"/>
  <c r="AZ37" i="75"/>
  <c r="BA37" i="75"/>
  <c r="D38" i="75"/>
  <c r="F38" i="75" s="1"/>
  <c r="E38" i="75"/>
  <c r="I38" i="75"/>
  <c r="K38" i="75"/>
  <c r="O38" i="75"/>
  <c r="P38" i="75"/>
  <c r="R38" i="75"/>
  <c r="S38" i="75"/>
  <c r="W38" i="75"/>
  <c r="X38" i="75"/>
  <c r="Y38" i="75"/>
  <c r="AD38" i="75"/>
  <c r="AE38" i="75"/>
  <c r="AF38" i="75"/>
  <c r="AK38" i="75"/>
  <c r="AL38" i="75"/>
  <c r="AM38" i="75"/>
  <c r="AR38" i="75"/>
  <c r="AS38" i="75"/>
  <c r="AT38" i="75"/>
  <c r="AY38" i="75"/>
  <c r="AZ38" i="75"/>
  <c r="BA38" i="75"/>
  <c r="D39" i="75"/>
  <c r="E39" i="75"/>
  <c r="F39" i="75"/>
  <c r="I39" i="75"/>
  <c r="K39" i="75"/>
  <c r="O39" i="75"/>
  <c r="P39" i="75" s="1"/>
  <c r="R39" i="75"/>
  <c r="S39" i="75"/>
  <c r="W39" i="75"/>
  <c r="X39" i="75"/>
  <c r="Y39" i="75"/>
  <c r="AD39" i="75"/>
  <c r="AE39" i="75"/>
  <c r="AF39" i="75"/>
  <c r="AK39" i="75"/>
  <c r="AL39" i="75"/>
  <c r="AM39" i="75"/>
  <c r="AR39" i="75"/>
  <c r="AS39" i="75"/>
  <c r="AT39" i="75"/>
  <c r="AY39" i="75"/>
  <c r="AZ39" i="75"/>
  <c r="BA39" i="75"/>
  <c r="D40" i="75"/>
  <c r="F40" i="75" s="1"/>
  <c r="E40" i="75"/>
  <c r="I40" i="75"/>
  <c r="M40" i="75" s="1"/>
  <c r="N40" i="75" s="1"/>
  <c r="K40" i="75"/>
  <c r="O40" i="75"/>
  <c r="P40" i="75"/>
  <c r="R40" i="75"/>
  <c r="S40" i="75"/>
  <c r="W40" i="75"/>
  <c r="X40" i="75"/>
  <c r="Y40" i="75"/>
  <c r="AD40" i="75"/>
  <c r="AE40" i="75"/>
  <c r="AF40" i="75"/>
  <c r="AK40" i="75"/>
  <c r="AL40" i="75"/>
  <c r="AM40" i="75"/>
  <c r="AR40" i="75"/>
  <c r="AS40" i="75"/>
  <c r="AT40" i="75"/>
  <c r="AY40" i="75"/>
  <c r="AZ40" i="75"/>
  <c r="BA40" i="75"/>
  <c r="D30" i="66"/>
  <c r="E30" i="66"/>
  <c r="I30" i="66"/>
  <c r="K30" i="66"/>
  <c r="M30" i="66"/>
  <c r="N30" i="66" s="1"/>
  <c r="O30" i="66"/>
  <c r="P30" i="66" s="1"/>
  <c r="R30" i="66"/>
  <c r="S30" i="66"/>
  <c r="W30" i="66"/>
  <c r="X30" i="66"/>
  <c r="Y30" i="66"/>
  <c r="AD30" i="66"/>
  <c r="AE30" i="66"/>
  <c r="AF30" i="66"/>
  <c r="AK30" i="66"/>
  <c r="AL30" i="66"/>
  <c r="AM30" i="66"/>
  <c r="AR30" i="66"/>
  <c r="AS30" i="66"/>
  <c r="AT30" i="66"/>
  <c r="AY30" i="66"/>
  <c r="AZ30" i="66"/>
  <c r="BA30" i="66"/>
  <c r="D31" i="66"/>
  <c r="F31" i="66" s="1"/>
  <c r="E31" i="66"/>
  <c r="I31" i="66"/>
  <c r="K31" i="66"/>
  <c r="M31" i="66"/>
  <c r="N31" i="66" s="1"/>
  <c r="O31" i="66"/>
  <c r="P31" i="66"/>
  <c r="R31" i="66"/>
  <c r="S31" i="66"/>
  <c r="W31" i="66"/>
  <c r="X31" i="66"/>
  <c r="Y31" i="66"/>
  <c r="AD31" i="66"/>
  <c r="AE31" i="66"/>
  <c r="AF31" i="66"/>
  <c r="AK31" i="66"/>
  <c r="AL31" i="66"/>
  <c r="AM31" i="66"/>
  <c r="AR31" i="66"/>
  <c r="AS31" i="66"/>
  <c r="AT31" i="66"/>
  <c r="AY31" i="66"/>
  <c r="AZ31" i="66"/>
  <c r="BA31" i="66"/>
  <c r="D32" i="66"/>
  <c r="E32" i="66"/>
  <c r="F32" i="66"/>
  <c r="I32" i="66"/>
  <c r="M32" i="66" s="1"/>
  <c r="N32" i="66" s="1"/>
  <c r="K32" i="66"/>
  <c r="O32" i="66"/>
  <c r="P32" i="66" s="1"/>
  <c r="R32" i="66"/>
  <c r="S32" i="66"/>
  <c r="W32" i="66"/>
  <c r="X32" i="66"/>
  <c r="Y32" i="66"/>
  <c r="AD32" i="66"/>
  <c r="AE32" i="66"/>
  <c r="AF32" i="66"/>
  <c r="AK32" i="66"/>
  <c r="AL32" i="66"/>
  <c r="AM32" i="66"/>
  <c r="AR32" i="66"/>
  <c r="AS32" i="66"/>
  <c r="AT32" i="66"/>
  <c r="AY32" i="66"/>
  <c r="AZ32" i="66"/>
  <c r="BA32" i="66"/>
  <c r="D33" i="66"/>
  <c r="E33" i="66"/>
  <c r="F33" i="66"/>
  <c r="I33" i="66"/>
  <c r="M33" i="66" s="1"/>
  <c r="N33" i="66" s="1"/>
  <c r="K33" i="66"/>
  <c r="O33" i="66"/>
  <c r="P33" i="66"/>
  <c r="R33" i="66"/>
  <c r="S33" i="66"/>
  <c r="W33" i="66"/>
  <c r="X33" i="66"/>
  <c r="Y33" i="66"/>
  <c r="AD33" i="66"/>
  <c r="AE33" i="66"/>
  <c r="AF33" i="66"/>
  <c r="AK33" i="66"/>
  <c r="AL33" i="66"/>
  <c r="AM33" i="66"/>
  <c r="AR33" i="66"/>
  <c r="AS33" i="66"/>
  <c r="AT33" i="66"/>
  <c r="AY33" i="66"/>
  <c r="AZ33" i="66"/>
  <c r="BA33" i="66"/>
  <c r="D34" i="66"/>
  <c r="F34" i="66" s="1"/>
  <c r="E34" i="66"/>
  <c r="I34" i="66"/>
  <c r="K34" i="66"/>
  <c r="M34" i="66"/>
  <c r="N34" i="66" s="1"/>
  <c r="O34" i="66"/>
  <c r="P34" i="66" s="1"/>
  <c r="R34" i="66"/>
  <c r="S34" i="66"/>
  <c r="W34" i="66"/>
  <c r="X34" i="66"/>
  <c r="Y34" i="66"/>
  <c r="AD34" i="66"/>
  <c r="AE34" i="66"/>
  <c r="AF34" i="66"/>
  <c r="AK34" i="66"/>
  <c r="AL34" i="66"/>
  <c r="AM34" i="66"/>
  <c r="AR34" i="66"/>
  <c r="AS34" i="66"/>
  <c r="AT34" i="66"/>
  <c r="AY34" i="66"/>
  <c r="AZ34" i="66"/>
  <c r="BA34" i="66"/>
  <c r="D35" i="66"/>
  <c r="F35" i="66" s="1"/>
  <c r="E35" i="66"/>
  <c r="I35" i="66"/>
  <c r="K35" i="66"/>
  <c r="M35" i="66"/>
  <c r="N35" i="66" s="1"/>
  <c r="O35" i="66"/>
  <c r="P35" i="66"/>
  <c r="R35" i="66"/>
  <c r="S35" i="66"/>
  <c r="W35" i="66"/>
  <c r="X35" i="66"/>
  <c r="Y35" i="66"/>
  <c r="AD35" i="66"/>
  <c r="AE35" i="66"/>
  <c r="AF35" i="66"/>
  <c r="AK35" i="66"/>
  <c r="AL35" i="66"/>
  <c r="AM35" i="66"/>
  <c r="AR35" i="66"/>
  <c r="AS35" i="66"/>
  <c r="AT35" i="66"/>
  <c r="AY35" i="66"/>
  <c r="AZ35" i="66"/>
  <c r="BA35" i="66"/>
  <c r="D36" i="66"/>
  <c r="F36" i="66" s="1"/>
  <c r="E36" i="66"/>
  <c r="I36" i="66"/>
  <c r="M36" i="66" s="1"/>
  <c r="N36" i="66" s="1"/>
  <c r="K36" i="66"/>
  <c r="O36" i="66"/>
  <c r="P36" i="66" s="1"/>
  <c r="R36" i="66"/>
  <c r="S36" i="66"/>
  <c r="W36" i="66"/>
  <c r="X36" i="66"/>
  <c r="Y36" i="66"/>
  <c r="AD36" i="66"/>
  <c r="AE36" i="66"/>
  <c r="AF36" i="66"/>
  <c r="AK36" i="66"/>
  <c r="AL36" i="66"/>
  <c r="AM36" i="66"/>
  <c r="AR36" i="66"/>
  <c r="AS36" i="66"/>
  <c r="AT36" i="66"/>
  <c r="AY36" i="66"/>
  <c r="AZ36" i="66"/>
  <c r="BA36" i="66"/>
  <c r="D37" i="66"/>
  <c r="E37" i="66"/>
  <c r="F37" i="66"/>
  <c r="I37" i="66"/>
  <c r="M37" i="66" s="1"/>
  <c r="N37" i="66" s="1"/>
  <c r="K37" i="66"/>
  <c r="O37" i="66"/>
  <c r="P37" i="66" s="1"/>
  <c r="R37" i="66"/>
  <c r="S37" i="66"/>
  <c r="W37" i="66"/>
  <c r="X37" i="66"/>
  <c r="Y37" i="66"/>
  <c r="AD37" i="66"/>
  <c r="AE37" i="66"/>
  <c r="AF37" i="66"/>
  <c r="AK37" i="66"/>
  <c r="AL37" i="66"/>
  <c r="AM37" i="66"/>
  <c r="AR37" i="66"/>
  <c r="AS37" i="66"/>
  <c r="AT37" i="66"/>
  <c r="AY37" i="66"/>
  <c r="AZ37" i="66"/>
  <c r="BA37" i="66"/>
  <c r="D38" i="66"/>
  <c r="E38" i="66"/>
  <c r="F38" i="66"/>
  <c r="I38" i="66"/>
  <c r="M38" i="66" s="1"/>
  <c r="N38" i="66" s="1"/>
  <c r="K38" i="66"/>
  <c r="O38" i="66"/>
  <c r="P38" i="66"/>
  <c r="R38" i="66"/>
  <c r="S38" i="66"/>
  <c r="W38" i="66"/>
  <c r="X38" i="66"/>
  <c r="Y38" i="66"/>
  <c r="AD38" i="66"/>
  <c r="AE38" i="66"/>
  <c r="AF38" i="66"/>
  <c r="AK38" i="66"/>
  <c r="AL38" i="66"/>
  <c r="AM38" i="66"/>
  <c r="AR38" i="66"/>
  <c r="AS38" i="66"/>
  <c r="AT38" i="66"/>
  <c r="AY38" i="66"/>
  <c r="AZ38" i="66"/>
  <c r="BA38" i="66"/>
  <c r="D39" i="66"/>
  <c r="E39" i="66"/>
  <c r="I39" i="66"/>
  <c r="M39" i="66" s="1"/>
  <c r="N39" i="66" s="1"/>
  <c r="K39" i="66"/>
  <c r="O39" i="66"/>
  <c r="P39" i="66"/>
  <c r="R39" i="66"/>
  <c r="S39" i="66"/>
  <c r="W39" i="66"/>
  <c r="X39" i="66"/>
  <c r="Y39" i="66"/>
  <c r="AD39" i="66"/>
  <c r="AE39" i="66"/>
  <c r="AF39" i="66"/>
  <c r="AK39" i="66"/>
  <c r="AL39" i="66"/>
  <c r="AM39" i="66"/>
  <c r="AR39" i="66"/>
  <c r="AS39" i="66"/>
  <c r="AT39" i="66"/>
  <c r="AY39" i="66"/>
  <c r="AZ39" i="66"/>
  <c r="BA39" i="66"/>
  <c r="D40" i="66"/>
  <c r="E40" i="66"/>
  <c r="F40" i="66"/>
  <c r="I40" i="66"/>
  <c r="K40" i="66"/>
  <c r="M40" i="66"/>
  <c r="N40" i="66" s="1"/>
  <c r="O40" i="66"/>
  <c r="P40" i="66" s="1"/>
  <c r="R40" i="66"/>
  <c r="S40" i="66"/>
  <c r="W40" i="66"/>
  <c r="X40" i="66"/>
  <c r="Y40" i="66"/>
  <c r="AD40" i="66"/>
  <c r="AE40" i="66"/>
  <c r="AF40" i="66"/>
  <c r="AK40" i="66"/>
  <c r="AL40" i="66"/>
  <c r="AM40" i="66"/>
  <c r="AR40" i="66"/>
  <c r="AS40" i="66"/>
  <c r="AT40" i="66"/>
  <c r="AY40" i="66"/>
  <c r="AZ40" i="66"/>
  <c r="BA40" i="66"/>
  <c r="D30" i="74"/>
  <c r="I30" i="74"/>
  <c r="K30" i="74"/>
  <c r="M30" i="74"/>
  <c r="O30" i="74"/>
  <c r="P30" i="74" s="1"/>
  <c r="Q30" i="74"/>
  <c r="R30" i="74" s="1"/>
  <c r="T30" i="74"/>
  <c r="X30" i="74"/>
  <c r="Y30" i="74"/>
  <c r="Z30" i="74"/>
  <c r="AE30" i="74"/>
  <c r="AF30" i="74"/>
  <c r="AG30" i="74"/>
  <c r="AL30" i="74"/>
  <c r="AM30" i="74"/>
  <c r="AN30" i="74"/>
  <c r="AS30" i="74"/>
  <c r="AT30" i="74"/>
  <c r="AU30" i="74"/>
  <c r="AZ30" i="74"/>
  <c r="BA30" i="74"/>
  <c r="BB30" i="74"/>
  <c r="BQ30" i="74"/>
  <c r="BR30" i="74"/>
  <c r="BX30" i="74"/>
  <c r="CD30" i="74"/>
  <c r="CJ30" i="74"/>
  <c r="D31" i="74"/>
  <c r="I31" i="74" s="1"/>
  <c r="O31" i="74" s="1"/>
  <c r="P31" i="74" s="1"/>
  <c r="K31" i="74"/>
  <c r="M31" i="74"/>
  <c r="Q31" i="74"/>
  <c r="R31" i="74"/>
  <c r="T31" i="74"/>
  <c r="X31" i="74"/>
  <c r="Y31" i="74"/>
  <c r="Z31" i="74"/>
  <c r="AE31" i="74"/>
  <c r="AF31" i="74"/>
  <c r="AG31" i="74"/>
  <c r="AL31" i="74"/>
  <c r="AM31" i="74"/>
  <c r="AN31" i="74"/>
  <c r="AS31" i="74"/>
  <c r="AT31" i="74"/>
  <c r="AU31" i="74"/>
  <c r="AZ31" i="74"/>
  <c r="BA31" i="74"/>
  <c r="BB31" i="74"/>
  <c r="BQ31" i="74"/>
  <c r="BR31" i="74"/>
  <c r="BX31" i="74"/>
  <c r="CD31" i="74"/>
  <c r="CJ31" i="74"/>
  <c r="D32" i="74"/>
  <c r="I32" i="74"/>
  <c r="K32" i="74"/>
  <c r="M32" i="74"/>
  <c r="O32" i="74"/>
  <c r="P32" i="74" s="1"/>
  <c r="Q32" i="74"/>
  <c r="R32" i="74" s="1"/>
  <c r="T32" i="74"/>
  <c r="X32" i="74"/>
  <c r="Y32" i="74"/>
  <c r="Z32" i="74"/>
  <c r="AE32" i="74"/>
  <c r="AF32" i="74"/>
  <c r="AG32" i="74"/>
  <c r="AL32" i="74"/>
  <c r="AM32" i="74"/>
  <c r="AN32" i="74"/>
  <c r="AS32" i="74"/>
  <c r="AT32" i="74"/>
  <c r="AU32" i="74"/>
  <c r="AZ32" i="74"/>
  <c r="BA32" i="74"/>
  <c r="BB32" i="74"/>
  <c r="BQ32" i="74"/>
  <c r="BR32" i="74"/>
  <c r="BX32" i="74"/>
  <c r="CD32" i="74"/>
  <c r="CJ32" i="74"/>
  <c r="D33" i="74"/>
  <c r="I33" i="74" s="1"/>
  <c r="K33" i="74"/>
  <c r="M33" i="74"/>
  <c r="Q33" i="74"/>
  <c r="R33" i="74"/>
  <c r="T33" i="74"/>
  <c r="X33" i="74"/>
  <c r="Y33" i="74"/>
  <c r="Z33" i="74"/>
  <c r="AE33" i="74"/>
  <c r="AF33" i="74"/>
  <c r="AG33" i="74"/>
  <c r="AL33" i="74"/>
  <c r="AM33" i="74"/>
  <c r="AN33" i="74"/>
  <c r="AS33" i="74"/>
  <c r="AT33" i="74"/>
  <c r="AU33" i="74"/>
  <c r="AZ33" i="74"/>
  <c r="BA33" i="74"/>
  <c r="BB33" i="74"/>
  <c r="BQ33" i="74"/>
  <c r="BR33" i="74"/>
  <c r="BX33" i="74"/>
  <c r="CD33" i="74"/>
  <c r="CJ33" i="74"/>
  <c r="D34" i="74"/>
  <c r="I34" i="74"/>
  <c r="K34" i="74"/>
  <c r="M34" i="74"/>
  <c r="O34" i="74"/>
  <c r="P34" i="74" s="1"/>
  <c r="Q34" i="74"/>
  <c r="R34" i="74" s="1"/>
  <c r="T34" i="74"/>
  <c r="X34" i="74"/>
  <c r="Y34" i="74"/>
  <c r="Z34" i="74"/>
  <c r="AE34" i="74"/>
  <c r="AF34" i="74"/>
  <c r="AG34" i="74"/>
  <c r="AL34" i="74"/>
  <c r="AM34" i="74"/>
  <c r="AN34" i="74"/>
  <c r="AS34" i="74"/>
  <c r="AT34" i="74"/>
  <c r="AU34" i="74"/>
  <c r="AZ34" i="74"/>
  <c r="BA34" i="74"/>
  <c r="BB34" i="74"/>
  <c r="BQ34" i="74"/>
  <c r="BR34" i="74"/>
  <c r="BX34" i="74"/>
  <c r="CD34" i="74"/>
  <c r="CJ34" i="74"/>
  <c r="D35" i="74"/>
  <c r="I35" i="74" s="1"/>
  <c r="O35" i="74" s="1"/>
  <c r="P35" i="74" s="1"/>
  <c r="K35" i="74"/>
  <c r="M35" i="74"/>
  <c r="Q35" i="74"/>
  <c r="R35" i="74"/>
  <c r="T35" i="74"/>
  <c r="X35" i="74"/>
  <c r="Y35" i="74"/>
  <c r="Z35" i="74"/>
  <c r="AE35" i="74"/>
  <c r="AF35" i="74"/>
  <c r="AG35" i="74"/>
  <c r="AL35" i="74"/>
  <c r="AM35" i="74"/>
  <c r="AN35" i="74"/>
  <c r="AS35" i="74"/>
  <c r="AT35" i="74"/>
  <c r="AU35" i="74"/>
  <c r="AZ35" i="74"/>
  <c r="BA35" i="74"/>
  <c r="BB35" i="74"/>
  <c r="BQ35" i="74"/>
  <c r="BR35" i="74"/>
  <c r="BX35" i="74"/>
  <c r="CD35" i="74"/>
  <c r="CJ35" i="74"/>
  <c r="D36" i="74"/>
  <c r="I36" i="74"/>
  <c r="O36" i="74" s="1"/>
  <c r="P36" i="74" s="1"/>
  <c r="K36" i="74"/>
  <c r="M36" i="74"/>
  <c r="Q36" i="74"/>
  <c r="R36" i="74" s="1"/>
  <c r="T36" i="74"/>
  <c r="X36" i="74"/>
  <c r="Y36" i="74"/>
  <c r="Z36" i="74"/>
  <c r="AE36" i="74"/>
  <c r="AF36" i="74"/>
  <c r="AG36" i="74"/>
  <c r="AL36" i="74"/>
  <c r="AM36" i="74"/>
  <c r="AN36" i="74"/>
  <c r="AS36" i="74"/>
  <c r="AT36" i="74"/>
  <c r="AU36" i="74"/>
  <c r="AZ36" i="74"/>
  <c r="BA36" i="74"/>
  <c r="BB36" i="74"/>
  <c r="BQ36" i="74"/>
  <c r="BR36" i="74"/>
  <c r="BX36" i="74"/>
  <c r="CD36" i="74"/>
  <c r="CJ36" i="74"/>
  <c r="D37" i="74"/>
  <c r="I37" i="74" s="1"/>
  <c r="K37" i="74"/>
  <c r="M37" i="74"/>
  <c r="Q37" i="74"/>
  <c r="R37" i="74" s="1"/>
  <c r="T37" i="74"/>
  <c r="X37" i="74"/>
  <c r="Y37" i="74"/>
  <c r="Z37" i="74"/>
  <c r="AE37" i="74"/>
  <c r="AF37" i="74"/>
  <c r="AG37" i="74"/>
  <c r="AL37" i="74"/>
  <c r="AM37" i="74"/>
  <c r="AN37" i="74"/>
  <c r="AS37" i="74"/>
  <c r="AT37" i="74"/>
  <c r="AU37" i="74"/>
  <c r="AZ37" i="74"/>
  <c r="BA37" i="74"/>
  <c r="BB37" i="74"/>
  <c r="BQ37" i="74"/>
  <c r="BR37" i="74"/>
  <c r="BX37" i="74"/>
  <c r="CD37" i="74"/>
  <c r="CJ37" i="74"/>
  <c r="D38" i="74"/>
  <c r="I38" i="74" s="1"/>
  <c r="O38" i="74" s="1"/>
  <c r="P38" i="74" s="1"/>
  <c r="K38" i="74"/>
  <c r="M38" i="74"/>
  <c r="Q38" i="74"/>
  <c r="R38" i="74"/>
  <c r="T38" i="74"/>
  <c r="X38" i="74"/>
  <c r="Y38" i="74"/>
  <c r="Z38" i="74"/>
  <c r="AE38" i="74"/>
  <c r="AF38" i="74"/>
  <c r="AG38" i="74"/>
  <c r="AL38" i="74"/>
  <c r="AM38" i="74"/>
  <c r="AN38" i="74"/>
  <c r="AS38" i="74"/>
  <c r="AT38" i="74"/>
  <c r="AU38" i="74"/>
  <c r="AZ38" i="74"/>
  <c r="BA38" i="74"/>
  <c r="BB38" i="74"/>
  <c r="BQ38" i="74"/>
  <c r="BR38" i="74"/>
  <c r="BX38" i="74"/>
  <c r="CD38" i="74"/>
  <c r="CJ38" i="74"/>
  <c r="D39" i="74"/>
  <c r="I39" i="74"/>
  <c r="K39" i="74"/>
  <c r="M39" i="74"/>
  <c r="Q39" i="74"/>
  <c r="R39" i="74"/>
  <c r="T39" i="74"/>
  <c r="X39" i="74"/>
  <c r="Y39" i="74"/>
  <c r="Z39" i="74"/>
  <c r="AE39" i="74"/>
  <c r="AF39" i="74"/>
  <c r="AG39" i="74"/>
  <c r="AL39" i="74"/>
  <c r="AM39" i="74"/>
  <c r="AN39" i="74"/>
  <c r="AS39" i="74"/>
  <c r="AT39" i="74"/>
  <c r="AU39" i="74"/>
  <c r="AZ39" i="74"/>
  <c r="BA39" i="74"/>
  <c r="BB39" i="74"/>
  <c r="BQ39" i="74"/>
  <c r="BR39" i="74"/>
  <c r="BX39" i="74"/>
  <c r="CD39" i="74"/>
  <c r="CJ39" i="74"/>
  <c r="D40" i="74"/>
  <c r="I40" i="74" s="1"/>
  <c r="K40" i="74"/>
  <c r="M40" i="74"/>
  <c r="Q40" i="74"/>
  <c r="R40" i="74" s="1"/>
  <c r="T40" i="74"/>
  <c r="X40" i="74"/>
  <c r="Y40" i="74"/>
  <c r="Z40" i="74"/>
  <c r="AE40" i="74"/>
  <c r="AF40" i="74"/>
  <c r="AG40" i="74"/>
  <c r="AL40" i="74"/>
  <c r="AM40" i="74"/>
  <c r="AN40" i="74"/>
  <c r="AS40" i="74"/>
  <c r="AT40" i="74"/>
  <c r="AU40" i="74"/>
  <c r="AZ40" i="74"/>
  <c r="BA40" i="74"/>
  <c r="BB40" i="74"/>
  <c r="BQ40" i="74"/>
  <c r="BR40" i="74"/>
  <c r="BX40" i="74"/>
  <c r="CD40" i="74"/>
  <c r="CJ40" i="74"/>
  <c r="D28" i="67"/>
  <c r="I28" i="67"/>
  <c r="O28" i="67" s="1"/>
  <c r="P28" i="67" s="1"/>
  <c r="K28" i="67"/>
  <c r="M28" i="67"/>
  <c r="Q28" i="67"/>
  <c r="R28" i="67" s="1"/>
  <c r="T28" i="67"/>
  <c r="U28" i="67"/>
  <c r="Y28" i="67"/>
  <c r="Z28" i="67"/>
  <c r="AA28" i="67"/>
  <c r="AF28" i="67"/>
  <c r="AG28" i="67"/>
  <c r="AH28" i="67"/>
  <c r="AM28" i="67"/>
  <c r="AN28" i="67"/>
  <c r="AO28" i="67"/>
  <c r="AT28" i="67"/>
  <c r="AU28" i="67"/>
  <c r="AV28" i="67"/>
  <c r="BA28" i="67"/>
  <c r="BB28" i="67"/>
  <c r="BC28" i="67"/>
  <c r="BR28" i="67"/>
  <c r="BS28" i="67"/>
  <c r="BY28" i="67"/>
  <c r="CE28" i="67"/>
  <c r="CK28" i="67"/>
  <c r="D29" i="67"/>
  <c r="I29" i="67" s="1"/>
  <c r="K29" i="67"/>
  <c r="M29" i="67"/>
  <c r="Q29" i="67"/>
  <c r="R29" i="67" s="1"/>
  <c r="T29" i="67"/>
  <c r="U29" i="67"/>
  <c r="Y29" i="67"/>
  <c r="Z29" i="67"/>
  <c r="AA29" i="67"/>
  <c r="AF29" i="67"/>
  <c r="AG29" i="67"/>
  <c r="AH29" i="67"/>
  <c r="AM29" i="67"/>
  <c r="AN29" i="67"/>
  <c r="AO29" i="67"/>
  <c r="AT29" i="67"/>
  <c r="AU29" i="67"/>
  <c r="AV29" i="67"/>
  <c r="BA29" i="67"/>
  <c r="BB29" i="67"/>
  <c r="BC29" i="67"/>
  <c r="BR29" i="67"/>
  <c r="BS29" i="67"/>
  <c r="BY29" i="67"/>
  <c r="CE29" i="67"/>
  <c r="CK29" i="67"/>
  <c r="D30" i="67"/>
  <c r="I30" i="67" s="1"/>
  <c r="K30" i="67"/>
  <c r="M30" i="67"/>
  <c r="Q30" i="67"/>
  <c r="R30" i="67" s="1"/>
  <c r="T30" i="67"/>
  <c r="U30" i="67"/>
  <c r="Y30" i="67"/>
  <c r="Z30" i="67"/>
  <c r="AA30" i="67"/>
  <c r="AF30" i="67"/>
  <c r="AG30" i="67"/>
  <c r="AH30" i="67"/>
  <c r="AM30" i="67"/>
  <c r="AN30" i="67"/>
  <c r="AO30" i="67"/>
  <c r="AT30" i="67"/>
  <c r="AU30" i="67"/>
  <c r="AV30" i="67"/>
  <c r="BA30" i="67"/>
  <c r="BL30" i="67" s="1"/>
  <c r="BB30" i="67"/>
  <c r="BC30" i="67"/>
  <c r="BR30" i="67"/>
  <c r="BS30" i="67"/>
  <c r="BY30" i="67"/>
  <c r="CE30" i="67"/>
  <c r="CK30" i="67"/>
  <c r="D31" i="67"/>
  <c r="I31" i="67" s="1"/>
  <c r="O31" i="67" s="1"/>
  <c r="P31" i="67" s="1"/>
  <c r="K31" i="67"/>
  <c r="M31" i="67"/>
  <c r="Q31" i="67"/>
  <c r="R31" i="67"/>
  <c r="T31" i="67"/>
  <c r="U31" i="67"/>
  <c r="Y31" i="67"/>
  <c r="Z31" i="67"/>
  <c r="AA31" i="67"/>
  <c r="AF31" i="67"/>
  <c r="AG31" i="67"/>
  <c r="AH31" i="67"/>
  <c r="AM31" i="67"/>
  <c r="AN31" i="67"/>
  <c r="AO31" i="67"/>
  <c r="AT31" i="67"/>
  <c r="AU31" i="67"/>
  <c r="AV31" i="67"/>
  <c r="BA31" i="67"/>
  <c r="BB31" i="67"/>
  <c r="BC31" i="67"/>
  <c r="BR31" i="67"/>
  <c r="BS31" i="67"/>
  <c r="BY31" i="67"/>
  <c r="CE31" i="67"/>
  <c r="CK31" i="67"/>
  <c r="D32" i="67"/>
  <c r="I32" i="67" s="1"/>
  <c r="K32" i="67"/>
  <c r="M32" i="67"/>
  <c r="Q32" i="67"/>
  <c r="R32" i="67" s="1"/>
  <c r="T32" i="67"/>
  <c r="U32" i="67"/>
  <c r="Y32" i="67"/>
  <c r="Z32" i="67"/>
  <c r="AA32" i="67"/>
  <c r="AF32" i="67"/>
  <c r="AG32" i="67"/>
  <c r="AH32" i="67"/>
  <c r="AM32" i="67"/>
  <c r="AN32" i="67"/>
  <c r="AO32" i="67"/>
  <c r="AT32" i="67"/>
  <c r="AU32" i="67"/>
  <c r="AV32" i="67"/>
  <c r="BA32" i="67"/>
  <c r="BB32" i="67"/>
  <c r="BM32" i="67" s="1"/>
  <c r="BC32" i="67"/>
  <c r="BR32" i="67"/>
  <c r="BS32" i="67"/>
  <c r="BY32" i="67"/>
  <c r="CE32" i="67"/>
  <c r="CK32" i="67"/>
  <c r="D33" i="67"/>
  <c r="I33" i="67" s="1"/>
  <c r="K33" i="67"/>
  <c r="M33" i="67"/>
  <c r="Q33" i="67"/>
  <c r="R33" i="67" s="1"/>
  <c r="T33" i="67"/>
  <c r="U33" i="67"/>
  <c r="Y33" i="67"/>
  <c r="Z33" i="67"/>
  <c r="AA33" i="67"/>
  <c r="AF33" i="67"/>
  <c r="AG33" i="67"/>
  <c r="AH33" i="67"/>
  <c r="AM33" i="67"/>
  <c r="AN33" i="67"/>
  <c r="AO33" i="67"/>
  <c r="AT33" i="67"/>
  <c r="AU33" i="67"/>
  <c r="AV33" i="67"/>
  <c r="BA33" i="67"/>
  <c r="BB33" i="67"/>
  <c r="BC33" i="67"/>
  <c r="BL33" i="67"/>
  <c r="BR33" i="67"/>
  <c r="BS33" i="67"/>
  <c r="BY33" i="67"/>
  <c r="CE33" i="67"/>
  <c r="CK33" i="67"/>
  <c r="D34" i="67"/>
  <c r="I34" i="67" s="1"/>
  <c r="O34" i="67" s="1"/>
  <c r="P34" i="67" s="1"/>
  <c r="K34" i="67"/>
  <c r="M34" i="67"/>
  <c r="Q34" i="67"/>
  <c r="R34" i="67"/>
  <c r="T34" i="67"/>
  <c r="U34" i="67"/>
  <c r="Y34" i="67"/>
  <c r="Z34" i="67"/>
  <c r="AA34" i="67"/>
  <c r="AF34" i="67"/>
  <c r="AG34" i="67"/>
  <c r="AH34" i="67"/>
  <c r="AM34" i="67"/>
  <c r="AN34" i="67"/>
  <c r="AO34" i="67"/>
  <c r="AT34" i="67"/>
  <c r="BL34" i="67" s="1"/>
  <c r="AU34" i="67"/>
  <c r="AV34" i="67"/>
  <c r="BA34" i="67"/>
  <c r="BB34" i="67"/>
  <c r="BC34" i="67"/>
  <c r="BR34" i="67"/>
  <c r="BS34" i="67"/>
  <c r="BY34" i="67"/>
  <c r="CE34" i="67"/>
  <c r="CK34" i="67"/>
  <c r="D35" i="67"/>
  <c r="I35" i="67" s="1"/>
  <c r="K35" i="67"/>
  <c r="M35" i="67"/>
  <c r="Q35" i="67"/>
  <c r="R35" i="67" s="1"/>
  <c r="T35" i="67"/>
  <c r="U35" i="67"/>
  <c r="Y35" i="67"/>
  <c r="Z35" i="67"/>
  <c r="AA35" i="67"/>
  <c r="AF35" i="67"/>
  <c r="AG35" i="67"/>
  <c r="AH35" i="67"/>
  <c r="AM35" i="67"/>
  <c r="AN35" i="67"/>
  <c r="AO35" i="67"/>
  <c r="AT35" i="67"/>
  <c r="AU35" i="67"/>
  <c r="AV35" i="67"/>
  <c r="BA35" i="67"/>
  <c r="BB35" i="67"/>
  <c r="BC35" i="67"/>
  <c r="BR35" i="67"/>
  <c r="BS35" i="67"/>
  <c r="BY35" i="67"/>
  <c r="CE35" i="67"/>
  <c r="CK35" i="67"/>
  <c r="D36" i="67"/>
  <c r="I36" i="67" s="1"/>
  <c r="O36" i="67" s="1"/>
  <c r="P36" i="67" s="1"/>
  <c r="K36" i="67"/>
  <c r="M36" i="67"/>
  <c r="Q36" i="67"/>
  <c r="R36" i="67" s="1"/>
  <c r="T36" i="67"/>
  <c r="U36" i="67"/>
  <c r="Y36" i="67"/>
  <c r="Z36" i="67"/>
  <c r="AA36" i="67"/>
  <c r="AF36" i="67"/>
  <c r="AG36" i="67"/>
  <c r="AH36" i="67"/>
  <c r="AM36" i="67"/>
  <c r="AN36" i="67"/>
  <c r="AO36" i="67"/>
  <c r="AT36" i="67"/>
  <c r="AU36" i="67"/>
  <c r="AV36" i="67"/>
  <c r="BA36" i="67"/>
  <c r="BL36" i="67" s="1"/>
  <c r="BB36" i="67"/>
  <c r="BC36" i="67"/>
  <c r="BR36" i="67"/>
  <c r="BS36" i="67"/>
  <c r="BY36" i="67"/>
  <c r="CE36" i="67"/>
  <c r="CK36" i="67"/>
  <c r="D37" i="67"/>
  <c r="I37" i="67"/>
  <c r="O37" i="67" s="1"/>
  <c r="P37" i="67" s="1"/>
  <c r="K37" i="67"/>
  <c r="M37" i="67"/>
  <c r="Q37" i="67"/>
  <c r="R37" i="67" s="1"/>
  <c r="T37" i="67"/>
  <c r="U37" i="67"/>
  <c r="Y37" i="67"/>
  <c r="Z37" i="67"/>
  <c r="AA37" i="67"/>
  <c r="AF37" i="67"/>
  <c r="AG37" i="67"/>
  <c r="AH37" i="67"/>
  <c r="AM37" i="67"/>
  <c r="AN37" i="67"/>
  <c r="AO37" i="67"/>
  <c r="AT37" i="67"/>
  <c r="AU37" i="67"/>
  <c r="AV37" i="67"/>
  <c r="BA37" i="67"/>
  <c r="BB37" i="67"/>
  <c r="BC37" i="67"/>
  <c r="BR37" i="67"/>
  <c r="BS37" i="67"/>
  <c r="BY37" i="67"/>
  <c r="CE37" i="67"/>
  <c r="CK37" i="67"/>
  <c r="D38" i="67"/>
  <c r="I38" i="67" s="1"/>
  <c r="O38" i="67" s="1"/>
  <c r="P38" i="67" s="1"/>
  <c r="K38" i="67"/>
  <c r="M38" i="67"/>
  <c r="Q38" i="67"/>
  <c r="R38" i="67" s="1"/>
  <c r="T38" i="67"/>
  <c r="U38" i="67"/>
  <c r="Y38" i="67"/>
  <c r="Z38" i="67"/>
  <c r="AA38" i="67"/>
  <c r="AF38" i="67"/>
  <c r="AG38" i="67"/>
  <c r="AH38" i="67"/>
  <c r="AM38" i="67"/>
  <c r="AN38" i="67"/>
  <c r="AO38" i="67"/>
  <c r="AT38" i="67"/>
  <c r="AU38" i="67"/>
  <c r="AV38" i="67"/>
  <c r="BA38" i="67"/>
  <c r="BB38" i="67"/>
  <c r="BC38" i="67"/>
  <c r="BR38" i="67"/>
  <c r="BS38" i="67"/>
  <c r="BY38" i="67"/>
  <c r="CE38" i="67"/>
  <c r="CK38" i="67"/>
  <c r="D29" i="84"/>
  <c r="E29" i="84"/>
  <c r="F29" i="84"/>
  <c r="G29" i="84" s="1"/>
  <c r="H29" i="84"/>
  <c r="K29" i="84" s="1"/>
  <c r="I29" i="84"/>
  <c r="J29" i="84"/>
  <c r="O29" i="84"/>
  <c r="Q29" i="84"/>
  <c r="R29" i="84"/>
  <c r="W29" i="84"/>
  <c r="X29" i="84" s="1"/>
  <c r="Z29" i="84"/>
  <c r="AA29" i="84"/>
  <c r="AE29" i="84"/>
  <c r="AF29" i="84"/>
  <c r="AG29" i="84"/>
  <c r="AL29" i="84"/>
  <c r="AM29" i="84"/>
  <c r="AN29" i="84"/>
  <c r="AS29" i="84"/>
  <c r="AT29" i="84"/>
  <c r="AU29" i="84"/>
  <c r="D30" i="84"/>
  <c r="F30" i="84" s="1"/>
  <c r="G30" i="84" s="1"/>
  <c r="E30" i="84"/>
  <c r="H30" i="84"/>
  <c r="K30" i="84" s="1"/>
  <c r="I30" i="84"/>
  <c r="J30" i="84"/>
  <c r="O30" i="84"/>
  <c r="Q30" i="84"/>
  <c r="R30" i="84"/>
  <c r="W30" i="84"/>
  <c r="X30" i="84" s="1"/>
  <c r="Z30" i="84"/>
  <c r="AA30" i="84"/>
  <c r="AE30" i="84"/>
  <c r="AF30" i="84"/>
  <c r="AG30" i="84"/>
  <c r="AL30" i="84"/>
  <c r="AM30" i="84"/>
  <c r="AN30" i="84"/>
  <c r="AS30" i="84"/>
  <c r="AT30" i="84"/>
  <c r="AU30" i="84"/>
  <c r="D31" i="84"/>
  <c r="F31" i="84" s="1"/>
  <c r="G31" i="84" s="1"/>
  <c r="E31" i="84"/>
  <c r="H31" i="84"/>
  <c r="K31" i="84" s="1"/>
  <c r="I31" i="84"/>
  <c r="J31" i="84"/>
  <c r="O31" i="84"/>
  <c r="Q31" i="84"/>
  <c r="R31" i="84"/>
  <c r="W31" i="84"/>
  <c r="X31" i="84" s="1"/>
  <c r="Z31" i="84"/>
  <c r="AA31" i="84"/>
  <c r="AE31" i="84"/>
  <c r="AF31" i="84"/>
  <c r="AG31" i="84"/>
  <c r="AL31" i="84"/>
  <c r="AM31" i="84"/>
  <c r="AN31" i="84"/>
  <c r="AS31" i="84"/>
  <c r="AT31" i="84"/>
  <c r="AU31" i="84"/>
  <c r="D32" i="84"/>
  <c r="F32" i="84" s="1"/>
  <c r="G32" i="84" s="1"/>
  <c r="E32" i="84"/>
  <c r="H32" i="84"/>
  <c r="K32" i="84" s="1"/>
  <c r="I32" i="84"/>
  <c r="J32" i="84"/>
  <c r="O32" i="84"/>
  <c r="Q32" i="84"/>
  <c r="R32" i="84"/>
  <c r="W32" i="84"/>
  <c r="X32" i="84" s="1"/>
  <c r="Z32" i="84"/>
  <c r="AA32" i="84"/>
  <c r="AE32" i="84"/>
  <c r="AF32" i="84"/>
  <c r="AG32" i="84"/>
  <c r="AL32" i="84"/>
  <c r="AM32" i="84"/>
  <c r="AN32" i="84"/>
  <c r="AS32" i="84"/>
  <c r="AT32" i="84"/>
  <c r="AU32" i="84"/>
  <c r="D33" i="84"/>
  <c r="F33" i="84" s="1"/>
  <c r="G33" i="84" s="1"/>
  <c r="E33" i="84"/>
  <c r="H33" i="84"/>
  <c r="K33" i="84" s="1"/>
  <c r="I33" i="84"/>
  <c r="J33" i="84"/>
  <c r="O33" i="84"/>
  <c r="Q33" i="84"/>
  <c r="R33" i="84"/>
  <c r="W33" i="84"/>
  <c r="X33" i="84" s="1"/>
  <c r="Z33" i="84"/>
  <c r="AA33" i="84"/>
  <c r="AE33" i="84"/>
  <c r="AF33" i="84"/>
  <c r="AG33" i="84"/>
  <c r="AL33" i="84"/>
  <c r="AM33" i="84"/>
  <c r="AN33" i="84"/>
  <c r="AS33" i="84"/>
  <c r="AT33" i="84"/>
  <c r="AU33" i="84"/>
  <c r="D34" i="84"/>
  <c r="F34" i="84" s="1"/>
  <c r="G34" i="84" s="1"/>
  <c r="E34" i="84"/>
  <c r="H34" i="84"/>
  <c r="K34" i="84" s="1"/>
  <c r="I34" i="84"/>
  <c r="J34" i="84"/>
  <c r="O34" i="84"/>
  <c r="Q34" i="84"/>
  <c r="R34" i="84"/>
  <c r="W34" i="84"/>
  <c r="X34" i="84" s="1"/>
  <c r="Z34" i="84"/>
  <c r="AA34" i="84"/>
  <c r="AE34" i="84"/>
  <c r="AF34" i="84"/>
  <c r="AG34" i="84"/>
  <c r="AL34" i="84"/>
  <c r="AM34" i="84"/>
  <c r="AN34" i="84"/>
  <c r="AS34" i="84"/>
  <c r="AT34" i="84"/>
  <c r="AU34" i="84"/>
  <c r="D35" i="84"/>
  <c r="F35" i="84" s="1"/>
  <c r="G35" i="84" s="1"/>
  <c r="E35" i="84"/>
  <c r="H35" i="84"/>
  <c r="K35" i="84" s="1"/>
  <c r="I35" i="84"/>
  <c r="J35" i="84"/>
  <c r="O35" i="84"/>
  <c r="Q35" i="84"/>
  <c r="R35" i="84"/>
  <c r="W35" i="84"/>
  <c r="X35" i="84" s="1"/>
  <c r="Z35" i="84"/>
  <c r="AA35" i="84"/>
  <c r="AE35" i="84"/>
  <c r="AF35" i="84"/>
  <c r="AG35" i="84"/>
  <c r="AL35" i="84"/>
  <c r="AM35" i="84"/>
  <c r="AN35" i="84"/>
  <c r="AS35" i="84"/>
  <c r="AT35" i="84"/>
  <c r="AU35" i="84"/>
  <c r="D36" i="84"/>
  <c r="F36" i="84" s="1"/>
  <c r="G36" i="84" s="1"/>
  <c r="E36" i="84"/>
  <c r="H36" i="84"/>
  <c r="K36" i="84" s="1"/>
  <c r="I36" i="84"/>
  <c r="J36" i="84"/>
  <c r="O36" i="84"/>
  <c r="Q36" i="84"/>
  <c r="R36" i="84"/>
  <c r="W36" i="84"/>
  <c r="X36" i="84" s="1"/>
  <c r="Z36" i="84"/>
  <c r="AA36" i="84"/>
  <c r="AE36" i="84"/>
  <c r="AF36" i="84"/>
  <c r="AG36" i="84"/>
  <c r="AL36" i="84"/>
  <c r="AM36" i="84"/>
  <c r="AN36" i="84"/>
  <c r="AS36" i="84"/>
  <c r="AT36" i="84"/>
  <c r="AU36" i="84"/>
  <c r="D37" i="84"/>
  <c r="F37" i="84" s="1"/>
  <c r="G37" i="84" s="1"/>
  <c r="E37" i="84"/>
  <c r="H37" i="84"/>
  <c r="K37" i="84" s="1"/>
  <c r="I37" i="84"/>
  <c r="J37" i="84"/>
  <c r="O37" i="84"/>
  <c r="Q37" i="84"/>
  <c r="R37" i="84"/>
  <c r="W37" i="84"/>
  <c r="X37" i="84" s="1"/>
  <c r="Z37" i="84"/>
  <c r="AA37" i="84"/>
  <c r="AE37" i="84"/>
  <c r="AF37" i="84"/>
  <c r="AG37" i="84"/>
  <c r="AL37" i="84"/>
  <c r="AM37" i="84"/>
  <c r="AN37" i="84"/>
  <c r="AS37" i="84"/>
  <c r="AT37" i="84"/>
  <c r="AU37" i="84"/>
  <c r="D38" i="84"/>
  <c r="F38" i="84" s="1"/>
  <c r="G38" i="84" s="1"/>
  <c r="E38" i="84"/>
  <c r="H38" i="84"/>
  <c r="K38" i="84" s="1"/>
  <c r="I38" i="84"/>
  <c r="J38" i="84"/>
  <c r="O38" i="84"/>
  <c r="Q38" i="84"/>
  <c r="R38" i="84"/>
  <c r="W38" i="84"/>
  <c r="X38" i="84" s="1"/>
  <c r="Z38" i="84"/>
  <c r="AA38" i="84"/>
  <c r="AE38" i="84"/>
  <c r="AF38" i="84"/>
  <c r="AG38" i="84"/>
  <c r="AL38" i="84"/>
  <c r="AM38" i="84"/>
  <c r="AN38" i="84"/>
  <c r="AS38" i="84"/>
  <c r="AT38" i="84"/>
  <c r="AU38" i="84"/>
  <c r="D39" i="84"/>
  <c r="F39" i="84" s="1"/>
  <c r="G39" i="84" s="1"/>
  <c r="E39" i="84"/>
  <c r="H39" i="84"/>
  <c r="K39" i="84" s="1"/>
  <c r="I39" i="84"/>
  <c r="J39" i="84"/>
  <c r="O39" i="84"/>
  <c r="Q39" i="84"/>
  <c r="R39" i="84"/>
  <c r="W39" i="84"/>
  <c r="X39" i="84" s="1"/>
  <c r="Z39" i="84"/>
  <c r="AA39" i="84"/>
  <c r="AE39" i="84"/>
  <c r="AF39" i="84"/>
  <c r="AG39" i="84"/>
  <c r="AL39" i="84"/>
  <c r="AM39" i="84"/>
  <c r="AN39" i="84"/>
  <c r="AS39" i="84"/>
  <c r="AT39" i="84"/>
  <c r="AU39" i="84"/>
  <c r="D30" i="83"/>
  <c r="F30" i="83" s="1"/>
  <c r="G30" i="83" s="1"/>
  <c r="E30" i="83"/>
  <c r="H30" i="83"/>
  <c r="K30" i="83" s="1"/>
  <c r="I30" i="83"/>
  <c r="J30" i="83"/>
  <c r="O30" i="83"/>
  <c r="Q30" i="83"/>
  <c r="R30" i="83"/>
  <c r="W30" i="83"/>
  <c r="X30" i="83" s="1"/>
  <c r="Z30" i="83"/>
  <c r="AA30" i="83"/>
  <c r="AE30" i="83"/>
  <c r="AF30" i="83"/>
  <c r="AG30" i="83"/>
  <c r="AL30" i="83"/>
  <c r="AM30" i="83"/>
  <c r="AN30" i="83"/>
  <c r="AS30" i="83"/>
  <c r="AT30" i="83"/>
  <c r="AU30" i="83"/>
  <c r="D31" i="83"/>
  <c r="F31" i="83" s="1"/>
  <c r="G31" i="83" s="1"/>
  <c r="E31" i="83"/>
  <c r="H31" i="83"/>
  <c r="K31" i="83" s="1"/>
  <c r="I31" i="83"/>
  <c r="J31" i="83"/>
  <c r="O31" i="83"/>
  <c r="Q31" i="83"/>
  <c r="R31" i="83"/>
  <c r="W31" i="83"/>
  <c r="X31" i="83" s="1"/>
  <c r="Z31" i="83"/>
  <c r="AA31" i="83"/>
  <c r="AE31" i="83"/>
  <c r="AF31" i="83"/>
  <c r="AG31" i="83"/>
  <c r="AL31" i="83"/>
  <c r="AM31" i="83"/>
  <c r="AN31" i="83"/>
  <c r="AS31" i="83"/>
  <c r="AT31" i="83"/>
  <c r="AU31" i="83"/>
  <c r="D32" i="83"/>
  <c r="F32" i="83" s="1"/>
  <c r="G32" i="83" s="1"/>
  <c r="E32" i="83"/>
  <c r="H32" i="83"/>
  <c r="K32" i="83" s="1"/>
  <c r="I32" i="83"/>
  <c r="J32" i="83"/>
  <c r="O32" i="83"/>
  <c r="Q32" i="83"/>
  <c r="R32" i="83"/>
  <c r="W32" i="83"/>
  <c r="X32" i="83" s="1"/>
  <c r="Z32" i="83"/>
  <c r="AA32" i="83"/>
  <c r="AE32" i="83"/>
  <c r="AF32" i="83"/>
  <c r="AG32" i="83"/>
  <c r="AL32" i="83"/>
  <c r="AM32" i="83"/>
  <c r="AN32" i="83"/>
  <c r="AS32" i="83"/>
  <c r="AT32" i="83"/>
  <c r="AU32" i="83"/>
  <c r="D33" i="83"/>
  <c r="F33" i="83" s="1"/>
  <c r="G33" i="83" s="1"/>
  <c r="E33" i="83"/>
  <c r="H33" i="83"/>
  <c r="K33" i="83" s="1"/>
  <c r="I33" i="83"/>
  <c r="J33" i="83"/>
  <c r="O33" i="83"/>
  <c r="Q33" i="83"/>
  <c r="R33" i="83"/>
  <c r="W33" i="83"/>
  <c r="X33" i="83" s="1"/>
  <c r="Z33" i="83"/>
  <c r="AA33" i="83"/>
  <c r="AE33" i="83"/>
  <c r="AF33" i="83"/>
  <c r="AG33" i="83"/>
  <c r="AL33" i="83"/>
  <c r="AM33" i="83"/>
  <c r="AN33" i="83"/>
  <c r="AS33" i="83"/>
  <c r="AT33" i="83"/>
  <c r="AU33" i="83"/>
  <c r="D34" i="83"/>
  <c r="F34" i="83" s="1"/>
  <c r="G34" i="83" s="1"/>
  <c r="E34" i="83"/>
  <c r="H34" i="83"/>
  <c r="K34" i="83" s="1"/>
  <c r="I34" i="83"/>
  <c r="J34" i="83"/>
  <c r="O34" i="83"/>
  <c r="Q34" i="83"/>
  <c r="R34" i="83"/>
  <c r="W34" i="83"/>
  <c r="X34" i="83" s="1"/>
  <c r="Z34" i="83"/>
  <c r="AA34" i="83"/>
  <c r="AE34" i="83"/>
  <c r="AF34" i="83"/>
  <c r="AG34" i="83"/>
  <c r="AL34" i="83"/>
  <c r="AM34" i="83"/>
  <c r="AN34" i="83"/>
  <c r="AS34" i="83"/>
  <c r="AT34" i="83"/>
  <c r="AU34" i="83"/>
  <c r="D35" i="83"/>
  <c r="F35" i="83" s="1"/>
  <c r="G35" i="83" s="1"/>
  <c r="E35" i="83"/>
  <c r="H35" i="83"/>
  <c r="K35" i="83" s="1"/>
  <c r="I35" i="83"/>
  <c r="J35" i="83"/>
  <c r="O35" i="83"/>
  <c r="Q35" i="83"/>
  <c r="R35" i="83"/>
  <c r="W35" i="83"/>
  <c r="X35" i="83" s="1"/>
  <c r="Z35" i="83"/>
  <c r="AA35" i="83"/>
  <c r="AE35" i="83"/>
  <c r="AF35" i="83"/>
  <c r="AG35" i="83"/>
  <c r="AL35" i="83"/>
  <c r="AM35" i="83"/>
  <c r="AN35" i="83"/>
  <c r="AS35" i="83"/>
  <c r="AT35" i="83"/>
  <c r="AU35" i="83"/>
  <c r="AZ35" i="83"/>
  <c r="BF35" i="83" s="1"/>
  <c r="D36" i="83"/>
  <c r="F36" i="83" s="1"/>
  <c r="G36" i="83" s="1"/>
  <c r="E36" i="83"/>
  <c r="H36" i="83"/>
  <c r="K36" i="83" s="1"/>
  <c r="I36" i="83"/>
  <c r="J36" i="83"/>
  <c r="O36" i="83"/>
  <c r="Q36" i="83"/>
  <c r="R36" i="83"/>
  <c r="W36" i="83"/>
  <c r="X36" i="83" s="1"/>
  <c r="Z36" i="83"/>
  <c r="AA36" i="83"/>
  <c r="AE36" i="83"/>
  <c r="AF36" i="83"/>
  <c r="AG36" i="83"/>
  <c r="AL36" i="83"/>
  <c r="AM36" i="83"/>
  <c r="AN36" i="83"/>
  <c r="AS36" i="83"/>
  <c r="AT36" i="83"/>
  <c r="AU36" i="83"/>
  <c r="D37" i="83"/>
  <c r="F37" i="83" s="1"/>
  <c r="G37" i="83" s="1"/>
  <c r="E37" i="83"/>
  <c r="H37" i="83"/>
  <c r="K37" i="83" s="1"/>
  <c r="I37" i="83"/>
  <c r="J37" i="83"/>
  <c r="O37" i="83"/>
  <c r="Q37" i="83"/>
  <c r="R37" i="83"/>
  <c r="W37" i="83"/>
  <c r="X37" i="83" s="1"/>
  <c r="Z37" i="83"/>
  <c r="AA37" i="83"/>
  <c r="AE37" i="83"/>
  <c r="AF37" i="83"/>
  <c r="AG37" i="83"/>
  <c r="AL37" i="83"/>
  <c r="AM37" i="83"/>
  <c r="AN37" i="83"/>
  <c r="AS37" i="83"/>
  <c r="AT37" i="83"/>
  <c r="AU37" i="83"/>
  <c r="D38" i="83"/>
  <c r="F38" i="83" s="1"/>
  <c r="G38" i="83" s="1"/>
  <c r="E38" i="83"/>
  <c r="H38" i="83"/>
  <c r="K38" i="83" s="1"/>
  <c r="I38" i="83"/>
  <c r="J38" i="83"/>
  <c r="O38" i="83"/>
  <c r="Q38" i="83"/>
  <c r="R38" i="83"/>
  <c r="W38" i="83"/>
  <c r="X38" i="83" s="1"/>
  <c r="Z38" i="83"/>
  <c r="AA38" i="83"/>
  <c r="AE38" i="83"/>
  <c r="AF38" i="83"/>
  <c r="AG38" i="83"/>
  <c r="AL38" i="83"/>
  <c r="AM38" i="83"/>
  <c r="AN38" i="83"/>
  <c r="AS38" i="83"/>
  <c r="AT38" i="83"/>
  <c r="AU38" i="83"/>
  <c r="D39" i="83"/>
  <c r="F39" i="83" s="1"/>
  <c r="G39" i="83" s="1"/>
  <c r="E39" i="83"/>
  <c r="H39" i="83"/>
  <c r="K39" i="83" s="1"/>
  <c r="I39" i="83"/>
  <c r="J39" i="83"/>
  <c r="O39" i="83"/>
  <c r="Q39" i="83"/>
  <c r="R39" i="83"/>
  <c r="W39" i="83"/>
  <c r="X39" i="83"/>
  <c r="Z39" i="83"/>
  <c r="AA39" i="83"/>
  <c r="AE39" i="83"/>
  <c r="AF39" i="83"/>
  <c r="AG39" i="83"/>
  <c r="AL39" i="83"/>
  <c r="AM39" i="83"/>
  <c r="AN39" i="83"/>
  <c r="AS39" i="83"/>
  <c r="AT39" i="83"/>
  <c r="AU39" i="83"/>
  <c r="D40" i="83"/>
  <c r="F40" i="83" s="1"/>
  <c r="G40" i="83" s="1"/>
  <c r="E40" i="83"/>
  <c r="H40" i="83"/>
  <c r="K40" i="83" s="1"/>
  <c r="I40" i="83"/>
  <c r="J40" i="83"/>
  <c r="O40" i="83"/>
  <c r="Q40" i="83"/>
  <c r="R40" i="83"/>
  <c r="W40" i="83"/>
  <c r="X40" i="83" s="1"/>
  <c r="Z40" i="83"/>
  <c r="AA40" i="83"/>
  <c r="AE40" i="83"/>
  <c r="AF40" i="83"/>
  <c r="AG40" i="83"/>
  <c r="AL40" i="83"/>
  <c r="AM40" i="83"/>
  <c r="AN40" i="83"/>
  <c r="AS40" i="83"/>
  <c r="AT40" i="83"/>
  <c r="AU40" i="83"/>
  <c r="D29" i="79"/>
  <c r="E29" i="79"/>
  <c r="G29" i="79"/>
  <c r="H29" i="79" s="1"/>
  <c r="I29" i="79"/>
  <c r="J29" i="79"/>
  <c r="K29" i="79"/>
  <c r="L29" i="79"/>
  <c r="O29" i="79"/>
  <c r="Q29" i="79"/>
  <c r="R29" i="79"/>
  <c r="U29" i="79"/>
  <c r="X29" i="79"/>
  <c r="Z29" i="79"/>
  <c r="AC29" i="79"/>
  <c r="AD29" i="79" s="1"/>
  <c r="AF29" i="79"/>
  <c r="AG29" i="79"/>
  <c r="AK29" i="79"/>
  <c r="AL29" i="79"/>
  <c r="AM29" i="79"/>
  <c r="AR29" i="79"/>
  <c r="AS29" i="79"/>
  <c r="AT29" i="79"/>
  <c r="AY29" i="79"/>
  <c r="AZ29" i="79"/>
  <c r="BA29" i="79"/>
  <c r="BF29" i="79"/>
  <c r="BG29" i="79"/>
  <c r="BH29" i="79"/>
  <c r="BM29" i="79"/>
  <c r="BN29" i="79"/>
  <c r="BO29" i="79"/>
  <c r="D30" i="79"/>
  <c r="G30" i="79" s="1"/>
  <c r="H30" i="79" s="1"/>
  <c r="E30" i="79"/>
  <c r="I30" i="79"/>
  <c r="J30" i="79"/>
  <c r="K30" i="79"/>
  <c r="O30" i="79"/>
  <c r="Q30" i="79"/>
  <c r="R30" i="79"/>
  <c r="U30" i="79"/>
  <c r="X30" i="79"/>
  <c r="Z30" i="79"/>
  <c r="AC30" i="79"/>
  <c r="AD30" i="79" s="1"/>
  <c r="AF30" i="79"/>
  <c r="AG30" i="79"/>
  <c r="AK30" i="79"/>
  <c r="AL30" i="79"/>
  <c r="AM30" i="79"/>
  <c r="AR30" i="79"/>
  <c r="AS30" i="79"/>
  <c r="AT30" i="79"/>
  <c r="AY30" i="79"/>
  <c r="AZ30" i="79"/>
  <c r="BA30" i="79"/>
  <c r="BF30" i="79"/>
  <c r="BG30" i="79"/>
  <c r="BH30" i="79"/>
  <c r="BM30" i="79"/>
  <c r="BN30" i="79"/>
  <c r="BO30" i="79"/>
  <c r="D31" i="79"/>
  <c r="G31" i="79" s="1"/>
  <c r="H31" i="79" s="1"/>
  <c r="E31" i="79"/>
  <c r="I31" i="79"/>
  <c r="J31" i="79"/>
  <c r="K31" i="79"/>
  <c r="L31" i="79"/>
  <c r="O31" i="79"/>
  <c r="Q31" i="79"/>
  <c r="R31" i="79"/>
  <c r="U31" i="79"/>
  <c r="X31" i="79"/>
  <c r="Z31" i="79"/>
  <c r="AC31" i="79"/>
  <c r="AD31" i="79" s="1"/>
  <c r="AF31" i="79"/>
  <c r="AG31" i="79"/>
  <c r="AK31" i="79"/>
  <c r="AL31" i="79"/>
  <c r="AM31" i="79"/>
  <c r="AR31" i="79"/>
  <c r="AS31" i="79"/>
  <c r="AT31" i="79"/>
  <c r="AY31" i="79"/>
  <c r="AZ31" i="79"/>
  <c r="BA31" i="79"/>
  <c r="BF31" i="79"/>
  <c r="BG31" i="79"/>
  <c r="BH31" i="79"/>
  <c r="BM31" i="79"/>
  <c r="BN31" i="79"/>
  <c r="BO31" i="79"/>
  <c r="D32" i="79"/>
  <c r="E32" i="79"/>
  <c r="I32" i="79"/>
  <c r="J32" i="79"/>
  <c r="K32" i="79"/>
  <c r="O32" i="79"/>
  <c r="Q32" i="79"/>
  <c r="R32" i="79"/>
  <c r="U32" i="79"/>
  <c r="X32" i="79"/>
  <c r="Z32" i="79"/>
  <c r="AC32" i="79"/>
  <c r="AD32" i="79" s="1"/>
  <c r="AF32" i="79"/>
  <c r="AG32" i="79"/>
  <c r="AK32" i="79"/>
  <c r="AL32" i="79"/>
  <c r="AM32" i="79"/>
  <c r="AR32" i="79"/>
  <c r="AS32" i="79"/>
  <c r="AT32" i="79"/>
  <c r="AY32" i="79"/>
  <c r="AZ32" i="79"/>
  <c r="BA32" i="79"/>
  <c r="BF32" i="79"/>
  <c r="BG32" i="79"/>
  <c r="BH32" i="79"/>
  <c r="BM32" i="79"/>
  <c r="BN32" i="79"/>
  <c r="BO32" i="79"/>
  <c r="D33" i="79"/>
  <c r="G33" i="79" s="1"/>
  <c r="H33" i="79" s="1"/>
  <c r="E33" i="79"/>
  <c r="I33" i="79"/>
  <c r="J33" i="79"/>
  <c r="K33" i="79"/>
  <c r="L33" i="79"/>
  <c r="O33" i="79"/>
  <c r="Q33" i="79"/>
  <c r="R33" i="79"/>
  <c r="U33" i="79"/>
  <c r="X33" i="79"/>
  <c r="Z33" i="79"/>
  <c r="AC33" i="79"/>
  <c r="AD33" i="79" s="1"/>
  <c r="AF33" i="79"/>
  <c r="AG33" i="79"/>
  <c r="AK33" i="79"/>
  <c r="AL33" i="79"/>
  <c r="AM33" i="79"/>
  <c r="AR33" i="79"/>
  <c r="AS33" i="79"/>
  <c r="AT33" i="79"/>
  <c r="AY33" i="79"/>
  <c r="AZ33" i="79"/>
  <c r="BA33" i="79"/>
  <c r="BF33" i="79"/>
  <c r="BG33" i="79"/>
  <c r="BH33" i="79"/>
  <c r="BM33" i="79"/>
  <c r="BN33" i="79"/>
  <c r="BO33" i="79"/>
  <c r="D34" i="79"/>
  <c r="G34" i="79" s="1"/>
  <c r="H34" i="79" s="1"/>
  <c r="E34" i="79"/>
  <c r="I34" i="79"/>
  <c r="J34" i="79"/>
  <c r="K34" i="79"/>
  <c r="O34" i="79"/>
  <c r="Q34" i="79"/>
  <c r="R34" i="79"/>
  <c r="U34" i="79"/>
  <c r="X34" i="79"/>
  <c r="Z34" i="79"/>
  <c r="AC34" i="79"/>
  <c r="AD34" i="79"/>
  <c r="AF34" i="79"/>
  <c r="AG34" i="79"/>
  <c r="AK34" i="79"/>
  <c r="AL34" i="79"/>
  <c r="AM34" i="79"/>
  <c r="AR34" i="79"/>
  <c r="AS34" i="79"/>
  <c r="AT34" i="79"/>
  <c r="AY34" i="79"/>
  <c r="BQ34" i="79" s="1"/>
  <c r="BW34" i="79" s="1"/>
  <c r="AZ34" i="79"/>
  <c r="BA34" i="79"/>
  <c r="BF34" i="79"/>
  <c r="BG34" i="79"/>
  <c r="BH34" i="79"/>
  <c r="BM34" i="79"/>
  <c r="BN34" i="79"/>
  <c r="BO34" i="79"/>
  <c r="D35" i="79"/>
  <c r="G35" i="79" s="1"/>
  <c r="H35" i="79" s="1"/>
  <c r="E35" i="79"/>
  <c r="I35" i="79"/>
  <c r="J35" i="79"/>
  <c r="K35" i="79"/>
  <c r="O35" i="79"/>
  <c r="Q35" i="79"/>
  <c r="R35" i="79"/>
  <c r="U35" i="79"/>
  <c r="X35" i="79"/>
  <c r="Z35" i="79"/>
  <c r="AC35" i="79"/>
  <c r="AD35" i="79" s="1"/>
  <c r="AF35" i="79"/>
  <c r="AG35" i="79"/>
  <c r="AK35" i="79"/>
  <c r="AL35" i="79"/>
  <c r="AM35" i="79"/>
  <c r="AR35" i="79"/>
  <c r="AS35" i="79"/>
  <c r="AT35" i="79"/>
  <c r="AY35" i="79"/>
  <c r="AZ35" i="79"/>
  <c r="BA35" i="79"/>
  <c r="BF35" i="79"/>
  <c r="BG35" i="79"/>
  <c r="BH35" i="79"/>
  <c r="BM35" i="79"/>
  <c r="BN35" i="79"/>
  <c r="BO35" i="79"/>
  <c r="D36" i="79"/>
  <c r="G36" i="79" s="1"/>
  <c r="H36" i="79" s="1"/>
  <c r="E36" i="79"/>
  <c r="I36" i="79"/>
  <c r="J36" i="79"/>
  <c r="K36" i="79"/>
  <c r="O36" i="79"/>
  <c r="Q36" i="79"/>
  <c r="R36" i="79"/>
  <c r="U36" i="79"/>
  <c r="X36" i="79"/>
  <c r="Z36" i="79"/>
  <c r="AC36" i="79"/>
  <c r="AD36" i="79" s="1"/>
  <c r="AF36" i="79"/>
  <c r="AG36" i="79"/>
  <c r="AK36" i="79"/>
  <c r="AL36" i="79"/>
  <c r="AM36" i="79"/>
  <c r="AR36" i="79"/>
  <c r="AS36" i="79"/>
  <c r="AT36" i="79"/>
  <c r="AY36" i="79"/>
  <c r="AZ36" i="79"/>
  <c r="BA36" i="79"/>
  <c r="BF36" i="79"/>
  <c r="BG36" i="79"/>
  <c r="BH36" i="79"/>
  <c r="BM36" i="79"/>
  <c r="BN36" i="79"/>
  <c r="BO36" i="79"/>
  <c r="D37" i="79"/>
  <c r="G37" i="79" s="1"/>
  <c r="H37" i="79" s="1"/>
  <c r="E37" i="79"/>
  <c r="I37" i="79"/>
  <c r="J37" i="79"/>
  <c r="K37" i="79"/>
  <c r="O37" i="79"/>
  <c r="Q37" i="79"/>
  <c r="R37" i="79"/>
  <c r="U37" i="79"/>
  <c r="X37" i="79"/>
  <c r="Z37" i="79"/>
  <c r="AC37" i="79"/>
  <c r="AD37" i="79" s="1"/>
  <c r="AF37" i="79"/>
  <c r="AG37" i="79"/>
  <c r="AK37" i="79"/>
  <c r="AL37" i="79"/>
  <c r="AM37" i="79"/>
  <c r="AR37" i="79"/>
  <c r="AS37" i="79"/>
  <c r="AT37" i="79"/>
  <c r="AY37" i="79"/>
  <c r="AZ37" i="79"/>
  <c r="BA37" i="79"/>
  <c r="BF37" i="79"/>
  <c r="BG37" i="79"/>
  <c r="BH37" i="79"/>
  <c r="BM37" i="79"/>
  <c r="BN37" i="79"/>
  <c r="BO37" i="79"/>
  <c r="D38" i="79"/>
  <c r="G38" i="79" s="1"/>
  <c r="H38" i="79" s="1"/>
  <c r="E38" i="79"/>
  <c r="I38" i="79"/>
  <c r="J38" i="79"/>
  <c r="K38" i="79"/>
  <c r="O38" i="79"/>
  <c r="Q38" i="79"/>
  <c r="R38" i="79"/>
  <c r="U38" i="79"/>
  <c r="X38" i="79"/>
  <c r="Z38" i="79"/>
  <c r="AC38" i="79"/>
  <c r="AD38" i="79" s="1"/>
  <c r="AF38" i="79"/>
  <c r="AG38" i="79"/>
  <c r="AK38" i="79"/>
  <c r="AL38" i="79"/>
  <c r="AM38" i="79"/>
  <c r="AR38" i="79"/>
  <c r="AS38" i="79"/>
  <c r="AT38" i="79"/>
  <c r="AY38" i="79"/>
  <c r="AZ38" i="79"/>
  <c r="BA38" i="79"/>
  <c r="BF38" i="79"/>
  <c r="BG38" i="79"/>
  <c r="BH38" i="79"/>
  <c r="BM38" i="79"/>
  <c r="BN38" i="79"/>
  <c r="BO38" i="79"/>
  <c r="D39" i="79"/>
  <c r="G39" i="79" s="1"/>
  <c r="H39" i="79" s="1"/>
  <c r="E39" i="79"/>
  <c r="I39" i="79"/>
  <c r="J39" i="79"/>
  <c r="K39" i="79"/>
  <c r="O39" i="79"/>
  <c r="Q39" i="79"/>
  <c r="R39" i="79"/>
  <c r="U39" i="79"/>
  <c r="X39" i="79"/>
  <c r="Z39" i="79"/>
  <c r="AC39" i="79"/>
  <c r="AD39" i="79" s="1"/>
  <c r="AF39" i="79"/>
  <c r="AG39" i="79"/>
  <c r="AK39" i="79"/>
  <c r="AL39" i="79"/>
  <c r="AM39" i="79"/>
  <c r="AR39" i="79"/>
  <c r="AS39" i="79"/>
  <c r="AT39" i="79"/>
  <c r="AY39" i="79"/>
  <c r="AZ39" i="79"/>
  <c r="BA39" i="79"/>
  <c r="BF39" i="79"/>
  <c r="BG39" i="79"/>
  <c r="BH39" i="79"/>
  <c r="BM39" i="79"/>
  <c r="BN39" i="79"/>
  <c r="BO39" i="79"/>
  <c r="D40" i="79"/>
  <c r="G40" i="79" s="1"/>
  <c r="H40" i="79" s="1"/>
  <c r="E40" i="79"/>
  <c r="I40" i="79"/>
  <c r="J40" i="79"/>
  <c r="K40" i="79"/>
  <c r="L40" i="79"/>
  <c r="O40" i="79"/>
  <c r="Q40" i="79"/>
  <c r="R40" i="79"/>
  <c r="U40" i="79"/>
  <c r="X40" i="79"/>
  <c r="Z40" i="79"/>
  <c r="AC40" i="79"/>
  <c r="AD40" i="79"/>
  <c r="AF40" i="79"/>
  <c r="AG40" i="79"/>
  <c r="AK40" i="79"/>
  <c r="AL40" i="79"/>
  <c r="AM40" i="79"/>
  <c r="AR40" i="79"/>
  <c r="AS40" i="79"/>
  <c r="AT40" i="79"/>
  <c r="AY40" i="79"/>
  <c r="AZ40" i="79"/>
  <c r="BA40" i="79"/>
  <c r="BF40" i="79"/>
  <c r="BG40" i="79"/>
  <c r="BH40" i="79"/>
  <c r="BM40" i="79"/>
  <c r="BN40" i="79"/>
  <c r="BO40" i="79"/>
  <c r="D41" i="79"/>
  <c r="G41" i="79" s="1"/>
  <c r="H41" i="79" s="1"/>
  <c r="E41" i="79"/>
  <c r="I41" i="79"/>
  <c r="J41" i="79"/>
  <c r="K41" i="79"/>
  <c r="O41" i="79"/>
  <c r="Q41" i="79"/>
  <c r="R41" i="79"/>
  <c r="U41" i="79"/>
  <c r="X41" i="79"/>
  <c r="Z41" i="79"/>
  <c r="AC41" i="79"/>
  <c r="AD41" i="79" s="1"/>
  <c r="AF41" i="79"/>
  <c r="AG41" i="79"/>
  <c r="AK41" i="79"/>
  <c r="AL41" i="79"/>
  <c r="AM41" i="79"/>
  <c r="AR41" i="79"/>
  <c r="AS41" i="79"/>
  <c r="AT41" i="79"/>
  <c r="AY41" i="79"/>
  <c r="AZ41" i="79"/>
  <c r="BA41" i="79"/>
  <c r="BF41" i="79"/>
  <c r="BG41" i="79"/>
  <c r="BH41" i="79"/>
  <c r="BM41" i="79"/>
  <c r="BN41" i="79"/>
  <c r="BO41" i="79"/>
  <c r="D42" i="79"/>
  <c r="G42" i="79" s="1"/>
  <c r="H42" i="79" s="1"/>
  <c r="E42" i="79"/>
  <c r="I42" i="79"/>
  <c r="J42" i="79"/>
  <c r="K42" i="79"/>
  <c r="O42" i="79"/>
  <c r="Q42" i="79"/>
  <c r="R42" i="79"/>
  <c r="U42" i="79"/>
  <c r="X42" i="79"/>
  <c r="Z42" i="79"/>
  <c r="AC42" i="79"/>
  <c r="AD42" i="79" s="1"/>
  <c r="AF42" i="79"/>
  <c r="AG42" i="79"/>
  <c r="AK42" i="79"/>
  <c r="AL42" i="79"/>
  <c r="AM42" i="79"/>
  <c r="AR42" i="79"/>
  <c r="AS42" i="79"/>
  <c r="AT42" i="79"/>
  <c r="AY42" i="79"/>
  <c r="AZ42" i="79"/>
  <c r="BA42" i="79"/>
  <c r="BF42" i="79"/>
  <c r="BG42" i="79"/>
  <c r="BH42" i="79"/>
  <c r="BM42" i="79"/>
  <c r="BN42" i="79"/>
  <c r="BO42" i="79"/>
  <c r="D43" i="79"/>
  <c r="E43" i="79"/>
  <c r="I43" i="79"/>
  <c r="J43" i="79"/>
  <c r="K43" i="79"/>
  <c r="O43" i="79"/>
  <c r="Q43" i="79"/>
  <c r="R43" i="79"/>
  <c r="U43" i="79"/>
  <c r="X43" i="79"/>
  <c r="Z43" i="79"/>
  <c r="AC43" i="79"/>
  <c r="AD43" i="79" s="1"/>
  <c r="AF43" i="79"/>
  <c r="AG43" i="79"/>
  <c r="AK43" i="79"/>
  <c r="AL43" i="79"/>
  <c r="AM43" i="79"/>
  <c r="AR43" i="79"/>
  <c r="AS43" i="79"/>
  <c r="AT43" i="79"/>
  <c r="AY43" i="79"/>
  <c r="AZ43" i="79"/>
  <c r="BA43" i="79"/>
  <c r="BF43" i="79"/>
  <c r="BG43" i="79"/>
  <c r="BH43" i="79"/>
  <c r="BM43" i="79"/>
  <c r="BN43" i="79"/>
  <c r="BO43" i="79"/>
  <c r="D44" i="79"/>
  <c r="G44" i="79" s="1"/>
  <c r="H44" i="79" s="1"/>
  <c r="E44" i="79"/>
  <c r="I44" i="79"/>
  <c r="J44" i="79"/>
  <c r="K44" i="79"/>
  <c r="L44" i="79"/>
  <c r="O44" i="79"/>
  <c r="Q44" i="79"/>
  <c r="R44" i="79"/>
  <c r="U44" i="79"/>
  <c r="X44" i="79"/>
  <c r="Z44" i="79"/>
  <c r="AC44" i="79"/>
  <c r="AD44" i="79"/>
  <c r="AF44" i="79"/>
  <c r="AG44" i="79"/>
  <c r="AK44" i="79"/>
  <c r="AL44" i="79"/>
  <c r="AM44" i="79"/>
  <c r="AR44" i="79"/>
  <c r="AS44" i="79"/>
  <c r="AT44" i="79"/>
  <c r="AY44" i="79"/>
  <c r="AZ44" i="79"/>
  <c r="BA44" i="79"/>
  <c r="BF44" i="79"/>
  <c r="BG44" i="79"/>
  <c r="BH44" i="79"/>
  <c r="BM44" i="79"/>
  <c r="BN44" i="79"/>
  <c r="BO44" i="79"/>
  <c r="D45" i="79"/>
  <c r="E45" i="79"/>
  <c r="G45" i="79"/>
  <c r="H45" i="79" s="1"/>
  <c r="I45" i="79"/>
  <c r="J45" i="79"/>
  <c r="K45" i="79"/>
  <c r="L45" i="79"/>
  <c r="O45" i="79"/>
  <c r="Q45" i="79"/>
  <c r="R45" i="79"/>
  <c r="U45" i="79"/>
  <c r="X45" i="79"/>
  <c r="Z45" i="79"/>
  <c r="AC45" i="79"/>
  <c r="AD45" i="79" s="1"/>
  <c r="AF45" i="79"/>
  <c r="AG45" i="79"/>
  <c r="AK45" i="79"/>
  <c r="AL45" i="79"/>
  <c r="AM45" i="79"/>
  <c r="AR45" i="79"/>
  <c r="AS45" i="79"/>
  <c r="AT45" i="79"/>
  <c r="AY45" i="79"/>
  <c r="AZ45" i="79"/>
  <c r="BA45" i="79"/>
  <c r="BF45" i="79"/>
  <c r="BG45" i="79"/>
  <c r="BH45" i="79"/>
  <c r="BM45" i="79"/>
  <c r="BN45" i="79"/>
  <c r="BO45" i="79"/>
  <c r="D46" i="79"/>
  <c r="E46" i="79"/>
  <c r="I46" i="79"/>
  <c r="J46" i="79"/>
  <c r="K46" i="79"/>
  <c r="O46" i="79"/>
  <c r="Q46" i="79"/>
  <c r="R46" i="79"/>
  <c r="U46" i="79"/>
  <c r="X46" i="79"/>
  <c r="Z46" i="79"/>
  <c r="AC46" i="79"/>
  <c r="AD46" i="79" s="1"/>
  <c r="AF46" i="79"/>
  <c r="AG46" i="79"/>
  <c r="AK46" i="79"/>
  <c r="AL46" i="79"/>
  <c r="AM46" i="79"/>
  <c r="AR46" i="79"/>
  <c r="AS46" i="79"/>
  <c r="AT46" i="79"/>
  <c r="AY46" i="79"/>
  <c r="AZ46" i="79"/>
  <c r="BA46" i="79"/>
  <c r="BF46" i="79"/>
  <c r="BG46" i="79"/>
  <c r="BH46" i="79"/>
  <c r="BM46" i="79"/>
  <c r="BN46" i="79"/>
  <c r="BO46" i="79"/>
  <c r="D47" i="79"/>
  <c r="E47" i="79"/>
  <c r="G47" i="79"/>
  <c r="H47" i="79" s="1"/>
  <c r="I47" i="79"/>
  <c r="J47" i="79"/>
  <c r="K47" i="79"/>
  <c r="L47" i="79"/>
  <c r="O47" i="79"/>
  <c r="Q47" i="79"/>
  <c r="R47" i="79"/>
  <c r="U47" i="79"/>
  <c r="X47" i="79"/>
  <c r="Z47" i="79"/>
  <c r="AC47" i="79"/>
  <c r="AD47" i="79" s="1"/>
  <c r="AF47" i="79"/>
  <c r="AG47" i="79"/>
  <c r="AK47" i="79"/>
  <c r="AL47" i="79"/>
  <c r="AM47" i="79"/>
  <c r="AR47" i="79"/>
  <c r="AS47" i="79"/>
  <c r="AT47" i="79"/>
  <c r="AY47" i="79"/>
  <c r="AZ47" i="79"/>
  <c r="BA47" i="79"/>
  <c r="BF47" i="79"/>
  <c r="BG47" i="79"/>
  <c r="BH47" i="79"/>
  <c r="BM47" i="79"/>
  <c r="BN47" i="79"/>
  <c r="BS47" i="79" s="1"/>
  <c r="BY47" i="79" s="1"/>
  <c r="BO47" i="79"/>
  <c r="D48" i="79"/>
  <c r="G48" i="79" s="1"/>
  <c r="H48" i="79" s="1"/>
  <c r="E48" i="79"/>
  <c r="I48" i="79"/>
  <c r="J48" i="79"/>
  <c r="K48" i="79"/>
  <c r="L48" i="79"/>
  <c r="O48" i="79"/>
  <c r="Q48" i="79"/>
  <c r="R48" i="79"/>
  <c r="U48" i="79"/>
  <c r="X48" i="79"/>
  <c r="Z48" i="79"/>
  <c r="AC48" i="79"/>
  <c r="AD48" i="79" s="1"/>
  <c r="AF48" i="79"/>
  <c r="AG48" i="79"/>
  <c r="AK48" i="79"/>
  <c r="AL48" i="79"/>
  <c r="AM48" i="79"/>
  <c r="AR48" i="79"/>
  <c r="AS48" i="79"/>
  <c r="AT48" i="79"/>
  <c r="AY48" i="79"/>
  <c r="AZ48" i="79"/>
  <c r="BA48" i="79"/>
  <c r="BF48" i="79"/>
  <c r="BG48" i="79"/>
  <c r="BH48" i="79"/>
  <c r="BM48" i="79"/>
  <c r="BN48" i="79"/>
  <c r="BO48" i="79"/>
  <c r="D49" i="79"/>
  <c r="G49" i="79" s="1"/>
  <c r="H49" i="79" s="1"/>
  <c r="E49" i="79"/>
  <c r="I49" i="79"/>
  <c r="J49" i="79"/>
  <c r="K49" i="79"/>
  <c r="L49" i="79"/>
  <c r="O49" i="79"/>
  <c r="Q49" i="79"/>
  <c r="R49" i="79"/>
  <c r="U49" i="79"/>
  <c r="X49" i="79"/>
  <c r="Z49" i="79"/>
  <c r="AC49" i="79"/>
  <c r="AD49" i="79" s="1"/>
  <c r="AF49" i="79"/>
  <c r="AG49" i="79"/>
  <c r="AK49" i="79"/>
  <c r="AL49" i="79"/>
  <c r="AM49" i="79"/>
  <c r="AR49" i="79"/>
  <c r="AS49" i="79"/>
  <c r="AT49" i="79"/>
  <c r="AY49" i="79"/>
  <c r="AZ49" i="79"/>
  <c r="BA49" i="79"/>
  <c r="BF49" i="79"/>
  <c r="BG49" i="79"/>
  <c r="BH49" i="79"/>
  <c r="BM49" i="79"/>
  <c r="BN49" i="79"/>
  <c r="BO49" i="79"/>
  <c r="D30" i="78"/>
  <c r="G30" i="78" s="1"/>
  <c r="H30" i="78" s="1"/>
  <c r="E30" i="78"/>
  <c r="I30" i="78"/>
  <c r="J30" i="78"/>
  <c r="K30" i="78"/>
  <c r="N30" i="78"/>
  <c r="P30" i="78"/>
  <c r="Q30" i="78"/>
  <c r="T30" i="78"/>
  <c r="W30" i="78"/>
  <c r="Z30" i="78"/>
  <c r="AA30" i="78" s="1"/>
  <c r="AC30" i="78"/>
  <c r="AD30" i="78"/>
  <c r="AH30" i="78"/>
  <c r="AI30" i="78"/>
  <c r="AJ30" i="78"/>
  <c r="AO30" i="78"/>
  <c r="AP30" i="78"/>
  <c r="AQ30" i="78"/>
  <c r="AV30" i="78"/>
  <c r="AW30" i="78"/>
  <c r="AX30" i="78"/>
  <c r="BC30" i="78"/>
  <c r="BD30" i="78"/>
  <c r="BE30" i="78"/>
  <c r="BJ30" i="78"/>
  <c r="BK30" i="78"/>
  <c r="BL30" i="78"/>
  <c r="D31" i="78"/>
  <c r="G31" i="78" s="1"/>
  <c r="H31" i="78" s="1"/>
  <c r="E31" i="78"/>
  <c r="I31" i="78"/>
  <c r="J31" i="78"/>
  <c r="K31" i="78"/>
  <c r="L31" i="78"/>
  <c r="N31" i="78"/>
  <c r="P31" i="78"/>
  <c r="Q31" i="78"/>
  <c r="T31" i="78"/>
  <c r="W31" i="78"/>
  <c r="Z31" i="78"/>
  <c r="AA31" i="78" s="1"/>
  <c r="AC31" i="78"/>
  <c r="AD31" i="78"/>
  <c r="AH31" i="78"/>
  <c r="AI31" i="78"/>
  <c r="AJ31" i="78"/>
  <c r="AO31" i="78"/>
  <c r="AP31" i="78"/>
  <c r="AQ31" i="78"/>
  <c r="AV31" i="78"/>
  <c r="AW31" i="78"/>
  <c r="AX31" i="78"/>
  <c r="BC31" i="78"/>
  <c r="BD31" i="78"/>
  <c r="BE31" i="78"/>
  <c r="BJ31" i="78"/>
  <c r="BK31" i="78"/>
  <c r="BL31" i="78"/>
  <c r="D32" i="78"/>
  <c r="G32" i="78" s="1"/>
  <c r="H32" i="78" s="1"/>
  <c r="E32" i="78"/>
  <c r="I32" i="78"/>
  <c r="J32" i="78"/>
  <c r="K32" i="78"/>
  <c r="N32" i="78"/>
  <c r="P32" i="78"/>
  <c r="Q32" i="78"/>
  <c r="T32" i="78"/>
  <c r="W32" i="78"/>
  <c r="Z32" i="78"/>
  <c r="AA32" i="78" s="1"/>
  <c r="AC32" i="78"/>
  <c r="AD32" i="78"/>
  <c r="AH32" i="78"/>
  <c r="AI32" i="78"/>
  <c r="AJ32" i="78"/>
  <c r="AO32" i="78"/>
  <c r="AP32" i="78"/>
  <c r="AQ32" i="78"/>
  <c r="AV32" i="78"/>
  <c r="AW32" i="78"/>
  <c r="AX32" i="78"/>
  <c r="BC32" i="78"/>
  <c r="BD32" i="78"/>
  <c r="BE32" i="78"/>
  <c r="BJ32" i="78"/>
  <c r="BK32" i="78"/>
  <c r="BL32" i="78"/>
  <c r="D33" i="78"/>
  <c r="G33" i="78" s="1"/>
  <c r="H33" i="78" s="1"/>
  <c r="E33" i="78"/>
  <c r="I33" i="78"/>
  <c r="J33" i="78"/>
  <c r="K33" i="78"/>
  <c r="N33" i="78"/>
  <c r="P33" i="78"/>
  <c r="Q33" i="78"/>
  <c r="T33" i="78"/>
  <c r="W33" i="78"/>
  <c r="Z33" i="78"/>
  <c r="AA33" i="78" s="1"/>
  <c r="AC33" i="78"/>
  <c r="AD33" i="78"/>
  <c r="AH33" i="78"/>
  <c r="AI33" i="78"/>
  <c r="AJ33" i="78"/>
  <c r="AO33" i="78"/>
  <c r="AP33" i="78"/>
  <c r="AQ33" i="78"/>
  <c r="AV33" i="78"/>
  <c r="AW33" i="78"/>
  <c r="AX33" i="78"/>
  <c r="BC33" i="78"/>
  <c r="BD33" i="78"/>
  <c r="BE33" i="78"/>
  <c r="BJ33" i="78"/>
  <c r="BK33" i="78"/>
  <c r="BL33" i="78"/>
  <c r="D34" i="78"/>
  <c r="E34" i="78"/>
  <c r="I34" i="78"/>
  <c r="J34" i="78"/>
  <c r="K34" i="78"/>
  <c r="N34" i="78"/>
  <c r="P34" i="78"/>
  <c r="Q34" i="78"/>
  <c r="T34" i="78"/>
  <c r="W34" i="78"/>
  <c r="Z34" i="78"/>
  <c r="AA34" i="78" s="1"/>
  <c r="AC34" i="78"/>
  <c r="AD34" i="78"/>
  <c r="AH34" i="78"/>
  <c r="AI34" i="78"/>
  <c r="AJ34" i="78"/>
  <c r="AO34" i="78"/>
  <c r="AP34" i="78"/>
  <c r="AQ34" i="78"/>
  <c r="AV34" i="78"/>
  <c r="AW34" i="78"/>
  <c r="AX34" i="78"/>
  <c r="BC34" i="78"/>
  <c r="BD34" i="78"/>
  <c r="BE34" i="78"/>
  <c r="BJ34" i="78"/>
  <c r="BK34" i="78"/>
  <c r="BL34" i="78"/>
  <c r="D35" i="78"/>
  <c r="E35" i="78"/>
  <c r="I35" i="78"/>
  <c r="J35" i="78"/>
  <c r="K35" i="78"/>
  <c r="N35" i="78"/>
  <c r="P35" i="78"/>
  <c r="Q35" i="78"/>
  <c r="T35" i="78"/>
  <c r="W35" i="78"/>
  <c r="Z35" i="78"/>
  <c r="AA35" i="78" s="1"/>
  <c r="AC35" i="78"/>
  <c r="AD35" i="78"/>
  <c r="AH35" i="78"/>
  <c r="AI35" i="78"/>
  <c r="AJ35" i="78"/>
  <c r="AO35" i="78"/>
  <c r="AP35" i="78"/>
  <c r="AQ35" i="78"/>
  <c r="AV35" i="78"/>
  <c r="AW35" i="78"/>
  <c r="AX35" i="78"/>
  <c r="BC35" i="78"/>
  <c r="BD35" i="78"/>
  <c r="BE35" i="78"/>
  <c r="BJ35" i="78"/>
  <c r="BK35" i="78"/>
  <c r="BL35" i="78"/>
  <c r="D36" i="78"/>
  <c r="G36" i="78" s="1"/>
  <c r="H36" i="78" s="1"/>
  <c r="E36" i="78"/>
  <c r="I36" i="78"/>
  <c r="J36" i="78"/>
  <c r="K36" i="78"/>
  <c r="N36" i="78"/>
  <c r="P36" i="78"/>
  <c r="Q36" i="78"/>
  <c r="T36" i="78"/>
  <c r="W36" i="78"/>
  <c r="Z36" i="78"/>
  <c r="AA36" i="78" s="1"/>
  <c r="AC36" i="78"/>
  <c r="AD36" i="78"/>
  <c r="AH36" i="78"/>
  <c r="AI36" i="78"/>
  <c r="AJ36" i="78"/>
  <c r="AO36" i="78"/>
  <c r="AP36" i="78"/>
  <c r="AQ36" i="78"/>
  <c r="AV36" i="78"/>
  <c r="AW36" i="78"/>
  <c r="AX36" i="78"/>
  <c r="BC36" i="78"/>
  <c r="BD36" i="78"/>
  <c r="BE36" i="78"/>
  <c r="BJ36" i="78"/>
  <c r="BK36" i="78"/>
  <c r="BL36" i="78"/>
  <c r="D37" i="78"/>
  <c r="G37" i="78" s="1"/>
  <c r="H37" i="78" s="1"/>
  <c r="E37" i="78"/>
  <c r="I37" i="78"/>
  <c r="J37" i="78"/>
  <c r="K37" i="78"/>
  <c r="N37" i="78"/>
  <c r="P37" i="78"/>
  <c r="Q37" i="78"/>
  <c r="T37" i="78"/>
  <c r="W37" i="78"/>
  <c r="Z37" i="78"/>
  <c r="AA37" i="78" s="1"/>
  <c r="AC37" i="78"/>
  <c r="AD37" i="78"/>
  <c r="AH37" i="78"/>
  <c r="AI37" i="78"/>
  <c r="AJ37" i="78"/>
  <c r="AO37" i="78"/>
  <c r="AP37" i="78"/>
  <c r="AQ37" i="78"/>
  <c r="AV37" i="78"/>
  <c r="AW37" i="78"/>
  <c r="AX37" i="78"/>
  <c r="BC37" i="78"/>
  <c r="BD37" i="78"/>
  <c r="BE37" i="78"/>
  <c r="BJ37" i="78"/>
  <c r="BK37" i="78"/>
  <c r="BL37" i="78"/>
  <c r="D38" i="78"/>
  <c r="G38" i="78" s="1"/>
  <c r="H38" i="78" s="1"/>
  <c r="E38" i="78"/>
  <c r="I38" i="78"/>
  <c r="J38" i="78"/>
  <c r="K38" i="78"/>
  <c r="N38" i="78"/>
  <c r="P38" i="78"/>
  <c r="Q38" i="78"/>
  <c r="T38" i="78"/>
  <c r="W38" i="78"/>
  <c r="Z38" i="78"/>
  <c r="AA38" i="78" s="1"/>
  <c r="AC38" i="78"/>
  <c r="AD38" i="78"/>
  <c r="AH38" i="78"/>
  <c r="AI38" i="78"/>
  <c r="AJ38" i="78"/>
  <c r="AO38" i="78"/>
  <c r="AP38" i="78"/>
  <c r="AQ38" i="78"/>
  <c r="AV38" i="78"/>
  <c r="AW38" i="78"/>
  <c r="AX38" i="78"/>
  <c r="BC38" i="78"/>
  <c r="BD38" i="78"/>
  <c r="BE38" i="78"/>
  <c r="BJ38" i="78"/>
  <c r="BK38" i="78"/>
  <c r="BL38" i="78"/>
  <c r="D39" i="78"/>
  <c r="E39" i="78"/>
  <c r="I39" i="78"/>
  <c r="J39" i="78"/>
  <c r="K39" i="78"/>
  <c r="N39" i="78"/>
  <c r="P39" i="78"/>
  <c r="Q39" i="78"/>
  <c r="T39" i="78"/>
  <c r="W39" i="78"/>
  <c r="Z39" i="78"/>
  <c r="AA39" i="78" s="1"/>
  <c r="AC39" i="78"/>
  <c r="AD39" i="78"/>
  <c r="AH39" i="78"/>
  <c r="AI39" i="78"/>
  <c r="AJ39" i="78"/>
  <c r="AO39" i="78"/>
  <c r="AP39" i="78"/>
  <c r="AQ39" i="78"/>
  <c r="AV39" i="78"/>
  <c r="AW39" i="78"/>
  <c r="AX39" i="78"/>
  <c r="BC39" i="78"/>
  <c r="BD39" i="78"/>
  <c r="BE39" i="78"/>
  <c r="BJ39" i="78"/>
  <c r="BK39" i="78"/>
  <c r="BL39" i="78"/>
  <c r="D40" i="78"/>
  <c r="G40" i="78" s="1"/>
  <c r="H40" i="78" s="1"/>
  <c r="E40" i="78"/>
  <c r="I40" i="78"/>
  <c r="J40" i="78"/>
  <c r="K40" i="78"/>
  <c r="N40" i="78"/>
  <c r="P40" i="78"/>
  <c r="Q40" i="78"/>
  <c r="T40" i="78"/>
  <c r="W40" i="78"/>
  <c r="Z40" i="78"/>
  <c r="AA40" i="78" s="1"/>
  <c r="AC40" i="78"/>
  <c r="AD40" i="78"/>
  <c r="AH40" i="78"/>
  <c r="AI40" i="78"/>
  <c r="AJ40" i="78"/>
  <c r="AO40" i="78"/>
  <c r="AP40" i="78"/>
  <c r="AQ40" i="78"/>
  <c r="AV40" i="78"/>
  <c r="AW40" i="78"/>
  <c r="AX40" i="78"/>
  <c r="BC40" i="78"/>
  <c r="BD40" i="78"/>
  <c r="BE40" i="78"/>
  <c r="BJ40" i="78"/>
  <c r="BK40" i="78"/>
  <c r="BL40" i="78"/>
  <c r="D41" i="78"/>
  <c r="G41" i="78" s="1"/>
  <c r="H41" i="78" s="1"/>
  <c r="E41" i="78"/>
  <c r="I41" i="78"/>
  <c r="J41" i="78"/>
  <c r="K41" i="78"/>
  <c r="N41" i="78"/>
  <c r="P41" i="78"/>
  <c r="Q41" i="78"/>
  <c r="T41" i="78"/>
  <c r="W41" i="78"/>
  <c r="Z41" i="78"/>
  <c r="AA41" i="78" s="1"/>
  <c r="AC41" i="78"/>
  <c r="AD41" i="78"/>
  <c r="AH41" i="78"/>
  <c r="AI41" i="78"/>
  <c r="AJ41" i="78"/>
  <c r="AO41" i="78"/>
  <c r="AP41" i="78"/>
  <c r="AQ41" i="78"/>
  <c r="AV41" i="78"/>
  <c r="AW41" i="78"/>
  <c r="AX41" i="78"/>
  <c r="BC41" i="78"/>
  <c r="BD41" i="78"/>
  <c r="BE41" i="78"/>
  <c r="BJ41" i="78"/>
  <c r="BK41" i="78"/>
  <c r="BL41" i="78"/>
  <c r="D42" i="78"/>
  <c r="E42" i="78"/>
  <c r="G42" i="78"/>
  <c r="H42" i="78" s="1"/>
  <c r="I42" i="78"/>
  <c r="J42" i="78"/>
  <c r="K42" i="78"/>
  <c r="L42" i="78"/>
  <c r="N42" i="78"/>
  <c r="P42" i="78"/>
  <c r="Q42" i="78"/>
  <c r="T42" i="78"/>
  <c r="W42" i="78"/>
  <c r="Z42" i="78"/>
  <c r="AA42" i="78" s="1"/>
  <c r="AC42" i="78"/>
  <c r="AD42" i="78"/>
  <c r="AH42" i="78"/>
  <c r="AI42" i="78"/>
  <c r="AJ42" i="78"/>
  <c r="AO42" i="78"/>
  <c r="AP42" i="78"/>
  <c r="AQ42" i="78"/>
  <c r="AV42" i="78"/>
  <c r="AW42" i="78"/>
  <c r="AX42" i="78"/>
  <c r="BC42" i="78"/>
  <c r="BD42" i="78"/>
  <c r="BE42" i="78"/>
  <c r="BJ42" i="78"/>
  <c r="BK42" i="78"/>
  <c r="BL42" i="78"/>
  <c r="D43" i="78"/>
  <c r="G43" i="78" s="1"/>
  <c r="H43" i="78" s="1"/>
  <c r="E43" i="78"/>
  <c r="I43" i="78"/>
  <c r="J43" i="78"/>
  <c r="K43" i="78"/>
  <c r="N43" i="78"/>
  <c r="P43" i="78"/>
  <c r="Q43" i="78"/>
  <c r="T43" i="78"/>
  <c r="W43" i="78"/>
  <c r="Z43" i="78"/>
  <c r="AA43" i="78" s="1"/>
  <c r="AC43" i="78"/>
  <c r="AD43" i="78"/>
  <c r="AH43" i="78"/>
  <c r="AI43" i="78"/>
  <c r="AJ43" i="78"/>
  <c r="AO43" i="78"/>
  <c r="AP43" i="78"/>
  <c r="AQ43" i="78"/>
  <c r="AV43" i="78"/>
  <c r="AW43" i="78"/>
  <c r="AX43" i="78"/>
  <c r="BC43" i="78"/>
  <c r="BD43" i="78"/>
  <c r="BE43" i="78"/>
  <c r="BJ43" i="78"/>
  <c r="BK43" i="78"/>
  <c r="BL43" i="78"/>
  <c r="D44" i="78"/>
  <c r="E44" i="78"/>
  <c r="I44" i="78"/>
  <c r="J44" i="78"/>
  <c r="K44" i="78"/>
  <c r="N44" i="78"/>
  <c r="P44" i="78"/>
  <c r="Q44" i="78"/>
  <c r="T44" i="78"/>
  <c r="W44" i="78"/>
  <c r="Z44" i="78"/>
  <c r="AA44" i="78" s="1"/>
  <c r="AC44" i="78"/>
  <c r="AD44" i="78"/>
  <c r="AH44" i="78"/>
  <c r="AI44" i="78"/>
  <c r="AJ44" i="78"/>
  <c r="AO44" i="78"/>
  <c r="AP44" i="78"/>
  <c r="AQ44" i="78"/>
  <c r="AV44" i="78"/>
  <c r="AW44" i="78"/>
  <c r="AX44" i="78"/>
  <c r="BC44" i="78"/>
  <c r="BD44" i="78"/>
  <c r="BE44" i="78"/>
  <c r="BJ44" i="78"/>
  <c r="BK44" i="78"/>
  <c r="BL44" i="78"/>
  <c r="D45" i="78"/>
  <c r="G45" i="78" s="1"/>
  <c r="H45" i="78" s="1"/>
  <c r="E45" i="78"/>
  <c r="I45" i="78"/>
  <c r="J45" i="78"/>
  <c r="K45" i="78"/>
  <c r="N45" i="78"/>
  <c r="P45" i="78"/>
  <c r="Q45" i="78"/>
  <c r="T45" i="78"/>
  <c r="W45" i="78"/>
  <c r="Z45" i="78"/>
  <c r="AA45" i="78" s="1"/>
  <c r="AC45" i="78"/>
  <c r="AD45" i="78"/>
  <c r="AH45" i="78"/>
  <c r="AI45" i="78"/>
  <c r="AJ45" i="78"/>
  <c r="AO45" i="78"/>
  <c r="AP45" i="78"/>
  <c r="AQ45" i="78"/>
  <c r="AV45" i="78"/>
  <c r="AW45" i="78"/>
  <c r="AX45" i="78"/>
  <c r="BC45" i="78"/>
  <c r="BD45" i="78"/>
  <c r="BE45" i="78"/>
  <c r="BJ45" i="78"/>
  <c r="BK45" i="78"/>
  <c r="BL45" i="78"/>
  <c r="D46" i="78"/>
  <c r="G46" i="78" s="1"/>
  <c r="H46" i="78" s="1"/>
  <c r="E46" i="78"/>
  <c r="I46" i="78"/>
  <c r="J46" i="78"/>
  <c r="K46" i="78"/>
  <c r="L46" i="78"/>
  <c r="N46" i="78"/>
  <c r="P46" i="78"/>
  <c r="Q46" i="78"/>
  <c r="T46" i="78"/>
  <c r="W46" i="78"/>
  <c r="Z46" i="78"/>
  <c r="AA46" i="78" s="1"/>
  <c r="AC46" i="78"/>
  <c r="AD46" i="78"/>
  <c r="AH46" i="78"/>
  <c r="AI46" i="78"/>
  <c r="AJ46" i="78"/>
  <c r="AO46" i="78"/>
  <c r="AP46" i="78"/>
  <c r="AQ46" i="78"/>
  <c r="AV46" i="78"/>
  <c r="AW46" i="78"/>
  <c r="AX46" i="78"/>
  <c r="BC46" i="78"/>
  <c r="BD46" i="78"/>
  <c r="BE46" i="78"/>
  <c r="BJ46" i="78"/>
  <c r="BK46" i="78"/>
  <c r="BL46" i="78"/>
  <c r="D47" i="78"/>
  <c r="G47" i="78" s="1"/>
  <c r="H47" i="78" s="1"/>
  <c r="E47" i="78"/>
  <c r="I47" i="78"/>
  <c r="J47" i="78"/>
  <c r="K47" i="78"/>
  <c r="N47" i="78"/>
  <c r="P47" i="78"/>
  <c r="Q47" i="78"/>
  <c r="T47" i="78"/>
  <c r="W47" i="78"/>
  <c r="Z47" i="78"/>
  <c r="AA47" i="78" s="1"/>
  <c r="AC47" i="78"/>
  <c r="AD47" i="78"/>
  <c r="AH47" i="78"/>
  <c r="AI47" i="78"/>
  <c r="AJ47" i="78"/>
  <c r="AO47" i="78"/>
  <c r="AP47" i="78"/>
  <c r="AQ47" i="78"/>
  <c r="AV47" i="78"/>
  <c r="AW47" i="78"/>
  <c r="AX47" i="78"/>
  <c r="BC47" i="78"/>
  <c r="BD47" i="78"/>
  <c r="BE47" i="78"/>
  <c r="BJ47" i="78"/>
  <c r="BK47" i="78"/>
  <c r="BL47" i="78"/>
  <c r="D48" i="78"/>
  <c r="G48" i="78" s="1"/>
  <c r="H48" i="78" s="1"/>
  <c r="E48" i="78"/>
  <c r="I48" i="78"/>
  <c r="J48" i="78"/>
  <c r="K48" i="78"/>
  <c r="N48" i="78"/>
  <c r="P48" i="78"/>
  <c r="Q48" i="78"/>
  <c r="T48" i="78"/>
  <c r="W48" i="78"/>
  <c r="Z48" i="78"/>
  <c r="AA48" i="78" s="1"/>
  <c r="AC48" i="78"/>
  <c r="AD48" i="78"/>
  <c r="AH48" i="78"/>
  <c r="AI48" i="78"/>
  <c r="AJ48" i="78"/>
  <c r="AO48" i="78"/>
  <c r="AP48" i="78"/>
  <c r="AQ48" i="78"/>
  <c r="AV48" i="78"/>
  <c r="AW48" i="78"/>
  <c r="AX48" i="78"/>
  <c r="BC48" i="78"/>
  <c r="BD48" i="78"/>
  <c r="BE48" i="78"/>
  <c r="BJ48" i="78"/>
  <c r="BK48" i="78"/>
  <c r="BL48" i="78"/>
  <c r="D49" i="78"/>
  <c r="G49" i="78" s="1"/>
  <c r="H49" i="78" s="1"/>
  <c r="E49" i="78"/>
  <c r="I49" i="78"/>
  <c r="J49" i="78"/>
  <c r="K49" i="78"/>
  <c r="N49" i="78"/>
  <c r="P49" i="78"/>
  <c r="Q49" i="78"/>
  <c r="T49" i="78"/>
  <c r="W49" i="78"/>
  <c r="Z49" i="78"/>
  <c r="AA49" i="78"/>
  <c r="AC49" i="78"/>
  <c r="AD49" i="78"/>
  <c r="AH49" i="78"/>
  <c r="AI49" i="78"/>
  <c r="AJ49" i="78"/>
  <c r="AO49" i="78"/>
  <c r="AP49" i="78"/>
  <c r="AQ49" i="78"/>
  <c r="AV49" i="78"/>
  <c r="AW49" i="78"/>
  <c r="AX49" i="78"/>
  <c r="BC49" i="78"/>
  <c r="BD49" i="78"/>
  <c r="BE49" i="78"/>
  <c r="BJ49" i="78"/>
  <c r="BK49" i="78"/>
  <c r="BL49" i="78"/>
  <c r="D50" i="78"/>
  <c r="G50" i="78" s="1"/>
  <c r="H50" i="78" s="1"/>
  <c r="E50" i="78"/>
  <c r="I50" i="78"/>
  <c r="J50" i="78"/>
  <c r="K50" i="78"/>
  <c r="N50" i="78"/>
  <c r="P50" i="78"/>
  <c r="Q50" i="78"/>
  <c r="T50" i="78"/>
  <c r="W50" i="78"/>
  <c r="Z50" i="78"/>
  <c r="AA50" i="78" s="1"/>
  <c r="AC50" i="78"/>
  <c r="AD50" i="78"/>
  <c r="AH50" i="78"/>
  <c r="AI50" i="78"/>
  <c r="AJ50" i="78"/>
  <c r="AO50" i="78"/>
  <c r="AP50" i="78"/>
  <c r="AQ50" i="78"/>
  <c r="AV50" i="78"/>
  <c r="AW50" i="78"/>
  <c r="AX50" i="78"/>
  <c r="BC50" i="78"/>
  <c r="BD50" i="78"/>
  <c r="BE50" i="78"/>
  <c r="BJ50" i="78"/>
  <c r="BK50" i="78"/>
  <c r="BL50" i="78"/>
  <c r="D30" i="77"/>
  <c r="G30" i="77" s="1"/>
  <c r="H30" i="77" s="1"/>
  <c r="E30" i="77"/>
  <c r="F30" i="77"/>
  <c r="I30" i="77"/>
  <c r="L30" i="77" s="1"/>
  <c r="J30" i="77"/>
  <c r="K30" i="77"/>
  <c r="O30" i="77"/>
  <c r="U30" i="77"/>
  <c r="V30" i="77" s="1"/>
  <c r="X30" i="77"/>
  <c r="Y30" i="77"/>
  <c r="AC30" i="77"/>
  <c r="AD30" i="77"/>
  <c r="AE30" i="77"/>
  <c r="AJ30" i="77"/>
  <c r="AK30" i="77"/>
  <c r="AL30" i="77"/>
  <c r="AQ30" i="77"/>
  <c r="AR30" i="77"/>
  <c r="AS30" i="77"/>
  <c r="D31" i="77"/>
  <c r="G31" i="77" s="1"/>
  <c r="H31" i="77" s="1"/>
  <c r="E31" i="77"/>
  <c r="F31" i="77"/>
  <c r="I31" i="77"/>
  <c r="L31" i="77" s="1"/>
  <c r="J31" i="77"/>
  <c r="K31" i="77"/>
  <c r="O31" i="77"/>
  <c r="U31" i="77"/>
  <c r="V31" i="77" s="1"/>
  <c r="X31" i="77"/>
  <c r="Y31" i="77"/>
  <c r="AC31" i="77"/>
  <c r="AD31" i="77"/>
  <c r="AE31" i="77"/>
  <c r="AJ31" i="77"/>
  <c r="AK31" i="77"/>
  <c r="AL31" i="77"/>
  <c r="AQ31" i="77"/>
  <c r="AR31" i="77"/>
  <c r="AS31" i="77"/>
  <c r="D32" i="77"/>
  <c r="G32" i="77" s="1"/>
  <c r="H32" i="77" s="1"/>
  <c r="E32" i="77"/>
  <c r="F32" i="77"/>
  <c r="I32" i="77"/>
  <c r="L32" i="77" s="1"/>
  <c r="J32" i="77"/>
  <c r="K32" i="77"/>
  <c r="O32" i="77"/>
  <c r="U32" i="77"/>
  <c r="V32" i="77" s="1"/>
  <c r="X32" i="77"/>
  <c r="Y32" i="77"/>
  <c r="AC32" i="77"/>
  <c r="AD32" i="77"/>
  <c r="AE32" i="77"/>
  <c r="AJ32" i="77"/>
  <c r="AK32" i="77"/>
  <c r="AL32" i="77"/>
  <c r="AQ32" i="77"/>
  <c r="AR32" i="77"/>
  <c r="AS32" i="77"/>
  <c r="D33" i="77"/>
  <c r="G33" i="77" s="1"/>
  <c r="H33" i="77" s="1"/>
  <c r="E33" i="77"/>
  <c r="F33" i="77"/>
  <c r="I33" i="77"/>
  <c r="L33" i="77" s="1"/>
  <c r="J33" i="77"/>
  <c r="K33" i="77"/>
  <c r="O33" i="77"/>
  <c r="U33" i="77"/>
  <c r="V33" i="77" s="1"/>
  <c r="X33" i="77"/>
  <c r="Y33" i="77"/>
  <c r="AC33" i="77"/>
  <c r="AD33" i="77"/>
  <c r="AE33" i="77"/>
  <c r="AJ33" i="77"/>
  <c r="AK33" i="77"/>
  <c r="AL33" i="77"/>
  <c r="AQ33" i="77"/>
  <c r="AR33" i="77"/>
  <c r="AS33" i="77"/>
  <c r="D34" i="77"/>
  <c r="G34" i="77" s="1"/>
  <c r="H34" i="77" s="1"/>
  <c r="E34" i="77"/>
  <c r="F34" i="77"/>
  <c r="I34" i="77"/>
  <c r="L34" i="77" s="1"/>
  <c r="J34" i="77"/>
  <c r="K34" i="77"/>
  <c r="O34" i="77"/>
  <c r="U34" i="77"/>
  <c r="V34" i="77" s="1"/>
  <c r="X34" i="77"/>
  <c r="Y34" i="77"/>
  <c r="AC34" i="77"/>
  <c r="AD34" i="77"/>
  <c r="AE34" i="77"/>
  <c r="AJ34" i="77"/>
  <c r="AK34" i="77"/>
  <c r="AL34" i="77"/>
  <c r="AQ34" i="77"/>
  <c r="AR34" i="77"/>
  <c r="AS34" i="77"/>
  <c r="D35" i="77"/>
  <c r="G35" i="77" s="1"/>
  <c r="H35" i="77" s="1"/>
  <c r="E35" i="77"/>
  <c r="F35" i="77"/>
  <c r="I35" i="77"/>
  <c r="L35" i="77" s="1"/>
  <c r="J35" i="77"/>
  <c r="K35" i="77"/>
  <c r="O35" i="77"/>
  <c r="U35" i="77"/>
  <c r="V35" i="77" s="1"/>
  <c r="X35" i="77"/>
  <c r="Y35" i="77"/>
  <c r="AC35" i="77"/>
  <c r="AD35" i="77"/>
  <c r="AE35" i="77"/>
  <c r="AJ35" i="77"/>
  <c r="AK35" i="77"/>
  <c r="AL35" i="77"/>
  <c r="AQ35" i="77"/>
  <c r="AR35" i="77"/>
  <c r="AS35" i="77"/>
  <c r="D36" i="77"/>
  <c r="G36" i="77" s="1"/>
  <c r="H36" i="77" s="1"/>
  <c r="E36" i="77"/>
  <c r="F36" i="77"/>
  <c r="I36" i="77"/>
  <c r="L36" i="77" s="1"/>
  <c r="J36" i="77"/>
  <c r="K36" i="77"/>
  <c r="O36" i="77"/>
  <c r="U36" i="77"/>
  <c r="V36" i="77" s="1"/>
  <c r="X36" i="77"/>
  <c r="Y36" i="77"/>
  <c r="AC36" i="77"/>
  <c r="AD36" i="77"/>
  <c r="AE36" i="77"/>
  <c r="AJ36" i="77"/>
  <c r="AK36" i="77"/>
  <c r="AL36" i="77"/>
  <c r="AQ36" i="77"/>
  <c r="AR36" i="77"/>
  <c r="AS36" i="77"/>
  <c r="D37" i="77"/>
  <c r="G37" i="77" s="1"/>
  <c r="H37" i="77" s="1"/>
  <c r="E37" i="77"/>
  <c r="F37" i="77"/>
  <c r="I37" i="77"/>
  <c r="L37" i="77" s="1"/>
  <c r="J37" i="77"/>
  <c r="K37" i="77"/>
  <c r="O37" i="77"/>
  <c r="U37" i="77"/>
  <c r="V37" i="77" s="1"/>
  <c r="X37" i="77"/>
  <c r="Y37" i="77"/>
  <c r="AC37" i="77"/>
  <c r="AD37" i="77"/>
  <c r="AE37" i="77"/>
  <c r="AJ37" i="77"/>
  <c r="AK37" i="77"/>
  <c r="AL37" i="77"/>
  <c r="AQ37" i="77"/>
  <c r="AR37" i="77"/>
  <c r="AS37" i="77"/>
  <c r="D38" i="77"/>
  <c r="G38" i="77" s="1"/>
  <c r="H38" i="77" s="1"/>
  <c r="E38" i="77"/>
  <c r="F38" i="77"/>
  <c r="I38" i="77"/>
  <c r="L38" i="77" s="1"/>
  <c r="J38" i="77"/>
  <c r="K38" i="77"/>
  <c r="O38" i="77"/>
  <c r="U38" i="77"/>
  <c r="V38" i="77" s="1"/>
  <c r="X38" i="77"/>
  <c r="Y38" i="77"/>
  <c r="AC38" i="77"/>
  <c r="AD38" i="77"/>
  <c r="AE38" i="77"/>
  <c r="AJ38" i="77"/>
  <c r="AK38" i="77"/>
  <c r="AL38" i="77"/>
  <c r="AQ38" i="77"/>
  <c r="AR38" i="77"/>
  <c r="AS38" i="77"/>
  <c r="D39" i="77"/>
  <c r="G39" i="77" s="1"/>
  <c r="H39" i="77" s="1"/>
  <c r="E39" i="77"/>
  <c r="F39" i="77"/>
  <c r="I39" i="77"/>
  <c r="L39" i="77" s="1"/>
  <c r="J39" i="77"/>
  <c r="K39" i="77"/>
  <c r="O39" i="77"/>
  <c r="U39" i="77"/>
  <c r="V39" i="77" s="1"/>
  <c r="X39" i="77"/>
  <c r="Y39" i="77"/>
  <c r="AC39" i="77"/>
  <c r="AD39" i="77"/>
  <c r="AE39" i="77"/>
  <c r="AJ39" i="77"/>
  <c r="AK39" i="77"/>
  <c r="AL39" i="77"/>
  <c r="AQ39" i="77"/>
  <c r="AR39" i="77"/>
  <c r="AS39" i="77"/>
  <c r="D40" i="77"/>
  <c r="G40" i="77" s="1"/>
  <c r="H40" i="77" s="1"/>
  <c r="E40" i="77"/>
  <c r="F40" i="77"/>
  <c r="I40" i="77"/>
  <c r="L40" i="77" s="1"/>
  <c r="J40" i="77"/>
  <c r="K40" i="77"/>
  <c r="O40" i="77"/>
  <c r="U40" i="77"/>
  <c r="V40" i="77" s="1"/>
  <c r="X40" i="77"/>
  <c r="Y40" i="77"/>
  <c r="AC40" i="77"/>
  <c r="AD40" i="77"/>
  <c r="AE40" i="77"/>
  <c r="AJ40" i="77"/>
  <c r="AK40" i="77"/>
  <c r="AL40" i="77"/>
  <c r="AQ40" i="77"/>
  <c r="AR40" i="77"/>
  <c r="AS40" i="77"/>
  <c r="D41" i="77"/>
  <c r="G41" i="77" s="1"/>
  <c r="H41" i="77" s="1"/>
  <c r="E41" i="77"/>
  <c r="F41" i="77"/>
  <c r="I41" i="77"/>
  <c r="L41" i="77" s="1"/>
  <c r="J41" i="77"/>
  <c r="K41" i="77"/>
  <c r="O41" i="77"/>
  <c r="U41" i="77"/>
  <c r="V41" i="77" s="1"/>
  <c r="X41" i="77"/>
  <c r="Y41" i="77"/>
  <c r="AC41" i="77"/>
  <c r="AD41" i="77"/>
  <c r="AE41" i="77"/>
  <c r="AJ41" i="77"/>
  <c r="AK41" i="77"/>
  <c r="AL41" i="77"/>
  <c r="AQ41" i="77"/>
  <c r="AR41" i="77"/>
  <c r="AS41" i="77"/>
  <c r="D42" i="77"/>
  <c r="G42" i="77" s="1"/>
  <c r="H42" i="77" s="1"/>
  <c r="E42" i="77"/>
  <c r="F42" i="77"/>
  <c r="I42" i="77"/>
  <c r="L42" i="77" s="1"/>
  <c r="J42" i="77"/>
  <c r="K42" i="77"/>
  <c r="O42" i="77"/>
  <c r="U42" i="77"/>
  <c r="V42" i="77" s="1"/>
  <c r="X42" i="77"/>
  <c r="Y42" i="77"/>
  <c r="AC42" i="77"/>
  <c r="AD42" i="77"/>
  <c r="AE42" i="77"/>
  <c r="AJ42" i="77"/>
  <c r="AK42" i="77"/>
  <c r="AL42" i="77"/>
  <c r="AQ42" i="77"/>
  <c r="AR42" i="77"/>
  <c r="AS42" i="77"/>
  <c r="D43" i="77"/>
  <c r="G43" i="77" s="1"/>
  <c r="H43" i="77" s="1"/>
  <c r="E43" i="77"/>
  <c r="F43" i="77"/>
  <c r="I43" i="77"/>
  <c r="L43" i="77" s="1"/>
  <c r="J43" i="77"/>
  <c r="K43" i="77"/>
  <c r="O43" i="77"/>
  <c r="U43" i="77"/>
  <c r="V43" i="77" s="1"/>
  <c r="X43" i="77"/>
  <c r="Y43" i="77"/>
  <c r="AC43" i="77"/>
  <c r="AD43" i="77"/>
  <c r="AE43" i="77"/>
  <c r="AJ43" i="77"/>
  <c r="AK43" i="77"/>
  <c r="AL43" i="77"/>
  <c r="AQ43" i="77"/>
  <c r="AR43" i="77"/>
  <c r="AS43" i="77"/>
  <c r="D44" i="77"/>
  <c r="G44" i="77" s="1"/>
  <c r="H44" i="77" s="1"/>
  <c r="E44" i="77"/>
  <c r="F44" i="77"/>
  <c r="I44" i="77"/>
  <c r="L44" i="77" s="1"/>
  <c r="J44" i="77"/>
  <c r="K44" i="77"/>
  <c r="O44" i="77"/>
  <c r="U44" i="77"/>
  <c r="V44" i="77" s="1"/>
  <c r="X44" i="77"/>
  <c r="Y44" i="77"/>
  <c r="AC44" i="77"/>
  <c r="AD44" i="77"/>
  <c r="AE44" i="77"/>
  <c r="AJ44" i="77"/>
  <c r="AK44" i="77"/>
  <c r="AL44" i="77"/>
  <c r="AQ44" i="77"/>
  <c r="AR44" i="77"/>
  <c r="AS44" i="77"/>
  <c r="D45" i="77"/>
  <c r="G45" i="77" s="1"/>
  <c r="H45" i="77" s="1"/>
  <c r="E45" i="77"/>
  <c r="F45" i="77"/>
  <c r="I45" i="77"/>
  <c r="L45" i="77" s="1"/>
  <c r="J45" i="77"/>
  <c r="K45" i="77"/>
  <c r="O45" i="77"/>
  <c r="U45" i="77"/>
  <c r="V45" i="77" s="1"/>
  <c r="X45" i="77"/>
  <c r="Y45" i="77"/>
  <c r="AC45" i="77"/>
  <c r="AD45" i="77"/>
  <c r="AE45" i="77"/>
  <c r="AJ45" i="77"/>
  <c r="AK45" i="77"/>
  <c r="AL45" i="77"/>
  <c r="AQ45" i="77"/>
  <c r="AR45" i="77"/>
  <c r="AS45" i="77"/>
  <c r="D46" i="77"/>
  <c r="G46" i="77" s="1"/>
  <c r="H46" i="77" s="1"/>
  <c r="E46" i="77"/>
  <c r="F46" i="77"/>
  <c r="I46" i="77"/>
  <c r="L46" i="77" s="1"/>
  <c r="J46" i="77"/>
  <c r="K46" i="77"/>
  <c r="O46" i="77"/>
  <c r="U46" i="77"/>
  <c r="V46" i="77" s="1"/>
  <c r="X46" i="77"/>
  <c r="Y46" i="77"/>
  <c r="AC46" i="77"/>
  <c r="AD46" i="77"/>
  <c r="AE46" i="77"/>
  <c r="AJ46" i="77"/>
  <c r="AK46" i="77"/>
  <c r="AL46" i="77"/>
  <c r="AQ46" i="77"/>
  <c r="AR46" i="77"/>
  <c r="AS46" i="77"/>
  <c r="D47" i="77"/>
  <c r="G47" i="77" s="1"/>
  <c r="H47" i="77" s="1"/>
  <c r="E47" i="77"/>
  <c r="F47" i="77"/>
  <c r="I47" i="77"/>
  <c r="L47" i="77" s="1"/>
  <c r="J47" i="77"/>
  <c r="K47" i="77"/>
  <c r="O47" i="77"/>
  <c r="U47" i="77"/>
  <c r="V47" i="77" s="1"/>
  <c r="X47" i="77"/>
  <c r="Y47" i="77"/>
  <c r="AC47" i="77"/>
  <c r="AD47" i="77"/>
  <c r="AE47" i="77"/>
  <c r="AJ47" i="77"/>
  <c r="AK47" i="77"/>
  <c r="AL47" i="77"/>
  <c r="AQ47" i="77"/>
  <c r="AR47" i="77"/>
  <c r="AS47" i="77"/>
  <c r="D48" i="77"/>
  <c r="G48" i="77" s="1"/>
  <c r="H48" i="77" s="1"/>
  <c r="E48" i="77"/>
  <c r="F48" i="77"/>
  <c r="I48" i="77"/>
  <c r="L48" i="77" s="1"/>
  <c r="J48" i="77"/>
  <c r="K48" i="77"/>
  <c r="O48" i="77"/>
  <c r="U48" i="77"/>
  <c r="V48" i="77" s="1"/>
  <c r="X48" i="77"/>
  <c r="Y48" i="77"/>
  <c r="AC48" i="77"/>
  <c r="AD48" i="77"/>
  <c r="AE48" i="77"/>
  <c r="AJ48" i="77"/>
  <c r="AK48" i="77"/>
  <c r="AL48" i="77"/>
  <c r="AQ48" i="77"/>
  <c r="AR48" i="77"/>
  <c r="AS48" i="77"/>
  <c r="D49" i="77"/>
  <c r="G49" i="77" s="1"/>
  <c r="H49" i="77" s="1"/>
  <c r="E49" i="77"/>
  <c r="F49" i="77"/>
  <c r="I49" i="77"/>
  <c r="L49" i="77" s="1"/>
  <c r="J49" i="77"/>
  <c r="K49" i="77"/>
  <c r="O49" i="77"/>
  <c r="U49" i="77"/>
  <c r="V49" i="77" s="1"/>
  <c r="X49" i="77"/>
  <c r="Y49" i="77"/>
  <c r="AC49" i="77"/>
  <c r="AD49" i="77"/>
  <c r="AE49" i="77"/>
  <c r="AJ49" i="77"/>
  <c r="AK49" i="77"/>
  <c r="AL49" i="77"/>
  <c r="AQ49" i="77"/>
  <c r="AR49" i="77"/>
  <c r="AS49" i="77"/>
  <c r="D50" i="77"/>
  <c r="G50" i="77" s="1"/>
  <c r="H50" i="77" s="1"/>
  <c r="E50" i="77"/>
  <c r="F50" i="77"/>
  <c r="I50" i="77"/>
  <c r="L50" i="77" s="1"/>
  <c r="J50" i="77"/>
  <c r="K50" i="77"/>
  <c r="O50" i="77"/>
  <c r="U50" i="77"/>
  <c r="V50" i="77" s="1"/>
  <c r="X50" i="77"/>
  <c r="Y50" i="77"/>
  <c r="AC50" i="77"/>
  <c r="AD50" i="77"/>
  <c r="AE50" i="77"/>
  <c r="AJ50" i="77"/>
  <c r="AK50" i="77"/>
  <c r="AL50" i="77"/>
  <c r="AQ50" i="77"/>
  <c r="AR50" i="77"/>
  <c r="AS50" i="77"/>
  <c r="D28" i="76"/>
  <c r="G28" i="76" s="1"/>
  <c r="H28" i="76" s="1"/>
  <c r="E28" i="76"/>
  <c r="F28" i="76"/>
  <c r="I28" i="76"/>
  <c r="L28" i="76" s="1"/>
  <c r="J28" i="76"/>
  <c r="K28" i="76"/>
  <c r="O28" i="76"/>
  <c r="Q28" i="76" s="1"/>
  <c r="U28" i="76"/>
  <c r="V28" i="76" s="1"/>
  <c r="X28" i="76"/>
  <c r="Y28" i="76"/>
  <c r="AC28" i="76"/>
  <c r="AD28" i="76"/>
  <c r="AE28" i="76"/>
  <c r="AJ28" i="76"/>
  <c r="AK28" i="76"/>
  <c r="AL28" i="76"/>
  <c r="AQ28" i="76"/>
  <c r="AR28" i="76"/>
  <c r="AS28" i="76"/>
  <c r="D29" i="76"/>
  <c r="G29" i="76" s="1"/>
  <c r="H29" i="76" s="1"/>
  <c r="E29" i="76"/>
  <c r="F29" i="76"/>
  <c r="I29" i="76"/>
  <c r="L29" i="76" s="1"/>
  <c r="J29" i="76"/>
  <c r="K29" i="76"/>
  <c r="O29" i="76"/>
  <c r="U29" i="76"/>
  <c r="V29" i="76" s="1"/>
  <c r="X29" i="76"/>
  <c r="Y29" i="76"/>
  <c r="AC29" i="76"/>
  <c r="AD29" i="76"/>
  <c r="AE29" i="76"/>
  <c r="AJ29" i="76"/>
  <c r="AK29" i="76"/>
  <c r="AL29" i="76"/>
  <c r="AQ29" i="76"/>
  <c r="AR29" i="76"/>
  <c r="AS29" i="76"/>
  <c r="D30" i="76"/>
  <c r="G30" i="76" s="1"/>
  <c r="H30" i="76" s="1"/>
  <c r="E30" i="76"/>
  <c r="F30" i="76"/>
  <c r="I30" i="76"/>
  <c r="L30" i="76" s="1"/>
  <c r="J30" i="76"/>
  <c r="K30" i="76"/>
  <c r="O30" i="76"/>
  <c r="Q30" i="76" s="1"/>
  <c r="U30" i="76"/>
  <c r="V30" i="76" s="1"/>
  <c r="X30" i="76"/>
  <c r="Y30" i="76"/>
  <c r="AC30" i="76"/>
  <c r="AD30" i="76"/>
  <c r="AE30" i="76"/>
  <c r="AJ30" i="76"/>
  <c r="AK30" i="76"/>
  <c r="AL30" i="76"/>
  <c r="AQ30" i="76"/>
  <c r="AR30" i="76"/>
  <c r="AS30" i="76"/>
  <c r="D31" i="76"/>
  <c r="G31" i="76" s="1"/>
  <c r="H31" i="76" s="1"/>
  <c r="E31" i="76"/>
  <c r="F31" i="76"/>
  <c r="I31" i="76"/>
  <c r="L31" i="76" s="1"/>
  <c r="J31" i="76"/>
  <c r="K31" i="76"/>
  <c r="O31" i="76"/>
  <c r="Q31" i="76" s="1"/>
  <c r="U31" i="76"/>
  <c r="V31" i="76" s="1"/>
  <c r="X31" i="76"/>
  <c r="Y31" i="76"/>
  <c r="AC31" i="76"/>
  <c r="AD31" i="76"/>
  <c r="AE31" i="76"/>
  <c r="AJ31" i="76"/>
  <c r="AK31" i="76"/>
  <c r="AL31" i="76"/>
  <c r="AQ31" i="76"/>
  <c r="AR31" i="76"/>
  <c r="AS31" i="76"/>
  <c r="D32" i="76"/>
  <c r="G32" i="76" s="1"/>
  <c r="H32" i="76" s="1"/>
  <c r="E32" i="76"/>
  <c r="F32" i="76"/>
  <c r="I32" i="76"/>
  <c r="L32" i="76" s="1"/>
  <c r="J32" i="76"/>
  <c r="K32" i="76"/>
  <c r="O32" i="76"/>
  <c r="Q32" i="76" s="1"/>
  <c r="U32" i="76"/>
  <c r="V32" i="76" s="1"/>
  <c r="X32" i="76"/>
  <c r="Y32" i="76"/>
  <c r="AC32" i="76"/>
  <c r="AD32" i="76"/>
  <c r="AE32" i="76"/>
  <c r="AJ32" i="76"/>
  <c r="AK32" i="76"/>
  <c r="AL32" i="76"/>
  <c r="AQ32" i="76"/>
  <c r="AR32" i="76"/>
  <c r="AS32" i="76"/>
  <c r="D33" i="76"/>
  <c r="G33" i="76" s="1"/>
  <c r="H33" i="76" s="1"/>
  <c r="E33" i="76"/>
  <c r="F33" i="76"/>
  <c r="I33" i="76"/>
  <c r="L33" i="76" s="1"/>
  <c r="J33" i="76"/>
  <c r="K33" i="76"/>
  <c r="O33" i="76"/>
  <c r="Q33" i="76" s="1"/>
  <c r="U33" i="76"/>
  <c r="V33" i="76" s="1"/>
  <c r="X33" i="76"/>
  <c r="Y33" i="76"/>
  <c r="AC33" i="76"/>
  <c r="AD33" i="76"/>
  <c r="AE33" i="76"/>
  <c r="AJ33" i="76"/>
  <c r="AK33" i="76"/>
  <c r="AL33" i="76"/>
  <c r="AQ33" i="76"/>
  <c r="AR33" i="76"/>
  <c r="AS33" i="76"/>
  <c r="D34" i="76"/>
  <c r="G34" i="76" s="1"/>
  <c r="H34" i="76" s="1"/>
  <c r="E34" i="76"/>
  <c r="F34" i="76"/>
  <c r="I34" i="76"/>
  <c r="L34" i="76" s="1"/>
  <c r="J34" i="76"/>
  <c r="K34" i="76"/>
  <c r="O34" i="76"/>
  <c r="Q34" i="76" s="1"/>
  <c r="U34" i="76"/>
  <c r="V34" i="76" s="1"/>
  <c r="X34" i="76"/>
  <c r="Y34" i="76"/>
  <c r="AC34" i="76"/>
  <c r="AD34" i="76"/>
  <c r="AE34" i="76"/>
  <c r="AJ34" i="76"/>
  <c r="AK34" i="76"/>
  <c r="AL34" i="76"/>
  <c r="AQ34" i="76"/>
  <c r="AR34" i="76"/>
  <c r="AS34" i="76"/>
  <c r="D35" i="76"/>
  <c r="E35" i="76"/>
  <c r="F35" i="76"/>
  <c r="G35" i="76"/>
  <c r="H35" i="76" s="1"/>
  <c r="I35" i="76"/>
  <c r="L35" i="76" s="1"/>
  <c r="J35" i="76"/>
  <c r="K35" i="76"/>
  <c r="O35" i="76"/>
  <c r="U35" i="76"/>
  <c r="V35" i="76" s="1"/>
  <c r="X35" i="76"/>
  <c r="Y35" i="76"/>
  <c r="AC35" i="76"/>
  <c r="AD35" i="76"/>
  <c r="AE35" i="76"/>
  <c r="AJ35" i="76"/>
  <c r="AK35" i="76"/>
  <c r="AL35" i="76"/>
  <c r="AQ35" i="76"/>
  <c r="AR35" i="76"/>
  <c r="AS35" i="76"/>
  <c r="D36" i="76"/>
  <c r="G36" i="76" s="1"/>
  <c r="H36" i="76" s="1"/>
  <c r="E36" i="76"/>
  <c r="F36" i="76"/>
  <c r="I36" i="76"/>
  <c r="L36" i="76" s="1"/>
  <c r="J36" i="76"/>
  <c r="K36" i="76"/>
  <c r="O36" i="76"/>
  <c r="Q36" i="76" s="1"/>
  <c r="U36" i="76"/>
  <c r="V36" i="76" s="1"/>
  <c r="X36" i="76"/>
  <c r="Y36" i="76"/>
  <c r="AC36" i="76"/>
  <c r="AD36" i="76"/>
  <c r="AE36" i="76"/>
  <c r="AJ36" i="76"/>
  <c r="AK36" i="76"/>
  <c r="AL36" i="76"/>
  <c r="AQ36" i="76"/>
  <c r="AR36" i="76"/>
  <c r="AS36" i="76"/>
  <c r="D37" i="76"/>
  <c r="G37" i="76" s="1"/>
  <c r="H37" i="76" s="1"/>
  <c r="E37" i="76"/>
  <c r="F37" i="76"/>
  <c r="I37" i="76"/>
  <c r="L37" i="76" s="1"/>
  <c r="J37" i="76"/>
  <c r="K37" i="76"/>
  <c r="O37" i="76"/>
  <c r="Q37" i="76" s="1"/>
  <c r="U37" i="76"/>
  <c r="V37" i="76" s="1"/>
  <c r="X37" i="76"/>
  <c r="Y37" i="76"/>
  <c r="AC37" i="76"/>
  <c r="AD37" i="76"/>
  <c r="AE37" i="76"/>
  <c r="AZ37" i="76" s="1"/>
  <c r="BF37" i="76" s="1"/>
  <c r="AJ37" i="76"/>
  <c r="AK37" i="76"/>
  <c r="AL37" i="76"/>
  <c r="AQ37" i="76"/>
  <c r="AR37" i="76"/>
  <c r="AS37" i="76"/>
  <c r="D38" i="76"/>
  <c r="G38" i="76" s="1"/>
  <c r="H38" i="76" s="1"/>
  <c r="E38" i="76"/>
  <c r="F38" i="76"/>
  <c r="I38" i="76"/>
  <c r="L38" i="76" s="1"/>
  <c r="J38" i="76"/>
  <c r="K38" i="76"/>
  <c r="O38" i="76"/>
  <c r="Q38" i="76" s="1"/>
  <c r="U38" i="76"/>
  <c r="V38" i="76"/>
  <c r="X38" i="76"/>
  <c r="Y38" i="76"/>
  <c r="AC38" i="76"/>
  <c r="AD38" i="76"/>
  <c r="AE38" i="76"/>
  <c r="AJ38" i="76"/>
  <c r="AK38" i="76"/>
  <c r="AL38" i="76"/>
  <c r="AQ38" i="76"/>
  <c r="AR38" i="76"/>
  <c r="AS38" i="76"/>
  <c r="D39" i="76"/>
  <c r="G39" i="76" s="1"/>
  <c r="H39" i="76" s="1"/>
  <c r="E39" i="76"/>
  <c r="F39" i="76"/>
  <c r="I39" i="76"/>
  <c r="L39" i="76" s="1"/>
  <c r="J39" i="76"/>
  <c r="K39" i="76"/>
  <c r="O39" i="76"/>
  <c r="Q39" i="76" s="1"/>
  <c r="U39" i="76"/>
  <c r="V39" i="76" s="1"/>
  <c r="X39" i="76"/>
  <c r="Y39" i="76"/>
  <c r="AC39" i="76"/>
  <c r="AD39" i="76"/>
  <c r="AE39" i="76"/>
  <c r="AJ39" i="76"/>
  <c r="AK39" i="76"/>
  <c r="AL39" i="76"/>
  <c r="AQ39" i="76"/>
  <c r="AR39" i="76"/>
  <c r="AS39" i="76"/>
  <c r="D40" i="76"/>
  <c r="G40" i="76" s="1"/>
  <c r="H40" i="76" s="1"/>
  <c r="E40" i="76"/>
  <c r="F40" i="76"/>
  <c r="I40" i="76"/>
  <c r="L40" i="76" s="1"/>
  <c r="J40" i="76"/>
  <c r="K40" i="76"/>
  <c r="O40" i="76"/>
  <c r="Q40" i="76" s="1"/>
  <c r="U40" i="76"/>
  <c r="V40" i="76" s="1"/>
  <c r="X40" i="76"/>
  <c r="Y40" i="76"/>
  <c r="AC40" i="76"/>
  <c r="AD40" i="76"/>
  <c r="AE40" i="76"/>
  <c r="AJ40" i="76"/>
  <c r="AK40" i="76"/>
  <c r="AL40" i="76"/>
  <c r="AQ40" i="76"/>
  <c r="AR40" i="76"/>
  <c r="AS40" i="76"/>
  <c r="D41" i="76"/>
  <c r="G41" i="76" s="1"/>
  <c r="H41" i="76" s="1"/>
  <c r="E41" i="76"/>
  <c r="F41" i="76"/>
  <c r="I41" i="76"/>
  <c r="L41" i="76" s="1"/>
  <c r="J41" i="76"/>
  <c r="K41" i="76"/>
  <c r="O41" i="76"/>
  <c r="U41" i="76"/>
  <c r="V41" i="76" s="1"/>
  <c r="X41" i="76"/>
  <c r="Y41" i="76"/>
  <c r="AC41" i="76"/>
  <c r="AD41" i="76"/>
  <c r="AE41" i="76"/>
  <c r="AJ41" i="76"/>
  <c r="AK41" i="76"/>
  <c r="AL41" i="76"/>
  <c r="AQ41" i="76"/>
  <c r="AR41" i="76"/>
  <c r="AS41" i="76"/>
  <c r="D42" i="76"/>
  <c r="G42" i="76" s="1"/>
  <c r="H42" i="76" s="1"/>
  <c r="E42" i="76"/>
  <c r="F42" i="76"/>
  <c r="I42" i="76"/>
  <c r="L42" i="76" s="1"/>
  <c r="J42" i="76"/>
  <c r="K42" i="76"/>
  <c r="O42" i="76"/>
  <c r="Q42" i="76" s="1"/>
  <c r="U42" i="76"/>
  <c r="V42" i="76" s="1"/>
  <c r="X42" i="76"/>
  <c r="Y42" i="76"/>
  <c r="AC42" i="76"/>
  <c r="AD42" i="76"/>
  <c r="AE42" i="76"/>
  <c r="AJ42" i="76"/>
  <c r="AK42" i="76"/>
  <c r="AL42" i="76"/>
  <c r="AQ42" i="76"/>
  <c r="AR42" i="76"/>
  <c r="AS42" i="76"/>
  <c r="D43" i="76"/>
  <c r="G43" i="76" s="1"/>
  <c r="H43" i="76" s="1"/>
  <c r="E43" i="76"/>
  <c r="F43" i="76"/>
  <c r="I43" i="76"/>
  <c r="L43" i="76" s="1"/>
  <c r="J43" i="76"/>
  <c r="K43" i="76"/>
  <c r="O43" i="76"/>
  <c r="Q43" i="76" s="1"/>
  <c r="U43" i="76"/>
  <c r="V43" i="76" s="1"/>
  <c r="X43" i="76"/>
  <c r="Y43" i="76"/>
  <c r="AC43" i="76"/>
  <c r="AD43" i="76"/>
  <c r="AE43" i="76"/>
  <c r="AJ43" i="76"/>
  <c r="AK43" i="76"/>
  <c r="AL43" i="76"/>
  <c r="AQ43" i="76"/>
  <c r="AR43" i="76"/>
  <c r="AS43" i="76"/>
  <c r="D44" i="76"/>
  <c r="G44" i="76" s="1"/>
  <c r="H44" i="76" s="1"/>
  <c r="E44" i="76"/>
  <c r="F44" i="76"/>
  <c r="I44" i="76"/>
  <c r="L44" i="76" s="1"/>
  <c r="J44" i="76"/>
  <c r="K44" i="76"/>
  <c r="O44" i="76"/>
  <c r="Q44" i="76" s="1"/>
  <c r="U44" i="76"/>
  <c r="V44" i="76" s="1"/>
  <c r="X44" i="76"/>
  <c r="Y44" i="76"/>
  <c r="AC44" i="76"/>
  <c r="AD44" i="76"/>
  <c r="AE44" i="76"/>
  <c r="AJ44" i="76"/>
  <c r="AK44" i="76"/>
  <c r="AL44" i="76"/>
  <c r="AQ44" i="76"/>
  <c r="AR44" i="76"/>
  <c r="AS44" i="76"/>
  <c r="D45" i="76"/>
  <c r="G45" i="76" s="1"/>
  <c r="H45" i="76" s="1"/>
  <c r="E45" i="76"/>
  <c r="F45" i="76"/>
  <c r="I45" i="76"/>
  <c r="L45" i="76" s="1"/>
  <c r="J45" i="76"/>
  <c r="K45" i="76"/>
  <c r="O45" i="76"/>
  <c r="Q45" i="76" s="1"/>
  <c r="U45" i="76"/>
  <c r="V45" i="76" s="1"/>
  <c r="X45" i="76"/>
  <c r="Y45" i="76"/>
  <c r="AC45" i="76"/>
  <c r="AD45" i="76"/>
  <c r="AE45" i="76"/>
  <c r="AJ45" i="76"/>
  <c r="AK45" i="76"/>
  <c r="AL45" i="76"/>
  <c r="AQ45" i="76"/>
  <c r="AR45" i="76"/>
  <c r="AS45" i="76"/>
  <c r="D46" i="76"/>
  <c r="G46" i="76" s="1"/>
  <c r="H46" i="76" s="1"/>
  <c r="E46" i="76"/>
  <c r="F46" i="76"/>
  <c r="I46" i="76"/>
  <c r="L46" i="76" s="1"/>
  <c r="J46" i="76"/>
  <c r="K46" i="76"/>
  <c r="O46" i="76"/>
  <c r="Q46" i="76" s="1"/>
  <c r="U46" i="76"/>
  <c r="V46" i="76" s="1"/>
  <c r="X46" i="76"/>
  <c r="Y46" i="76"/>
  <c r="AC46" i="76"/>
  <c r="AD46" i="76"/>
  <c r="AE46" i="76"/>
  <c r="AJ46" i="76"/>
  <c r="AK46" i="76"/>
  <c r="AL46" i="76"/>
  <c r="AQ46" i="76"/>
  <c r="AR46" i="76"/>
  <c r="AS46" i="76"/>
  <c r="D47" i="76"/>
  <c r="E47" i="76"/>
  <c r="F47" i="76"/>
  <c r="G47" i="76"/>
  <c r="H47" i="76" s="1"/>
  <c r="I47" i="76"/>
  <c r="L47" i="76" s="1"/>
  <c r="J47" i="76"/>
  <c r="K47" i="76"/>
  <c r="O47" i="76"/>
  <c r="Q47" i="76" s="1"/>
  <c r="U47" i="76"/>
  <c r="V47" i="76" s="1"/>
  <c r="X47" i="76"/>
  <c r="Y47" i="76"/>
  <c r="AC47" i="76"/>
  <c r="AD47" i="76"/>
  <c r="AE47" i="76"/>
  <c r="AJ47" i="76"/>
  <c r="AK47" i="76"/>
  <c r="AL47" i="76"/>
  <c r="AQ47" i="76"/>
  <c r="AR47" i="76"/>
  <c r="AS47" i="76"/>
  <c r="D48" i="76"/>
  <c r="G48" i="76" s="1"/>
  <c r="H48" i="76" s="1"/>
  <c r="E48" i="76"/>
  <c r="F48" i="76"/>
  <c r="I48" i="76"/>
  <c r="L48" i="76" s="1"/>
  <c r="J48" i="76"/>
  <c r="K48" i="76"/>
  <c r="O48" i="76"/>
  <c r="Q48" i="76" s="1"/>
  <c r="U48" i="76"/>
  <c r="V48" i="76" s="1"/>
  <c r="X48" i="76"/>
  <c r="Y48" i="76"/>
  <c r="AC48" i="76"/>
  <c r="AD48" i="76"/>
  <c r="AE48" i="76"/>
  <c r="AJ48" i="76"/>
  <c r="AK48" i="76"/>
  <c r="AL48" i="76"/>
  <c r="AQ48" i="76"/>
  <c r="AR48" i="76"/>
  <c r="AS48" i="76"/>
  <c r="D27" i="72"/>
  <c r="E27" i="72"/>
  <c r="G27" i="72" s="1"/>
  <c r="I27" i="72"/>
  <c r="K27" i="72"/>
  <c r="L27" i="72"/>
  <c r="O27" i="72"/>
  <c r="S27" i="72"/>
  <c r="T27" i="72" s="1"/>
  <c r="V27" i="72"/>
  <c r="W27" i="72"/>
  <c r="AA27" i="72"/>
  <c r="AB27" i="72"/>
  <c r="AC27" i="72"/>
  <c r="AH27" i="72"/>
  <c r="AI27" i="72"/>
  <c r="AJ27" i="72"/>
  <c r="AO27" i="72"/>
  <c r="AP27" i="72"/>
  <c r="AQ27" i="72"/>
  <c r="AV27" i="72"/>
  <c r="AW27" i="72"/>
  <c r="AX27" i="72"/>
  <c r="BC27" i="72"/>
  <c r="BD27" i="72"/>
  <c r="BE27" i="72"/>
  <c r="BT27" i="72"/>
  <c r="BU27" i="72"/>
  <c r="D28" i="72"/>
  <c r="E28" i="72"/>
  <c r="I28" i="72"/>
  <c r="K28" i="72"/>
  <c r="L28" i="72"/>
  <c r="O28" i="72"/>
  <c r="S28" i="72"/>
  <c r="T28" i="72" s="1"/>
  <c r="V28" i="72"/>
  <c r="W28" i="72"/>
  <c r="AA28" i="72"/>
  <c r="AB28" i="72"/>
  <c r="AC28" i="72"/>
  <c r="AH28" i="72"/>
  <c r="AI28" i="72"/>
  <c r="AJ28" i="72"/>
  <c r="AO28" i="72"/>
  <c r="AP28" i="72"/>
  <c r="AQ28" i="72"/>
  <c r="AV28" i="72"/>
  <c r="AW28" i="72"/>
  <c r="AX28" i="72"/>
  <c r="BC28" i="72"/>
  <c r="BD28" i="72"/>
  <c r="BE28" i="72"/>
  <c r="BT28" i="72"/>
  <c r="G28" i="72" s="1"/>
  <c r="BU28" i="72"/>
  <c r="D29" i="72"/>
  <c r="E29" i="72"/>
  <c r="I29" i="72"/>
  <c r="K29" i="72"/>
  <c r="L29" i="72"/>
  <c r="O29" i="72"/>
  <c r="S29" i="72"/>
  <c r="T29" i="72" s="1"/>
  <c r="V29" i="72"/>
  <c r="W29" i="72"/>
  <c r="AA29" i="72"/>
  <c r="AB29" i="72"/>
  <c r="AC29" i="72"/>
  <c r="AH29" i="72"/>
  <c r="AI29" i="72"/>
  <c r="AJ29" i="72"/>
  <c r="AO29" i="72"/>
  <c r="AP29" i="72"/>
  <c r="AQ29" i="72"/>
  <c r="AV29" i="72"/>
  <c r="AW29" i="72"/>
  <c r="AX29" i="72"/>
  <c r="BC29" i="72"/>
  <c r="BD29" i="72"/>
  <c r="BE29" i="72"/>
  <c r="BT29" i="72"/>
  <c r="BU29" i="72"/>
  <c r="D30" i="72"/>
  <c r="E30" i="72"/>
  <c r="I30" i="72"/>
  <c r="K30" i="72"/>
  <c r="L30" i="72"/>
  <c r="O30" i="72"/>
  <c r="S30" i="72"/>
  <c r="T30" i="72" s="1"/>
  <c r="V30" i="72"/>
  <c r="W30" i="72"/>
  <c r="AA30" i="72"/>
  <c r="AB30" i="72"/>
  <c r="AC30" i="72"/>
  <c r="AH30" i="72"/>
  <c r="AI30" i="72"/>
  <c r="AJ30" i="72"/>
  <c r="AO30" i="72"/>
  <c r="AP30" i="72"/>
  <c r="AQ30" i="72"/>
  <c r="AV30" i="72"/>
  <c r="AW30" i="72"/>
  <c r="AX30" i="72"/>
  <c r="BC30" i="72"/>
  <c r="BD30" i="72"/>
  <c r="BE30" i="72"/>
  <c r="BT30" i="72"/>
  <c r="BU30" i="72"/>
  <c r="D31" i="72"/>
  <c r="E31" i="72"/>
  <c r="I31" i="72"/>
  <c r="K31" i="72"/>
  <c r="L31" i="72"/>
  <c r="O31" i="72"/>
  <c r="S31" i="72"/>
  <c r="T31" i="72" s="1"/>
  <c r="V31" i="72"/>
  <c r="W31" i="72"/>
  <c r="AA31" i="72"/>
  <c r="AB31" i="72"/>
  <c r="AC31" i="72"/>
  <c r="AH31" i="72"/>
  <c r="AI31" i="72"/>
  <c r="AJ31" i="72"/>
  <c r="AO31" i="72"/>
  <c r="AP31" i="72"/>
  <c r="AQ31" i="72"/>
  <c r="AV31" i="72"/>
  <c r="AW31" i="72"/>
  <c r="AX31" i="72"/>
  <c r="BC31" i="72"/>
  <c r="BD31" i="72"/>
  <c r="BE31" i="72"/>
  <c r="BT31" i="72"/>
  <c r="BU31" i="72"/>
  <c r="D32" i="72"/>
  <c r="E32" i="72"/>
  <c r="I32" i="72"/>
  <c r="K32" i="72"/>
  <c r="L32" i="72"/>
  <c r="O32" i="72"/>
  <c r="S32" i="72"/>
  <c r="T32" i="72" s="1"/>
  <c r="V32" i="72"/>
  <c r="W32" i="72"/>
  <c r="AA32" i="72"/>
  <c r="AB32" i="72"/>
  <c r="AC32" i="72"/>
  <c r="AH32" i="72"/>
  <c r="AI32" i="72"/>
  <c r="AJ32" i="72"/>
  <c r="AO32" i="72"/>
  <c r="AP32" i="72"/>
  <c r="AQ32" i="72"/>
  <c r="AV32" i="72"/>
  <c r="AW32" i="72"/>
  <c r="AX32" i="72"/>
  <c r="BC32" i="72"/>
  <c r="BD32" i="72"/>
  <c r="BE32" i="72"/>
  <c r="BT32" i="72"/>
  <c r="BU32" i="72"/>
  <c r="D33" i="72"/>
  <c r="E33" i="72"/>
  <c r="G33" i="72" s="1"/>
  <c r="I33" i="72"/>
  <c r="K33" i="72"/>
  <c r="L33" i="72"/>
  <c r="O33" i="72"/>
  <c r="S33" i="72"/>
  <c r="T33" i="72" s="1"/>
  <c r="V33" i="72"/>
  <c r="W33" i="72"/>
  <c r="AA33" i="72"/>
  <c r="AB33" i="72"/>
  <c r="AC33" i="72"/>
  <c r="AH33" i="72"/>
  <c r="AI33" i="72"/>
  <c r="AJ33" i="72"/>
  <c r="BK33" i="72" s="1"/>
  <c r="BQ33" i="72" s="1"/>
  <c r="AO33" i="72"/>
  <c r="AP33" i="72"/>
  <c r="AQ33" i="72"/>
  <c r="AV33" i="72"/>
  <c r="AW33" i="72"/>
  <c r="AX33" i="72"/>
  <c r="BC33" i="72"/>
  <c r="BD33" i="72"/>
  <c r="BE33" i="72"/>
  <c r="BT33" i="72"/>
  <c r="BU33" i="72"/>
  <c r="D34" i="72"/>
  <c r="E34" i="72"/>
  <c r="I34" i="72"/>
  <c r="K34" i="72"/>
  <c r="L34" i="72"/>
  <c r="O34" i="72"/>
  <c r="S34" i="72"/>
  <c r="T34" i="72" s="1"/>
  <c r="V34" i="72"/>
  <c r="W34" i="72"/>
  <c r="AA34" i="72"/>
  <c r="AB34" i="72"/>
  <c r="AC34" i="72"/>
  <c r="AH34" i="72"/>
  <c r="AI34" i="72"/>
  <c r="AJ34" i="72"/>
  <c r="AO34" i="72"/>
  <c r="AP34" i="72"/>
  <c r="AQ34" i="72"/>
  <c r="AV34" i="72"/>
  <c r="AW34" i="72"/>
  <c r="AX34" i="72"/>
  <c r="BC34" i="72"/>
  <c r="BD34" i="72"/>
  <c r="BE34" i="72"/>
  <c r="BT34" i="72"/>
  <c r="BU34" i="72"/>
  <c r="D35" i="72"/>
  <c r="E35" i="72"/>
  <c r="I35" i="72"/>
  <c r="K35" i="72"/>
  <c r="L35" i="72"/>
  <c r="O35" i="72"/>
  <c r="S35" i="72"/>
  <c r="T35" i="72" s="1"/>
  <c r="V35" i="72"/>
  <c r="W35" i="72"/>
  <c r="AA35" i="72"/>
  <c r="AB35" i="72"/>
  <c r="AC35" i="72"/>
  <c r="AH35" i="72"/>
  <c r="AI35" i="72"/>
  <c r="AJ35" i="72"/>
  <c r="AO35" i="72"/>
  <c r="AP35" i="72"/>
  <c r="AQ35" i="72"/>
  <c r="AV35" i="72"/>
  <c r="AW35" i="72"/>
  <c r="AX35" i="72"/>
  <c r="BC35" i="72"/>
  <c r="BD35" i="72"/>
  <c r="BE35" i="72"/>
  <c r="BT35" i="72"/>
  <c r="BU35" i="72"/>
  <c r="D36" i="72"/>
  <c r="E36" i="72"/>
  <c r="I36" i="72"/>
  <c r="K36" i="72"/>
  <c r="L36" i="72"/>
  <c r="O36" i="72"/>
  <c r="S36" i="72"/>
  <c r="T36" i="72" s="1"/>
  <c r="V36" i="72"/>
  <c r="W36" i="72"/>
  <c r="AA36" i="72"/>
  <c r="AB36" i="72"/>
  <c r="AC36" i="72"/>
  <c r="AH36" i="72"/>
  <c r="AI36" i="72"/>
  <c r="AJ36" i="72"/>
  <c r="AO36" i="72"/>
  <c r="AP36" i="72"/>
  <c r="AQ36" i="72"/>
  <c r="AV36" i="72"/>
  <c r="AW36" i="72"/>
  <c r="AX36" i="72"/>
  <c r="BC36" i="72"/>
  <c r="BD36" i="72"/>
  <c r="BE36" i="72"/>
  <c r="BT36" i="72"/>
  <c r="BU36" i="72"/>
  <c r="D37" i="72"/>
  <c r="E37" i="72"/>
  <c r="I37" i="72"/>
  <c r="K37" i="72"/>
  <c r="L37" i="72"/>
  <c r="O37" i="72"/>
  <c r="S37" i="72"/>
  <c r="T37" i="72" s="1"/>
  <c r="V37" i="72"/>
  <c r="W37" i="72"/>
  <c r="AA37" i="72"/>
  <c r="AB37" i="72"/>
  <c r="AC37" i="72"/>
  <c r="AH37" i="72"/>
  <c r="AI37" i="72"/>
  <c r="AJ37" i="72"/>
  <c r="AO37" i="72"/>
  <c r="AP37" i="72"/>
  <c r="AQ37" i="72"/>
  <c r="AV37" i="72"/>
  <c r="AW37" i="72"/>
  <c r="AX37" i="72"/>
  <c r="BC37" i="72"/>
  <c r="BD37" i="72"/>
  <c r="BE37" i="72"/>
  <c r="BT37" i="72"/>
  <c r="BU37" i="72"/>
  <c r="D38" i="72"/>
  <c r="E38" i="72"/>
  <c r="I38" i="72"/>
  <c r="K38" i="72"/>
  <c r="L38" i="72"/>
  <c r="O38" i="72"/>
  <c r="S38" i="72"/>
  <c r="T38" i="72" s="1"/>
  <c r="V38" i="72"/>
  <c r="W38" i="72"/>
  <c r="AA38" i="72"/>
  <c r="AB38" i="72"/>
  <c r="AC38" i="72"/>
  <c r="AH38" i="72"/>
  <c r="AI38" i="72"/>
  <c r="AJ38" i="72"/>
  <c r="AO38" i="72"/>
  <c r="AP38" i="72"/>
  <c r="AQ38" i="72"/>
  <c r="AV38" i="72"/>
  <c r="AW38" i="72"/>
  <c r="AX38" i="72"/>
  <c r="BC38" i="72"/>
  <c r="BD38" i="72"/>
  <c r="BE38" i="72"/>
  <c r="BT38" i="72"/>
  <c r="BU38" i="72"/>
  <c r="D39" i="72"/>
  <c r="E39" i="72"/>
  <c r="I39" i="72"/>
  <c r="K39" i="72"/>
  <c r="L39" i="72"/>
  <c r="O39" i="72"/>
  <c r="S39" i="72"/>
  <c r="T39" i="72" s="1"/>
  <c r="V39" i="72"/>
  <c r="W39" i="72"/>
  <c r="AA39" i="72"/>
  <c r="AB39" i="72"/>
  <c r="AC39" i="72"/>
  <c r="AH39" i="72"/>
  <c r="AI39" i="72"/>
  <c r="AJ39" i="72"/>
  <c r="AO39" i="72"/>
  <c r="AP39" i="72"/>
  <c r="AQ39" i="72"/>
  <c r="AV39" i="72"/>
  <c r="AW39" i="72"/>
  <c r="AX39" i="72"/>
  <c r="BC39" i="72"/>
  <c r="BD39" i="72"/>
  <c r="BE39" i="72"/>
  <c r="BT39" i="72"/>
  <c r="BU39" i="72"/>
  <c r="D40" i="72"/>
  <c r="E40" i="72"/>
  <c r="I40" i="72"/>
  <c r="K40" i="72"/>
  <c r="L40" i="72"/>
  <c r="O40" i="72"/>
  <c r="S40" i="72"/>
  <c r="T40" i="72" s="1"/>
  <c r="V40" i="72"/>
  <c r="W40" i="72"/>
  <c r="AA40" i="72"/>
  <c r="AB40" i="72"/>
  <c r="AC40" i="72"/>
  <c r="AH40" i="72"/>
  <c r="AI40" i="72"/>
  <c r="AJ40" i="72"/>
  <c r="AO40" i="72"/>
  <c r="AP40" i="72"/>
  <c r="AQ40" i="72"/>
  <c r="AV40" i="72"/>
  <c r="AW40" i="72"/>
  <c r="AX40" i="72"/>
  <c r="BC40" i="72"/>
  <c r="BD40" i="72"/>
  <c r="BE40" i="72"/>
  <c r="BT40" i="72"/>
  <c r="BU40" i="72"/>
  <c r="D41" i="72"/>
  <c r="E41" i="72"/>
  <c r="I41" i="72"/>
  <c r="K41" i="72"/>
  <c r="L41" i="72"/>
  <c r="O41" i="72"/>
  <c r="S41" i="72"/>
  <c r="T41" i="72" s="1"/>
  <c r="V41" i="72"/>
  <c r="W41" i="72"/>
  <c r="AA41" i="72"/>
  <c r="AB41" i="72"/>
  <c r="AC41" i="72"/>
  <c r="AH41" i="72"/>
  <c r="AI41" i="72"/>
  <c r="AJ41" i="72"/>
  <c r="AO41" i="72"/>
  <c r="AP41" i="72"/>
  <c r="AQ41" i="72"/>
  <c r="AV41" i="72"/>
  <c r="AW41" i="72"/>
  <c r="AX41" i="72"/>
  <c r="BC41" i="72"/>
  <c r="BD41" i="72"/>
  <c r="BE41" i="72"/>
  <c r="BT41" i="72"/>
  <c r="BU41" i="72"/>
  <c r="D42" i="72"/>
  <c r="E42" i="72"/>
  <c r="I42" i="72"/>
  <c r="K42" i="72"/>
  <c r="L42" i="72"/>
  <c r="O42" i="72"/>
  <c r="S42" i="72"/>
  <c r="T42" i="72"/>
  <c r="V42" i="72"/>
  <c r="W42" i="72"/>
  <c r="AA42" i="72"/>
  <c r="AB42" i="72"/>
  <c r="AC42" i="72"/>
  <c r="AH42" i="72"/>
  <c r="AI42" i="72"/>
  <c r="AJ42" i="72"/>
  <c r="AO42" i="72"/>
  <c r="AP42" i="72"/>
  <c r="AQ42" i="72"/>
  <c r="AV42" i="72"/>
  <c r="AW42" i="72"/>
  <c r="AX42" i="72"/>
  <c r="BC42" i="72"/>
  <c r="BD42" i="72"/>
  <c r="BE42" i="72"/>
  <c r="BT42" i="72"/>
  <c r="BU42" i="72"/>
  <c r="D43" i="72"/>
  <c r="E43" i="72"/>
  <c r="I43" i="72"/>
  <c r="K43" i="72"/>
  <c r="L43" i="72"/>
  <c r="O43" i="72"/>
  <c r="S43" i="72"/>
  <c r="T43" i="72" s="1"/>
  <c r="V43" i="72"/>
  <c r="W43" i="72"/>
  <c r="AA43" i="72"/>
  <c r="AB43" i="72"/>
  <c r="AC43" i="72"/>
  <c r="AH43" i="72"/>
  <c r="AI43" i="72"/>
  <c r="AJ43" i="72"/>
  <c r="AO43" i="72"/>
  <c r="AP43" i="72"/>
  <c r="AQ43" i="72"/>
  <c r="AV43" i="72"/>
  <c r="AW43" i="72"/>
  <c r="AX43" i="72"/>
  <c r="BC43" i="72"/>
  <c r="BD43" i="72"/>
  <c r="BE43" i="72"/>
  <c r="BT43" i="72"/>
  <c r="BU43" i="72"/>
  <c r="D44" i="72"/>
  <c r="G44" i="72" s="1"/>
  <c r="E44" i="72"/>
  <c r="I44" i="72"/>
  <c r="K44" i="72"/>
  <c r="L44" i="72"/>
  <c r="O44" i="72"/>
  <c r="S44" i="72"/>
  <c r="T44" i="72" s="1"/>
  <c r="V44" i="72"/>
  <c r="W44" i="72"/>
  <c r="AA44" i="72"/>
  <c r="AB44" i="72"/>
  <c r="AC44" i="72"/>
  <c r="AH44" i="72"/>
  <c r="AI44" i="72"/>
  <c r="AJ44" i="72"/>
  <c r="AO44" i="72"/>
  <c r="AP44" i="72"/>
  <c r="AQ44" i="72"/>
  <c r="AV44" i="72"/>
  <c r="AW44" i="72"/>
  <c r="AX44" i="72"/>
  <c r="BC44" i="72"/>
  <c r="BD44" i="72"/>
  <c r="BE44" i="72"/>
  <c r="BT44" i="72"/>
  <c r="BU44" i="72"/>
  <c r="D45" i="72"/>
  <c r="E45" i="72"/>
  <c r="I45" i="72"/>
  <c r="K45" i="72"/>
  <c r="L45" i="72"/>
  <c r="O45" i="72"/>
  <c r="S45" i="72"/>
  <c r="T45" i="72" s="1"/>
  <c r="V45" i="72"/>
  <c r="W45" i="72"/>
  <c r="AA45" i="72"/>
  <c r="AB45" i="72"/>
  <c r="AC45" i="72"/>
  <c r="AH45" i="72"/>
  <c r="AI45" i="72"/>
  <c r="AJ45" i="72"/>
  <c r="AO45" i="72"/>
  <c r="AP45" i="72"/>
  <c r="AQ45" i="72"/>
  <c r="AV45" i="72"/>
  <c r="AW45" i="72"/>
  <c r="AX45" i="72"/>
  <c r="BC45" i="72"/>
  <c r="BD45" i="72"/>
  <c r="BE45" i="72"/>
  <c r="BT45" i="72"/>
  <c r="BU45" i="72"/>
  <c r="D46" i="72"/>
  <c r="E46" i="72"/>
  <c r="I46" i="72"/>
  <c r="K46" i="72"/>
  <c r="L46" i="72"/>
  <c r="O46" i="72"/>
  <c r="S46" i="72"/>
  <c r="T46" i="72" s="1"/>
  <c r="V46" i="72"/>
  <c r="W46" i="72"/>
  <c r="AA46" i="72"/>
  <c r="AB46" i="72"/>
  <c r="AC46" i="72"/>
  <c r="AH46" i="72"/>
  <c r="AI46" i="72"/>
  <c r="AJ46" i="72"/>
  <c r="AO46" i="72"/>
  <c r="AP46" i="72"/>
  <c r="AQ46" i="72"/>
  <c r="AV46" i="72"/>
  <c r="AW46" i="72"/>
  <c r="AX46" i="72"/>
  <c r="BC46" i="72"/>
  <c r="BD46" i="72"/>
  <c r="BE46" i="72"/>
  <c r="BT46" i="72"/>
  <c r="BU46" i="72"/>
  <c r="D47" i="72"/>
  <c r="E47" i="72"/>
  <c r="I47" i="72"/>
  <c r="K47" i="72"/>
  <c r="L47" i="72"/>
  <c r="O47" i="72"/>
  <c r="S47" i="72"/>
  <c r="T47" i="72" s="1"/>
  <c r="V47" i="72"/>
  <c r="W47" i="72"/>
  <c r="AA47" i="72"/>
  <c r="AB47" i="72"/>
  <c r="AC47" i="72"/>
  <c r="AH47" i="72"/>
  <c r="AI47" i="72"/>
  <c r="AJ47" i="72"/>
  <c r="AO47" i="72"/>
  <c r="AP47" i="72"/>
  <c r="AQ47" i="72"/>
  <c r="AV47" i="72"/>
  <c r="AW47" i="72"/>
  <c r="AX47" i="72"/>
  <c r="BC47" i="72"/>
  <c r="BD47" i="72"/>
  <c r="BE47" i="72"/>
  <c r="BT47" i="72"/>
  <c r="BU47" i="72"/>
  <c r="AW36" i="77" l="1"/>
  <c r="BC36" i="77" s="1"/>
  <c r="Q38" i="77"/>
  <c r="S38" i="77"/>
  <c r="T38" i="77" s="1"/>
  <c r="Q47" i="77"/>
  <c r="S47" i="77"/>
  <c r="T47" i="77" s="1"/>
  <c r="Q33" i="77"/>
  <c r="S33" i="77" s="1"/>
  <c r="T33" i="77" s="1"/>
  <c r="Q42" i="77"/>
  <c r="S42" i="77"/>
  <c r="T42" i="77" s="1"/>
  <c r="Q36" i="77"/>
  <c r="S36" i="77"/>
  <c r="T36" i="77" s="1"/>
  <c r="Q32" i="77"/>
  <c r="S32" i="77" s="1"/>
  <c r="T32" i="77" s="1"/>
  <c r="Q50" i="77"/>
  <c r="S50" i="77"/>
  <c r="T50" i="77" s="1"/>
  <c r="Q46" i="77"/>
  <c r="S46" i="77"/>
  <c r="T46" i="77" s="1"/>
  <c r="Q41" i="77"/>
  <c r="S41" i="77"/>
  <c r="T41" i="77" s="1"/>
  <c r="Q45" i="77"/>
  <c r="S45" i="77"/>
  <c r="T45" i="77" s="1"/>
  <c r="Q40" i="77"/>
  <c r="S40" i="77"/>
  <c r="T40" i="77" s="1"/>
  <c r="Q35" i="77"/>
  <c r="S35" i="77"/>
  <c r="T35" i="77" s="1"/>
  <c r="Q48" i="77"/>
  <c r="S48" i="77"/>
  <c r="T48" i="77" s="1"/>
  <c r="Q44" i="77"/>
  <c r="S44" i="77"/>
  <c r="T44" i="77" s="1"/>
  <c r="Q39" i="77"/>
  <c r="S39" i="77"/>
  <c r="T39" i="77" s="1"/>
  <c r="Q34" i="77"/>
  <c r="S34" i="77"/>
  <c r="T34" i="77" s="1"/>
  <c r="Q30" i="77"/>
  <c r="S30" i="77"/>
  <c r="T30" i="77" s="1"/>
  <c r="G38" i="72"/>
  <c r="G36" i="72"/>
  <c r="G46" i="72"/>
  <c r="G45" i="72"/>
  <c r="G32" i="72"/>
  <c r="G31" i="72"/>
  <c r="AZ31" i="76"/>
  <c r="BF31" i="76" s="1"/>
  <c r="AZ29" i="76"/>
  <c r="BF29" i="76" s="1"/>
  <c r="AX45" i="76"/>
  <c r="BD45" i="76" s="1"/>
  <c r="AW34" i="76"/>
  <c r="BC34" i="76" s="1"/>
  <c r="AW47" i="77"/>
  <c r="BC47" i="77" s="1"/>
  <c r="AX41" i="77"/>
  <c r="BD41" i="77" s="1"/>
  <c r="AX34" i="77"/>
  <c r="BD34" i="77" s="1"/>
  <c r="L47" i="78"/>
  <c r="L43" i="78"/>
  <c r="L38" i="78"/>
  <c r="L32" i="78"/>
  <c r="L50" i="78"/>
  <c r="L49" i="78"/>
  <c r="L36" i="78"/>
  <c r="L41" i="78"/>
  <c r="AX36" i="83"/>
  <c r="BD36" i="83" s="1"/>
  <c r="AZ40" i="83"/>
  <c r="BF40" i="83" s="1"/>
  <c r="AZ32" i="84"/>
  <c r="BF32" i="84" s="1"/>
  <c r="AY39" i="84"/>
  <c r="BE39" i="84" s="1"/>
  <c r="AY33" i="84"/>
  <c r="BE33" i="84" s="1"/>
  <c r="BB36" i="84"/>
  <c r="BH36" i="84" s="1"/>
  <c r="BB34" i="84"/>
  <c r="BH34" i="84" s="1"/>
  <c r="BB31" i="84"/>
  <c r="BH31" i="84" s="1"/>
  <c r="BB30" i="84"/>
  <c r="BH30" i="84" s="1"/>
  <c r="AZ38" i="84"/>
  <c r="BF38" i="84" s="1"/>
  <c r="AZ37" i="84"/>
  <c r="BF37" i="84" s="1"/>
  <c r="AZ29" i="84"/>
  <c r="BF29" i="84" s="1"/>
  <c r="AZ35" i="84"/>
  <c r="BF35" i="84" s="1"/>
  <c r="AY36" i="84"/>
  <c r="BE36" i="84" s="1"/>
  <c r="BB39" i="84"/>
  <c r="BH39" i="84" s="1"/>
  <c r="AX32" i="84"/>
  <c r="BD32" i="84" s="1"/>
  <c r="BB33" i="84"/>
  <c r="BH33" i="84" s="1"/>
  <c r="AX38" i="84"/>
  <c r="BD38" i="84" s="1"/>
  <c r="BA38" i="84"/>
  <c r="BG38" i="84" s="1"/>
  <c r="BB33" i="83"/>
  <c r="BH33" i="83" s="1"/>
  <c r="BB31" i="83"/>
  <c r="BH31" i="83" s="1"/>
  <c r="AY30" i="83"/>
  <c r="BE30" i="83" s="1"/>
  <c r="BA38" i="83"/>
  <c r="BG38" i="83" s="1"/>
  <c r="AY36" i="83"/>
  <c r="BE36" i="83" s="1"/>
  <c r="AX35" i="83"/>
  <c r="BD35" i="83" s="1"/>
  <c r="AX31" i="83"/>
  <c r="BD31" i="83" s="1"/>
  <c r="BB39" i="83"/>
  <c r="BH39" i="83" s="1"/>
  <c r="BS35" i="79"/>
  <c r="BY35" i="79" s="1"/>
  <c r="BQ32" i="79"/>
  <c r="BW32" i="79" s="1"/>
  <c r="BS49" i="79"/>
  <c r="BY49" i="79" s="1"/>
  <c r="BS48" i="79"/>
  <c r="BY48" i="79" s="1"/>
  <c r="BS40" i="79"/>
  <c r="BY40" i="79" s="1"/>
  <c r="BS38" i="79"/>
  <c r="BY38" i="79" s="1"/>
  <c r="BS41" i="79"/>
  <c r="BY41" i="79" s="1"/>
  <c r="BQ40" i="79"/>
  <c r="BW40" i="79" s="1"/>
  <c r="BS39" i="79"/>
  <c r="BY39" i="79" s="1"/>
  <c r="BT37" i="79"/>
  <c r="BZ37" i="79" s="1"/>
  <c r="BS34" i="79"/>
  <c r="BY34" i="79" s="1"/>
  <c r="BS33" i="79"/>
  <c r="BY33" i="79" s="1"/>
  <c r="BS32" i="79"/>
  <c r="BY32" i="79" s="1"/>
  <c r="BQ30" i="79"/>
  <c r="BW30" i="79" s="1"/>
  <c r="BS46" i="79"/>
  <c r="BY46" i="79" s="1"/>
  <c r="BS29" i="79"/>
  <c r="BY29" i="79" s="1"/>
  <c r="BS31" i="79"/>
  <c r="BY31" i="79" s="1"/>
  <c r="BS30" i="79"/>
  <c r="BY30" i="79" s="1"/>
  <c r="BQ46" i="79"/>
  <c r="BW46" i="79" s="1"/>
  <c r="BT43" i="79"/>
  <c r="BZ43" i="79" s="1"/>
  <c r="BQ38" i="79"/>
  <c r="BW38" i="79" s="1"/>
  <c r="AA31" i="79"/>
  <c r="AB31" i="79" s="1"/>
  <c r="BN39" i="78"/>
  <c r="BT39" i="78" s="1"/>
  <c r="BP48" i="78"/>
  <c r="BV48" i="78" s="1"/>
  <c r="BN45" i="78"/>
  <c r="BT45" i="78" s="1"/>
  <c r="BP42" i="78"/>
  <c r="BV42" i="78" s="1"/>
  <c r="BP34" i="78"/>
  <c r="BV34" i="78" s="1"/>
  <c r="BP31" i="78"/>
  <c r="BV31" i="78" s="1"/>
  <c r="BP30" i="78"/>
  <c r="BV30" i="78" s="1"/>
  <c r="BP44" i="78"/>
  <c r="BV44" i="78" s="1"/>
  <c r="BN43" i="78"/>
  <c r="BT43" i="78" s="1"/>
  <c r="BP41" i="78"/>
  <c r="BV41" i="78" s="1"/>
  <c r="BQ30" i="78"/>
  <c r="BW30" i="78" s="1"/>
  <c r="BP38" i="78"/>
  <c r="BV38" i="78" s="1"/>
  <c r="BR40" i="78"/>
  <c r="BX40" i="78" s="1"/>
  <c r="BP50" i="78"/>
  <c r="BV50" i="78" s="1"/>
  <c r="BP49" i="78"/>
  <c r="BV49" i="78" s="1"/>
  <c r="BP47" i="78"/>
  <c r="BV47" i="78" s="1"/>
  <c r="BP45" i="78"/>
  <c r="BV45" i="78" s="1"/>
  <c r="BQ40" i="78"/>
  <c r="BW40" i="78" s="1"/>
  <c r="BN33" i="78"/>
  <c r="BT33" i="78" s="1"/>
  <c r="BP36" i="78"/>
  <c r="BV36" i="78" s="1"/>
  <c r="BP35" i="78"/>
  <c r="BV35" i="78" s="1"/>
  <c r="BN35" i="78"/>
  <c r="BT35" i="78" s="1"/>
  <c r="BQ46" i="78"/>
  <c r="BW46" i="78" s="1"/>
  <c r="BP37" i="78"/>
  <c r="BV37" i="78" s="1"/>
  <c r="AR53" i="73"/>
  <c r="AX53" i="73" s="1"/>
  <c r="AT45" i="73"/>
  <c r="AZ45" i="73" s="1"/>
  <c r="AQ42" i="73"/>
  <c r="AW42" i="73" s="1"/>
  <c r="AT41" i="73"/>
  <c r="AZ41" i="73" s="1"/>
  <c r="AR40" i="73"/>
  <c r="AX40" i="73" s="1"/>
  <c r="AR41" i="73"/>
  <c r="AX41" i="73" s="1"/>
  <c r="AR49" i="73"/>
  <c r="AX49" i="73" s="1"/>
  <c r="AT39" i="73"/>
  <c r="AZ39" i="73" s="1"/>
  <c r="AS46" i="73"/>
  <c r="AY46" i="73" s="1"/>
  <c r="AT53" i="73"/>
  <c r="AZ53" i="73" s="1"/>
  <c r="AR43" i="73"/>
  <c r="AX43" i="73" s="1"/>
  <c r="AR52" i="73"/>
  <c r="AX52" i="73" s="1"/>
  <c r="AT51" i="73"/>
  <c r="AZ51" i="73" s="1"/>
  <c r="AR37" i="73"/>
  <c r="AX37" i="73" s="1"/>
  <c r="AQ54" i="73"/>
  <c r="AW54" i="73" s="1"/>
  <c r="AT52" i="73"/>
  <c r="AZ52" i="73" s="1"/>
  <c r="AT40" i="73"/>
  <c r="AZ40" i="73" s="1"/>
  <c r="AQ48" i="73"/>
  <c r="AW48" i="73" s="1"/>
  <c r="AT47" i="73"/>
  <c r="AZ47" i="73" s="1"/>
  <c r="AQ36" i="73"/>
  <c r="AW36" i="73" s="1"/>
  <c r="AT35" i="73"/>
  <c r="AZ35" i="73" s="1"/>
  <c r="AR47" i="73"/>
  <c r="AX47" i="73" s="1"/>
  <c r="AS40" i="73"/>
  <c r="AY40" i="73" s="1"/>
  <c r="AR35" i="73"/>
  <c r="AX35" i="73" s="1"/>
  <c r="AQ47" i="71"/>
  <c r="AW47" i="71" s="1"/>
  <c r="AQ39" i="71"/>
  <c r="AW39" i="71" s="1"/>
  <c r="AT37" i="71"/>
  <c r="AZ37" i="71" s="1"/>
  <c r="AR54" i="71"/>
  <c r="AX54" i="71" s="1"/>
  <c r="AR33" i="71"/>
  <c r="AX33" i="71" s="1"/>
  <c r="AS54" i="71"/>
  <c r="AY54" i="71" s="1"/>
  <c r="AQ35" i="71"/>
  <c r="AW35" i="71" s="1"/>
  <c r="AP33" i="71"/>
  <c r="AV33" i="71" s="1"/>
  <c r="AT35" i="71"/>
  <c r="AZ35" i="71" s="1"/>
  <c r="AT53" i="71"/>
  <c r="AZ53" i="71" s="1"/>
  <c r="AP51" i="71"/>
  <c r="AV51" i="71" s="1"/>
  <c r="AR45" i="71"/>
  <c r="AX45" i="71" s="1"/>
  <c r="AQ38" i="71"/>
  <c r="AW38" i="71" s="1"/>
  <c r="AS36" i="71"/>
  <c r="AY36" i="71" s="1"/>
  <c r="AQ32" i="71"/>
  <c r="AW32" i="71" s="1"/>
  <c r="AS30" i="71"/>
  <c r="AY30" i="71" s="1"/>
  <c r="AQ50" i="71"/>
  <c r="AW50" i="71" s="1"/>
  <c r="AQ53" i="71"/>
  <c r="AW53" i="71" s="1"/>
  <c r="AT47" i="71"/>
  <c r="AZ47" i="71" s="1"/>
  <c r="AR42" i="71"/>
  <c r="AX42" i="71" s="1"/>
  <c r="AR36" i="71"/>
  <c r="AX36" i="71" s="1"/>
  <c r="AR52" i="71"/>
  <c r="AX52" i="71" s="1"/>
  <c r="AQ51" i="71"/>
  <c r="AW51" i="71" s="1"/>
  <c r="AP45" i="71"/>
  <c r="AV45" i="71" s="1"/>
  <c r="AP37" i="71"/>
  <c r="AV37" i="71" s="1"/>
  <c r="AR30" i="71"/>
  <c r="AX30" i="71" s="1"/>
  <c r="AT41" i="71"/>
  <c r="AZ41" i="71" s="1"/>
  <c r="AR48" i="71"/>
  <c r="AX48" i="71" s="1"/>
  <c r="AR34" i="71"/>
  <c r="AX34" i="71" s="1"/>
  <c r="AQ33" i="71"/>
  <c r="AW33" i="71" s="1"/>
  <c r="BC34" i="75"/>
  <c r="BI34" i="75" s="1"/>
  <c r="BE37" i="75"/>
  <c r="BK37" i="75" s="1"/>
  <c r="BE40" i="75"/>
  <c r="BK40" i="75" s="1"/>
  <c r="BC40" i="75"/>
  <c r="BI40" i="75" s="1"/>
  <c r="BC37" i="75"/>
  <c r="BI37" i="75" s="1"/>
  <c r="BE39" i="75"/>
  <c r="BK39" i="75" s="1"/>
  <c r="BE31" i="75"/>
  <c r="BK31" i="75" s="1"/>
  <c r="BD30" i="75"/>
  <c r="BJ30" i="75" s="1"/>
  <c r="BE33" i="75"/>
  <c r="BK33" i="75" s="1"/>
  <c r="BE36" i="75"/>
  <c r="BK36" i="75" s="1"/>
  <c r="BC39" i="75"/>
  <c r="BI39" i="75" s="1"/>
  <c r="BC33" i="75"/>
  <c r="BI33" i="75" s="1"/>
  <c r="BC36" i="75"/>
  <c r="BI36" i="75" s="1"/>
  <c r="BF33" i="66"/>
  <c r="BL33" i="66" s="1"/>
  <c r="BH37" i="74"/>
  <c r="BF34" i="74"/>
  <c r="BF35" i="74"/>
  <c r="BH32" i="74"/>
  <c r="BF30" i="74"/>
  <c r="BL30" i="74" s="1"/>
  <c r="BF39" i="74"/>
  <c r="BF36" i="74"/>
  <c r="BH33" i="74"/>
  <c r="BF31" i="74"/>
  <c r="BH35" i="74"/>
  <c r="BF33" i="74"/>
  <c r="BL33" i="74" s="1"/>
  <c r="BH30" i="74"/>
  <c r="BN30" i="74" s="1"/>
  <c r="BF38" i="74"/>
  <c r="BH34" i="74"/>
  <c r="BN34" i="74" s="1"/>
  <c r="BF32" i="74"/>
  <c r="BF40" i="74"/>
  <c r="BH39" i="74"/>
  <c r="BN39" i="74" s="1"/>
  <c r="BF37" i="74"/>
  <c r="BH31" i="74"/>
  <c r="BH36" i="74"/>
  <c r="BN36" i="74" s="1"/>
  <c r="BE33" i="74"/>
  <c r="BK33" i="74" s="1"/>
  <c r="BD33" i="74"/>
  <c r="BG33" i="74"/>
  <c r="BM33" i="74" s="1"/>
  <c r="BE39" i="74"/>
  <c r="BK39" i="74" s="1"/>
  <c r="BD39" i="74"/>
  <c r="BJ39" i="74" s="1"/>
  <c r="BG39" i="74"/>
  <c r="BD37" i="74"/>
  <c r="BG37" i="74"/>
  <c r="BM37" i="74" s="1"/>
  <c r="BE37" i="74"/>
  <c r="BK37" i="74" s="1"/>
  <c r="BG34" i="74"/>
  <c r="BE34" i="74"/>
  <c r="BD34" i="74"/>
  <c r="BE32" i="74"/>
  <c r="BK32" i="74" s="1"/>
  <c r="BD32" i="74"/>
  <c r="BJ32" i="74" s="1"/>
  <c r="BG32" i="74"/>
  <c r="BM32" i="74" s="1"/>
  <c r="BG30" i="74"/>
  <c r="BE30" i="74"/>
  <c r="BK30" i="74" s="1"/>
  <c r="BD30" i="74"/>
  <c r="BH38" i="74"/>
  <c r="BN38" i="74" s="1"/>
  <c r="BG36" i="74"/>
  <c r="BE36" i="74"/>
  <c r="BK36" i="74" s="1"/>
  <c r="BD36" i="74"/>
  <c r="BG40" i="74"/>
  <c r="BM40" i="74" s="1"/>
  <c r="BE40" i="74"/>
  <c r="BD40" i="74"/>
  <c r="BJ40" i="74" s="1"/>
  <c r="BH40" i="74"/>
  <c r="BN40" i="74" s="1"/>
  <c r="BE38" i="74"/>
  <c r="BK38" i="74" s="1"/>
  <c r="BD38" i="74"/>
  <c r="BJ38" i="74" s="1"/>
  <c r="BG38" i="74"/>
  <c r="BG35" i="74"/>
  <c r="BM35" i="74" s="1"/>
  <c r="BE35" i="74"/>
  <c r="BK35" i="74" s="1"/>
  <c r="BD35" i="74"/>
  <c r="BD31" i="74"/>
  <c r="BJ31" i="74" s="1"/>
  <c r="BG31" i="74"/>
  <c r="BM31" i="74" s="1"/>
  <c r="BE31" i="74"/>
  <c r="BK31" i="74" s="1"/>
  <c r="BK33" i="67"/>
  <c r="BN35" i="67"/>
  <c r="BL31" i="67"/>
  <c r="BL38" i="67"/>
  <c r="BL29" i="67"/>
  <c r="BN29" i="67"/>
  <c r="BN32" i="67"/>
  <c r="BL37" i="67"/>
  <c r="BO28" i="67"/>
  <c r="BN38" i="67"/>
  <c r="BM29" i="67"/>
  <c r="AZ45" i="77"/>
  <c r="BF45" i="77" s="1"/>
  <c r="AX38" i="77"/>
  <c r="BD38" i="77" s="1"/>
  <c r="AZ49" i="77"/>
  <c r="BF49" i="77" s="1"/>
  <c r="AX40" i="77"/>
  <c r="BD40" i="77" s="1"/>
  <c r="AY32" i="77"/>
  <c r="BE32" i="77" s="1"/>
  <c r="AX47" i="77"/>
  <c r="BD47" i="77" s="1"/>
  <c r="AZ50" i="77"/>
  <c r="BF50" i="77" s="1"/>
  <c r="AX43" i="77"/>
  <c r="BD43" i="77" s="1"/>
  <c r="AY34" i="77"/>
  <c r="BE34" i="77" s="1"/>
  <c r="AZ33" i="77"/>
  <c r="BF33" i="77" s="1"/>
  <c r="AW30" i="77"/>
  <c r="BC30" i="77" s="1"/>
  <c r="AV41" i="77"/>
  <c r="BB41" i="77" s="1"/>
  <c r="AZ39" i="77"/>
  <c r="BF39" i="77" s="1"/>
  <c r="AV35" i="77"/>
  <c r="BB35" i="77" s="1"/>
  <c r="AX46" i="77"/>
  <c r="BD46" i="77" s="1"/>
  <c r="AZ43" i="77"/>
  <c r="BF43" i="77" s="1"/>
  <c r="AW42" i="77"/>
  <c r="BC42" i="77" s="1"/>
  <c r="AZ37" i="77"/>
  <c r="BF37" i="77" s="1"/>
  <c r="AV48" i="77"/>
  <c r="BB48" i="77" s="1"/>
  <c r="AY44" i="77"/>
  <c r="BE44" i="77" s="1"/>
  <c r="AW48" i="77"/>
  <c r="BC48" i="77" s="1"/>
  <c r="AY28" i="76"/>
  <c r="BE28" i="76" s="1"/>
  <c r="AX47" i="76"/>
  <c r="BD47" i="76" s="1"/>
  <c r="AV33" i="76"/>
  <c r="BB33" i="76" s="1"/>
  <c r="AW40" i="76"/>
  <c r="BC40" i="76" s="1"/>
  <c r="AZ41" i="76"/>
  <c r="BF41" i="76" s="1"/>
  <c r="AW45" i="76"/>
  <c r="BC45" i="76" s="1"/>
  <c r="AX33" i="76"/>
  <c r="BD33" i="76" s="1"/>
  <c r="AW28" i="76"/>
  <c r="BC28" i="76" s="1"/>
  <c r="AZ43" i="76"/>
  <c r="BF43" i="76" s="1"/>
  <c r="AV39" i="76"/>
  <c r="BB39" i="76" s="1"/>
  <c r="AW46" i="76"/>
  <c r="BC46" i="76" s="1"/>
  <c r="AY42" i="76"/>
  <c r="BE42" i="76" s="1"/>
  <c r="AX29" i="76"/>
  <c r="BD29" i="76" s="1"/>
  <c r="AZ47" i="76"/>
  <c r="BF47" i="76" s="1"/>
  <c r="AV45" i="76"/>
  <c r="BB45" i="76" s="1"/>
  <c r="AW36" i="76"/>
  <c r="BC36" i="76" s="1"/>
  <c r="AZ35" i="76"/>
  <c r="BF35" i="76" s="1"/>
  <c r="AY39" i="76"/>
  <c r="BE39" i="76" s="1"/>
  <c r="AX32" i="76"/>
  <c r="BD32" i="76" s="1"/>
  <c r="AX38" i="76"/>
  <c r="BD38" i="76" s="1"/>
  <c r="BK44" i="72"/>
  <c r="BQ44" i="72" s="1"/>
  <c r="BH30" i="72"/>
  <c r="BN30" i="72" s="1"/>
  <c r="BI37" i="72"/>
  <c r="BO37" i="72" s="1"/>
  <c r="BH36" i="72"/>
  <c r="BN36" i="72" s="1"/>
  <c r="BK32" i="72"/>
  <c r="BQ32" i="72" s="1"/>
  <c r="BI43" i="72"/>
  <c r="BO43" i="72" s="1"/>
  <c r="BK39" i="72"/>
  <c r="BQ39" i="72" s="1"/>
  <c r="BK27" i="72"/>
  <c r="BQ27" i="72" s="1"/>
  <c r="BK40" i="72"/>
  <c r="BQ40" i="72" s="1"/>
  <c r="BK45" i="72"/>
  <c r="BQ45" i="72" s="1"/>
  <c r="BG40" i="72"/>
  <c r="BM40" i="72" s="1"/>
  <c r="BK29" i="72"/>
  <c r="BQ29" i="72" s="1"/>
  <c r="BH42" i="72"/>
  <c r="BN42" i="72" s="1"/>
  <c r="BJ41" i="72"/>
  <c r="BP41" i="72" s="1"/>
  <c r="BJ43" i="72"/>
  <c r="BP43" i="72" s="1"/>
  <c r="BJ34" i="72"/>
  <c r="BP34" i="72" s="1"/>
  <c r="BJ31" i="72"/>
  <c r="BP31" i="72" s="1"/>
  <c r="BG35" i="72"/>
  <c r="BM35" i="72" s="1"/>
  <c r="BG42" i="72"/>
  <c r="BM42" i="72" s="1"/>
  <c r="BK38" i="72"/>
  <c r="BQ38" i="72" s="1"/>
  <c r="BJ30" i="72"/>
  <c r="BP30" i="72" s="1"/>
  <c r="BG28" i="72"/>
  <c r="BM28" i="72" s="1"/>
  <c r="BH46" i="72"/>
  <c r="BN46" i="72" s="1"/>
  <c r="BI33" i="72"/>
  <c r="BO33" i="72" s="1"/>
  <c r="AV45" i="77"/>
  <c r="BB45" i="77" s="1"/>
  <c r="AV44" i="76"/>
  <c r="BB44" i="76" s="1"/>
  <c r="BJ47" i="72"/>
  <c r="BP47" i="72" s="1"/>
  <c r="G47" i="72"/>
  <c r="BJ46" i="72"/>
  <c r="BP46" i="72" s="1"/>
  <c r="BH43" i="72"/>
  <c r="BN43" i="72" s="1"/>
  <c r="BG41" i="72"/>
  <c r="BM41" i="72" s="1"/>
  <c r="BJ40" i="72"/>
  <c r="BP40" i="72" s="1"/>
  <c r="BI39" i="72"/>
  <c r="BO39" i="72" s="1"/>
  <c r="BG38" i="72"/>
  <c r="BM38" i="72" s="1"/>
  <c r="BK37" i="72"/>
  <c r="BQ37" i="72" s="1"/>
  <c r="G37" i="72"/>
  <c r="BJ36" i="72"/>
  <c r="BP36" i="72" s="1"/>
  <c r="BI32" i="72"/>
  <c r="BO32" i="72" s="1"/>
  <c r="BI31" i="72"/>
  <c r="BO31" i="72" s="1"/>
  <c r="BK30" i="72"/>
  <c r="BQ30" i="72" s="1"/>
  <c r="G30" i="72"/>
  <c r="BH28" i="72"/>
  <c r="BN28" i="72" s="1"/>
  <c r="AV47" i="76"/>
  <c r="BB47" i="76" s="1"/>
  <c r="AZ46" i="76"/>
  <c r="BF46" i="76" s="1"/>
  <c r="AZ44" i="76"/>
  <c r="BF44" i="76" s="1"/>
  <c r="T44" i="76"/>
  <c r="AX43" i="76"/>
  <c r="BD43" i="76" s="1"/>
  <c r="AV41" i="76"/>
  <c r="BB41" i="76" s="1"/>
  <c r="AZ40" i="76"/>
  <c r="BF40" i="76" s="1"/>
  <c r="AZ39" i="76"/>
  <c r="BF39" i="76" s="1"/>
  <c r="AX36" i="76"/>
  <c r="BD36" i="76" s="1"/>
  <c r="AV34" i="76"/>
  <c r="BB34" i="76" s="1"/>
  <c r="AZ33" i="76"/>
  <c r="BF33" i="76" s="1"/>
  <c r="T31" i="76"/>
  <c r="AX30" i="76"/>
  <c r="BD30" i="76" s="1"/>
  <c r="AV29" i="76"/>
  <c r="BB29" i="76" s="1"/>
  <c r="AZ46" i="77"/>
  <c r="BF46" i="77" s="1"/>
  <c r="AX45" i="77"/>
  <c r="BD45" i="77" s="1"/>
  <c r="AY42" i="77"/>
  <c r="BE42" i="77" s="1"/>
  <c r="AY40" i="77"/>
  <c r="BE40" i="77" s="1"/>
  <c r="AZ38" i="77"/>
  <c r="BF38" i="77" s="1"/>
  <c r="AW37" i="77"/>
  <c r="BC37" i="77" s="1"/>
  <c r="AV36" i="77"/>
  <c r="BB36" i="77" s="1"/>
  <c r="AW35" i="77"/>
  <c r="BC35" i="77" s="1"/>
  <c r="AW31" i="77"/>
  <c r="BC31" i="77" s="1"/>
  <c r="BR48" i="78"/>
  <c r="BX48" i="78" s="1"/>
  <c r="L48" i="78"/>
  <c r="BN47" i="78"/>
  <c r="BT47" i="78" s="1"/>
  <c r="BO47" i="78"/>
  <c r="BU47" i="78" s="1"/>
  <c r="BR41" i="78"/>
  <c r="BX41" i="78" s="1"/>
  <c r="BN37" i="78"/>
  <c r="BT37" i="78" s="1"/>
  <c r="BQ33" i="78"/>
  <c r="BW33" i="78" s="1"/>
  <c r="BP33" i="78"/>
  <c r="BV33" i="78" s="1"/>
  <c r="BR31" i="78"/>
  <c r="BX31" i="78" s="1"/>
  <c r="BU49" i="79"/>
  <c r="CA49" i="79" s="1"/>
  <c r="BR48" i="79"/>
  <c r="BX48" i="79" s="1"/>
  <c r="BT44" i="79"/>
  <c r="BZ44" i="79" s="1"/>
  <c r="BQ44" i="79"/>
  <c r="BW44" i="79" s="1"/>
  <c r="BS44" i="79"/>
  <c r="BY44" i="79" s="1"/>
  <c r="G43" i="79"/>
  <c r="H43" i="79" s="1"/>
  <c r="L43" i="79"/>
  <c r="AA43" i="79" s="1"/>
  <c r="AB43" i="79" s="1"/>
  <c r="BU41" i="79"/>
  <c r="CA41" i="79" s="1"/>
  <c r="L41" i="79"/>
  <c r="BR40" i="79"/>
  <c r="BX40" i="79" s="1"/>
  <c r="BB37" i="83"/>
  <c r="BH37" i="83" s="1"/>
  <c r="BK31" i="72"/>
  <c r="BQ31" i="72" s="1"/>
  <c r="AY46" i="76"/>
  <c r="BE46" i="76" s="1"/>
  <c r="AV47" i="77"/>
  <c r="BB47" i="77" s="1"/>
  <c r="BQ43" i="78"/>
  <c r="BW43" i="78" s="1"/>
  <c r="BP43" i="78"/>
  <c r="BV43" i="78" s="1"/>
  <c r="BQ42" i="78"/>
  <c r="BW42" i="78" s="1"/>
  <c r="BO32" i="78"/>
  <c r="BU32" i="78" s="1"/>
  <c r="BU43" i="79"/>
  <c r="CA43" i="79" s="1"/>
  <c r="BG37" i="72"/>
  <c r="BM37" i="72" s="1"/>
  <c r="AV35" i="76"/>
  <c r="BB35" i="76" s="1"/>
  <c r="AZ47" i="77"/>
  <c r="BF47" i="77" s="1"/>
  <c r="AV46" i="77"/>
  <c r="BB46" i="77" s="1"/>
  <c r="AZ44" i="77"/>
  <c r="BF44" i="77" s="1"/>
  <c r="AW43" i="77"/>
  <c r="BC43" i="77" s="1"/>
  <c r="AW38" i="77"/>
  <c r="BC38" i="77" s="1"/>
  <c r="AZ36" i="77"/>
  <c r="BF36" i="77" s="1"/>
  <c r="AY35" i="77"/>
  <c r="BE35" i="77" s="1"/>
  <c r="AZ32" i="77"/>
  <c r="BF32" i="77" s="1"/>
  <c r="BR50" i="78"/>
  <c r="BX50" i="78" s="1"/>
  <c r="BO49" i="78"/>
  <c r="BU49" i="78" s="1"/>
  <c r="BO48" i="78"/>
  <c r="BU48" i="78" s="1"/>
  <c r="BQ47" i="78"/>
  <c r="BW47" i="78" s="1"/>
  <c r="BN41" i="78"/>
  <c r="BT41" i="78" s="1"/>
  <c r="BO39" i="78"/>
  <c r="BU39" i="78" s="1"/>
  <c r="BN31" i="78"/>
  <c r="BT31" i="78" s="1"/>
  <c r="BR49" i="79"/>
  <c r="BX49" i="79" s="1"/>
  <c r="BT48" i="79"/>
  <c r="BZ48" i="79" s="1"/>
  <c r="BS45" i="79"/>
  <c r="BY45" i="79" s="1"/>
  <c r="BT42" i="79"/>
  <c r="BZ42" i="79" s="1"/>
  <c r="BQ42" i="79"/>
  <c r="BW42" i="79" s="1"/>
  <c r="BS42" i="79"/>
  <c r="BY42" i="79" s="1"/>
  <c r="BR41" i="79"/>
  <c r="BX41" i="79" s="1"/>
  <c r="BT41" i="79"/>
  <c r="BZ41" i="79" s="1"/>
  <c r="AA41" i="79"/>
  <c r="AB41" i="79" s="1"/>
  <c r="BU39" i="79"/>
  <c r="CA39" i="79" s="1"/>
  <c r="L39" i="79"/>
  <c r="AA39" i="79" s="1"/>
  <c r="AB39" i="79" s="1"/>
  <c r="BR38" i="79"/>
  <c r="BX38" i="79" s="1"/>
  <c r="BR34" i="79"/>
  <c r="BX34" i="79" s="1"/>
  <c r="G32" i="79"/>
  <c r="H32" i="79" s="1"/>
  <c r="L32" i="79"/>
  <c r="AA32" i="79" s="1"/>
  <c r="AB32" i="79" s="1"/>
  <c r="BK41" i="72"/>
  <c r="BQ41" i="72" s="1"/>
  <c r="BG34" i="72"/>
  <c r="BM34" i="72" s="1"/>
  <c r="BG32" i="72"/>
  <c r="BM32" i="72" s="1"/>
  <c r="AW43" i="76"/>
  <c r="BC43" i="76" s="1"/>
  <c r="AY40" i="76"/>
  <c r="BE40" i="76" s="1"/>
  <c r="AY49" i="77"/>
  <c r="BE49" i="77" s="1"/>
  <c r="BH33" i="72"/>
  <c r="BN33" i="72" s="1"/>
  <c r="AZ42" i="76"/>
  <c r="BF42" i="76" s="1"/>
  <c r="AX41" i="76"/>
  <c r="BD41" i="76" s="1"/>
  <c r="AX50" i="77"/>
  <c r="BD50" i="77" s="1"/>
  <c r="AW49" i="77"/>
  <c r="BC49" i="77" s="1"/>
  <c r="BI44" i="72"/>
  <c r="BO44" i="72" s="1"/>
  <c r="BK42" i="72"/>
  <c r="BQ42" i="72" s="1"/>
  <c r="BH40" i="72"/>
  <c r="BN40" i="72" s="1"/>
  <c r="BG36" i="72"/>
  <c r="BM36" i="72" s="1"/>
  <c r="BJ35" i="72"/>
  <c r="BP35" i="72" s="1"/>
  <c r="G35" i="72"/>
  <c r="BI34" i="72"/>
  <c r="BO34" i="72" s="1"/>
  <c r="BG31" i="72"/>
  <c r="BM31" i="72" s="1"/>
  <c r="BG29" i="72"/>
  <c r="BM29" i="72" s="1"/>
  <c r="BJ28" i="72"/>
  <c r="BP28" i="72" s="1"/>
  <c r="BI27" i="72"/>
  <c r="BO27" i="72" s="1"/>
  <c r="AZ48" i="76"/>
  <c r="BF48" i="76" s="1"/>
  <c r="AY47" i="76"/>
  <c r="BE47" i="76" s="1"/>
  <c r="AX42" i="76"/>
  <c r="BD42" i="76" s="1"/>
  <c r="AW41" i="76"/>
  <c r="BC41" i="76" s="1"/>
  <c r="AZ38" i="76"/>
  <c r="BF38" i="76" s="1"/>
  <c r="AX37" i="76"/>
  <c r="BD37" i="76" s="1"/>
  <c r="AY34" i="76"/>
  <c r="BE34" i="76" s="1"/>
  <c r="AZ32" i="76"/>
  <c r="BF32" i="76" s="1"/>
  <c r="T30" i="76"/>
  <c r="AW29" i="76"/>
  <c r="BC29" i="76" s="1"/>
  <c r="AY50" i="77"/>
  <c r="BE50" i="77" s="1"/>
  <c r="AW50" i="77"/>
  <c r="BC50" i="77" s="1"/>
  <c r="AZ48" i="77"/>
  <c r="BF48" i="77" s="1"/>
  <c r="AY47" i="77"/>
  <c r="BE47" i="77" s="1"/>
  <c r="AX44" i="77"/>
  <c r="BD44" i="77" s="1"/>
  <c r="AV42" i="77"/>
  <c r="BB42" i="77" s="1"/>
  <c r="AW41" i="77"/>
  <c r="BC41" i="77" s="1"/>
  <c r="AX39" i="77"/>
  <c r="BD39" i="77" s="1"/>
  <c r="AV37" i="77"/>
  <c r="BB37" i="77" s="1"/>
  <c r="AY36" i="77"/>
  <c r="BE36" i="77" s="1"/>
  <c r="AV31" i="77"/>
  <c r="BB31" i="77" s="1"/>
  <c r="BR46" i="78"/>
  <c r="BX46" i="78" s="1"/>
  <c r="BR42" i="78"/>
  <c r="BX42" i="78" s="1"/>
  <c r="BO40" i="78"/>
  <c r="BU40" i="78" s="1"/>
  <c r="G35" i="78"/>
  <c r="H35" i="78" s="1"/>
  <c r="L35" i="78"/>
  <c r="G34" i="78"/>
  <c r="H34" i="78" s="1"/>
  <c r="L34" i="78"/>
  <c r="BP32" i="78"/>
  <c r="BV32" i="78" s="1"/>
  <c r="G46" i="79"/>
  <c r="H46" i="79" s="1"/>
  <c r="L46" i="79"/>
  <c r="BT36" i="79"/>
  <c r="BZ36" i="79" s="1"/>
  <c r="BQ36" i="79"/>
  <c r="BW36" i="79" s="1"/>
  <c r="BS36" i="79"/>
  <c r="BY36" i="79" s="1"/>
  <c r="BH39" i="72"/>
  <c r="BN39" i="72" s="1"/>
  <c r="AW30" i="76"/>
  <c r="BC30" i="76" s="1"/>
  <c r="AZ35" i="77"/>
  <c r="BF35" i="77" s="1"/>
  <c r="BI40" i="72"/>
  <c r="BO40" i="72" s="1"/>
  <c r="T48" i="76"/>
  <c r="AZ34" i="76"/>
  <c r="BF34" i="76" s="1"/>
  <c r="BG47" i="72"/>
  <c r="BM47" i="72" s="1"/>
  <c r="BG46" i="72"/>
  <c r="BM46" i="72" s="1"/>
  <c r="BI45" i="72"/>
  <c r="BO45" i="72" s="1"/>
  <c r="BG44" i="72"/>
  <c r="BM44" i="72" s="1"/>
  <c r="BK43" i="72"/>
  <c r="BQ43" i="72" s="1"/>
  <c r="G43" i="72"/>
  <c r="BJ42" i="72"/>
  <c r="BP42" i="72" s="1"/>
  <c r="G42" i="72"/>
  <c r="G40" i="72"/>
  <c r="G39" i="72"/>
  <c r="BJ37" i="72"/>
  <c r="BP37" i="72" s="1"/>
  <c r="BH34" i="72"/>
  <c r="BN34" i="72" s="1"/>
  <c r="BG30" i="72"/>
  <c r="BM30" i="72" s="1"/>
  <c r="BK28" i="72"/>
  <c r="BQ28" i="72" s="1"/>
  <c r="BH27" i="72"/>
  <c r="BN27" i="72" s="1"/>
  <c r="AX48" i="76"/>
  <c r="BD48" i="76" s="1"/>
  <c r="AV46" i="76"/>
  <c r="BB46" i="76" s="1"/>
  <c r="AZ45" i="76"/>
  <c r="BF45" i="76" s="1"/>
  <c r="AX44" i="76"/>
  <c r="BD44" i="76" s="1"/>
  <c r="AW42" i="76"/>
  <c r="BC42" i="76" s="1"/>
  <c r="AV40" i="76"/>
  <c r="BB40" i="76" s="1"/>
  <c r="AX39" i="76"/>
  <c r="BD39" i="76" s="1"/>
  <c r="AV37" i="76"/>
  <c r="BB37" i="76" s="1"/>
  <c r="AY36" i="76"/>
  <c r="BE36" i="76" s="1"/>
  <c r="T36" i="76"/>
  <c r="AX35" i="76"/>
  <c r="BD35" i="76" s="1"/>
  <c r="AY30" i="76"/>
  <c r="BE30" i="76" s="1"/>
  <c r="AY48" i="77"/>
  <c r="BE48" i="77" s="1"/>
  <c r="AW44" i="77"/>
  <c r="BC44" i="77" s="1"/>
  <c r="AZ41" i="77"/>
  <c r="BF41" i="77" s="1"/>
  <c r="AZ40" i="77"/>
  <c r="BF40" i="77" s="1"/>
  <c r="AV39" i="77"/>
  <c r="BB39" i="77" s="1"/>
  <c r="AX33" i="77"/>
  <c r="BD33" i="77" s="1"/>
  <c r="AW32" i="77"/>
  <c r="BC32" i="77" s="1"/>
  <c r="AZ31" i="77"/>
  <c r="BF31" i="77" s="1"/>
  <c r="BO50" i="78"/>
  <c r="BU50" i="78" s="1"/>
  <c r="BQ49" i="78"/>
  <c r="BW49" i="78" s="1"/>
  <c r="BQ48" i="78"/>
  <c r="BW48" i="78" s="1"/>
  <c r="BP46" i="78"/>
  <c r="BV46" i="78" s="1"/>
  <c r="BO45" i="78"/>
  <c r="BU45" i="78" s="1"/>
  <c r="BQ44" i="78"/>
  <c r="BW44" i="78" s="1"/>
  <c r="G44" i="78"/>
  <c r="H44" i="78" s="1"/>
  <c r="L44" i="78"/>
  <c r="BQ39" i="78"/>
  <c r="BW39" i="78" s="1"/>
  <c r="BP39" i="78"/>
  <c r="BV39" i="78" s="1"/>
  <c r="BQ38" i="78"/>
  <c r="BW38" i="78" s="1"/>
  <c r="BR37" i="78"/>
  <c r="BX37" i="78" s="1"/>
  <c r="BO33" i="78"/>
  <c r="BU33" i="78" s="1"/>
  <c r="BQ32" i="78"/>
  <c r="BW32" i="78" s="1"/>
  <c r="BU45" i="79"/>
  <c r="CA45" i="79" s="1"/>
  <c r="AA45" i="79"/>
  <c r="AB45" i="79" s="1"/>
  <c r="BR39" i="79"/>
  <c r="BX39" i="79" s="1"/>
  <c r="BT39" i="79"/>
  <c r="BZ39" i="79" s="1"/>
  <c r="BS37" i="79"/>
  <c r="BY37" i="79" s="1"/>
  <c r="BT35" i="79"/>
  <c r="BZ35" i="79" s="1"/>
  <c r="BU32" i="79"/>
  <c r="CA32" i="79" s="1"/>
  <c r="BU30" i="79"/>
  <c r="CA30" i="79" s="1"/>
  <c r="AY33" i="76"/>
  <c r="BE33" i="76" s="1"/>
  <c r="AX31" i="76"/>
  <c r="BD31" i="76" s="1"/>
  <c r="AZ28" i="76"/>
  <c r="BF28" i="76" s="1"/>
  <c r="L40" i="78"/>
  <c r="G39" i="78"/>
  <c r="H39" i="78" s="1"/>
  <c r="L39" i="78"/>
  <c r="G41" i="72"/>
  <c r="BK35" i="72"/>
  <c r="BQ35" i="72" s="1"/>
  <c r="BK34" i="72"/>
  <c r="BQ34" i="72" s="1"/>
  <c r="AV31" i="76"/>
  <c r="BB31" i="76" s="1"/>
  <c r="BK47" i="72"/>
  <c r="BQ47" i="72" s="1"/>
  <c r="BK46" i="72"/>
  <c r="BQ46" i="72" s="1"/>
  <c r="BG45" i="72"/>
  <c r="BM45" i="72" s="1"/>
  <c r="BI38" i="72"/>
  <c r="BO38" i="72" s="1"/>
  <c r="BK36" i="72"/>
  <c r="BQ36" i="72" s="1"/>
  <c r="G34" i="72"/>
  <c r="BJ29" i="72"/>
  <c r="BP29" i="72" s="1"/>
  <c r="G29" i="72"/>
  <c r="BI28" i="72"/>
  <c r="BO28" i="72" s="1"/>
  <c r="AY48" i="76"/>
  <c r="BE48" i="76" s="1"/>
  <c r="AY45" i="76"/>
  <c r="BE45" i="76" s="1"/>
  <c r="AW39" i="76"/>
  <c r="BC39" i="76" s="1"/>
  <c r="AV38" i="76"/>
  <c r="BB38" i="76" s="1"/>
  <c r="AZ36" i="76"/>
  <c r="BF36" i="76" s="1"/>
  <c r="AW35" i="76"/>
  <c r="BC35" i="76" s="1"/>
  <c r="AW33" i="76"/>
  <c r="BC33" i="76" s="1"/>
  <c r="AV32" i="76"/>
  <c r="BB32" i="76" s="1"/>
  <c r="AZ30" i="76"/>
  <c r="BF30" i="76" s="1"/>
  <c r="AV28" i="76"/>
  <c r="BB28" i="76" s="1"/>
  <c r="AV49" i="77"/>
  <c r="BB49" i="77" s="1"/>
  <c r="AV43" i="77"/>
  <c r="BB43" i="77" s="1"/>
  <c r="AZ42" i="77"/>
  <c r="BF42" i="77" s="1"/>
  <c r="AY41" i="77"/>
  <c r="BE41" i="77" s="1"/>
  <c r="AY38" i="77"/>
  <c r="BE38" i="77" s="1"/>
  <c r="AX37" i="77"/>
  <c r="BD37" i="77" s="1"/>
  <c r="AX35" i="77"/>
  <c r="BD35" i="77" s="1"/>
  <c r="AZ34" i="77"/>
  <c r="BF34" i="77" s="1"/>
  <c r="AV33" i="77"/>
  <c r="BB33" i="77" s="1"/>
  <c r="AX31" i="77"/>
  <c r="BD31" i="77" s="1"/>
  <c r="AY30" i="77"/>
  <c r="BE30" i="77" s="1"/>
  <c r="BO46" i="78"/>
  <c r="BU46" i="78" s="1"/>
  <c r="BR45" i="78"/>
  <c r="BX45" i="78" s="1"/>
  <c r="BO43" i="78"/>
  <c r="BU43" i="78" s="1"/>
  <c r="BO42" i="78"/>
  <c r="BU42" i="78" s="1"/>
  <c r="BP40" i="78"/>
  <c r="BV40" i="78" s="1"/>
  <c r="BR35" i="78"/>
  <c r="BX35" i="78" s="1"/>
  <c r="BR32" i="78"/>
  <c r="BX32" i="78" s="1"/>
  <c r="BU46" i="79"/>
  <c r="CA46" i="79" s="1"/>
  <c r="BS43" i="79"/>
  <c r="BY43" i="79" s="1"/>
  <c r="BR37" i="79"/>
  <c r="BX37" i="79" s="1"/>
  <c r="BT29" i="79"/>
  <c r="BZ29" i="79" s="1"/>
  <c r="BQ41" i="78"/>
  <c r="BW41" i="78" s="1"/>
  <c r="BR38" i="78"/>
  <c r="BX38" i="78" s="1"/>
  <c r="BO36" i="78"/>
  <c r="BU36" i="78" s="1"/>
  <c r="BO35" i="78"/>
  <c r="BU35" i="78" s="1"/>
  <c r="BO34" i="78"/>
  <c r="BU34" i="78" s="1"/>
  <c r="BR33" i="78"/>
  <c r="BX33" i="78" s="1"/>
  <c r="BO30" i="78"/>
  <c r="BU30" i="78" s="1"/>
  <c r="BU48" i="79"/>
  <c r="CA48" i="79" s="1"/>
  <c r="BT46" i="79"/>
  <c r="BZ46" i="79" s="1"/>
  <c r="BU35" i="79"/>
  <c r="CA35" i="79" s="1"/>
  <c r="L35" i="79"/>
  <c r="BR33" i="79"/>
  <c r="BX33" i="79" s="1"/>
  <c r="BR32" i="79"/>
  <c r="BX32" i="79" s="1"/>
  <c r="BR31" i="79"/>
  <c r="BX31" i="79" s="1"/>
  <c r="BR30" i="79"/>
  <c r="BX30" i="79" s="1"/>
  <c r="AX37" i="83"/>
  <c r="BD37" i="83" s="1"/>
  <c r="AZ34" i="83"/>
  <c r="BF34" i="83" s="1"/>
  <c r="BB32" i="83"/>
  <c r="BH32" i="83" s="1"/>
  <c r="AX30" i="83"/>
  <c r="BD30" i="83" s="1"/>
  <c r="AX36" i="84"/>
  <c r="BD36" i="84" s="1"/>
  <c r="AX35" i="84"/>
  <c r="BD35" i="84" s="1"/>
  <c r="AZ30" i="84"/>
  <c r="BF30" i="84" s="1"/>
  <c r="BO38" i="67"/>
  <c r="BN34" i="67"/>
  <c r="BM33" i="67"/>
  <c r="O33" i="67"/>
  <c r="P33" i="67" s="1"/>
  <c r="BK31" i="67"/>
  <c r="BM30" i="67"/>
  <c r="O30" i="67"/>
  <c r="P30" i="67" s="1"/>
  <c r="BO29" i="67"/>
  <c r="BL40" i="74"/>
  <c r="O40" i="74"/>
  <c r="P40" i="74" s="1"/>
  <c r="O37" i="74"/>
  <c r="P37" i="74" s="1"/>
  <c r="BG40" i="66"/>
  <c r="BM40" i="66" s="1"/>
  <c r="BG39" i="66"/>
  <c r="BM39" i="66" s="1"/>
  <c r="BC36" i="66"/>
  <c r="BI36" i="66" s="1"/>
  <c r="BG30" i="66"/>
  <c r="BM30" i="66" s="1"/>
  <c r="BD40" i="75"/>
  <c r="BJ40" i="75" s="1"/>
  <c r="BF38" i="75"/>
  <c r="BL38" i="75" s="1"/>
  <c r="BC38" i="75"/>
  <c r="BI38" i="75" s="1"/>
  <c r="BE38" i="75"/>
  <c r="BK38" i="75" s="1"/>
  <c r="AR35" i="71"/>
  <c r="AX35" i="71" s="1"/>
  <c r="AS32" i="71"/>
  <c r="AY32" i="71" s="1"/>
  <c r="AP43" i="73"/>
  <c r="AV43" i="73" s="1"/>
  <c r="AS43" i="73"/>
  <c r="AY43" i="73" s="1"/>
  <c r="AZ32" i="83"/>
  <c r="BF32" i="83" s="1"/>
  <c r="AY37" i="84"/>
  <c r="BE37" i="84" s="1"/>
  <c r="AX30" i="84"/>
  <c r="BD30" i="84" s="1"/>
  <c r="AX29" i="84"/>
  <c r="BD29" i="84" s="1"/>
  <c r="BK37" i="67"/>
  <c r="BM36" i="67"/>
  <c r="BK28" i="67"/>
  <c r="BN37" i="74"/>
  <c r="BN35" i="74"/>
  <c r="BE40" i="66"/>
  <c r="BK40" i="66" s="1"/>
  <c r="BF38" i="66"/>
  <c r="BL38" i="66" s="1"/>
  <c r="BE31" i="66"/>
  <c r="BK31" i="66" s="1"/>
  <c r="BF31" i="66"/>
  <c r="BL31" i="66" s="1"/>
  <c r="AQ42" i="71"/>
  <c r="AW42" i="71" s="1"/>
  <c r="AS42" i="71"/>
  <c r="AY42" i="71" s="1"/>
  <c r="AT36" i="71"/>
  <c r="AZ36" i="71" s="1"/>
  <c r="AT48" i="73"/>
  <c r="AZ48" i="73" s="1"/>
  <c r="AR31" i="73"/>
  <c r="AX31" i="73" s="1"/>
  <c r="AX32" i="77"/>
  <c r="BD32" i="77" s="1"/>
  <c r="AV30" i="77"/>
  <c r="BB30" i="77" s="1"/>
  <c r="BR47" i="78"/>
  <c r="BX47" i="78" s="1"/>
  <c r="BQ45" i="78"/>
  <c r="BW45" i="78" s="1"/>
  <c r="BR44" i="78"/>
  <c r="BX44" i="78" s="1"/>
  <c r="BO38" i="78"/>
  <c r="BU38" i="78" s="1"/>
  <c r="BO37" i="78"/>
  <c r="BU37" i="78" s="1"/>
  <c r="BQ36" i="78"/>
  <c r="BW36" i="78" s="1"/>
  <c r="BQ35" i="78"/>
  <c r="BW35" i="78" s="1"/>
  <c r="BQ34" i="78"/>
  <c r="BW34" i="78" s="1"/>
  <c r="BO31" i="78"/>
  <c r="BU31" i="78" s="1"/>
  <c r="BU47" i="79"/>
  <c r="CA47" i="79" s="1"/>
  <c r="AA47" i="79"/>
  <c r="AB47" i="79" s="1"/>
  <c r="BU40" i="79"/>
  <c r="CA40" i="79" s="1"/>
  <c r="BU38" i="79"/>
  <c r="CA38" i="79" s="1"/>
  <c r="BR35" i="79"/>
  <c r="BX35" i="79" s="1"/>
  <c r="BU34" i="79"/>
  <c r="CA34" i="79" s="1"/>
  <c r="BT33" i="79"/>
  <c r="BZ33" i="79" s="1"/>
  <c r="BT32" i="79"/>
  <c r="BZ32" i="79" s="1"/>
  <c r="BT31" i="79"/>
  <c r="BZ31" i="79" s="1"/>
  <c r="BT30" i="79"/>
  <c r="BZ30" i="79" s="1"/>
  <c r="BU29" i="79"/>
  <c r="CA29" i="79" s="1"/>
  <c r="BB38" i="83"/>
  <c r="BH38" i="83" s="1"/>
  <c r="AZ37" i="83"/>
  <c r="BF37" i="83" s="1"/>
  <c r="AY35" i="83"/>
  <c r="BE35" i="83" s="1"/>
  <c r="BB34" i="83"/>
  <c r="BH34" i="83" s="1"/>
  <c r="AZ33" i="83"/>
  <c r="BF33" i="83" s="1"/>
  <c r="AY32" i="83"/>
  <c r="BE32" i="83" s="1"/>
  <c r="AZ31" i="83"/>
  <c r="BF31" i="83" s="1"/>
  <c r="BB30" i="83"/>
  <c r="BH30" i="83" s="1"/>
  <c r="AZ39" i="84"/>
  <c r="BF39" i="84" s="1"/>
  <c r="BB38" i="84"/>
  <c r="BH38" i="84" s="1"/>
  <c r="BB37" i="84"/>
  <c r="BH37" i="84" s="1"/>
  <c r="BA35" i="84"/>
  <c r="BG35" i="84" s="1"/>
  <c r="AY32" i="84"/>
  <c r="BE32" i="84" s="1"/>
  <c r="AY31" i="84"/>
  <c r="BE31" i="84" s="1"/>
  <c r="BO34" i="67"/>
  <c r="BO33" i="67"/>
  <c r="BO31" i="67"/>
  <c r="BK30" i="67"/>
  <c r="BO30" i="67"/>
  <c r="BL37" i="74"/>
  <c r="BL36" i="74"/>
  <c r="BL35" i="74"/>
  <c r="O33" i="74"/>
  <c r="P33" i="74" s="1"/>
  <c r="BN32" i="74"/>
  <c r="BN31" i="74"/>
  <c r="BG34" i="66"/>
  <c r="BM34" i="66" s="1"/>
  <c r="AR53" i="71"/>
  <c r="AX53" i="71" s="1"/>
  <c r="AS50" i="71"/>
  <c r="AY50" i="71" s="1"/>
  <c r="AT31" i="71"/>
  <c r="AZ31" i="71" s="1"/>
  <c r="AP49" i="73"/>
  <c r="AV49" i="73" s="1"/>
  <c r="AS49" i="73"/>
  <c r="AY49" i="73" s="1"/>
  <c r="BT45" i="79"/>
  <c r="BZ45" i="79" s="1"/>
  <c r="BR45" i="79"/>
  <c r="BX45" i="79" s="1"/>
  <c r="BR44" i="79"/>
  <c r="BX44" i="79" s="1"/>
  <c r="BR43" i="79"/>
  <c r="BX43" i="79" s="1"/>
  <c r="BR42" i="79"/>
  <c r="BX42" i="79" s="1"/>
  <c r="BT40" i="79"/>
  <c r="BZ40" i="79" s="1"/>
  <c r="BT38" i="79"/>
  <c r="BZ38" i="79" s="1"/>
  <c r="BU37" i="79"/>
  <c r="CA37" i="79" s="1"/>
  <c r="BR36" i="79"/>
  <c r="BX36" i="79" s="1"/>
  <c r="BT34" i="79"/>
  <c r="BZ34" i="79" s="1"/>
  <c r="BB40" i="83"/>
  <c r="BH40" i="83" s="1"/>
  <c r="AZ39" i="83"/>
  <c r="BF39" i="83" s="1"/>
  <c r="AZ38" i="83"/>
  <c r="BF38" i="83" s="1"/>
  <c r="AY37" i="83"/>
  <c r="BE37" i="83" s="1"/>
  <c r="BB36" i="83"/>
  <c r="BH36" i="83" s="1"/>
  <c r="BB35" i="83"/>
  <c r="BH35" i="83" s="1"/>
  <c r="AX33" i="83"/>
  <c r="BD33" i="83" s="1"/>
  <c r="AY31" i="83"/>
  <c r="BE31" i="83" s="1"/>
  <c r="BA30" i="83"/>
  <c r="BG30" i="83" s="1"/>
  <c r="AX39" i="84"/>
  <c r="BD39" i="84" s="1"/>
  <c r="AX33" i="84"/>
  <c r="BD33" i="84" s="1"/>
  <c r="BB32" i="84"/>
  <c r="BH32" i="84" s="1"/>
  <c r="BA29" i="84"/>
  <c r="BG29" i="84" s="1"/>
  <c r="BO37" i="67"/>
  <c r="BK36" i="67"/>
  <c r="BO36" i="67"/>
  <c r="BN33" i="67"/>
  <c r="BN30" i="67"/>
  <c r="O39" i="74"/>
  <c r="P39" i="74" s="1"/>
  <c r="BJ37" i="74"/>
  <c r="BJ36" i="74"/>
  <c r="BL31" i="74"/>
  <c r="BE35" i="66"/>
  <c r="BK35" i="66" s="1"/>
  <c r="BD31" i="75"/>
  <c r="BJ31" i="75" s="1"/>
  <c r="AT54" i="71"/>
  <c r="AZ54" i="71" s="1"/>
  <c r="AR43" i="71"/>
  <c r="AX43" i="71" s="1"/>
  <c r="AS39" i="71"/>
  <c r="AY39" i="71" s="1"/>
  <c r="AP39" i="71"/>
  <c r="AV39" i="71" s="1"/>
  <c r="AR39" i="71"/>
  <c r="AX39" i="71" s="1"/>
  <c r="AT54" i="73"/>
  <c r="AZ54" i="73" s="1"/>
  <c r="AT36" i="73"/>
  <c r="AZ36" i="73" s="1"/>
  <c r="AZ30" i="77"/>
  <c r="BF30" i="77" s="1"/>
  <c r="BR49" i="78"/>
  <c r="BX49" i="78" s="1"/>
  <c r="BO44" i="78"/>
  <c r="BU44" i="78" s="1"/>
  <c r="BR43" i="78"/>
  <c r="BX43" i="78" s="1"/>
  <c r="BO41" i="78"/>
  <c r="BU41" i="78" s="1"/>
  <c r="BR39" i="78"/>
  <c r="BX39" i="78" s="1"/>
  <c r="BQ37" i="78"/>
  <c r="BW37" i="78" s="1"/>
  <c r="BR36" i="78"/>
  <c r="BX36" i="78" s="1"/>
  <c r="BR34" i="78"/>
  <c r="BX34" i="78" s="1"/>
  <c r="BQ31" i="78"/>
  <c r="BW31" i="78" s="1"/>
  <c r="BR30" i="78"/>
  <c r="BX30" i="78" s="1"/>
  <c r="L30" i="78"/>
  <c r="AA49" i="79"/>
  <c r="AB49" i="79" s="1"/>
  <c r="BT47" i="79"/>
  <c r="BZ47" i="79" s="1"/>
  <c r="BR47" i="79"/>
  <c r="BX47" i="79" s="1"/>
  <c r="BR46" i="79"/>
  <c r="BX46" i="79" s="1"/>
  <c r="BU44" i="79"/>
  <c r="CA44" i="79" s="1"/>
  <c r="BU42" i="79"/>
  <c r="CA42" i="79" s="1"/>
  <c r="BU36" i="79"/>
  <c r="CA36" i="79" s="1"/>
  <c r="AA35" i="79"/>
  <c r="AB35" i="79" s="1"/>
  <c r="BU33" i="79"/>
  <c r="CA33" i="79" s="1"/>
  <c r="AA33" i="79"/>
  <c r="AB33" i="79" s="1"/>
  <c r="BU31" i="79"/>
  <c r="CA31" i="79" s="1"/>
  <c r="BR29" i="79"/>
  <c r="BX29" i="79" s="1"/>
  <c r="AA29" i="79"/>
  <c r="AB29" i="79" s="1"/>
  <c r="AX39" i="83"/>
  <c r="BD39" i="83" s="1"/>
  <c r="AY38" i="83"/>
  <c r="BE38" i="83" s="1"/>
  <c r="BA36" i="83"/>
  <c r="BG36" i="83" s="1"/>
  <c r="BA35" i="83"/>
  <c r="BG35" i="83" s="1"/>
  <c r="BA34" i="83"/>
  <c r="BG34" i="83" s="1"/>
  <c r="AY38" i="84"/>
  <c r="BE38" i="84" s="1"/>
  <c r="BA37" i="84"/>
  <c r="BG37" i="84" s="1"/>
  <c r="BB35" i="84"/>
  <c r="BH35" i="84" s="1"/>
  <c r="AZ34" i="84"/>
  <c r="BF34" i="84" s="1"/>
  <c r="AZ31" i="84"/>
  <c r="BF31" i="84" s="1"/>
  <c r="AY30" i="84"/>
  <c r="BE30" i="84" s="1"/>
  <c r="BN36" i="67"/>
  <c r="BL35" i="67"/>
  <c r="BM35" i="67"/>
  <c r="BK35" i="67"/>
  <c r="O35" i="67"/>
  <c r="P35" i="67" s="1"/>
  <c r="BL32" i="67"/>
  <c r="BK32" i="67"/>
  <c r="O32" i="67"/>
  <c r="P32" i="67" s="1"/>
  <c r="BL28" i="67"/>
  <c r="F39" i="66"/>
  <c r="BD34" i="75"/>
  <c r="BJ34" i="75" s="1"/>
  <c r="BF32" i="75"/>
  <c r="BL32" i="75" s="1"/>
  <c r="BC32" i="75"/>
  <c r="BI32" i="75" s="1"/>
  <c r="BE32" i="75"/>
  <c r="BK32" i="75" s="1"/>
  <c r="BF30" i="75"/>
  <c r="BL30" i="75" s="1"/>
  <c r="BC30" i="75"/>
  <c r="BI30" i="75" s="1"/>
  <c r="BE30" i="75"/>
  <c r="BK30" i="75" s="1"/>
  <c r="AT49" i="71"/>
  <c r="AZ49" i="71" s="1"/>
  <c r="AS52" i="73"/>
  <c r="AY52" i="73" s="1"/>
  <c r="AP37" i="73"/>
  <c r="AV37" i="73" s="1"/>
  <c r="AS37" i="73"/>
  <c r="AY37" i="73" s="1"/>
  <c r="AX40" i="83"/>
  <c r="BD40" i="83" s="1"/>
  <c r="BA32" i="83"/>
  <c r="BG32" i="83" s="1"/>
  <c r="AZ36" i="84"/>
  <c r="BF36" i="84" s="1"/>
  <c r="AX34" i="84"/>
  <c r="BD34" i="84" s="1"/>
  <c r="AX31" i="84"/>
  <c r="BD31" i="84" s="1"/>
  <c r="BB29" i="84"/>
  <c r="BH29" i="84" s="1"/>
  <c r="BM38" i="67"/>
  <c r="BO35" i="67"/>
  <c r="BO32" i="67"/>
  <c r="BK29" i="67"/>
  <c r="O29" i="67"/>
  <c r="P29" i="67" s="1"/>
  <c r="BL39" i="74"/>
  <c r="BD37" i="75"/>
  <c r="BJ37" i="75" s="1"/>
  <c r="BF35" i="75"/>
  <c r="BL35" i="75" s="1"/>
  <c r="BC35" i="75"/>
  <c r="BI35" i="75" s="1"/>
  <c r="BE35" i="75"/>
  <c r="BK35" i="75" s="1"/>
  <c r="AP46" i="71"/>
  <c r="AV46" i="71" s="1"/>
  <c r="AT40" i="71"/>
  <c r="AZ40" i="71" s="1"/>
  <c r="AT42" i="73"/>
  <c r="AZ42" i="73" s="1"/>
  <c r="BJ33" i="74"/>
  <c r="BL32" i="74"/>
  <c r="BF37" i="66"/>
  <c r="BL37" i="66" s="1"/>
  <c r="BE36" i="66"/>
  <c r="BK36" i="66" s="1"/>
  <c r="BG35" i="66"/>
  <c r="BM35" i="66" s="1"/>
  <c r="BF32" i="66"/>
  <c r="BL32" i="66" s="1"/>
  <c r="BC32" i="66"/>
  <c r="BI32" i="66" s="1"/>
  <c r="BG31" i="66"/>
  <c r="BM31" i="66" s="1"/>
  <c r="M39" i="75"/>
  <c r="N39" i="75" s="1"/>
  <c r="BG38" i="75"/>
  <c r="BM38" i="75" s="1"/>
  <c r="M36" i="75"/>
  <c r="N36" i="75" s="1"/>
  <c r="BG35" i="75"/>
  <c r="BM35" i="75" s="1"/>
  <c r="M33" i="75"/>
  <c r="N33" i="75" s="1"/>
  <c r="BG32" i="75"/>
  <c r="BM32" i="75" s="1"/>
  <c r="BG30" i="75"/>
  <c r="BM30" i="75" s="1"/>
  <c r="AT50" i="71"/>
  <c r="AZ50" i="71" s="1"/>
  <c r="AQ49" i="71"/>
  <c r="AW49" i="71" s="1"/>
  <c r="BB48" i="71"/>
  <c r="N48" i="71" s="1"/>
  <c r="O48" i="71" s="1"/>
  <c r="BB46" i="71"/>
  <c r="N46" i="71" s="1"/>
  <c r="O46" i="71" s="1"/>
  <c r="AP41" i="71"/>
  <c r="AV41" i="71" s="1"/>
  <c r="AT39" i="71"/>
  <c r="AZ39" i="71" s="1"/>
  <c r="BB39" i="71"/>
  <c r="N39" i="71" s="1"/>
  <c r="O39" i="71" s="1"/>
  <c r="BB37" i="71"/>
  <c r="N37" i="71" s="1"/>
  <c r="O37" i="71" s="1"/>
  <c r="AT32" i="71"/>
  <c r="AZ32" i="71" s="1"/>
  <c r="AQ31" i="71"/>
  <c r="AW31" i="71" s="1"/>
  <c r="BB30" i="71"/>
  <c r="N30" i="71" s="1"/>
  <c r="O30" i="71" s="1"/>
  <c r="BB54" i="73"/>
  <c r="N54" i="73" s="1"/>
  <c r="O54" i="73" s="1"/>
  <c r="BB48" i="73"/>
  <c r="N48" i="73" s="1"/>
  <c r="O48" i="73" s="1"/>
  <c r="BB42" i="73"/>
  <c r="N42" i="73" s="1"/>
  <c r="O42" i="73" s="1"/>
  <c r="BB36" i="73"/>
  <c r="N36" i="73" s="1"/>
  <c r="O36" i="73" s="1"/>
  <c r="BF35" i="66"/>
  <c r="BL35" i="66" s="1"/>
  <c r="BC35" i="66"/>
  <c r="BI35" i="66" s="1"/>
  <c r="BE34" i="66"/>
  <c r="BK34" i="66" s="1"/>
  <c r="BC31" i="66"/>
  <c r="BI31" i="66" s="1"/>
  <c r="BE30" i="66"/>
  <c r="BK30" i="66" s="1"/>
  <c r="BG40" i="75"/>
  <c r="BM40" i="75" s="1"/>
  <c r="M38" i="75"/>
  <c r="N38" i="75" s="1"/>
  <c r="BG37" i="75"/>
  <c r="BM37" i="75" s="1"/>
  <c r="M35" i="75"/>
  <c r="N35" i="75" s="1"/>
  <c r="BG34" i="75"/>
  <c r="BM34" i="75" s="1"/>
  <c r="M32" i="75"/>
  <c r="N32" i="75" s="1"/>
  <c r="BG31" i="75"/>
  <c r="BM31" i="75" s="1"/>
  <c r="AP53" i="71"/>
  <c r="AV53" i="71" s="1"/>
  <c r="AT51" i="71"/>
  <c r="AZ51" i="71" s="1"/>
  <c r="BB51" i="71"/>
  <c r="N51" i="71" s="1"/>
  <c r="O51" i="71" s="1"/>
  <c r="BB49" i="71"/>
  <c r="N49" i="71" s="1"/>
  <c r="O49" i="71" s="1"/>
  <c r="AT44" i="71"/>
  <c r="AZ44" i="71" s="1"/>
  <c r="AQ43" i="71"/>
  <c r="AW43" i="71" s="1"/>
  <c r="BB42" i="71"/>
  <c r="N42" i="71" s="1"/>
  <c r="O42" i="71" s="1"/>
  <c r="AP35" i="71"/>
  <c r="AV35" i="71" s="1"/>
  <c r="AT33" i="71"/>
  <c r="AZ33" i="71" s="1"/>
  <c r="BB33" i="71"/>
  <c r="N33" i="71" s="1"/>
  <c r="O33" i="71" s="1"/>
  <c r="BB31" i="71"/>
  <c r="N31" i="71" s="1"/>
  <c r="O31" i="71" s="1"/>
  <c r="AP54" i="73"/>
  <c r="AV54" i="73" s="1"/>
  <c r="AP53" i="73"/>
  <c r="AV53" i="73" s="1"/>
  <c r="AT49" i="73"/>
  <c r="AZ49" i="73" s="1"/>
  <c r="AP48" i="73"/>
  <c r="AV48" i="73" s="1"/>
  <c r="AS47" i="73"/>
  <c r="AY47" i="73" s="1"/>
  <c r="AT43" i="73"/>
  <c r="AZ43" i="73" s="1"/>
  <c r="AP42" i="73"/>
  <c r="AV42" i="73" s="1"/>
  <c r="AS41" i="73"/>
  <c r="AY41" i="73" s="1"/>
  <c r="AT37" i="73"/>
  <c r="AZ37" i="73" s="1"/>
  <c r="AP36" i="73"/>
  <c r="AV36" i="73" s="1"/>
  <c r="AS35" i="73"/>
  <c r="AY35" i="73" s="1"/>
  <c r="AP31" i="73"/>
  <c r="AV31" i="73" s="1"/>
  <c r="BM39" i="74"/>
  <c r="BL38" i="74"/>
  <c r="BJ35" i="74"/>
  <c r="BL34" i="74"/>
  <c r="BF40" i="66"/>
  <c r="BL40" i="66" s="1"/>
  <c r="BE39" i="66"/>
  <c r="BK39" i="66" s="1"/>
  <c r="BG38" i="66"/>
  <c r="BM38" i="66" s="1"/>
  <c r="BF34" i="66"/>
  <c r="BL34" i="66" s="1"/>
  <c r="BC34" i="66"/>
  <c r="BI34" i="66" s="1"/>
  <c r="BG33" i="66"/>
  <c r="BM33" i="66" s="1"/>
  <c r="BF30" i="66"/>
  <c r="BL30" i="66" s="1"/>
  <c r="BC30" i="66"/>
  <c r="BI30" i="66" s="1"/>
  <c r="BF40" i="75"/>
  <c r="BL40" i="75" s="1"/>
  <c r="BD39" i="75"/>
  <c r="BJ39" i="75" s="1"/>
  <c r="BF37" i="75"/>
  <c r="BL37" i="75" s="1"/>
  <c r="BD36" i="75"/>
  <c r="BJ36" i="75" s="1"/>
  <c r="BF34" i="75"/>
  <c r="BL34" i="75" s="1"/>
  <c r="BD33" i="75"/>
  <c r="BJ33" i="75" s="1"/>
  <c r="BF31" i="75"/>
  <c r="BL31" i="75" s="1"/>
  <c r="AQ54" i="71"/>
  <c r="AW54" i="71" s="1"/>
  <c r="AT52" i="71"/>
  <c r="AZ52" i="71" s="1"/>
  <c r="AS51" i="71"/>
  <c r="AY51" i="71" s="1"/>
  <c r="AP49" i="71"/>
  <c r="AV49" i="71" s="1"/>
  <c r="AT48" i="71"/>
  <c r="AZ48" i="71" s="1"/>
  <c r="AR47" i="71"/>
  <c r="AX47" i="71" s="1"/>
  <c r="BB47" i="71"/>
  <c r="N47" i="71" s="1"/>
  <c r="O47" i="71" s="1"/>
  <c r="AR46" i="71"/>
  <c r="AX46" i="71" s="1"/>
  <c r="AQ45" i="71"/>
  <c r="AW45" i="71" s="1"/>
  <c r="AS44" i="71"/>
  <c r="AY44" i="71" s="1"/>
  <c r="AQ41" i="71"/>
  <c r="AW41" i="71" s="1"/>
  <c r="AP40" i="71"/>
  <c r="AV40" i="71" s="1"/>
  <c r="AR37" i="71"/>
  <c r="AX37" i="71" s="1"/>
  <c r="AQ36" i="71"/>
  <c r="AW36" i="71" s="1"/>
  <c r="AT34" i="71"/>
  <c r="AZ34" i="71" s="1"/>
  <c r="AS33" i="71"/>
  <c r="AY33" i="71" s="1"/>
  <c r="AP31" i="71"/>
  <c r="AV31" i="71" s="1"/>
  <c r="AT30" i="71"/>
  <c r="AZ30" i="71" s="1"/>
  <c r="AQ51" i="73"/>
  <c r="AW51" i="73" s="1"/>
  <c r="BB51" i="73"/>
  <c r="N51" i="73" s="1"/>
  <c r="O51" i="73" s="1"/>
  <c r="AT50" i="73"/>
  <c r="AZ50" i="73" s="1"/>
  <c r="AQ45" i="73"/>
  <c r="AW45" i="73" s="1"/>
  <c r="BB45" i="73"/>
  <c r="N45" i="73" s="1"/>
  <c r="O45" i="73" s="1"/>
  <c r="AT44" i="73"/>
  <c r="AZ44" i="73" s="1"/>
  <c r="AQ39" i="73"/>
  <c r="AW39" i="73" s="1"/>
  <c r="BB39" i="73"/>
  <c r="N39" i="73" s="1"/>
  <c r="O39" i="73" s="1"/>
  <c r="AT38" i="73"/>
  <c r="AZ38" i="73" s="1"/>
  <c r="AQ33" i="73"/>
  <c r="AW33" i="73" s="1"/>
  <c r="BB33" i="73"/>
  <c r="N33" i="73" s="1"/>
  <c r="O33" i="73" s="1"/>
  <c r="AT32" i="73"/>
  <c r="AZ32" i="73" s="1"/>
  <c r="AT31" i="73"/>
  <c r="AZ31" i="73" s="1"/>
  <c r="BJ34" i="74"/>
  <c r="BN33" i="74"/>
  <c r="BJ30" i="74"/>
  <c r="BC39" i="66"/>
  <c r="BI39" i="66" s="1"/>
  <c r="BE38" i="66"/>
  <c r="BK38" i="66" s="1"/>
  <c r="BG37" i="66"/>
  <c r="BM37" i="66" s="1"/>
  <c r="BE33" i="66"/>
  <c r="BK33" i="66" s="1"/>
  <c r="BG32" i="66"/>
  <c r="BM32" i="66" s="1"/>
  <c r="F30" i="66"/>
  <c r="BG39" i="75"/>
  <c r="BM39" i="75" s="1"/>
  <c r="BG36" i="75"/>
  <c r="BM36" i="75" s="1"/>
  <c r="BG33" i="75"/>
  <c r="BM33" i="75" s="1"/>
  <c r="BB54" i="71"/>
  <c r="N54" i="71" s="1"/>
  <c r="O54" i="71" s="1"/>
  <c r="BB52" i="71"/>
  <c r="N52" i="71" s="1"/>
  <c r="O52" i="71" s="1"/>
  <c r="AP50" i="71"/>
  <c r="AV50" i="71" s="1"/>
  <c r="AP47" i="71"/>
  <c r="AV47" i="71" s="1"/>
  <c r="AT45" i="71"/>
  <c r="AZ45" i="71" s="1"/>
  <c r="BB43" i="71"/>
  <c r="N43" i="71" s="1"/>
  <c r="O43" i="71" s="1"/>
  <c r="AT38" i="71"/>
  <c r="AZ38" i="71" s="1"/>
  <c r="AQ37" i="71"/>
  <c r="AW37" i="71" s="1"/>
  <c r="BB36" i="71"/>
  <c r="N36" i="71" s="1"/>
  <c r="O36" i="71" s="1"/>
  <c r="BB34" i="71"/>
  <c r="N34" i="71" s="1"/>
  <c r="O34" i="71" s="1"/>
  <c r="AP52" i="73"/>
  <c r="AV52" i="73" s="1"/>
  <c r="AR50" i="73"/>
  <c r="AX50" i="73" s="1"/>
  <c r="AP46" i="73"/>
  <c r="AV46" i="73" s="1"/>
  <c r="AR44" i="73"/>
  <c r="AX44" i="73" s="1"/>
  <c r="AP40" i="73"/>
  <c r="AV40" i="73" s="1"/>
  <c r="AR38" i="73"/>
  <c r="AX38" i="73" s="1"/>
  <c r="AP34" i="73"/>
  <c r="AV34" i="73" s="1"/>
  <c r="AR32" i="73"/>
  <c r="AX32" i="73" s="1"/>
  <c r="AS31" i="73"/>
  <c r="AY31" i="73" s="1"/>
  <c r="BE37" i="66"/>
  <c r="BK37" i="66" s="1"/>
  <c r="BG36" i="66"/>
  <c r="BM36" i="66" s="1"/>
  <c r="BC33" i="66"/>
  <c r="BI33" i="66" s="1"/>
  <c r="BE32" i="66"/>
  <c r="BK32" i="66" s="1"/>
  <c r="BF39" i="75"/>
  <c r="BL39" i="75" s="1"/>
  <c r="BD38" i="75"/>
  <c r="BJ38" i="75" s="1"/>
  <c r="BF36" i="75"/>
  <c r="BL36" i="75" s="1"/>
  <c r="BD35" i="75"/>
  <c r="BJ35" i="75" s="1"/>
  <c r="BF33" i="75"/>
  <c r="BL33" i="75" s="1"/>
  <c r="BD32" i="75"/>
  <c r="BJ32" i="75" s="1"/>
  <c r="AP52" i="71"/>
  <c r="AV52" i="71" s="1"/>
  <c r="AR49" i="71"/>
  <c r="AX49" i="71" s="1"/>
  <c r="AQ48" i="71"/>
  <c r="AW48" i="71" s="1"/>
  <c r="AT46" i="71"/>
  <c r="AZ46" i="71" s="1"/>
  <c r="AS45" i="71"/>
  <c r="AY45" i="71" s="1"/>
  <c r="AP43" i="71"/>
  <c r="AV43" i="71" s="1"/>
  <c r="AT42" i="71"/>
  <c r="AZ42" i="71" s="1"/>
  <c r="AR41" i="71"/>
  <c r="AX41" i="71" s="1"/>
  <c r="AS38" i="71"/>
  <c r="AY38" i="71" s="1"/>
  <c r="AP34" i="71"/>
  <c r="AV34" i="71" s="1"/>
  <c r="AR31" i="71"/>
  <c r="AX31" i="71" s="1"/>
  <c r="AQ30" i="71"/>
  <c r="AW30" i="71" s="1"/>
  <c r="AP51" i="73"/>
  <c r="AV51" i="73" s="1"/>
  <c r="AS50" i="73"/>
  <c r="AY50" i="73" s="1"/>
  <c r="AP45" i="73"/>
  <c r="AV45" i="73" s="1"/>
  <c r="AS44" i="73"/>
  <c r="AY44" i="73" s="1"/>
  <c r="AP39" i="73"/>
  <c r="AV39" i="73" s="1"/>
  <c r="AS38" i="73"/>
  <c r="AY38" i="73" s="1"/>
  <c r="AP33" i="73"/>
  <c r="AV33" i="73" s="1"/>
  <c r="AS32" i="73"/>
  <c r="AY32" i="73" s="1"/>
  <c r="AP41" i="73"/>
  <c r="AV41" i="73" s="1"/>
  <c r="AP38" i="73"/>
  <c r="AV38" i="73" s="1"/>
  <c r="AP35" i="73"/>
  <c r="AV35" i="73" s="1"/>
  <c r="AQ53" i="73"/>
  <c r="AW53" i="73" s="1"/>
  <c r="AQ50" i="73"/>
  <c r="AW50" i="73" s="1"/>
  <c r="AQ47" i="73"/>
  <c r="AW47" i="73" s="1"/>
  <c r="AQ44" i="73"/>
  <c r="AW44" i="73" s="1"/>
  <c r="AQ41" i="73"/>
  <c r="AW41" i="73" s="1"/>
  <c r="AQ38" i="73"/>
  <c r="AW38" i="73" s="1"/>
  <c r="AQ35" i="73"/>
  <c r="AW35" i="73" s="1"/>
  <c r="AQ32" i="73"/>
  <c r="AW32" i="73" s="1"/>
  <c r="AP32" i="73"/>
  <c r="AV32" i="73" s="1"/>
  <c r="AS54" i="73"/>
  <c r="AY54" i="73" s="1"/>
  <c r="AQ52" i="73"/>
  <c r="AW52" i="73" s="1"/>
  <c r="AS51" i="73"/>
  <c r="AY51" i="73" s="1"/>
  <c r="AQ49" i="73"/>
  <c r="AW49" i="73" s="1"/>
  <c r="AS48" i="73"/>
  <c r="AY48" i="73" s="1"/>
  <c r="AQ46" i="73"/>
  <c r="AW46" i="73" s="1"/>
  <c r="AS45" i="73"/>
  <c r="AY45" i="73" s="1"/>
  <c r="AQ43" i="73"/>
  <c r="AW43" i="73" s="1"/>
  <c r="AS42" i="73"/>
  <c r="AY42" i="73" s="1"/>
  <c r="AQ40" i="73"/>
  <c r="AW40" i="73" s="1"/>
  <c r="AS39" i="73"/>
  <c r="AY39" i="73" s="1"/>
  <c r="AQ37" i="73"/>
  <c r="AW37" i="73" s="1"/>
  <c r="AS36" i="73"/>
  <c r="AY36" i="73" s="1"/>
  <c r="AQ34" i="73"/>
  <c r="AW34" i="73" s="1"/>
  <c r="AS33" i="73"/>
  <c r="AY33" i="73" s="1"/>
  <c r="AQ31" i="73"/>
  <c r="AW31" i="73" s="1"/>
  <c r="AP50" i="73"/>
  <c r="AV50" i="73" s="1"/>
  <c r="AR54" i="73"/>
  <c r="AX54" i="73" s="1"/>
  <c r="AR51" i="73"/>
  <c r="AX51" i="73" s="1"/>
  <c r="AR48" i="73"/>
  <c r="AX48" i="73" s="1"/>
  <c r="AR45" i="73"/>
  <c r="AX45" i="73" s="1"/>
  <c r="AR42" i="73"/>
  <c r="AX42" i="73" s="1"/>
  <c r="AR39" i="73"/>
  <c r="AX39" i="73" s="1"/>
  <c r="AR36" i="73"/>
  <c r="AX36" i="73" s="1"/>
  <c r="AR33" i="73"/>
  <c r="AX33" i="73" s="1"/>
  <c r="AP47" i="73"/>
  <c r="AV47" i="73" s="1"/>
  <c r="AP44" i="73"/>
  <c r="AV44" i="73" s="1"/>
  <c r="AS53" i="73"/>
  <c r="AY53" i="73" s="1"/>
  <c r="BB45" i="71"/>
  <c r="N45" i="71" s="1"/>
  <c r="O45" i="71" s="1"/>
  <c r="BB41" i="71"/>
  <c r="N41" i="71" s="1"/>
  <c r="O41" i="71" s="1"/>
  <c r="BB38" i="71"/>
  <c r="N38" i="71" s="1"/>
  <c r="O38" i="71" s="1"/>
  <c r="BB50" i="71"/>
  <c r="N50" i="71" s="1"/>
  <c r="O50" i="71" s="1"/>
  <c r="BB32" i="71"/>
  <c r="N32" i="71" s="1"/>
  <c r="O32" i="71" s="1"/>
  <c r="BB40" i="71"/>
  <c r="N40" i="71" s="1"/>
  <c r="O40" i="71" s="1"/>
  <c r="BB44" i="71"/>
  <c r="N44" i="71" s="1"/>
  <c r="O44" i="71" s="1"/>
  <c r="AP54" i="71"/>
  <c r="AV54" i="71" s="1"/>
  <c r="AR50" i="71"/>
  <c r="AX50" i="71" s="1"/>
  <c r="AP48" i="71"/>
  <c r="AV48" i="71" s="1"/>
  <c r="AR44" i="71"/>
  <c r="AX44" i="71" s="1"/>
  <c r="AP42" i="71"/>
  <c r="AV42" i="71" s="1"/>
  <c r="AR38" i="71"/>
  <c r="AX38" i="71" s="1"/>
  <c r="AP36" i="71"/>
  <c r="AV36" i="71" s="1"/>
  <c r="AR32" i="71"/>
  <c r="AX32" i="71" s="1"/>
  <c r="AP30" i="71"/>
  <c r="AV30" i="71" s="1"/>
  <c r="AS53" i="71"/>
  <c r="AY53" i="71" s="1"/>
  <c r="AS47" i="71"/>
  <c r="AY47" i="71" s="1"/>
  <c r="AP44" i="71"/>
  <c r="AV44" i="71" s="1"/>
  <c r="AS41" i="71"/>
  <c r="AY41" i="71" s="1"/>
  <c r="AP38" i="71"/>
  <c r="AV38" i="71" s="1"/>
  <c r="AS35" i="71"/>
  <c r="AY35" i="71" s="1"/>
  <c r="AP32" i="71"/>
  <c r="AV32" i="71" s="1"/>
  <c r="AS40" i="71"/>
  <c r="AY40" i="71" s="1"/>
  <c r="AQ52" i="71"/>
  <c r="AW52" i="71" s="1"/>
  <c r="AQ46" i="71"/>
  <c r="AW46" i="71" s="1"/>
  <c r="AQ40" i="71"/>
  <c r="AW40" i="71" s="1"/>
  <c r="AQ34" i="71"/>
  <c r="AW34" i="71" s="1"/>
  <c r="AS52" i="71"/>
  <c r="AY52" i="71" s="1"/>
  <c r="AS46" i="71"/>
  <c r="AY46" i="71" s="1"/>
  <c r="AS34" i="71"/>
  <c r="AY34" i="71" s="1"/>
  <c r="AS49" i="71"/>
  <c r="AY49" i="71" s="1"/>
  <c r="AS43" i="71"/>
  <c r="AY43" i="71" s="1"/>
  <c r="AS37" i="71"/>
  <c r="AY37" i="71" s="1"/>
  <c r="AS31" i="71"/>
  <c r="AY31" i="71" s="1"/>
  <c r="BF39" i="66"/>
  <c r="BL39" i="66" s="1"/>
  <c r="BF36" i="66"/>
  <c r="BL36" i="66" s="1"/>
  <c r="BD40" i="66"/>
  <c r="BJ40" i="66" s="1"/>
  <c r="BD39" i="66"/>
  <c r="BJ39" i="66" s="1"/>
  <c r="BD38" i="66"/>
  <c r="BJ38" i="66" s="1"/>
  <c r="BD37" i="66"/>
  <c r="BJ37" i="66" s="1"/>
  <c r="BD36" i="66"/>
  <c r="BJ36" i="66" s="1"/>
  <c r="BD35" i="66"/>
  <c r="BJ35" i="66" s="1"/>
  <c r="BD34" i="66"/>
  <c r="BJ34" i="66" s="1"/>
  <c r="BD33" i="66"/>
  <c r="BJ33" i="66" s="1"/>
  <c r="BD32" i="66"/>
  <c r="BJ32" i="66" s="1"/>
  <c r="BD31" i="66"/>
  <c r="BJ31" i="66" s="1"/>
  <c r="BD30" i="66"/>
  <c r="BJ30" i="66" s="1"/>
  <c r="BC40" i="66"/>
  <c r="BI40" i="66" s="1"/>
  <c r="BC38" i="66"/>
  <c r="BI38" i="66" s="1"/>
  <c r="BC37" i="66"/>
  <c r="BI37" i="66" s="1"/>
  <c r="BM34" i="74"/>
  <c r="BM30" i="74"/>
  <c r="BM38" i="74"/>
  <c r="BK40" i="74"/>
  <c r="BK34" i="74"/>
  <c r="BM36" i="74"/>
  <c r="BN37" i="67"/>
  <c r="BN28" i="67"/>
  <c r="BK38" i="67"/>
  <c r="BM37" i="67"/>
  <c r="BM34" i="67"/>
  <c r="BM31" i="67"/>
  <c r="BM28" i="67"/>
  <c r="BN31" i="67"/>
  <c r="BK34" i="67"/>
  <c r="AX37" i="84"/>
  <c r="BD37" i="84" s="1"/>
  <c r="BA39" i="84"/>
  <c r="BG39" i="84" s="1"/>
  <c r="AY35" i="84"/>
  <c r="BE35" i="84" s="1"/>
  <c r="BA33" i="84"/>
  <c r="BG33" i="84" s="1"/>
  <c r="AY29" i="84"/>
  <c r="BE29" i="84" s="1"/>
  <c r="BA34" i="84"/>
  <c r="BG34" i="84" s="1"/>
  <c r="AY34" i="84"/>
  <c r="BE34" i="84" s="1"/>
  <c r="AZ33" i="84"/>
  <c r="BF33" i="84" s="1"/>
  <c r="BA32" i="84"/>
  <c r="BG32" i="84" s="1"/>
  <c r="BA31" i="84"/>
  <c r="BG31" i="84" s="1"/>
  <c r="BA36" i="84"/>
  <c r="BG36" i="84" s="1"/>
  <c r="BA30" i="84"/>
  <c r="BG30" i="84" s="1"/>
  <c r="BA40" i="83"/>
  <c r="BG40" i="83" s="1"/>
  <c r="AX38" i="83"/>
  <c r="BD38" i="83" s="1"/>
  <c r="AZ36" i="83"/>
  <c r="BF36" i="83" s="1"/>
  <c r="AX32" i="83"/>
  <c r="BD32" i="83" s="1"/>
  <c r="AZ30" i="83"/>
  <c r="BF30" i="83" s="1"/>
  <c r="BA39" i="83"/>
  <c r="BG39" i="83" s="1"/>
  <c r="BA33" i="83"/>
  <c r="BG33" i="83" s="1"/>
  <c r="AY40" i="83"/>
  <c r="BE40" i="83" s="1"/>
  <c r="AY34" i="83"/>
  <c r="BE34" i="83" s="1"/>
  <c r="AY39" i="83"/>
  <c r="BE39" i="83" s="1"/>
  <c r="BA37" i="83"/>
  <c r="BG37" i="83" s="1"/>
  <c r="AX34" i="83"/>
  <c r="BD34" i="83" s="1"/>
  <c r="AY33" i="83"/>
  <c r="BE33" i="83" s="1"/>
  <c r="BA31" i="83"/>
  <c r="BG31" i="83" s="1"/>
  <c r="L34" i="79"/>
  <c r="AA34" i="79" s="1"/>
  <c r="AB34" i="79" s="1"/>
  <c r="L42" i="79"/>
  <c r="AA42" i="79" s="1"/>
  <c r="AB42" i="79" s="1"/>
  <c r="L30" i="79"/>
  <c r="AA30" i="79" s="1"/>
  <c r="AB30" i="79" s="1"/>
  <c r="L37" i="79"/>
  <c r="AA37" i="79" s="1"/>
  <c r="AB37" i="79" s="1"/>
  <c r="AA40" i="79"/>
  <c r="AB40" i="79" s="1"/>
  <c r="L38" i="79"/>
  <c r="AA38" i="79" s="1"/>
  <c r="AB38" i="79" s="1"/>
  <c r="AA48" i="79"/>
  <c r="AB48" i="79" s="1"/>
  <c r="AA46" i="79"/>
  <c r="AB46" i="79" s="1"/>
  <c r="AA44" i="79"/>
  <c r="AB44" i="79" s="1"/>
  <c r="L36" i="79"/>
  <c r="AA36" i="79" s="1"/>
  <c r="AB36" i="79" s="1"/>
  <c r="BQ48" i="79"/>
  <c r="BW48" i="79" s="1"/>
  <c r="BQ49" i="79"/>
  <c r="BW49" i="79" s="1"/>
  <c r="BQ47" i="79"/>
  <c r="BW47" i="79" s="1"/>
  <c r="BQ45" i="79"/>
  <c r="BW45" i="79" s="1"/>
  <c r="BQ43" i="79"/>
  <c r="BW43" i="79" s="1"/>
  <c r="BQ41" i="79"/>
  <c r="BW41" i="79" s="1"/>
  <c r="BQ39" i="79"/>
  <c r="BW39" i="79" s="1"/>
  <c r="BQ37" i="79"/>
  <c r="BW37" i="79" s="1"/>
  <c r="BQ35" i="79"/>
  <c r="BW35" i="79" s="1"/>
  <c r="BQ33" i="79"/>
  <c r="BW33" i="79" s="1"/>
  <c r="BQ31" i="79"/>
  <c r="BW31" i="79" s="1"/>
  <c r="BQ29" i="79"/>
  <c r="BW29" i="79" s="1"/>
  <c r="BT49" i="79"/>
  <c r="BZ49" i="79" s="1"/>
  <c r="L37" i="78"/>
  <c r="L45" i="78"/>
  <c r="L33" i="78"/>
  <c r="BQ50" i="78"/>
  <c r="BW50" i="78" s="1"/>
  <c r="BN49" i="78"/>
  <c r="BT49" i="78" s="1"/>
  <c r="BN50" i="78"/>
  <c r="BT50" i="78" s="1"/>
  <c r="BN48" i="78"/>
  <c r="BT48" i="78" s="1"/>
  <c r="BN46" i="78"/>
  <c r="BT46" i="78" s="1"/>
  <c r="BN44" i="78"/>
  <c r="BT44" i="78" s="1"/>
  <c r="BN42" i="78"/>
  <c r="BT42" i="78" s="1"/>
  <c r="BN40" i="78"/>
  <c r="BT40" i="78" s="1"/>
  <c r="BN38" i="78"/>
  <c r="BT38" i="78" s="1"/>
  <c r="BN36" i="78"/>
  <c r="BT36" i="78" s="1"/>
  <c r="BN34" i="78"/>
  <c r="BT34" i="78" s="1"/>
  <c r="BN32" i="78"/>
  <c r="BT32" i="78" s="1"/>
  <c r="BN30" i="78"/>
  <c r="BT30" i="78" s="1"/>
  <c r="AX49" i="77"/>
  <c r="BD49" i="77" s="1"/>
  <c r="AV50" i="77"/>
  <c r="BB50" i="77" s="1"/>
  <c r="Q49" i="77"/>
  <c r="S49" i="77" s="1"/>
  <c r="T49" i="77" s="1"/>
  <c r="AX48" i="77"/>
  <c r="BD48" i="77" s="1"/>
  <c r="AV44" i="77"/>
  <c r="BB44" i="77" s="1"/>
  <c r="Q43" i="77"/>
  <c r="S43" i="77" s="1"/>
  <c r="T43" i="77" s="1"/>
  <c r="AX42" i="77"/>
  <c r="BD42" i="77" s="1"/>
  <c r="AV38" i="77"/>
  <c r="BB38" i="77" s="1"/>
  <c r="Q37" i="77"/>
  <c r="S37" i="77" s="1"/>
  <c r="T37" i="77" s="1"/>
  <c r="AX36" i="77"/>
  <c r="BD36" i="77" s="1"/>
  <c r="AV32" i="77"/>
  <c r="BB32" i="77" s="1"/>
  <c r="Q31" i="77"/>
  <c r="S31" i="77" s="1"/>
  <c r="T31" i="77" s="1"/>
  <c r="AX30" i="77"/>
  <c r="BD30" i="77" s="1"/>
  <c r="AY45" i="77"/>
  <c r="BE45" i="77" s="1"/>
  <c r="AY39" i="77"/>
  <c r="BE39" i="77" s="1"/>
  <c r="AY33" i="77"/>
  <c r="BE33" i="77" s="1"/>
  <c r="AW46" i="77"/>
  <c r="BC46" i="77" s="1"/>
  <c r="AW40" i="77"/>
  <c r="BC40" i="77" s="1"/>
  <c r="AW34" i="77"/>
  <c r="BC34" i="77" s="1"/>
  <c r="AY46" i="77"/>
  <c r="BE46" i="77" s="1"/>
  <c r="AW45" i="77"/>
  <c r="BC45" i="77" s="1"/>
  <c r="AY43" i="77"/>
  <c r="BE43" i="77" s="1"/>
  <c r="AV40" i="77"/>
  <c r="BB40" i="77" s="1"/>
  <c r="AW39" i="77"/>
  <c r="BC39" i="77" s="1"/>
  <c r="AY37" i="77"/>
  <c r="BE37" i="77" s="1"/>
  <c r="AV34" i="77"/>
  <c r="BB34" i="77" s="1"/>
  <c r="AW33" i="77"/>
  <c r="BC33" i="77" s="1"/>
  <c r="AY31" i="77"/>
  <c r="BE31" i="77" s="1"/>
  <c r="T43" i="76"/>
  <c r="T28" i="76"/>
  <c r="T40" i="76"/>
  <c r="T42" i="76"/>
  <c r="T46" i="76"/>
  <c r="T37" i="76"/>
  <c r="T34" i="76"/>
  <c r="T32" i="76"/>
  <c r="T38" i="76"/>
  <c r="AY44" i="76"/>
  <c r="BE44" i="76" s="1"/>
  <c r="AY38" i="76"/>
  <c r="BE38" i="76" s="1"/>
  <c r="AY32" i="76"/>
  <c r="BE32" i="76" s="1"/>
  <c r="T47" i="76"/>
  <c r="AW48" i="76"/>
  <c r="BC48" i="76" s="1"/>
  <c r="AV43" i="76"/>
  <c r="BB43" i="76" s="1"/>
  <c r="AV48" i="76"/>
  <c r="BB48" i="76" s="1"/>
  <c r="AW47" i="76"/>
  <c r="BC47" i="76" s="1"/>
  <c r="AX46" i="76"/>
  <c r="BD46" i="76" s="1"/>
  <c r="T45" i="76"/>
  <c r="AV42" i="76"/>
  <c r="BB42" i="76" s="1"/>
  <c r="Q41" i="76"/>
  <c r="T41" i="76" s="1"/>
  <c r="AX40" i="76"/>
  <c r="BD40" i="76" s="1"/>
  <c r="T39" i="76"/>
  <c r="AV36" i="76"/>
  <c r="BB36" i="76" s="1"/>
  <c r="Q35" i="76"/>
  <c r="T35" i="76" s="1"/>
  <c r="AX34" i="76"/>
  <c r="BD34" i="76" s="1"/>
  <c r="T33" i="76"/>
  <c r="AV30" i="76"/>
  <c r="BB30" i="76" s="1"/>
  <c r="Q29" i="76"/>
  <c r="T29" i="76" s="1"/>
  <c r="AX28" i="76"/>
  <c r="BD28" i="76" s="1"/>
  <c r="AY43" i="76"/>
  <c r="BE43" i="76" s="1"/>
  <c r="AY37" i="76"/>
  <c r="BE37" i="76" s="1"/>
  <c r="AY31" i="76"/>
  <c r="BE31" i="76" s="1"/>
  <c r="AW44" i="76"/>
  <c r="BC44" i="76" s="1"/>
  <c r="AW38" i="76"/>
  <c r="BC38" i="76" s="1"/>
  <c r="AW32" i="76"/>
  <c r="BC32" i="76" s="1"/>
  <c r="AY41" i="76"/>
  <c r="BE41" i="76" s="1"/>
  <c r="AW37" i="76"/>
  <c r="BC37" i="76" s="1"/>
  <c r="AY35" i="76"/>
  <c r="BE35" i="76" s="1"/>
  <c r="AW31" i="76"/>
  <c r="BC31" i="76" s="1"/>
  <c r="AY29" i="76"/>
  <c r="BE29" i="76" s="1"/>
  <c r="BJ38" i="72"/>
  <c r="BP38" i="72" s="1"/>
  <c r="BJ45" i="72"/>
  <c r="BP45" i="72" s="1"/>
  <c r="BG43" i="72"/>
  <c r="BM43" i="72" s="1"/>
  <c r="BI46" i="72"/>
  <c r="BO46" i="72" s="1"/>
  <c r="BH45" i="72"/>
  <c r="BN45" i="72" s="1"/>
  <c r="BI47" i="72"/>
  <c r="BO47" i="72" s="1"/>
  <c r="BI41" i="72"/>
  <c r="BO41" i="72" s="1"/>
  <c r="BG39" i="72"/>
  <c r="BM39" i="72" s="1"/>
  <c r="BI35" i="72"/>
  <c r="BO35" i="72" s="1"/>
  <c r="BG33" i="72"/>
  <c r="BM33" i="72" s="1"/>
  <c r="BI29" i="72"/>
  <c r="BO29" i="72" s="1"/>
  <c r="BG27" i="72"/>
  <c r="BM27" i="72" s="1"/>
  <c r="BH47" i="72"/>
  <c r="BN47" i="72" s="1"/>
  <c r="BI42" i="72"/>
  <c r="BO42" i="72" s="1"/>
  <c r="BH41" i="72"/>
  <c r="BN41" i="72" s="1"/>
  <c r="BI36" i="72"/>
  <c r="BO36" i="72" s="1"/>
  <c r="BH35" i="72"/>
  <c r="BN35" i="72" s="1"/>
  <c r="BI30" i="72"/>
  <c r="BO30" i="72" s="1"/>
  <c r="BH29" i="72"/>
  <c r="BN29" i="72" s="1"/>
  <c r="BJ39" i="72"/>
  <c r="BP39" i="72" s="1"/>
  <c r="BH37" i="72"/>
  <c r="BN37" i="72" s="1"/>
  <c r="BJ33" i="72"/>
  <c r="BP33" i="72" s="1"/>
  <c r="BH31" i="72"/>
  <c r="BN31" i="72" s="1"/>
  <c r="BJ27" i="72"/>
  <c r="BP27" i="72" s="1"/>
  <c r="BJ44" i="72"/>
  <c r="BP44" i="72" s="1"/>
  <c r="BJ32" i="72"/>
  <c r="BP32" i="72" s="1"/>
  <c r="BH44" i="72"/>
  <c r="BN44" i="72" s="1"/>
  <c r="BH38" i="72"/>
  <c r="BN38" i="72" s="1"/>
  <c r="BH32" i="72"/>
  <c r="BN32" i="72" s="1"/>
  <c r="BT27" i="41"/>
  <c r="BU27" i="41"/>
  <c r="BT28" i="41"/>
  <c r="BU28" i="41"/>
  <c r="BT29" i="41"/>
  <c r="BU29" i="41"/>
  <c r="BT30" i="41"/>
  <c r="BU30" i="41"/>
  <c r="BT31" i="41"/>
  <c r="BU31" i="41"/>
  <c r="G31" i="41" s="1"/>
  <c r="BT32" i="41"/>
  <c r="BU32" i="41"/>
  <c r="BT33" i="41"/>
  <c r="BU33" i="41"/>
  <c r="BT34" i="41"/>
  <c r="BU34" i="41"/>
  <c r="BT35" i="41"/>
  <c r="BU35" i="41"/>
  <c r="BT36" i="41"/>
  <c r="BU36" i="41"/>
  <c r="BT37" i="41"/>
  <c r="BU37" i="41"/>
  <c r="BT38" i="41"/>
  <c r="BU38" i="41"/>
  <c r="BT39" i="41"/>
  <c r="BU39" i="41"/>
  <c r="BT40" i="41"/>
  <c r="BU40" i="41"/>
  <c r="BT41" i="41"/>
  <c r="BU41" i="41"/>
  <c r="BT42" i="41"/>
  <c r="BU42" i="41"/>
  <c r="BT43" i="41"/>
  <c r="BU43" i="41"/>
  <c r="BT44" i="41"/>
  <c r="BU44" i="41"/>
  <c r="BT45" i="41"/>
  <c r="BU45" i="41"/>
  <c r="BT46" i="41"/>
  <c r="BU46" i="41"/>
  <c r="BT47" i="41"/>
  <c r="BU47" i="41"/>
  <c r="D27" i="41"/>
  <c r="E27" i="41"/>
  <c r="I27" i="41"/>
  <c r="K27" i="41"/>
  <c r="L27" i="41"/>
  <c r="O27" i="41"/>
  <c r="S27" i="41"/>
  <c r="T27" i="41" s="1"/>
  <c r="V27" i="41"/>
  <c r="W27" i="41"/>
  <c r="AA27" i="41"/>
  <c r="AB27" i="41"/>
  <c r="AC27" i="41"/>
  <c r="AH27" i="41"/>
  <c r="AI27" i="41"/>
  <c r="AJ27" i="41"/>
  <c r="AO27" i="41"/>
  <c r="AP27" i="41"/>
  <c r="AQ27" i="41"/>
  <c r="AV27" i="41"/>
  <c r="AW27" i="41"/>
  <c r="AX27" i="41"/>
  <c r="BC27" i="41"/>
  <c r="BD27" i="41"/>
  <c r="BE27" i="41"/>
  <c r="D28" i="41"/>
  <c r="E28" i="41"/>
  <c r="I28" i="41"/>
  <c r="K28" i="41"/>
  <c r="L28" i="41"/>
  <c r="O28" i="41"/>
  <c r="S28" i="41"/>
  <c r="T28" i="41" s="1"/>
  <c r="V28" i="41"/>
  <c r="W28" i="41"/>
  <c r="AA28" i="41"/>
  <c r="AB28" i="41"/>
  <c r="AC28" i="41"/>
  <c r="AH28" i="41"/>
  <c r="AI28" i="41"/>
  <c r="AJ28" i="41"/>
  <c r="AO28" i="41"/>
  <c r="AP28" i="41"/>
  <c r="AQ28" i="41"/>
  <c r="AV28" i="41"/>
  <c r="AW28" i="41"/>
  <c r="AX28" i="41"/>
  <c r="BC28" i="41"/>
  <c r="BD28" i="41"/>
  <c r="BE28" i="41"/>
  <c r="D29" i="41"/>
  <c r="E29" i="41"/>
  <c r="I29" i="41"/>
  <c r="K29" i="41"/>
  <c r="L29" i="41"/>
  <c r="O29" i="41"/>
  <c r="S29" i="41"/>
  <c r="T29" i="41" s="1"/>
  <c r="V29" i="41"/>
  <c r="W29" i="41"/>
  <c r="AA29" i="41"/>
  <c r="AB29" i="41"/>
  <c r="AC29" i="41"/>
  <c r="AH29" i="41"/>
  <c r="AI29" i="41"/>
  <c r="AJ29" i="41"/>
  <c r="AO29" i="41"/>
  <c r="AP29" i="41"/>
  <c r="AQ29" i="41"/>
  <c r="AV29" i="41"/>
  <c r="AW29" i="41"/>
  <c r="AX29" i="41"/>
  <c r="BC29" i="41"/>
  <c r="BD29" i="41"/>
  <c r="BE29" i="41"/>
  <c r="D30" i="41"/>
  <c r="E30" i="41"/>
  <c r="I30" i="41"/>
  <c r="K30" i="41"/>
  <c r="L30" i="41"/>
  <c r="O30" i="41"/>
  <c r="S30" i="41"/>
  <c r="T30" i="41" s="1"/>
  <c r="V30" i="41"/>
  <c r="W30" i="41"/>
  <c r="AA30" i="41"/>
  <c r="AB30" i="41"/>
  <c r="AC30" i="41"/>
  <c r="AH30" i="41"/>
  <c r="AI30" i="41"/>
  <c r="AJ30" i="41"/>
  <c r="AO30" i="41"/>
  <c r="AP30" i="41"/>
  <c r="AQ30" i="41"/>
  <c r="AV30" i="41"/>
  <c r="AW30" i="41"/>
  <c r="AX30" i="41"/>
  <c r="BC30" i="41"/>
  <c r="BD30" i="41"/>
  <c r="BE30" i="41"/>
  <c r="D31" i="41"/>
  <c r="E31" i="41"/>
  <c r="I31" i="41"/>
  <c r="K31" i="41"/>
  <c r="L31" i="41"/>
  <c r="O31" i="41"/>
  <c r="S31" i="41"/>
  <c r="T31" i="41" s="1"/>
  <c r="V31" i="41"/>
  <c r="W31" i="41"/>
  <c r="AA31" i="41"/>
  <c r="AB31" i="41"/>
  <c r="AC31" i="41"/>
  <c r="AH31" i="41"/>
  <c r="AI31" i="41"/>
  <c r="AJ31" i="41"/>
  <c r="AO31" i="41"/>
  <c r="AP31" i="41"/>
  <c r="AQ31" i="41"/>
  <c r="AV31" i="41"/>
  <c r="AW31" i="41"/>
  <c r="AX31" i="41"/>
  <c r="BC31" i="41"/>
  <c r="BD31" i="41"/>
  <c r="BE31" i="41"/>
  <c r="D32" i="41"/>
  <c r="E32" i="41"/>
  <c r="I32" i="41"/>
  <c r="K32" i="41"/>
  <c r="L32" i="41"/>
  <c r="O32" i="41"/>
  <c r="S32" i="41"/>
  <c r="T32" i="41" s="1"/>
  <c r="V32" i="41"/>
  <c r="W32" i="41"/>
  <c r="AA32" i="41"/>
  <c r="AB32" i="41"/>
  <c r="AC32" i="41"/>
  <c r="AH32" i="41"/>
  <c r="AI32" i="41"/>
  <c r="AJ32" i="41"/>
  <c r="AO32" i="41"/>
  <c r="AP32" i="41"/>
  <c r="AQ32" i="41"/>
  <c r="AV32" i="41"/>
  <c r="AW32" i="41"/>
  <c r="AX32" i="41"/>
  <c r="BC32" i="41"/>
  <c r="BD32" i="41"/>
  <c r="BE32" i="41"/>
  <c r="D33" i="41"/>
  <c r="E33" i="41"/>
  <c r="I33" i="41"/>
  <c r="K33" i="41"/>
  <c r="L33" i="41"/>
  <c r="O33" i="41"/>
  <c r="S33" i="41"/>
  <c r="T33" i="41" s="1"/>
  <c r="V33" i="41"/>
  <c r="W33" i="41"/>
  <c r="AA33" i="41"/>
  <c r="AB33" i="41"/>
  <c r="AC33" i="41"/>
  <c r="AH33" i="41"/>
  <c r="AI33" i="41"/>
  <c r="AJ33" i="41"/>
  <c r="AO33" i="41"/>
  <c r="AP33" i="41"/>
  <c r="AQ33" i="41"/>
  <c r="AV33" i="41"/>
  <c r="AW33" i="41"/>
  <c r="AX33" i="41"/>
  <c r="BC33" i="41"/>
  <c r="BD33" i="41"/>
  <c r="BE33" i="41"/>
  <c r="D34" i="41"/>
  <c r="E34" i="41"/>
  <c r="I34" i="41"/>
  <c r="K34" i="41"/>
  <c r="L34" i="41"/>
  <c r="O34" i="41"/>
  <c r="S34" i="41"/>
  <c r="T34" i="41" s="1"/>
  <c r="V34" i="41"/>
  <c r="W34" i="41"/>
  <c r="AA34" i="41"/>
  <c r="AB34" i="41"/>
  <c r="AC34" i="41"/>
  <c r="AH34" i="41"/>
  <c r="AI34" i="41"/>
  <c r="AJ34" i="41"/>
  <c r="AO34" i="41"/>
  <c r="AP34" i="41"/>
  <c r="AQ34" i="41"/>
  <c r="AV34" i="41"/>
  <c r="AW34" i="41"/>
  <c r="AX34" i="41"/>
  <c r="BC34" i="41"/>
  <c r="BD34" i="41"/>
  <c r="BE34" i="41"/>
  <c r="D35" i="41"/>
  <c r="E35" i="41"/>
  <c r="I35" i="41"/>
  <c r="K35" i="41"/>
  <c r="L35" i="41"/>
  <c r="O35" i="41"/>
  <c r="S35" i="41"/>
  <c r="T35" i="41" s="1"/>
  <c r="V35" i="41"/>
  <c r="W35" i="41"/>
  <c r="AA35" i="41"/>
  <c r="AB35" i="41"/>
  <c r="AC35" i="41"/>
  <c r="AH35" i="41"/>
  <c r="AI35" i="41"/>
  <c r="AJ35" i="41"/>
  <c r="AO35" i="41"/>
  <c r="AP35" i="41"/>
  <c r="AQ35" i="41"/>
  <c r="AV35" i="41"/>
  <c r="AW35" i="41"/>
  <c r="AX35" i="41"/>
  <c r="BC35" i="41"/>
  <c r="BD35" i="41"/>
  <c r="BE35" i="41"/>
  <c r="D36" i="41"/>
  <c r="E36" i="41"/>
  <c r="I36" i="41"/>
  <c r="K36" i="41"/>
  <c r="L36" i="41"/>
  <c r="O36" i="41"/>
  <c r="S36" i="41"/>
  <c r="T36" i="41" s="1"/>
  <c r="V36" i="41"/>
  <c r="W36" i="41"/>
  <c r="AA36" i="41"/>
  <c r="AB36" i="41"/>
  <c r="AC36" i="41"/>
  <c r="AH36" i="41"/>
  <c r="AI36" i="41"/>
  <c r="AJ36" i="41"/>
  <c r="AO36" i="41"/>
  <c r="AP36" i="41"/>
  <c r="AQ36" i="41"/>
  <c r="AV36" i="41"/>
  <c r="AW36" i="41"/>
  <c r="AX36" i="41"/>
  <c r="BC36" i="41"/>
  <c r="BD36" i="41"/>
  <c r="BE36" i="41"/>
  <c r="D37" i="41"/>
  <c r="E37" i="41"/>
  <c r="I37" i="41"/>
  <c r="K37" i="41"/>
  <c r="L37" i="41"/>
  <c r="O37" i="41"/>
  <c r="S37" i="41"/>
  <c r="T37" i="41" s="1"/>
  <c r="V37" i="41"/>
  <c r="W37" i="41"/>
  <c r="AA37" i="41"/>
  <c r="AB37" i="41"/>
  <c r="AC37" i="41"/>
  <c r="AH37" i="41"/>
  <c r="AI37" i="41"/>
  <c r="AJ37" i="41"/>
  <c r="AO37" i="41"/>
  <c r="AP37" i="41"/>
  <c r="AQ37" i="41"/>
  <c r="AV37" i="41"/>
  <c r="AW37" i="41"/>
  <c r="AX37" i="41"/>
  <c r="BC37" i="41"/>
  <c r="BD37" i="41"/>
  <c r="BE37" i="41"/>
  <c r="D38" i="41"/>
  <c r="E38" i="41"/>
  <c r="I38" i="41"/>
  <c r="K38" i="41"/>
  <c r="L38" i="41"/>
  <c r="O38" i="41"/>
  <c r="S38" i="41"/>
  <c r="T38" i="41" s="1"/>
  <c r="V38" i="41"/>
  <c r="W38" i="41"/>
  <c r="AA38" i="41"/>
  <c r="AB38" i="41"/>
  <c r="AC38" i="41"/>
  <c r="AH38" i="41"/>
  <c r="AI38" i="41"/>
  <c r="AJ38" i="41"/>
  <c r="AO38" i="41"/>
  <c r="AP38" i="41"/>
  <c r="AQ38" i="41"/>
  <c r="AV38" i="41"/>
  <c r="AW38" i="41"/>
  <c r="AX38" i="41"/>
  <c r="BC38" i="41"/>
  <c r="BD38" i="41"/>
  <c r="BE38" i="41"/>
  <c r="D39" i="41"/>
  <c r="E39" i="41"/>
  <c r="I39" i="41"/>
  <c r="K39" i="41"/>
  <c r="L39" i="41"/>
  <c r="O39" i="41"/>
  <c r="S39" i="41"/>
  <c r="T39" i="41" s="1"/>
  <c r="V39" i="41"/>
  <c r="W39" i="41"/>
  <c r="AA39" i="41"/>
  <c r="AB39" i="41"/>
  <c r="AC39" i="41"/>
  <c r="AH39" i="41"/>
  <c r="AI39" i="41"/>
  <c r="AJ39" i="41"/>
  <c r="AO39" i="41"/>
  <c r="AP39" i="41"/>
  <c r="AQ39" i="41"/>
  <c r="AV39" i="41"/>
  <c r="AW39" i="41"/>
  <c r="AX39" i="41"/>
  <c r="BC39" i="41"/>
  <c r="BD39" i="41"/>
  <c r="BE39" i="41"/>
  <c r="D40" i="41"/>
  <c r="E40" i="41"/>
  <c r="I40" i="41"/>
  <c r="K40" i="41"/>
  <c r="L40" i="41"/>
  <c r="O40" i="41"/>
  <c r="S40" i="41"/>
  <c r="T40" i="41" s="1"/>
  <c r="V40" i="41"/>
  <c r="W40" i="41"/>
  <c r="AA40" i="41"/>
  <c r="AB40" i="41"/>
  <c r="AC40" i="41"/>
  <c r="AH40" i="41"/>
  <c r="AI40" i="41"/>
  <c r="AJ40" i="41"/>
  <c r="AO40" i="41"/>
  <c r="AP40" i="41"/>
  <c r="AQ40" i="41"/>
  <c r="AV40" i="41"/>
  <c r="AW40" i="41"/>
  <c r="AX40" i="41"/>
  <c r="BC40" i="41"/>
  <c r="BD40" i="41"/>
  <c r="BE40" i="41"/>
  <c r="D41" i="41"/>
  <c r="E41" i="41"/>
  <c r="I41" i="41"/>
  <c r="K41" i="41"/>
  <c r="L41" i="41"/>
  <c r="O41" i="41"/>
  <c r="S41" i="41"/>
  <c r="T41" i="41" s="1"/>
  <c r="V41" i="41"/>
  <c r="W41" i="41"/>
  <c r="AA41" i="41"/>
  <c r="AB41" i="41"/>
  <c r="AC41" i="41"/>
  <c r="AH41" i="41"/>
  <c r="AI41" i="41"/>
  <c r="AJ41" i="41"/>
  <c r="AO41" i="41"/>
  <c r="AP41" i="41"/>
  <c r="AQ41" i="41"/>
  <c r="AV41" i="41"/>
  <c r="AW41" i="41"/>
  <c r="AX41" i="41"/>
  <c r="BC41" i="41"/>
  <c r="BD41" i="41"/>
  <c r="BE41" i="41"/>
  <c r="D42" i="41"/>
  <c r="E42" i="41"/>
  <c r="I42" i="41"/>
  <c r="K42" i="41"/>
  <c r="L42" i="41"/>
  <c r="O42" i="41"/>
  <c r="S42" i="41"/>
  <c r="T42" i="41" s="1"/>
  <c r="V42" i="41"/>
  <c r="W42" i="41"/>
  <c r="AA42" i="41"/>
  <c r="AB42" i="41"/>
  <c r="AC42" i="41"/>
  <c r="AH42" i="41"/>
  <c r="AI42" i="41"/>
  <c r="AJ42" i="41"/>
  <c r="AO42" i="41"/>
  <c r="AP42" i="41"/>
  <c r="AQ42" i="41"/>
  <c r="AV42" i="41"/>
  <c r="AW42" i="41"/>
  <c r="AX42" i="41"/>
  <c r="BC42" i="41"/>
  <c r="BD42" i="41"/>
  <c r="BE42" i="41"/>
  <c r="D43" i="41"/>
  <c r="E43" i="41"/>
  <c r="I43" i="41"/>
  <c r="K43" i="41"/>
  <c r="L43" i="41"/>
  <c r="O43" i="41"/>
  <c r="S43" i="41"/>
  <c r="T43" i="41" s="1"/>
  <c r="V43" i="41"/>
  <c r="W43" i="41"/>
  <c r="AA43" i="41"/>
  <c r="AB43" i="41"/>
  <c r="AC43" i="41"/>
  <c r="AH43" i="41"/>
  <c r="AI43" i="41"/>
  <c r="AJ43" i="41"/>
  <c r="AO43" i="41"/>
  <c r="AP43" i="41"/>
  <c r="AQ43" i="41"/>
  <c r="AV43" i="41"/>
  <c r="AW43" i="41"/>
  <c r="AX43" i="41"/>
  <c r="BC43" i="41"/>
  <c r="BD43" i="41"/>
  <c r="BE43" i="41"/>
  <c r="D44" i="41"/>
  <c r="E44" i="41"/>
  <c r="I44" i="41"/>
  <c r="K44" i="41"/>
  <c r="L44" i="41"/>
  <c r="O44" i="41"/>
  <c r="S44" i="41"/>
  <c r="T44" i="41" s="1"/>
  <c r="V44" i="41"/>
  <c r="W44" i="41"/>
  <c r="AA44" i="41"/>
  <c r="AB44" i="41"/>
  <c r="AC44" i="41"/>
  <c r="AH44" i="41"/>
  <c r="AI44" i="41"/>
  <c r="AJ44" i="41"/>
  <c r="AO44" i="41"/>
  <c r="AP44" i="41"/>
  <c r="AQ44" i="41"/>
  <c r="AV44" i="41"/>
  <c r="AW44" i="41"/>
  <c r="AX44" i="41"/>
  <c r="BC44" i="41"/>
  <c r="BD44" i="41"/>
  <c r="BE44" i="41"/>
  <c r="D45" i="41"/>
  <c r="E45" i="41"/>
  <c r="I45" i="41"/>
  <c r="K45" i="41"/>
  <c r="L45" i="41"/>
  <c r="O45" i="41"/>
  <c r="S45" i="41"/>
  <c r="T45" i="41" s="1"/>
  <c r="V45" i="41"/>
  <c r="W45" i="41"/>
  <c r="AA45" i="41"/>
  <c r="AB45" i="41"/>
  <c r="AC45" i="41"/>
  <c r="AH45" i="41"/>
  <c r="AI45" i="41"/>
  <c r="AJ45" i="41"/>
  <c r="AO45" i="41"/>
  <c r="AP45" i="41"/>
  <c r="AQ45" i="41"/>
  <c r="AV45" i="41"/>
  <c r="AW45" i="41"/>
  <c r="AX45" i="41"/>
  <c r="BC45" i="41"/>
  <c r="BD45" i="41"/>
  <c r="BE45" i="41"/>
  <c r="D46" i="41"/>
  <c r="E46" i="41"/>
  <c r="I46" i="41"/>
  <c r="K46" i="41"/>
  <c r="L46" i="41"/>
  <c r="O46" i="41"/>
  <c r="S46" i="41"/>
  <c r="T46" i="41" s="1"/>
  <c r="V46" i="41"/>
  <c r="W46" i="41"/>
  <c r="AA46" i="41"/>
  <c r="AB46" i="41"/>
  <c r="AC46" i="41"/>
  <c r="AH46" i="41"/>
  <c r="AI46" i="41"/>
  <c r="AJ46" i="41"/>
  <c r="AO46" i="41"/>
  <c r="AP46" i="41"/>
  <c r="AQ46" i="41"/>
  <c r="AV46" i="41"/>
  <c r="AW46" i="41"/>
  <c r="AX46" i="41"/>
  <c r="BC46" i="41"/>
  <c r="BD46" i="41"/>
  <c r="BE46" i="41"/>
  <c r="D47" i="41"/>
  <c r="E47" i="41"/>
  <c r="I47" i="41"/>
  <c r="K47" i="41"/>
  <c r="L47" i="41"/>
  <c r="O47" i="41"/>
  <c r="S47" i="41"/>
  <c r="T47" i="41" s="1"/>
  <c r="V47" i="41"/>
  <c r="W47" i="41"/>
  <c r="AA47" i="41"/>
  <c r="AB47" i="41"/>
  <c r="AC47" i="41"/>
  <c r="AH47" i="41"/>
  <c r="AI47" i="41"/>
  <c r="AJ47" i="41"/>
  <c r="AO47" i="41"/>
  <c r="AP47" i="41"/>
  <c r="AQ47" i="41"/>
  <c r="AV47" i="41"/>
  <c r="AW47" i="41"/>
  <c r="AX47" i="41"/>
  <c r="BC47" i="41"/>
  <c r="BD47" i="41"/>
  <c r="BE47" i="41"/>
  <c r="G39" i="41" l="1"/>
  <c r="BJ31" i="41"/>
  <c r="BP31" i="41" s="1"/>
  <c r="G47" i="41"/>
  <c r="BI34" i="41"/>
  <c r="BO34" i="41" s="1"/>
  <c r="BH39" i="41"/>
  <c r="BN39" i="41" s="1"/>
  <c r="BI30" i="41"/>
  <c r="BO30" i="41" s="1"/>
  <c r="BI47" i="41"/>
  <c r="BO47" i="41" s="1"/>
  <c r="BI37" i="41"/>
  <c r="BO37" i="41" s="1"/>
  <c r="BG34" i="41"/>
  <c r="BM34" i="41" s="1"/>
  <c r="BI38" i="41"/>
  <c r="BO38" i="41" s="1"/>
  <c r="BH43" i="41"/>
  <c r="BN43" i="41" s="1"/>
  <c r="BG38" i="41"/>
  <c r="BM38" i="41" s="1"/>
  <c r="BI46" i="41"/>
  <c r="BO46" i="41" s="1"/>
  <c r="BI39" i="41"/>
  <c r="BO39" i="41" s="1"/>
  <c r="BI44" i="41"/>
  <c r="BO44" i="41" s="1"/>
  <c r="BI45" i="41"/>
  <c r="BO45" i="41" s="1"/>
  <c r="BI40" i="41"/>
  <c r="BO40" i="41" s="1"/>
  <c r="BI27" i="41"/>
  <c r="BO27" i="41" s="1"/>
  <c r="BI35" i="41"/>
  <c r="BO35" i="41" s="1"/>
  <c r="BI43" i="41"/>
  <c r="BO43" i="41" s="1"/>
  <c r="BI41" i="41"/>
  <c r="BO41" i="41" s="1"/>
  <c r="BG36" i="41"/>
  <c r="BM36" i="41" s="1"/>
  <c r="BG32" i="41"/>
  <c r="BM32" i="41" s="1"/>
  <c r="BG30" i="41"/>
  <c r="BM30" i="41" s="1"/>
  <c r="BI29" i="41"/>
  <c r="BO29" i="41" s="1"/>
  <c r="BJ35" i="41"/>
  <c r="BP35" i="41" s="1"/>
  <c r="BI33" i="41"/>
  <c r="BO33" i="41" s="1"/>
  <c r="BI28" i="41"/>
  <c r="BO28" i="41" s="1"/>
  <c r="BJ42" i="41"/>
  <c r="BP42" i="41" s="1"/>
  <c r="BH40" i="41"/>
  <c r="BN40" i="41" s="1"/>
  <c r="BG44" i="41"/>
  <c r="BM44" i="41" s="1"/>
  <c r="BK42" i="41"/>
  <c r="BQ42" i="41" s="1"/>
  <c r="BG40" i="41"/>
  <c r="BM40" i="41" s="1"/>
  <c r="BJ47" i="41"/>
  <c r="BP47" i="41" s="1"/>
  <c r="BH45" i="41"/>
  <c r="BN45" i="41" s="1"/>
  <c r="BI36" i="41"/>
  <c r="BO36" i="41" s="1"/>
  <c r="BK35" i="41"/>
  <c r="BQ35" i="41" s="1"/>
  <c r="BK38" i="41"/>
  <c r="BQ38" i="41" s="1"/>
  <c r="BI42" i="41"/>
  <c r="BO42" i="41" s="1"/>
  <c r="BG42" i="41"/>
  <c r="BM42" i="41" s="1"/>
  <c r="BH42" i="41"/>
  <c r="BN42" i="41" s="1"/>
  <c r="BJ41" i="41"/>
  <c r="BP41" i="41" s="1"/>
  <c r="BH41" i="41"/>
  <c r="BN41" i="41" s="1"/>
  <c r="BJ34" i="41"/>
  <c r="BP34" i="41" s="1"/>
  <c r="BK32" i="41"/>
  <c r="BQ32" i="41" s="1"/>
  <c r="BH31" i="41"/>
  <c r="BN31" i="41" s="1"/>
  <c r="BK27" i="41"/>
  <c r="BQ27" i="41" s="1"/>
  <c r="G45" i="41"/>
  <c r="BJ32" i="41"/>
  <c r="BP32" i="41" s="1"/>
  <c r="BH29" i="41"/>
  <c r="BN29" i="41" s="1"/>
  <c r="BK30" i="41"/>
  <c r="BQ30" i="41" s="1"/>
  <c r="BG28" i="41"/>
  <c r="BM28" i="41" s="1"/>
  <c r="BH28" i="41"/>
  <c r="BN28" i="41" s="1"/>
  <c r="BH27" i="41"/>
  <c r="BN27" i="41" s="1"/>
  <c r="G41" i="41"/>
  <c r="BJ40" i="41"/>
  <c r="BP40" i="41" s="1"/>
  <c r="BH36" i="41"/>
  <c r="BN36" i="41" s="1"/>
  <c r="BK33" i="41"/>
  <c r="BQ33" i="41" s="1"/>
  <c r="G33" i="41"/>
  <c r="BI31" i="41"/>
  <c r="BO31" i="41" s="1"/>
  <c r="BJ30" i="41"/>
  <c r="BP30" i="41" s="1"/>
  <c r="BJ29" i="41"/>
  <c r="BP29" i="41" s="1"/>
  <c r="BK28" i="41"/>
  <c r="BQ28" i="41" s="1"/>
  <c r="G28" i="41"/>
  <c r="BJ43" i="41"/>
  <c r="BP43" i="41" s="1"/>
  <c r="BJ44" i="41"/>
  <c r="BP44" i="41" s="1"/>
  <c r="BJ38" i="41"/>
  <c r="BP38" i="41" s="1"/>
  <c r="BK36" i="41"/>
  <c r="BQ36" i="41" s="1"/>
  <c r="BH35" i="41"/>
  <c r="BN35" i="41" s="1"/>
  <c r="BH34" i="41"/>
  <c r="BN34" i="41" s="1"/>
  <c r="BI32" i="41"/>
  <c r="BO32" i="41" s="1"/>
  <c r="BK31" i="41"/>
  <c r="BQ31" i="41" s="1"/>
  <c r="BJ28" i="41"/>
  <c r="BP28" i="41" s="1"/>
  <c r="BJ27" i="41"/>
  <c r="BP27" i="41" s="1"/>
  <c r="G43" i="41"/>
  <c r="G37" i="41"/>
  <c r="BJ33" i="41"/>
  <c r="BP33" i="41" s="1"/>
  <c r="BH30" i="41"/>
  <c r="BN30" i="41" s="1"/>
  <c r="BG46" i="41"/>
  <c r="BM46" i="41" s="1"/>
  <c r="BH38" i="41"/>
  <c r="BN38" i="41" s="1"/>
  <c r="G35" i="41"/>
  <c r="BH37" i="41"/>
  <c r="BN37" i="41" s="1"/>
  <c r="BJ46" i="41"/>
  <c r="BP46" i="41" s="1"/>
  <c r="BJ39" i="41"/>
  <c r="BP39" i="41" s="1"/>
  <c r="BJ37" i="41"/>
  <c r="BP37" i="41" s="1"/>
  <c r="BJ36" i="41"/>
  <c r="BP36" i="41" s="1"/>
  <c r="G36" i="41"/>
  <c r="BK34" i="41"/>
  <c r="BQ34" i="41" s="1"/>
  <c r="BH33" i="41"/>
  <c r="BN33" i="41" s="1"/>
  <c r="BH32" i="41"/>
  <c r="BN32" i="41" s="1"/>
  <c r="BK29" i="41"/>
  <c r="BQ29" i="41" s="1"/>
  <c r="G27" i="41"/>
  <c r="G44" i="41"/>
  <c r="G32" i="41"/>
  <c r="G29" i="41"/>
  <c r="G38" i="41"/>
  <c r="G30" i="41"/>
  <c r="G34" i="41"/>
  <c r="BK37" i="41"/>
  <c r="BQ37" i="41" s="1"/>
  <c r="BK46" i="41"/>
  <c r="BQ46" i="41" s="1"/>
  <c r="G46" i="41"/>
  <c r="BK40" i="41"/>
  <c r="BQ40" i="41" s="1"/>
  <c r="BK47" i="41"/>
  <c r="BQ47" i="41" s="1"/>
  <c r="BK44" i="41"/>
  <c r="BQ44" i="41" s="1"/>
  <c r="BK41" i="41"/>
  <c r="BQ41" i="41" s="1"/>
  <c r="G40" i="41"/>
  <c r="BK45" i="41"/>
  <c r="BQ45" i="41" s="1"/>
  <c r="G42" i="41"/>
  <c r="BK43" i="41"/>
  <c r="BQ43" i="41" s="1"/>
  <c r="BK39" i="41"/>
  <c r="BQ39" i="41" s="1"/>
  <c r="BH47" i="41"/>
  <c r="BN47" i="41" s="1"/>
  <c r="BG47" i="41"/>
  <c r="BM47" i="41" s="1"/>
  <c r="BG45" i="41"/>
  <c r="BM45" i="41" s="1"/>
  <c r="BG43" i="41"/>
  <c r="BM43" i="41" s="1"/>
  <c r="BG41" i="41"/>
  <c r="BM41" i="41" s="1"/>
  <c r="BG39" i="41"/>
  <c r="BM39" i="41" s="1"/>
  <c r="BG37" i="41"/>
  <c r="BM37" i="41" s="1"/>
  <c r="BG35" i="41"/>
  <c r="BM35" i="41" s="1"/>
  <c r="BG33" i="41"/>
  <c r="BM33" i="41" s="1"/>
  <c r="BG31" i="41"/>
  <c r="BM31" i="41" s="1"/>
  <c r="BG29" i="41"/>
  <c r="BM29" i="41" s="1"/>
  <c r="BG27" i="41"/>
  <c r="BM27" i="41" s="1"/>
  <c r="BH46" i="41"/>
  <c r="BN46" i="41" s="1"/>
  <c r="BH44" i="41"/>
  <c r="BN44" i="41" s="1"/>
  <c r="BJ45" i="41"/>
  <c r="BP45" i="41" s="1"/>
  <c r="U52" i="76"/>
  <c r="V52" i="76" s="1"/>
  <c r="O52" i="76"/>
  <c r="Q52" i="76" s="1"/>
  <c r="U51" i="76"/>
  <c r="V51" i="76" s="1"/>
  <c r="O51" i="76"/>
  <c r="Q51" i="76" s="1"/>
  <c r="U50" i="76"/>
  <c r="V50" i="76" s="1"/>
  <c r="O50" i="76"/>
  <c r="Q50" i="76" s="1"/>
  <c r="U49" i="76"/>
  <c r="V49" i="76" s="1"/>
  <c r="O49" i="76"/>
  <c r="Q49" i="76" s="1"/>
  <c r="U27" i="76"/>
  <c r="V27" i="76" s="1"/>
  <c r="O27" i="76"/>
  <c r="Q27" i="76" s="1"/>
  <c r="U26" i="76"/>
  <c r="V26" i="76" s="1"/>
  <c r="O26" i="76"/>
  <c r="Q26" i="76" s="1"/>
  <c r="U25" i="76"/>
  <c r="V25" i="76" s="1"/>
  <c r="O25" i="76"/>
  <c r="Q25" i="76" s="1"/>
  <c r="U24" i="76"/>
  <c r="V24" i="76" s="1"/>
  <c r="O24" i="76"/>
  <c r="Q24" i="76" s="1"/>
  <c r="U23" i="76"/>
  <c r="V23" i="76" s="1"/>
  <c r="O23" i="76"/>
  <c r="Q23" i="76" s="1"/>
  <c r="U22" i="76"/>
  <c r="V22" i="76" s="1"/>
  <c r="O22" i="76"/>
  <c r="Q22" i="76" s="1"/>
  <c r="U21" i="76"/>
  <c r="V21" i="76" s="1"/>
  <c r="O21" i="76"/>
  <c r="Q21" i="76" s="1"/>
  <c r="U20" i="76"/>
  <c r="V20" i="76" s="1"/>
  <c r="O20" i="76"/>
  <c r="Q20" i="76" s="1"/>
  <c r="U19" i="76"/>
  <c r="V19" i="76" s="1"/>
  <c r="O19" i="76"/>
  <c r="Q19" i="76" s="1"/>
  <c r="U18" i="76"/>
  <c r="V18" i="76" s="1"/>
  <c r="O18" i="76"/>
  <c r="Q18" i="76" s="1"/>
  <c r="U17" i="76"/>
  <c r="V17" i="76" s="1"/>
  <c r="O17" i="76"/>
  <c r="Q17" i="76" s="1"/>
  <c r="U16" i="76"/>
  <c r="V16" i="76" s="1"/>
  <c r="U15" i="76"/>
  <c r="V15" i="76" s="1"/>
  <c r="U14" i="76"/>
  <c r="V14" i="76" s="1"/>
  <c r="U13" i="76"/>
  <c r="V13" i="76" s="1"/>
  <c r="U12" i="76"/>
  <c r="V12" i="76" s="1"/>
  <c r="U11" i="76"/>
  <c r="V11" i="76" s="1"/>
  <c r="U10" i="76"/>
  <c r="V10" i="76" s="1"/>
  <c r="O10" i="76"/>
  <c r="Q10" i="76" s="1"/>
  <c r="U9" i="76"/>
  <c r="V9" i="76" s="1"/>
  <c r="O9" i="76"/>
  <c r="U8" i="76"/>
  <c r="V8" i="76" s="1"/>
  <c r="O8" i="76"/>
  <c r="Q8" i="76" s="1"/>
  <c r="F52" i="76"/>
  <c r="E52" i="76"/>
  <c r="D52" i="76"/>
  <c r="G52" i="76" s="1"/>
  <c r="H52" i="76" s="1"/>
  <c r="F51" i="76"/>
  <c r="E51" i="76"/>
  <c r="D51" i="76"/>
  <c r="G51" i="76" s="1"/>
  <c r="H51" i="76" s="1"/>
  <c r="F50" i="76"/>
  <c r="E50" i="76"/>
  <c r="D50" i="76"/>
  <c r="G50" i="76" s="1"/>
  <c r="H50" i="76" s="1"/>
  <c r="F49" i="76"/>
  <c r="E49" i="76"/>
  <c r="D49" i="76"/>
  <c r="G49" i="76" s="1"/>
  <c r="H49" i="76" s="1"/>
  <c r="F27" i="76"/>
  <c r="E27" i="76"/>
  <c r="D27" i="76"/>
  <c r="G27" i="76" s="1"/>
  <c r="H27" i="76" s="1"/>
  <c r="F26" i="76"/>
  <c r="E26" i="76"/>
  <c r="D26" i="76"/>
  <c r="G26" i="76" s="1"/>
  <c r="H26" i="76" s="1"/>
  <c r="F25" i="76"/>
  <c r="E25" i="76"/>
  <c r="D25" i="76"/>
  <c r="G25" i="76" s="1"/>
  <c r="H25" i="76" s="1"/>
  <c r="F24" i="76"/>
  <c r="E24" i="76"/>
  <c r="D24" i="76"/>
  <c r="G24" i="76" s="1"/>
  <c r="H24" i="76" s="1"/>
  <c r="F23" i="76"/>
  <c r="E23" i="76"/>
  <c r="D23" i="76"/>
  <c r="G23" i="76" s="1"/>
  <c r="H23" i="76" s="1"/>
  <c r="F22" i="76"/>
  <c r="E22" i="76"/>
  <c r="D22" i="76"/>
  <c r="G22" i="76" s="1"/>
  <c r="H22" i="76" s="1"/>
  <c r="F21" i="76"/>
  <c r="E21" i="76"/>
  <c r="D21" i="76"/>
  <c r="G21" i="76" s="1"/>
  <c r="H21" i="76" s="1"/>
  <c r="F20" i="76"/>
  <c r="E20" i="76"/>
  <c r="D20" i="76"/>
  <c r="G20" i="76" s="1"/>
  <c r="H20" i="76" s="1"/>
  <c r="F19" i="76"/>
  <c r="E19" i="76"/>
  <c r="D19" i="76"/>
  <c r="G19" i="76" s="1"/>
  <c r="H19" i="76" s="1"/>
  <c r="F18" i="76"/>
  <c r="E18" i="76"/>
  <c r="D18" i="76"/>
  <c r="G18" i="76" s="1"/>
  <c r="H18" i="76" s="1"/>
  <c r="F17" i="76"/>
  <c r="E17" i="76"/>
  <c r="D17" i="76"/>
  <c r="G17" i="76" s="1"/>
  <c r="H17" i="76" s="1"/>
  <c r="E16" i="76"/>
  <c r="D16" i="76"/>
  <c r="G16" i="76" s="1"/>
  <c r="H16" i="76" s="1"/>
  <c r="E15" i="76"/>
  <c r="D15" i="76"/>
  <c r="E14" i="76"/>
  <c r="D14" i="76"/>
  <c r="G14" i="76" s="1"/>
  <c r="H14" i="76" s="1"/>
  <c r="E13" i="76"/>
  <c r="D13" i="76"/>
  <c r="G13" i="76" s="1"/>
  <c r="H13" i="76" s="1"/>
  <c r="E12" i="76"/>
  <c r="D12" i="76"/>
  <c r="E11" i="76"/>
  <c r="D11" i="76"/>
  <c r="F10" i="76"/>
  <c r="E10" i="76"/>
  <c r="D10" i="76"/>
  <c r="G10" i="76" s="1"/>
  <c r="H10" i="76" s="1"/>
  <c r="E9" i="76"/>
  <c r="D9" i="76"/>
  <c r="G9" i="76" s="1"/>
  <c r="H9" i="76" s="1"/>
  <c r="E8" i="76"/>
  <c r="D8" i="76"/>
  <c r="G8" i="76" s="1"/>
  <c r="H8" i="76" s="1"/>
  <c r="K52" i="76"/>
  <c r="J52" i="76"/>
  <c r="I52" i="76"/>
  <c r="L52" i="76" s="1"/>
  <c r="K51" i="76"/>
  <c r="J51" i="76"/>
  <c r="I51" i="76"/>
  <c r="L51" i="76" s="1"/>
  <c r="K50" i="76"/>
  <c r="J50" i="76"/>
  <c r="I50" i="76"/>
  <c r="L50" i="76" s="1"/>
  <c r="K49" i="76"/>
  <c r="J49" i="76"/>
  <c r="I49" i="76"/>
  <c r="L49" i="76" s="1"/>
  <c r="K27" i="76"/>
  <c r="J27" i="76"/>
  <c r="I27" i="76"/>
  <c r="L27" i="76" s="1"/>
  <c r="K26" i="76"/>
  <c r="J26" i="76"/>
  <c r="I26" i="76"/>
  <c r="L26" i="76" s="1"/>
  <c r="K25" i="76"/>
  <c r="J25" i="76"/>
  <c r="I25" i="76"/>
  <c r="L25" i="76" s="1"/>
  <c r="K24" i="76"/>
  <c r="J24" i="76"/>
  <c r="I24" i="76"/>
  <c r="L24" i="76" s="1"/>
  <c r="K23" i="76"/>
  <c r="J23" i="76"/>
  <c r="I23" i="76"/>
  <c r="L23" i="76" s="1"/>
  <c r="K22" i="76"/>
  <c r="J22" i="76"/>
  <c r="I22" i="76"/>
  <c r="L22" i="76" s="1"/>
  <c r="K21" i="76"/>
  <c r="J21" i="76"/>
  <c r="I21" i="76"/>
  <c r="L21" i="76" s="1"/>
  <c r="K20" i="76"/>
  <c r="J20" i="76"/>
  <c r="I20" i="76"/>
  <c r="L20" i="76" s="1"/>
  <c r="K19" i="76"/>
  <c r="J19" i="76"/>
  <c r="I19" i="76"/>
  <c r="L19" i="76" s="1"/>
  <c r="K18" i="76"/>
  <c r="J18" i="76"/>
  <c r="I18" i="76"/>
  <c r="K17" i="76"/>
  <c r="J17" i="76"/>
  <c r="I17" i="76"/>
  <c r="K16" i="76"/>
  <c r="J16" i="76"/>
  <c r="I16" i="76"/>
  <c r="K15" i="76"/>
  <c r="J15" i="76"/>
  <c r="I15" i="76"/>
  <c r="K14" i="76"/>
  <c r="J14" i="76"/>
  <c r="I14" i="76"/>
  <c r="K13" i="76"/>
  <c r="J13" i="76"/>
  <c r="I13" i="76"/>
  <c r="K12" i="76"/>
  <c r="J12" i="76"/>
  <c r="I12" i="76"/>
  <c r="K11" i="76"/>
  <c r="J11" i="76"/>
  <c r="I11" i="76"/>
  <c r="K10" i="76"/>
  <c r="J10" i="76"/>
  <c r="I10" i="76"/>
  <c r="K9" i="76"/>
  <c r="J9" i="76"/>
  <c r="I9" i="76"/>
  <c r="L9" i="76" s="1"/>
  <c r="K8" i="76"/>
  <c r="J8" i="76"/>
  <c r="I8" i="76"/>
  <c r="U52" i="77"/>
  <c r="V52" i="77" s="1"/>
  <c r="O52" i="77"/>
  <c r="U51" i="77"/>
  <c r="V51" i="77" s="1"/>
  <c r="O51" i="77"/>
  <c r="U29" i="77"/>
  <c r="V29" i="77" s="1"/>
  <c r="O29" i="77"/>
  <c r="U28" i="77"/>
  <c r="V28" i="77" s="1"/>
  <c r="O28" i="77"/>
  <c r="U27" i="77"/>
  <c r="V27" i="77" s="1"/>
  <c r="O27" i="77"/>
  <c r="U26" i="77"/>
  <c r="V26" i="77" s="1"/>
  <c r="O26" i="77"/>
  <c r="U25" i="77"/>
  <c r="V25" i="77" s="1"/>
  <c r="O25" i="77"/>
  <c r="U24" i="77"/>
  <c r="V24" i="77" s="1"/>
  <c r="O24" i="77"/>
  <c r="U23" i="77"/>
  <c r="V23" i="77" s="1"/>
  <c r="O23" i="77"/>
  <c r="U22" i="77"/>
  <c r="V22" i="77" s="1"/>
  <c r="O22" i="77"/>
  <c r="U21" i="77"/>
  <c r="V21" i="77" s="1"/>
  <c r="O21" i="77"/>
  <c r="U20" i="77"/>
  <c r="V20" i="77" s="1"/>
  <c r="O20" i="77"/>
  <c r="U19" i="77"/>
  <c r="V19" i="77" s="1"/>
  <c r="O19" i="77"/>
  <c r="U18" i="77"/>
  <c r="V18" i="77" s="1"/>
  <c r="O18" i="77"/>
  <c r="U17" i="77"/>
  <c r="V17" i="77" s="1"/>
  <c r="O17" i="77"/>
  <c r="U16" i="77"/>
  <c r="V16" i="77" s="1"/>
  <c r="O16" i="77"/>
  <c r="U15" i="77"/>
  <c r="V15" i="77" s="1"/>
  <c r="O15" i="77"/>
  <c r="U14" i="77"/>
  <c r="V14" i="77" s="1"/>
  <c r="O14" i="77"/>
  <c r="U13" i="77"/>
  <c r="V13" i="77" s="1"/>
  <c r="O13" i="77"/>
  <c r="U12" i="77"/>
  <c r="V12" i="77" s="1"/>
  <c r="O12" i="77"/>
  <c r="U11" i="77"/>
  <c r="V11" i="77" s="1"/>
  <c r="O11" i="77"/>
  <c r="U10" i="77"/>
  <c r="V10" i="77" s="1"/>
  <c r="O10" i="77"/>
  <c r="U9" i="77"/>
  <c r="V9" i="77" s="1"/>
  <c r="O9" i="77"/>
  <c r="U8" i="77"/>
  <c r="V8" i="77" s="1"/>
  <c r="O8" i="77"/>
  <c r="K52" i="77"/>
  <c r="J52" i="77"/>
  <c r="I52" i="77"/>
  <c r="L52" i="77" s="1"/>
  <c r="K51" i="77"/>
  <c r="J51" i="77"/>
  <c r="I51" i="77"/>
  <c r="L51" i="77" s="1"/>
  <c r="K29" i="77"/>
  <c r="J29" i="77"/>
  <c r="I29" i="77"/>
  <c r="L29" i="77" s="1"/>
  <c r="K28" i="77"/>
  <c r="J28" i="77"/>
  <c r="I28" i="77"/>
  <c r="L28" i="77" s="1"/>
  <c r="K27" i="77"/>
  <c r="J27" i="77"/>
  <c r="I27" i="77"/>
  <c r="L27" i="77" s="1"/>
  <c r="K26" i="77"/>
  <c r="J26" i="77"/>
  <c r="I26" i="77"/>
  <c r="L26" i="77" s="1"/>
  <c r="K25" i="77"/>
  <c r="J25" i="77"/>
  <c r="I25" i="77"/>
  <c r="L25" i="77" s="1"/>
  <c r="K24" i="77"/>
  <c r="J24" i="77"/>
  <c r="I24" i="77"/>
  <c r="L24" i="77" s="1"/>
  <c r="K23" i="77"/>
  <c r="J23" i="77"/>
  <c r="I23" i="77"/>
  <c r="L23" i="77" s="1"/>
  <c r="K22" i="77"/>
  <c r="J22" i="77"/>
  <c r="I22" i="77"/>
  <c r="L22" i="77" s="1"/>
  <c r="K21" i="77"/>
  <c r="J21" i="77"/>
  <c r="I21" i="77"/>
  <c r="L21" i="77" s="1"/>
  <c r="K20" i="77"/>
  <c r="J20" i="77"/>
  <c r="I20" i="77"/>
  <c r="L20" i="77" s="1"/>
  <c r="K19" i="77"/>
  <c r="J19" i="77"/>
  <c r="I19" i="77"/>
  <c r="L19" i="77" s="1"/>
  <c r="K18" i="77"/>
  <c r="J18" i="77"/>
  <c r="I18" i="77"/>
  <c r="L18" i="77" s="1"/>
  <c r="K17" i="77"/>
  <c r="J17" i="77"/>
  <c r="I17" i="77"/>
  <c r="L17" i="77" s="1"/>
  <c r="K16" i="77"/>
  <c r="J16" i="77"/>
  <c r="I16" i="77"/>
  <c r="L16" i="77" s="1"/>
  <c r="K15" i="77"/>
  <c r="J15" i="77"/>
  <c r="I15" i="77"/>
  <c r="L15" i="77" s="1"/>
  <c r="K14" i="77"/>
  <c r="J14" i="77"/>
  <c r="I14" i="77"/>
  <c r="L14" i="77" s="1"/>
  <c r="K13" i="77"/>
  <c r="J13" i="77"/>
  <c r="I13" i="77"/>
  <c r="L13" i="77" s="1"/>
  <c r="K12" i="77"/>
  <c r="J12" i="77"/>
  <c r="I12" i="77"/>
  <c r="L12" i="77" s="1"/>
  <c r="K11" i="77"/>
  <c r="J11" i="77"/>
  <c r="I11" i="77"/>
  <c r="L11" i="77" s="1"/>
  <c r="K10" i="77"/>
  <c r="J10" i="77"/>
  <c r="I10" i="77"/>
  <c r="K9" i="77"/>
  <c r="J9" i="77"/>
  <c r="I9" i="77"/>
  <c r="K8" i="77"/>
  <c r="J8" i="77"/>
  <c r="I8" i="77"/>
  <c r="F52" i="77"/>
  <c r="E52" i="77"/>
  <c r="D52" i="77"/>
  <c r="G52" i="77" s="1"/>
  <c r="H52" i="77" s="1"/>
  <c r="F51" i="77"/>
  <c r="E51" i="77"/>
  <c r="D51" i="77"/>
  <c r="F29" i="77"/>
  <c r="E29" i="77"/>
  <c r="D29" i="77"/>
  <c r="G29" i="77" s="1"/>
  <c r="H29" i="77" s="1"/>
  <c r="F28" i="77"/>
  <c r="E28" i="77"/>
  <c r="D28" i="77"/>
  <c r="F27" i="77"/>
  <c r="E27" i="77"/>
  <c r="D27" i="77"/>
  <c r="F26" i="77"/>
  <c r="E26" i="77"/>
  <c r="D26" i="77"/>
  <c r="G26" i="77" s="1"/>
  <c r="H26" i="77" s="1"/>
  <c r="F25" i="77"/>
  <c r="E25" i="77"/>
  <c r="D25" i="77"/>
  <c r="G25" i="77" s="1"/>
  <c r="H25" i="77" s="1"/>
  <c r="F24" i="77"/>
  <c r="E24" i="77"/>
  <c r="D24" i="77"/>
  <c r="G24" i="77" s="1"/>
  <c r="H24" i="77" s="1"/>
  <c r="F23" i="77"/>
  <c r="E23" i="77"/>
  <c r="D23" i="77"/>
  <c r="F22" i="77"/>
  <c r="E22" i="77"/>
  <c r="D22" i="77"/>
  <c r="G22" i="77" s="1"/>
  <c r="H22" i="77" s="1"/>
  <c r="F21" i="77"/>
  <c r="E21" i="77"/>
  <c r="D21" i="77"/>
  <c r="F20" i="77"/>
  <c r="E20" i="77"/>
  <c r="D20" i="77"/>
  <c r="G20" i="77" s="1"/>
  <c r="H20" i="77" s="1"/>
  <c r="F19" i="77"/>
  <c r="E19" i="77"/>
  <c r="D19" i="77"/>
  <c r="F18" i="77"/>
  <c r="E18" i="77"/>
  <c r="D18" i="77"/>
  <c r="F17" i="77"/>
  <c r="E17" i="77"/>
  <c r="D17" i="77"/>
  <c r="G17" i="77" s="1"/>
  <c r="H17" i="77" s="1"/>
  <c r="E16" i="77"/>
  <c r="F16" i="77" s="1"/>
  <c r="D16" i="77"/>
  <c r="G16" i="77" s="1"/>
  <c r="H16" i="77" s="1"/>
  <c r="E15" i="77"/>
  <c r="D15" i="77"/>
  <c r="F15" i="77" s="1"/>
  <c r="E14" i="77"/>
  <c r="F14" i="77" s="1"/>
  <c r="D14" i="77"/>
  <c r="E13" i="77"/>
  <c r="D13" i="77"/>
  <c r="F13" i="77" s="1"/>
  <c r="E12" i="77"/>
  <c r="F12" i="77" s="1"/>
  <c r="D12" i="77"/>
  <c r="E11" i="77"/>
  <c r="D11" i="77"/>
  <c r="F11" i="77" s="1"/>
  <c r="F10" i="77"/>
  <c r="E10" i="77"/>
  <c r="D10" i="77"/>
  <c r="E9" i="77"/>
  <c r="D9" i="77"/>
  <c r="F9" i="77" s="1"/>
  <c r="E8" i="77"/>
  <c r="D8" i="77"/>
  <c r="W42" i="83"/>
  <c r="X42" i="83" s="1"/>
  <c r="R42" i="83"/>
  <c r="Q42" i="83"/>
  <c r="O42" i="83"/>
  <c r="J42" i="83"/>
  <c r="I42" i="83"/>
  <c r="H42" i="83"/>
  <c r="K42" i="83" s="1"/>
  <c r="E42" i="83"/>
  <c r="D42" i="83"/>
  <c r="F42" i="83" s="1"/>
  <c r="G42" i="83" s="1"/>
  <c r="W41" i="83"/>
  <c r="X41" i="83" s="1"/>
  <c r="R41" i="83"/>
  <c r="Q41" i="83"/>
  <c r="O41" i="83"/>
  <c r="J41" i="83"/>
  <c r="I41" i="83"/>
  <c r="H41" i="83"/>
  <c r="K41" i="83" s="1"/>
  <c r="E41" i="83"/>
  <c r="D41" i="83"/>
  <c r="F41" i="83" s="1"/>
  <c r="G41" i="83" s="1"/>
  <c r="W29" i="83"/>
  <c r="X29" i="83" s="1"/>
  <c r="R29" i="83"/>
  <c r="Q29" i="83"/>
  <c r="O29" i="83"/>
  <c r="J29" i="83"/>
  <c r="I29" i="83"/>
  <c r="H29" i="83"/>
  <c r="K29" i="83" s="1"/>
  <c r="E29" i="83"/>
  <c r="D29" i="83"/>
  <c r="F29" i="83" s="1"/>
  <c r="G29" i="83" s="1"/>
  <c r="W28" i="83"/>
  <c r="X28" i="83" s="1"/>
  <c r="R28" i="83"/>
  <c r="Q28" i="83"/>
  <c r="O28" i="83"/>
  <c r="J28" i="83"/>
  <c r="I28" i="83"/>
  <c r="H28" i="83"/>
  <c r="K28" i="83" s="1"/>
  <c r="E28" i="83"/>
  <c r="D28" i="83"/>
  <c r="F28" i="83" s="1"/>
  <c r="G28" i="83" s="1"/>
  <c r="W27" i="83"/>
  <c r="X27" i="83" s="1"/>
  <c r="R27" i="83"/>
  <c r="Q27" i="83"/>
  <c r="O27" i="83"/>
  <c r="J27" i="83"/>
  <c r="I27" i="83"/>
  <c r="H27" i="83"/>
  <c r="K27" i="83" s="1"/>
  <c r="E27" i="83"/>
  <c r="D27" i="83"/>
  <c r="F27" i="83" s="1"/>
  <c r="G27" i="83" s="1"/>
  <c r="W26" i="83"/>
  <c r="X26" i="83" s="1"/>
  <c r="R26" i="83"/>
  <c r="Q26" i="83"/>
  <c r="O26" i="83"/>
  <c r="J26" i="83"/>
  <c r="I26" i="83"/>
  <c r="H26" i="83"/>
  <c r="K26" i="83" s="1"/>
  <c r="E26" i="83"/>
  <c r="D26" i="83"/>
  <c r="F26" i="83" s="1"/>
  <c r="G26" i="83" s="1"/>
  <c r="W25" i="83"/>
  <c r="X25" i="83" s="1"/>
  <c r="R25" i="83"/>
  <c r="Q25" i="83"/>
  <c r="O25" i="83"/>
  <c r="J25" i="83"/>
  <c r="I25" i="83"/>
  <c r="H25" i="83"/>
  <c r="K25" i="83" s="1"/>
  <c r="E25" i="83"/>
  <c r="D25" i="83"/>
  <c r="F25" i="83" s="1"/>
  <c r="G25" i="83" s="1"/>
  <c r="W24" i="83"/>
  <c r="X24" i="83" s="1"/>
  <c r="R24" i="83"/>
  <c r="Q24" i="83"/>
  <c r="O24" i="83"/>
  <c r="J24" i="83"/>
  <c r="I24" i="83"/>
  <c r="H24" i="83"/>
  <c r="K24" i="83" s="1"/>
  <c r="E24" i="83"/>
  <c r="D24" i="83"/>
  <c r="F24" i="83" s="1"/>
  <c r="G24" i="83" s="1"/>
  <c r="W23" i="83"/>
  <c r="X23" i="83" s="1"/>
  <c r="R23" i="83"/>
  <c r="Q23" i="83"/>
  <c r="O23" i="83"/>
  <c r="J23" i="83"/>
  <c r="I23" i="83"/>
  <c r="H23" i="83"/>
  <c r="K23" i="83" s="1"/>
  <c r="E23" i="83"/>
  <c r="D23" i="83"/>
  <c r="F23" i="83" s="1"/>
  <c r="G23" i="83" s="1"/>
  <c r="W22" i="83"/>
  <c r="X22" i="83" s="1"/>
  <c r="R22" i="83"/>
  <c r="Q22" i="83"/>
  <c r="O22" i="83"/>
  <c r="J22" i="83"/>
  <c r="I22" i="83"/>
  <c r="H22" i="83"/>
  <c r="K22" i="83" s="1"/>
  <c r="E22" i="83"/>
  <c r="D22" i="83"/>
  <c r="F22" i="83" s="1"/>
  <c r="G22" i="83" s="1"/>
  <c r="W21" i="83"/>
  <c r="X21" i="83" s="1"/>
  <c r="R21" i="83"/>
  <c r="Q21" i="83"/>
  <c r="O21" i="83"/>
  <c r="J21" i="83"/>
  <c r="I21" i="83"/>
  <c r="H21" i="83"/>
  <c r="K21" i="83" s="1"/>
  <c r="E21" i="83"/>
  <c r="D21" i="83"/>
  <c r="F21" i="83" s="1"/>
  <c r="G21" i="83" s="1"/>
  <c r="W20" i="83"/>
  <c r="X20" i="83" s="1"/>
  <c r="R20" i="83"/>
  <c r="Q20" i="83"/>
  <c r="O20" i="83"/>
  <c r="J20" i="83"/>
  <c r="I20" i="83"/>
  <c r="H20" i="83"/>
  <c r="K20" i="83" s="1"/>
  <c r="E20" i="83"/>
  <c r="D20" i="83"/>
  <c r="F20" i="83" s="1"/>
  <c r="G20" i="83" s="1"/>
  <c r="W19" i="83"/>
  <c r="X19" i="83" s="1"/>
  <c r="R19" i="83"/>
  <c r="Q19" i="83"/>
  <c r="O19" i="83"/>
  <c r="J19" i="83"/>
  <c r="I19" i="83"/>
  <c r="H19" i="83"/>
  <c r="K19" i="83" s="1"/>
  <c r="E19" i="83"/>
  <c r="D19" i="83"/>
  <c r="F19" i="83" s="1"/>
  <c r="G19" i="83" s="1"/>
  <c r="W18" i="83"/>
  <c r="X18" i="83" s="1"/>
  <c r="R18" i="83"/>
  <c r="Q18" i="83"/>
  <c r="O18" i="83"/>
  <c r="J18" i="83"/>
  <c r="I18" i="83"/>
  <c r="H18" i="83"/>
  <c r="K18" i="83" s="1"/>
  <c r="E18" i="83"/>
  <c r="D18" i="83"/>
  <c r="F18" i="83" s="1"/>
  <c r="G18" i="83" s="1"/>
  <c r="W17" i="83"/>
  <c r="X17" i="83" s="1"/>
  <c r="R17" i="83"/>
  <c r="Q17" i="83"/>
  <c r="O17" i="83"/>
  <c r="J17" i="83"/>
  <c r="I17" i="83"/>
  <c r="H17" i="83"/>
  <c r="K17" i="83" s="1"/>
  <c r="E17" i="83"/>
  <c r="D17" i="83"/>
  <c r="F17" i="83" s="1"/>
  <c r="G17" i="83" s="1"/>
  <c r="W16" i="83"/>
  <c r="X16" i="83" s="1"/>
  <c r="R16" i="83"/>
  <c r="Q16" i="83"/>
  <c r="O16" i="83"/>
  <c r="J16" i="83"/>
  <c r="I16" i="83"/>
  <c r="H16" i="83"/>
  <c r="K16" i="83" s="1"/>
  <c r="E16" i="83"/>
  <c r="D16" i="83"/>
  <c r="F16" i="83" s="1"/>
  <c r="G16" i="83" s="1"/>
  <c r="W15" i="83"/>
  <c r="X15" i="83" s="1"/>
  <c r="R15" i="83"/>
  <c r="Q15" i="83"/>
  <c r="O15" i="83"/>
  <c r="J15" i="83"/>
  <c r="I15" i="83"/>
  <c r="H15" i="83"/>
  <c r="K15" i="83" s="1"/>
  <c r="E15" i="83"/>
  <c r="D15" i="83"/>
  <c r="F15" i="83" s="1"/>
  <c r="G15" i="83" s="1"/>
  <c r="W14" i="83"/>
  <c r="X14" i="83" s="1"/>
  <c r="R14" i="83"/>
  <c r="Q14" i="83"/>
  <c r="O14" i="83"/>
  <c r="J14" i="83"/>
  <c r="I14" i="83"/>
  <c r="H14" i="83"/>
  <c r="K14" i="83" s="1"/>
  <c r="E14" i="83"/>
  <c r="D14" i="83"/>
  <c r="F14" i="83" s="1"/>
  <c r="G14" i="83" s="1"/>
  <c r="W13" i="83"/>
  <c r="X13" i="83" s="1"/>
  <c r="R13" i="83"/>
  <c r="Q13" i="83"/>
  <c r="O13" i="83"/>
  <c r="J13" i="83"/>
  <c r="I13" i="83"/>
  <c r="H13" i="83"/>
  <c r="K13" i="83" s="1"/>
  <c r="E13" i="83"/>
  <c r="D13" i="83"/>
  <c r="F13" i="83" s="1"/>
  <c r="G13" i="83" s="1"/>
  <c r="W12" i="83"/>
  <c r="X12" i="83" s="1"/>
  <c r="R12" i="83"/>
  <c r="Q12" i="83"/>
  <c r="O12" i="83"/>
  <c r="J12" i="83"/>
  <c r="I12" i="83"/>
  <c r="H12" i="83"/>
  <c r="K12" i="83" s="1"/>
  <c r="E12" i="83"/>
  <c r="D12" i="83"/>
  <c r="F12" i="83" s="1"/>
  <c r="G12" i="83" s="1"/>
  <c r="W11" i="83"/>
  <c r="X11" i="83" s="1"/>
  <c r="R11" i="83"/>
  <c r="Q11" i="83"/>
  <c r="O11" i="83"/>
  <c r="J11" i="83"/>
  <c r="I11" i="83"/>
  <c r="H11" i="83"/>
  <c r="K11" i="83" s="1"/>
  <c r="E11" i="83"/>
  <c r="D11" i="83"/>
  <c r="F11" i="83" s="1"/>
  <c r="G11" i="83" s="1"/>
  <c r="W10" i="83"/>
  <c r="X10" i="83" s="1"/>
  <c r="R10" i="83"/>
  <c r="Q10" i="83"/>
  <c r="O10" i="83"/>
  <c r="J10" i="83"/>
  <c r="I10" i="83"/>
  <c r="H10" i="83"/>
  <c r="K10" i="83" s="1"/>
  <c r="E10" i="83"/>
  <c r="D10" i="83"/>
  <c r="F10" i="83" s="1"/>
  <c r="G10" i="83" s="1"/>
  <c r="W9" i="83"/>
  <c r="X9" i="83" s="1"/>
  <c r="R9" i="83"/>
  <c r="Q9" i="83"/>
  <c r="O9" i="83"/>
  <c r="J9" i="83"/>
  <c r="I9" i="83"/>
  <c r="H9" i="83"/>
  <c r="K9" i="83" s="1"/>
  <c r="E9" i="83"/>
  <c r="D9" i="83"/>
  <c r="F9" i="83" s="1"/>
  <c r="G9" i="83" s="1"/>
  <c r="W8" i="83"/>
  <c r="X8" i="83" s="1"/>
  <c r="R8" i="83"/>
  <c r="Q8" i="83"/>
  <c r="O8" i="83"/>
  <c r="J8" i="83"/>
  <c r="I8" i="83"/>
  <c r="H8" i="83"/>
  <c r="K8" i="83" s="1"/>
  <c r="E8" i="83"/>
  <c r="D8" i="83"/>
  <c r="F8" i="83" s="1"/>
  <c r="G8" i="83" s="1"/>
  <c r="W42" i="84"/>
  <c r="X42" i="84" s="1"/>
  <c r="R42" i="84"/>
  <c r="Q42" i="84"/>
  <c r="O42" i="84"/>
  <c r="J42" i="84"/>
  <c r="I42" i="84"/>
  <c r="H42" i="84"/>
  <c r="K42" i="84" s="1"/>
  <c r="E42" i="84"/>
  <c r="D42" i="84"/>
  <c r="F42" i="84" s="1"/>
  <c r="G42" i="84" s="1"/>
  <c r="W41" i="84"/>
  <c r="X41" i="84" s="1"/>
  <c r="R41" i="84"/>
  <c r="Q41" i="84"/>
  <c r="O41" i="84"/>
  <c r="J41" i="84"/>
  <c r="I41" i="84"/>
  <c r="H41" i="84"/>
  <c r="K41" i="84" s="1"/>
  <c r="E41" i="84"/>
  <c r="D41" i="84"/>
  <c r="F41" i="84" s="1"/>
  <c r="G41" i="84" s="1"/>
  <c r="W40" i="84"/>
  <c r="X40" i="84" s="1"/>
  <c r="R40" i="84"/>
  <c r="Q40" i="84"/>
  <c r="O40" i="84"/>
  <c r="J40" i="84"/>
  <c r="I40" i="84"/>
  <c r="H40" i="84"/>
  <c r="K40" i="84" s="1"/>
  <c r="E40" i="84"/>
  <c r="D40" i="84"/>
  <c r="F40" i="84" s="1"/>
  <c r="G40" i="84" s="1"/>
  <c r="W28" i="84"/>
  <c r="X28" i="84" s="1"/>
  <c r="R28" i="84"/>
  <c r="Q28" i="84"/>
  <c r="O28" i="84"/>
  <c r="J28" i="84"/>
  <c r="I28" i="84"/>
  <c r="H28" i="84"/>
  <c r="K28" i="84" s="1"/>
  <c r="E28" i="84"/>
  <c r="D28" i="84"/>
  <c r="F28" i="84" s="1"/>
  <c r="G28" i="84" s="1"/>
  <c r="W27" i="84"/>
  <c r="X27" i="84" s="1"/>
  <c r="R27" i="84"/>
  <c r="Q27" i="84"/>
  <c r="O27" i="84"/>
  <c r="J27" i="84"/>
  <c r="I27" i="84"/>
  <c r="H27" i="84"/>
  <c r="K27" i="84" s="1"/>
  <c r="E27" i="84"/>
  <c r="D27" i="84"/>
  <c r="F27" i="84" s="1"/>
  <c r="G27" i="84" s="1"/>
  <c r="W26" i="84"/>
  <c r="X26" i="84" s="1"/>
  <c r="R26" i="84"/>
  <c r="Q26" i="84"/>
  <c r="O26" i="84"/>
  <c r="J26" i="84"/>
  <c r="I26" i="84"/>
  <c r="H26" i="84"/>
  <c r="K26" i="84" s="1"/>
  <c r="E26" i="84"/>
  <c r="D26" i="84"/>
  <c r="F26" i="84" s="1"/>
  <c r="G26" i="84" s="1"/>
  <c r="W25" i="84"/>
  <c r="X25" i="84" s="1"/>
  <c r="R25" i="84"/>
  <c r="Q25" i="84"/>
  <c r="O25" i="84"/>
  <c r="J25" i="84"/>
  <c r="I25" i="84"/>
  <c r="H25" i="84"/>
  <c r="K25" i="84" s="1"/>
  <c r="E25" i="84"/>
  <c r="D25" i="84"/>
  <c r="F25" i="84" s="1"/>
  <c r="G25" i="84" s="1"/>
  <c r="W24" i="84"/>
  <c r="X24" i="84" s="1"/>
  <c r="R24" i="84"/>
  <c r="Q24" i="84"/>
  <c r="O24" i="84"/>
  <c r="J24" i="84"/>
  <c r="I24" i="84"/>
  <c r="H24" i="84"/>
  <c r="K24" i="84" s="1"/>
  <c r="E24" i="84"/>
  <c r="D24" i="84"/>
  <c r="F24" i="84" s="1"/>
  <c r="G24" i="84" s="1"/>
  <c r="W23" i="84"/>
  <c r="X23" i="84" s="1"/>
  <c r="R23" i="84"/>
  <c r="Q23" i="84"/>
  <c r="O23" i="84"/>
  <c r="J23" i="84"/>
  <c r="I23" i="84"/>
  <c r="H23" i="84"/>
  <c r="K23" i="84" s="1"/>
  <c r="E23" i="84"/>
  <c r="D23" i="84"/>
  <c r="F23" i="84" s="1"/>
  <c r="G23" i="84" s="1"/>
  <c r="W22" i="84"/>
  <c r="X22" i="84" s="1"/>
  <c r="R22" i="84"/>
  <c r="Q22" i="84"/>
  <c r="O22" i="84"/>
  <c r="J22" i="84"/>
  <c r="I22" i="84"/>
  <c r="H22" i="84"/>
  <c r="K22" i="84" s="1"/>
  <c r="E22" i="84"/>
  <c r="D22" i="84"/>
  <c r="F22" i="84" s="1"/>
  <c r="G22" i="84" s="1"/>
  <c r="W21" i="84"/>
  <c r="X21" i="84" s="1"/>
  <c r="R21" i="84"/>
  <c r="Q21" i="84"/>
  <c r="O21" i="84"/>
  <c r="J21" i="84"/>
  <c r="I21" i="84"/>
  <c r="H21" i="84"/>
  <c r="K21" i="84" s="1"/>
  <c r="E21" i="84"/>
  <c r="D21" i="84"/>
  <c r="F21" i="84" s="1"/>
  <c r="G21" i="84" s="1"/>
  <c r="W20" i="84"/>
  <c r="X20" i="84" s="1"/>
  <c r="R20" i="84"/>
  <c r="Q20" i="84"/>
  <c r="O20" i="84"/>
  <c r="J20" i="84"/>
  <c r="I20" i="84"/>
  <c r="H20" i="84"/>
  <c r="K20" i="84" s="1"/>
  <c r="E20" i="84"/>
  <c r="D20" i="84"/>
  <c r="F20" i="84" s="1"/>
  <c r="G20" i="84" s="1"/>
  <c r="W19" i="84"/>
  <c r="X19" i="84" s="1"/>
  <c r="R19" i="84"/>
  <c r="Q19" i="84"/>
  <c r="O19" i="84"/>
  <c r="J19" i="84"/>
  <c r="I19" i="84"/>
  <c r="H19" i="84"/>
  <c r="K19" i="84" s="1"/>
  <c r="E19" i="84"/>
  <c r="D19" i="84"/>
  <c r="F19" i="84" s="1"/>
  <c r="G19" i="84" s="1"/>
  <c r="W18" i="84"/>
  <c r="X18" i="84" s="1"/>
  <c r="R18" i="84"/>
  <c r="Q18" i="84"/>
  <c r="O18" i="84"/>
  <c r="J18" i="84"/>
  <c r="I18" i="84"/>
  <c r="H18" i="84"/>
  <c r="K18" i="84" s="1"/>
  <c r="E18" i="84"/>
  <c r="D18" i="84"/>
  <c r="F18" i="84" s="1"/>
  <c r="G18" i="84" s="1"/>
  <c r="W17" i="84"/>
  <c r="X17" i="84" s="1"/>
  <c r="R17" i="84"/>
  <c r="Q17" i="84"/>
  <c r="O17" i="84"/>
  <c r="J17" i="84"/>
  <c r="I17" i="84"/>
  <c r="H17" i="84"/>
  <c r="K17" i="84" s="1"/>
  <c r="E17" i="84"/>
  <c r="D17" i="84"/>
  <c r="F17" i="84" s="1"/>
  <c r="G17" i="84" s="1"/>
  <c r="W16" i="84"/>
  <c r="X16" i="84" s="1"/>
  <c r="R16" i="84"/>
  <c r="Q16" i="84"/>
  <c r="O16" i="84"/>
  <c r="J16" i="84"/>
  <c r="I16" i="84"/>
  <c r="H16" i="84"/>
  <c r="K16" i="84" s="1"/>
  <c r="E16" i="84"/>
  <c r="D16" i="84"/>
  <c r="F16" i="84" s="1"/>
  <c r="G16" i="84" s="1"/>
  <c r="W15" i="84"/>
  <c r="X15" i="84" s="1"/>
  <c r="R15" i="84"/>
  <c r="Q15" i="84"/>
  <c r="O15" i="84"/>
  <c r="J15" i="84"/>
  <c r="I15" i="84"/>
  <c r="H15" i="84"/>
  <c r="K15" i="84" s="1"/>
  <c r="E15" i="84"/>
  <c r="D15" i="84"/>
  <c r="F15" i="84" s="1"/>
  <c r="G15" i="84" s="1"/>
  <c r="W14" i="84"/>
  <c r="X14" i="84" s="1"/>
  <c r="R14" i="84"/>
  <c r="Q14" i="84"/>
  <c r="O14" i="84"/>
  <c r="J14" i="84"/>
  <c r="I14" i="84"/>
  <c r="H14" i="84"/>
  <c r="K14" i="84" s="1"/>
  <c r="E14" i="84"/>
  <c r="D14" i="84"/>
  <c r="F14" i="84" s="1"/>
  <c r="G14" i="84" s="1"/>
  <c r="W13" i="84"/>
  <c r="X13" i="84" s="1"/>
  <c r="R13" i="84"/>
  <c r="Q13" i="84"/>
  <c r="O13" i="84"/>
  <c r="J13" i="84"/>
  <c r="I13" i="84"/>
  <c r="H13" i="84"/>
  <c r="K13" i="84" s="1"/>
  <c r="E13" i="84"/>
  <c r="D13" i="84"/>
  <c r="F13" i="84" s="1"/>
  <c r="G13" i="84" s="1"/>
  <c r="W12" i="84"/>
  <c r="X12" i="84" s="1"/>
  <c r="R12" i="84"/>
  <c r="Q12" i="84"/>
  <c r="O12" i="84"/>
  <c r="J12" i="84"/>
  <c r="I12" i="84"/>
  <c r="H12" i="84"/>
  <c r="K12" i="84" s="1"/>
  <c r="E12" i="84"/>
  <c r="D12" i="84"/>
  <c r="F12" i="84" s="1"/>
  <c r="G12" i="84" s="1"/>
  <c r="W11" i="84"/>
  <c r="X11" i="84" s="1"/>
  <c r="R11" i="84"/>
  <c r="Q11" i="84"/>
  <c r="O11" i="84"/>
  <c r="J11" i="84"/>
  <c r="I11" i="84"/>
  <c r="H11" i="84"/>
  <c r="K11" i="84" s="1"/>
  <c r="E11" i="84"/>
  <c r="D11" i="84"/>
  <c r="F11" i="84" s="1"/>
  <c r="G11" i="84" s="1"/>
  <c r="W10" i="84"/>
  <c r="X10" i="84" s="1"/>
  <c r="R10" i="84"/>
  <c r="Q10" i="84"/>
  <c r="O10" i="84"/>
  <c r="J10" i="84"/>
  <c r="I10" i="84"/>
  <c r="H10" i="84"/>
  <c r="K10" i="84" s="1"/>
  <c r="E10" i="84"/>
  <c r="D10" i="84"/>
  <c r="F10" i="84" s="1"/>
  <c r="G10" i="84" s="1"/>
  <c r="W9" i="84"/>
  <c r="X9" i="84" s="1"/>
  <c r="R9" i="84"/>
  <c r="Q9" i="84"/>
  <c r="O9" i="84"/>
  <c r="J9" i="84"/>
  <c r="I9" i="84"/>
  <c r="H9" i="84"/>
  <c r="K9" i="84" s="1"/>
  <c r="E9" i="84"/>
  <c r="D9" i="84"/>
  <c r="F9" i="84" s="1"/>
  <c r="G9" i="84" s="1"/>
  <c r="W8" i="84"/>
  <c r="X8" i="84" s="1"/>
  <c r="R8" i="84"/>
  <c r="Q8" i="84"/>
  <c r="O8" i="84"/>
  <c r="J8" i="84"/>
  <c r="I8" i="84"/>
  <c r="H8" i="84"/>
  <c r="E8" i="84"/>
  <c r="D8" i="84"/>
  <c r="F8" i="84" s="1"/>
  <c r="G8" i="84" s="1"/>
  <c r="U8" i="83" l="1"/>
  <c r="V8" i="83" s="1"/>
  <c r="F9" i="76"/>
  <c r="F8" i="76"/>
  <c r="Q9" i="76"/>
  <c r="S9" i="76" s="1"/>
  <c r="T9" i="76" s="1"/>
  <c r="F8" i="77"/>
  <c r="Q14" i="77"/>
  <c r="S14" i="77"/>
  <c r="T14" i="77" s="1"/>
  <c r="Q17" i="77"/>
  <c r="S17" i="77"/>
  <c r="T17" i="77" s="1"/>
  <c r="Q20" i="77"/>
  <c r="S20" i="77" s="1"/>
  <c r="T20" i="77" s="1"/>
  <c r="Q26" i="77"/>
  <c r="S26" i="77" s="1"/>
  <c r="T26" i="77" s="1"/>
  <c r="Q29" i="77"/>
  <c r="S29" i="77" s="1"/>
  <c r="T29" i="77" s="1"/>
  <c r="Q9" i="77"/>
  <c r="Q12" i="77"/>
  <c r="S12" i="77" s="1"/>
  <c r="T12" i="77" s="1"/>
  <c r="E72" i="77" s="1"/>
  <c r="Q15" i="77"/>
  <c r="S15" i="77" s="1"/>
  <c r="T15" i="77" s="1"/>
  <c r="Q18" i="77"/>
  <c r="S18" i="77" s="1"/>
  <c r="T18" i="77" s="1"/>
  <c r="Q21" i="77"/>
  <c r="S21" i="77"/>
  <c r="T21" i="77" s="1"/>
  <c r="Q24" i="77"/>
  <c r="S24" i="77" s="1"/>
  <c r="T24" i="77" s="1"/>
  <c r="Q27" i="77"/>
  <c r="S27" i="77" s="1"/>
  <c r="T27" i="77" s="1"/>
  <c r="Q51" i="77"/>
  <c r="S51" i="77" s="1"/>
  <c r="T51" i="77" s="1"/>
  <c r="Q13" i="77"/>
  <c r="S13" i="77" s="1"/>
  <c r="T13" i="77" s="1"/>
  <c r="Q16" i="77"/>
  <c r="S16" i="77" s="1"/>
  <c r="T16" i="77" s="1"/>
  <c r="Q19" i="77"/>
  <c r="S19" i="77"/>
  <c r="T19" i="77" s="1"/>
  <c r="Q25" i="77"/>
  <c r="S25" i="77" s="1"/>
  <c r="T25" i="77" s="1"/>
  <c r="Q52" i="77"/>
  <c r="S52" i="77" s="1"/>
  <c r="T52" i="77" s="1"/>
  <c r="G15" i="77"/>
  <c r="H15" i="77" s="1"/>
  <c r="G11" i="77"/>
  <c r="H11" i="77" s="1"/>
  <c r="G8" i="77"/>
  <c r="H8" i="77" s="1"/>
  <c r="G28" i="77"/>
  <c r="H28" i="77" s="1"/>
  <c r="G19" i="77"/>
  <c r="H19" i="77" s="1"/>
  <c r="G23" i="77"/>
  <c r="H23" i="77" s="1"/>
  <c r="T52" i="76"/>
  <c r="L10" i="76"/>
  <c r="T10" i="76" s="1"/>
  <c r="L8" i="76"/>
  <c r="O14" i="76"/>
  <c r="Q14" i="76" s="1"/>
  <c r="T26" i="76"/>
  <c r="O12" i="76"/>
  <c r="Q12" i="76" s="1"/>
  <c r="O15" i="76"/>
  <c r="Q15" i="76" s="1"/>
  <c r="F12" i="76"/>
  <c r="T27" i="76"/>
  <c r="O13" i="76"/>
  <c r="Q13" i="76" s="1"/>
  <c r="F16" i="76"/>
  <c r="F11" i="76"/>
  <c r="G12" i="76"/>
  <c r="H12" i="76" s="1"/>
  <c r="G15" i="76"/>
  <c r="H15" i="76" s="1"/>
  <c r="F13" i="76"/>
  <c r="O11" i="76"/>
  <c r="Q11" i="76" s="1"/>
  <c r="O16" i="76"/>
  <c r="Q16" i="76" s="1"/>
  <c r="T22" i="76"/>
  <c r="T49" i="76"/>
  <c r="T19" i="76"/>
  <c r="T20" i="76"/>
  <c r="T25" i="76"/>
  <c r="F14" i="76"/>
  <c r="F15" i="76"/>
  <c r="T21" i="76"/>
  <c r="T23" i="76"/>
  <c r="T50" i="76"/>
  <c r="T24" i="76"/>
  <c r="T51" i="76"/>
  <c r="L14" i="76"/>
  <c r="L12" i="76"/>
  <c r="L15" i="76"/>
  <c r="G11" i="76"/>
  <c r="H11" i="76" s="1"/>
  <c r="L11" i="76" s="1"/>
  <c r="L17" i="76"/>
  <c r="T17" i="76" s="1"/>
  <c r="L13" i="76"/>
  <c r="L16" i="76"/>
  <c r="L18" i="76"/>
  <c r="T18" i="76" s="1"/>
  <c r="Q23" i="77"/>
  <c r="S23" i="77" s="1"/>
  <c r="T23" i="77" s="1"/>
  <c r="Q22" i="77"/>
  <c r="S22" i="77" s="1"/>
  <c r="T22" i="77" s="1"/>
  <c r="Q28" i="77"/>
  <c r="S28" i="77" s="1"/>
  <c r="T28" i="77" s="1"/>
  <c r="G13" i="77"/>
  <c r="H13" i="77" s="1"/>
  <c r="G10" i="77"/>
  <c r="H10" i="77" s="1"/>
  <c r="G14" i="77"/>
  <c r="H14" i="77" s="1"/>
  <c r="Q11" i="77"/>
  <c r="S11" i="77" s="1"/>
  <c r="T11" i="77" s="1"/>
  <c r="E71" i="77" s="1"/>
  <c r="Q8" i="77"/>
  <c r="Q10" i="77"/>
  <c r="G18" i="77"/>
  <c r="H18" i="77" s="1"/>
  <c r="G27" i="77"/>
  <c r="H27" i="77" s="1"/>
  <c r="L8" i="77"/>
  <c r="L10" i="77"/>
  <c r="G12" i="77"/>
  <c r="H12" i="77" s="1"/>
  <c r="G21" i="77"/>
  <c r="H21" i="77" s="1"/>
  <c r="G51" i="77"/>
  <c r="H51" i="77" s="1"/>
  <c r="K8" i="84"/>
  <c r="D10" i="80"/>
  <c r="E10" i="80"/>
  <c r="D11" i="80"/>
  <c r="E11" i="80"/>
  <c r="D12" i="80"/>
  <c r="E12" i="80"/>
  <c r="D13" i="80"/>
  <c r="E13" i="80"/>
  <c r="D14" i="80"/>
  <c r="E14" i="80"/>
  <c r="D15" i="80"/>
  <c r="E15" i="80"/>
  <c r="D16" i="80"/>
  <c r="E16" i="80"/>
  <c r="D17" i="80"/>
  <c r="E17" i="80"/>
  <c r="D18" i="80"/>
  <c r="E18" i="80"/>
  <c r="D19" i="80"/>
  <c r="E19" i="80"/>
  <c r="D20" i="80"/>
  <c r="E20" i="80"/>
  <c r="D21" i="80"/>
  <c r="E21" i="80"/>
  <c r="D22" i="80"/>
  <c r="E22" i="80"/>
  <c r="D23" i="80"/>
  <c r="E23" i="80"/>
  <c r="D24" i="80"/>
  <c r="E24" i="80"/>
  <c r="D25" i="80"/>
  <c r="E25" i="80"/>
  <c r="D26" i="80"/>
  <c r="E26" i="80"/>
  <c r="D27" i="80"/>
  <c r="E27" i="80"/>
  <c r="D28" i="80"/>
  <c r="E28" i="80"/>
  <c r="D29" i="80"/>
  <c r="E29" i="80"/>
  <c r="D30" i="80"/>
  <c r="E30" i="80"/>
  <c r="D31" i="80"/>
  <c r="E31" i="80"/>
  <c r="E9" i="80"/>
  <c r="D9" i="80"/>
  <c r="U8" i="84" l="1"/>
  <c r="V8" i="84" s="1"/>
  <c r="S8" i="76"/>
  <c r="T8" i="76" s="1"/>
  <c r="S10" i="77"/>
  <c r="T10" i="77" s="1"/>
  <c r="E70" i="77" s="1"/>
  <c r="S8" i="77"/>
  <c r="T8" i="77" s="1"/>
  <c r="E68" i="77" s="1"/>
  <c r="T15" i="76"/>
  <c r="T12" i="76"/>
  <c r="T16" i="76"/>
  <c r="T14" i="76"/>
  <c r="T11" i="76"/>
  <c r="T13" i="76"/>
  <c r="G9" i="77"/>
  <c r="H9" i="77" s="1"/>
  <c r="L9" i="77" s="1"/>
  <c r="S9" i="77" s="1"/>
  <c r="T9" i="77" s="1"/>
  <c r="E69" i="77" s="1"/>
  <c r="D10" i="81"/>
  <c r="D11" i="81"/>
  <c r="D12" i="81"/>
  <c r="D13" i="81"/>
  <c r="D14" i="81"/>
  <c r="D15" i="81"/>
  <c r="D16" i="81"/>
  <c r="D17" i="81"/>
  <c r="D18" i="81"/>
  <c r="D19" i="81"/>
  <c r="D20" i="81"/>
  <c r="D21" i="81"/>
  <c r="D22" i="81"/>
  <c r="D23" i="81"/>
  <c r="D24" i="81"/>
  <c r="D25" i="81"/>
  <c r="D26" i="81"/>
  <c r="D27" i="81"/>
  <c r="D28" i="81"/>
  <c r="D29" i="81"/>
  <c r="D30" i="81"/>
  <c r="D31" i="81"/>
  <c r="D9" i="81"/>
  <c r="E10" i="81"/>
  <c r="E11" i="81"/>
  <c r="E12" i="81"/>
  <c r="E13" i="81"/>
  <c r="E14" i="81"/>
  <c r="E15" i="81"/>
  <c r="E16" i="81"/>
  <c r="E17" i="81"/>
  <c r="E18" i="81"/>
  <c r="E19" i="81"/>
  <c r="E20" i="81"/>
  <c r="E21" i="81"/>
  <c r="E22" i="81"/>
  <c r="E23" i="81"/>
  <c r="E24" i="81"/>
  <c r="E25" i="81"/>
  <c r="E26" i="81"/>
  <c r="E27" i="81"/>
  <c r="E28" i="81"/>
  <c r="E29" i="81"/>
  <c r="E30" i="81"/>
  <c r="E31" i="81"/>
  <c r="E9" i="81"/>
  <c r="I9" i="81"/>
  <c r="I10" i="81"/>
  <c r="I11" i="81"/>
  <c r="I12" i="81"/>
  <c r="I13" i="81"/>
  <c r="I14" i="81"/>
  <c r="I15" i="81"/>
  <c r="I16" i="81"/>
  <c r="I17" i="81"/>
  <c r="I18" i="81"/>
  <c r="I19" i="81"/>
  <c r="I20" i="81"/>
  <c r="I21" i="81"/>
  <c r="I22" i="81"/>
  <c r="I23" i="81"/>
  <c r="I24" i="81"/>
  <c r="I25" i="81"/>
  <c r="I26" i="81"/>
  <c r="I27" i="81"/>
  <c r="I28" i="81"/>
  <c r="I29" i="81"/>
  <c r="I30" i="81"/>
  <c r="I31" i="81"/>
  <c r="J9" i="81"/>
  <c r="J10" i="81"/>
  <c r="J11" i="81"/>
  <c r="J12" i="81"/>
  <c r="J13" i="81"/>
  <c r="J14" i="81"/>
  <c r="J15" i="81"/>
  <c r="J16" i="81"/>
  <c r="J17" i="81"/>
  <c r="J18" i="81"/>
  <c r="J19" i="81"/>
  <c r="J20" i="81"/>
  <c r="J21" i="81"/>
  <c r="J22" i="81"/>
  <c r="J23" i="81"/>
  <c r="J24" i="81"/>
  <c r="J25" i="81"/>
  <c r="J26" i="81"/>
  <c r="J27" i="81"/>
  <c r="J28" i="81"/>
  <c r="J29" i="81"/>
  <c r="J30" i="81"/>
  <c r="J31" i="81"/>
  <c r="K9" i="81"/>
  <c r="K10" i="81"/>
  <c r="K11" i="81"/>
  <c r="K12" i="81"/>
  <c r="K13" i="81"/>
  <c r="K14" i="81"/>
  <c r="K15" i="81"/>
  <c r="K16" i="81"/>
  <c r="K17" i="81"/>
  <c r="K18" i="81"/>
  <c r="K19" i="81"/>
  <c r="K20" i="81"/>
  <c r="K21" i="81"/>
  <c r="K22" i="81"/>
  <c r="K23" i="81"/>
  <c r="K24" i="81"/>
  <c r="K25" i="81"/>
  <c r="K26" i="81"/>
  <c r="K27" i="81"/>
  <c r="K28" i="81"/>
  <c r="K29" i="81"/>
  <c r="K30" i="81"/>
  <c r="K31" i="81"/>
  <c r="R10" i="81"/>
  <c r="R11" i="81"/>
  <c r="R12" i="81"/>
  <c r="R13" i="81"/>
  <c r="R14" i="81"/>
  <c r="R15" i="81"/>
  <c r="R16" i="81"/>
  <c r="R17" i="81"/>
  <c r="R18" i="81"/>
  <c r="R19" i="81"/>
  <c r="R20" i="81"/>
  <c r="R21" i="81"/>
  <c r="R22" i="81"/>
  <c r="R23" i="81"/>
  <c r="R24" i="81"/>
  <c r="R25" i="81"/>
  <c r="R26" i="81"/>
  <c r="R27" i="81"/>
  <c r="R28" i="81"/>
  <c r="R29" i="81"/>
  <c r="R30" i="81"/>
  <c r="R31" i="81"/>
  <c r="R9" i="81"/>
  <c r="Y10" i="81"/>
  <c r="Y11" i="81"/>
  <c r="Y12" i="81"/>
  <c r="Y13" i="81"/>
  <c r="Y14" i="81"/>
  <c r="Y15" i="81"/>
  <c r="Y16" i="81"/>
  <c r="Y17" i="81"/>
  <c r="Y18" i="81"/>
  <c r="Y19" i="81"/>
  <c r="Y20" i="81"/>
  <c r="Y21" i="81"/>
  <c r="Y22" i="81"/>
  <c r="Y23" i="81"/>
  <c r="Y24" i="81"/>
  <c r="Y25" i="81"/>
  <c r="Y26" i="81"/>
  <c r="Y27" i="81"/>
  <c r="Y28" i="81"/>
  <c r="Y29" i="81"/>
  <c r="Y30" i="81"/>
  <c r="Y31" i="81"/>
  <c r="Y9" i="81"/>
  <c r="Y10" i="80"/>
  <c r="Y11" i="80"/>
  <c r="Y12" i="80"/>
  <c r="Y13" i="80"/>
  <c r="Y14" i="80"/>
  <c r="Y15" i="80"/>
  <c r="Y16" i="80"/>
  <c r="Y17" i="80"/>
  <c r="Y18" i="80"/>
  <c r="Y19" i="80"/>
  <c r="Y20" i="80"/>
  <c r="Y21" i="80"/>
  <c r="Y22" i="80"/>
  <c r="Y23" i="80"/>
  <c r="Y24" i="80"/>
  <c r="Z24" i="80" s="1"/>
  <c r="Y25" i="80"/>
  <c r="Y26" i="80"/>
  <c r="Y27" i="80"/>
  <c r="Y28" i="80"/>
  <c r="Y29" i="80"/>
  <c r="Z29" i="80" s="1"/>
  <c r="Y30" i="80"/>
  <c r="Z30" i="80" s="1"/>
  <c r="Y31" i="80"/>
  <c r="Y9" i="80"/>
  <c r="Z9" i="80" s="1"/>
  <c r="Z10" i="80"/>
  <c r="Z11" i="80"/>
  <c r="Z12" i="80"/>
  <c r="Z13" i="80"/>
  <c r="Z14" i="80"/>
  <c r="Z15" i="80"/>
  <c r="Z16" i="80"/>
  <c r="Z17" i="80"/>
  <c r="Z18" i="80"/>
  <c r="Z19" i="80"/>
  <c r="Z20" i="80"/>
  <c r="Z21" i="80"/>
  <c r="Z22" i="80"/>
  <c r="Z23" i="80"/>
  <c r="Z25" i="80"/>
  <c r="Z26" i="80"/>
  <c r="Z27" i="80"/>
  <c r="Z28" i="80"/>
  <c r="Z31" i="80"/>
  <c r="R10" i="80"/>
  <c r="R11" i="80"/>
  <c r="R12" i="80"/>
  <c r="R13" i="80"/>
  <c r="R14" i="80"/>
  <c r="R15" i="80"/>
  <c r="R16" i="80"/>
  <c r="R17" i="80"/>
  <c r="R18" i="80"/>
  <c r="R19" i="80"/>
  <c r="R20" i="80"/>
  <c r="R21" i="80"/>
  <c r="R22" i="80"/>
  <c r="R23" i="80"/>
  <c r="R24" i="80"/>
  <c r="R25" i="80"/>
  <c r="R26" i="80"/>
  <c r="R27" i="80"/>
  <c r="R28" i="80"/>
  <c r="R29" i="80"/>
  <c r="R30" i="80"/>
  <c r="R31" i="80"/>
  <c r="R9" i="80"/>
  <c r="I9" i="80"/>
  <c r="J9" i="80"/>
  <c r="K9" i="80"/>
  <c r="I10" i="80"/>
  <c r="J10" i="80"/>
  <c r="K10" i="80"/>
  <c r="G11" i="80"/>
  <c r="H11" i="80"/>
  <c r="L11" i="80" s="1"/>
  <c r="I11" i="80"/>
  <c r="J11" i="80"/>
  <c r="K11" i="80"/>
  <c r="G12" i="80"/>
  <c r="H12" i="80"/>
  <c r="L12" i="80" s="1"/>
  <c r="I12" i="80"/>
  <c r="J12" i="80"/>
  <c r="K12" i="80"/>
  <c r="G13" i="80"/>
  <c r="H13" i="80"/>
  <c r="I13" i="80"/>
  <c r="J13" i="80"/>
  <c r="K13" i="80"/>
  <c r="G14" i="80"/>
  <c r="H14" i="80"/>
  <c r="I14" i="80"/>
  <c r="J14" i="80"/>
  <c r="K14" i="80"/>
  <c r="G15" i="80"/>
  <c r="H15" i="80"/>
  <c r="I15" i="80"/>
  <c r="J15" i="80"/>
  <c r="K15" i="80"/>
  <c r="G16" i="80"/>
  <c r="H16" i="80"/>
  <c r="I16" i="80"/>
  <c r="J16" i="80"/>
  <c r="K16" i="80"/>
  <c r="G17" i="80"/>
  <c r="H17" i="80"/>
  <c r="L17" i="80" s="1"/>
  <c r="I17" i="80"/>
  <c r="J17" i="80"/>
  <c r="K17" i="80"/>
  <c r="G18" i="80"/>
  <c r="H18" i="80"/>
  <c r="I18" i="80"/>
  <c r="J18" i="80"/>
  <c r="K18" i="80"/>
  <c r="G19" i="80"/>
  <c r="H19" i="80"/>
  <c r="I19" i="80"/>
  <c r="J19" i="80"/>
  <c r="K19" i="80"/>
  <c r="G20" i="80"/>
  <c r="H20" i="80"/>
  <c r="I20" i="80"/>
  <c r="J20" i="80"/>
  <c r="K20" i="80"/>
  <c r="G21" i="80"/>
  <c r="H21" i="80"/>
  <c r="I21" i="80"/>
  <c r="J21" i="80"/>
  <c r="K21" i="80"/>
  <c r="G22" i="80"/>
  <c r="H22" i="80"/>
  <c r="I22" i="80"/>
  <c r="J22" i="80"/>
  <c r="K22" i="80"/>
  <c r="G23" i="80"/>
  <c r="H23" i="80"/>
  <c r="L23" i="80" s="1"/>
  <c r="I23" i="80"/>
  <c r="J23" i="80"/>
  <c r="K23" i="80"/>
  <c r="G24" i="80"/>
  <c r="H24" i="80"/>
  <c r="I24" i="80"/>
  <c r="J24" i="80"/>
  <c r="K24" i="80"/>
  <c r="G25" i="80"/>
  <c r="H25" i="80"/>
  <c r="I25" i="80"/>
  <c r="J25" i="80"/>
  <c r="K25" i="80"/>
  <c r="G26" i="80"/>
  <c r="H26" i="80"/>
  <c r="I26" i="80"/>
  <c r="J26" i="80"/>
  <c r="K26" i="80"/>
  <c r="G27" i="80"/>
  <c r="H27" i="80"/>
  <c r="I27" i="80"/>
  <c r="J27" i="80"/>
  <c r="K27" i="80"/>
  <c r="G28" i="80"/>
  <c r="H28" i="80"/>
  <c r="I28" i="80"/>
  <c r="J28" i="80"/>
  <c r="K28" i="80"/>
  <c r="G29" i="80"/>
  <c r="H29" i="80"/>
  <c r="L29" i="80" s="1"/>
  <c r="I29" i="80"/>
  <c r="J29" i="80"/>
  <c r="K29" i="80"/>
  <c r="G30" i="80"/>
  <c r="H30" i="80"/>
  <c r="L30" i="80" s="1"/>
  <c r="I30" i="80"/>
  <c r="J30" i="80"/>
  <c r="K30" i="80"/>
  <c r="G31" i="80"/>
  <c r="H31" i="80"/>
  <c r="I31" i="80"/>
  <c r="J31" i="80"/>
  <c r="K31" i="80"/>
  <c r="M11" i="80"/>
  <c r="M12" i="80"/>
  <c r="M13" i="80"/>
  <c r="M14" i="80"/>
  <c r="M15" i="80"/>
  <c r="M16" i="80"/>
  <c r="M17" i="80"/>
  <c r="M18" i="80"/>
  <c r="M19" i="80"/>
  <c r="M20" i="80"/>
  <c r="M21" i="80"/>
  <c r="M22" i="80"/>
  <c r="M23" i="80"/>
  <c r="M24" i="80"/>
  <c r="M25" i="80"/>
  <c r="M26" i="80"/>
  <c r="M27" i="80"/>
  <c r="M28" i="80"/>
  <c r="M29" i="80"/>
  <c r="M30" i="80"/>
  <c r="M31" i="80"/>
  <c r="AC9" i="79"/>
  <c r="AD9" i="79" s="1"/>
  <c r="AC10" i="79"/>
  <c r="AD10" i="79" s="1"/>
  <c r="AC11" i="79"/>
  <c r="AD11" i="79" s="1"/>
  <c r="AC12" i="79"/>
  <c r="AD12" i="79" s="1"/>
  <c r="AC13" i="79"/>
  <c r="AD13" i="79" s="1"/>
  <c r="AC14" i="79"/>
  <c r="AD14" i="79" s="1"/>
  <c r="AC15" i="79"/>
  <c r="AD15" i="79" s="1"/>
  <c r="AC16" i="79"/>
  <c r="AD16" i="79" s="1"/>
  <c r="AC17" i="79"/>
  <c r="AD17" i="79" s="1"/>
  <c r="AC18" i="79"/>
  <c r="AD18" i="79" s="1"/>
  <c r="AC19" i="79"/>
  <c r="AD19" i="79" s="1"/>
  <c r="AC20" i="79"/>
  <c r="AD20" i="79" s="1"/>
  <c r="AC21" i="79"/>
  <c r="AD21" i="79" s="1"/>
  <c r="AC22" i="79"/>
  <c r="AD22" i="79" s="1"/>
  <c r="AC23" i="79"/>
  <c r="AD23" i="79" s="1"/>
  <c r="AC24" i="79"/>
  <c r="AD24" i="79" s="1"/>
  <c r="AC25" i="79"/>
  <c r="AD25" i="79" s="1"/>
  <c r="AC26" i="79"/>
  <c r="AD26" i="79" s="1"/>
  <c r="AC27" i="79"/>
  <c r="AD27" i="79" s="1"/>
  <c r="AC28" i="79"/>
  <c r="AD28" i="79" s="1"/>
  <c r="AC50" i="79"/>
  <c r="AD50" i="79" s="1"/>
  <c r="AC51" i="79"/>
  <c r="AD51" i="79" s="1"/>
  <c r="AC52" i="79"/>
  <c r="AD52" i="79" s="1"/>
  <c r="E9" i="79"/>
  <c r="E10" i="79"/>
  <c r="E11" i="79"/>
  <c r="E12" i="79"/>
  <c r="E13" i="79"/>
  <c r="E14" i="79"/>
  <c r="E15" i="79"/>
  <c r="E16" i="79"/>
  <c r="E17" i="79"/>
  <c r="E18" i="79"/>
  <c r="E19" i="79"/>
  <c r="E20" i="79"/>
  <c r="E21" i="79"/>
  <c r="E22" i="79"/>
  <c r="E23" i="79"/>
  <c r="E24" i="79"/>
  <c r="E25" i="79"/>
  <c r="E26" i="79"/>
  <c r="E27" i="79"/>
  <c r="E28" i="79"/>
  <c r="E50" i="79"/>
  <c r="E51" i="79"/>
  <c r="E52" i="79"/>
  <c r="D9" i="79"/>
  <c r="G9" i="79" s="1"/>
  <c r="H9" i="79" s="1"/>
  <c r="D10" i="79"/>
  <c r="G10" i="79" s="1"/>
  <c r="H10" i="79" s="1"/>
  <c r="D11" i="79"/>
  <c r="G11" i="79" s="1"/>
  <c r="H11" i="79" s="1"/>
  <c r="D12" i="79"/>
  <c r="G12" i="79" s="1"/>
  <c r="H12" i="79" s="1"/>
  <c r="D13" i="79"/>
  <c r="G13" i="79" s="1"/>
  <c r="H13" i="79" s="1"/>
  <c r="D14" i="79"/>
  <c r="G14" i="79" s="1"/>
  <c r="H14" i="79" s="1"/>
  <c r="D15" i="79"/>
  <c r="G15" i="79" s="1"/>
  <c r="H15" i="79" s="1"/>
  <c r="D16" i="79"/>
  <c r="G16" i="79" s="1"/>
  <c r="H16" i="79" s="1"/>
  <c r="D17" i="79"/>
  <c r="G17" i="79" s="1"/>
  <c r="H17" i="79" s="1"/>
  <c r="D18" i="79"/>
  <c r="G18" i="79" s="1"/>
  <c r="H18" i="79" s="1"/>
  <c r="D19" i="79"/>
  <c r="G19" i="79" s="1"/>
  <c r="H19" i="79" s="1"/>
  <c r="D20" i="79"/>
  <c r="G20" i="79" s="1"/>
  <c r="H20" i="79" s="1"/>
  <c r="D21" i="79"/>
  <c r="G21" i="79" s="1"/>
  <c r="H21" i="79" s="1"/>
  <c r="D22" i="79"/>
  <c r="G22" i="79" s="1"/>
  <c r="H22" i="79" s="1"/>
  <c r="D23" i="79"/>
  <c r="G23" i="79" s="1"/>
  <c r="H23" i="79" s="1"/>
  <c r="D24" i="79"/>
  <c r="G24" i="79" s="1"/>
  <c r="H24" i="79" s="1"/>
  <c r="D25" i="79"/>
  <c r="G25" i="79" s="1"/>
  <c r="H25" i="79" s="1"/>
  <c r="D26" i="79"/>
  <c r="L26" i="79" s="1"/>
  <c r="D27" i="79"/>
  <c r="G27" i="79" s="1"/>
  <c r="H27" i="79" s="1"/>
  <c r="D28" i="79"/>
  <c r="G28" i="79" s="1"/>
  <c r="H28" i="79" s="1"/>
  <c r="D50" i="79"/>
  <c r="G50" i="79" s="1"/>
  <c r="H50" i="79" s="1"/>
  <c r="D51" i="79"/>
  <c r="G51" i="79" s="1"/>
  <c r="H51" i="79" s="1"/>
  <c r="D52" i="79"/>
  <c r="G52" i="79" s="1"/>
  <c r="H52" i="79" s="1"/>
  <c r="I9" i="79"/>
  <c r="J9" i="79"/>
  <c r="K9" i="79"/>
  <c r="I10" i="79"/>
  <c r="J10" i="79"/>
  <c r="K10" i="79"/>
  <c r="I11" i="79"/>
  <c r="J11" i="79"/>
  <c r="K11" i="79"/>
  <c r="I12" i="79"/>
  <c r="J12" i="79"/>
  <c r="K12" i="79"/>
  <c r="I13" i="79"/>
  <c r="J13" i="79"/>
  <c r="K13" i="79"/>
  <c r="I14" i="79"/>
  <c r="J14" i="79"/>
  <c r="K14" i="79"/>
  <c r="L14" i="79"/>
  <c r="I15" i="79"/>
  <c r="J15" i="79"/>
  <c r="K15" i="79"/>
  <c r="I16" i="79"/>
  <c r="J16" i="79"/>
  <c r="K16" i="79"/>
  <c r="I17" i="79"/>
  <c r="J17" i="79"/>
  <c r="K17" i="79"/>
  <c r="I18" i="79"/>
  <c r="J18" i="79"/>
  <c r="K18" i="79"/>
  <c r="I19" i="79"/>
  <c r="J19" i="79"/>
  <c r="K19" i="79"/>
  <c r="I20" i="79"/>
  <c r="J20" i="79"/>
  <c r="K20" i="79"/>
  <c r="I21" i="79"/>
  <c r="J21" i="79"/>
  <c r="K21" i="79"/>
  <c r="I22" i="79"/>
  <c r="J22" i="79"/>
  <c r="K22" i="79"/>
  <c r="I23" i="79"/>
  <c r="J23" i="79"/>
  <c r="K23" i="79"/>
  <c r="I24" i="79"/>
  <c r="J24" i="79"/>
  <c r="K24" i="79"/>
  <c r="I25" i="79"/>
  <c r="J25" i="79"/>
  <c r="K25" i="79"/>
  <c r="I26" i="79"/>
  <c r="J26" i="79"/>
  <c r="K26" i="79"/>
  <c r="I27" i="79"/>
  <c r="J27" i="79"/>
  <c r="K27" i="79"/>
  <c r="I28" i="79"/>
  <c r="J28" i="79"/>
  <c r="K28" i="79"/>
  <c r="I50" i="79"/>
  <c r="J50" i="79"/>
  <c r="K50" i="79"/>
  <c r="I51" i="79"/>
  <c r="J51" i="79"/>
  <c r="K51" i="79"/>
  <c r="I52" i="79"/>
  <c r="J52" i="79"/>
  <c r="K52" i="79"/>
  <c r="Z10" i="78"/>
  <c r="Z11" i="78"/>
  <c r="Z12" i="78"/>
  <c r="Z13" i="78"/>
  <c r="Z14" i="78"/>
  <c r="Z15" i="78"/>
  <c r="Z16" i="78"/>
  <c r="Z17" i="78"/>
  <c r="Z18" i="78"/>
  <c r="Z19" i="78"/>
  <c r="Z20" i="78"/>
  <c r="Z21" i="78"/>
  <c r="Z22" i="78"/>
  <c r="Z23" i="78"/>
  <c r="Z24" i="78"/>
  <c r="Z25" i="78"/>
  <c r="Z26" i="78"/>
  <c r="Z27" i="78"/>
  <c r="Z28" i="78"/>
  <c r="Z29" i="78"/>
  <c r="Z51" i="78"/>
  <c r="Z52" i="78"/>
  <c r="Z9" i="78"/>
  <c r="I9" i="78"/>
  <c r="J9" i="78"/>
  <c r="K9" i="78"/>
  <c r="I10" i="78"/>
  <c r="J10" i="78"/>
  <c r="K10" i="78"/>
  <c r="I11" i="78"/>
  <c r="J11" i="78"/>
  <c r="K11" i="78"/>
  <c r="I12" i="78"/>
  <c r="J12" i="78"/>
  <c r="K12" i="78"/>
  <c r="I13" i="78"/>
  <c r="J13" i="78"/>
  <c r="K13" i="78"/>
  <c r="I14" i="78"/>
  <c r="J14" i="78"/>
  <c r="K14" i="78"/>
  <c r="I15" i="78"/>
  <c r="J15" i="78"/>
  <c r="K15" i="78"/>
  <c r="I16" i="78"/>
  <c r="J16" i="78"/>
  <c r="K16" i="78"/>
  <c r="I17" i="78"/>
  <c r="J17" i="78"/>
  <c r="K17" i="78"/>
  <c r="I18" i="78"/>
  <c r="J18" i="78"/>
  <c r="K18" i="78"/>
  <c r="I19" i="78"/>
  <c r="J19" i="78"/>
  <c r="K19" i="78"/>
  <c r="I20" i="78"/>
  <c r="J20" i="78"/>
  <c r="K20" i="78"/>
  <c r="I21" i="78"/>
  <c r="J21" i="78"/>
  <c r="K21" i="78"/>
  <c r="I22" i="78"/>
  <c r="J22" i="78"/>
  <c r="K22" i="78"/>
  <c r="I23" i="78"/>
  <c r="J23" i="78"/>
  <c r="K23" i="78"/>
  <c r="I24" i="78"/>
  <c r="J24" i="78"/>
  <c r="K24" i="78"/>
  <c r="I25" i="78"/>
  <c r="J25" i="78"/>
  <c r="K25" i="78"/>
  <c r="I26" i="78"/>
  <c r="J26" i="78"/>
  <c r="K26" i="78"/>
  <c r="I27" i="78"/>
  <c r="J27" i="78"/>
  <c r="K27" i="78"/>
  <c r="I28" i="78"/>
  <c r="J28" i="78"/>
  <c r="K28" i="78"/>
  <c r="I29" i="78"/>
  <c r="J29" i="78"/>
  <c r="K29" i="78"/>
  <c r="I51" i="78"/>
  <c r="J51" i="78"/>
  <c r="K51" i="78"/>
  <c r="I52" i="78"/>
  <c r="J52" i="78"/>
  <c r="K52" i="78"/>
  <c r="E10" i="78"/>
  <c r="E11" i="78"/>
  <c r="E12" i="78"/>
  <c r="E13" i="78"/>
  <c r="E14" i="78"/>
  <c r="E15" i="78"/>
  <c r="E16" i="78"/>
  <c r="E17" i="78"/>
  <c r="E18" i="78"/>
  <c r="E19" i="78"/>
  <c r="E20" i="78"/>
  <c r="E21" i="78"/>
  <c r="E22" i="78"/>
  <c r="E23" i="78"/>
  <c r="E24" i="78"/>
  <c r="E25" i="78"/>
  <c r="E26" i="78"/>
  <c r="E27" i="78"/>
  <c r="E28" i="78"/>
  <c r="E29" i="78"/>
  <c r="E51" i="78"/>
  <c r="E52" i="78"/>
  <c r="E9" i="78"/>
  <c r="D10" i="78"/>
  <c r="L10" i="78" s="1"/>
  <c r="D11" i="78"/>
  <c r="L11" i="78" s="1"/>
  <c r="D12" i="78"/>
  <c r="L12" i="78" s="1"/>
  <c r="D13" i="78"/>
  <c r="L13" i="78" s="1"/>
  <c r="D14" i="78"/>
  <c r="L14" i="78" s="1"/>
  <c r="D15" i="78"/>
  <c r="L15" i="78" s="1"/>
  <c r="D16" i="78"/>
  <c r="L16" i="78" s="1"/>
  <c r="D17" i="78"/>
  <c r="L17" i="78" s="1"/>
  <c r="D18" i="78"/>
  <c r="L18" i="78" s="1"/>
  <c r="D19" i="78"/>
  <c r="L19" i="78" s="1"/>
  <c r="D20" i="78"/>
  <c r="L20" i="78" s="1"/>
  <c r="D21" i="78"/>
  <c r="L21" i="78" s="1"/>
  <c r="D22" i="78"/>
  <c r="L22" i="78" s="1"/>
  <c r="D23" i="78"/>
  <c r="L23" i="78" s="1"/>
  <c r="D24" i="78"/>
  <c r="L24" i="78" s="1"/>
  <c r="D25" i="78"/>
  <c r="L25" i="78" s="1"/>
  <c r="D26" i="78"/>
  <c r="L26" i="78" s="1"/>
  <c r="D27" i="78"/>
  <c r="L27" i="78" s="1"/>
  <c r="D28" i="78"/>
  <c r="L28" i="78" s="1"/>
  <c r="D29" i="78"/>
  <c r="L29" i="78" s="1"/>
  <c r="D51" i="78"/>
  <c r="L51" i="78" s="1"/>
  <c r="D52" i="78"/>
  <c r="L52" i="78" s="1"/>
  <c r="D9" i="78"/>
  <c r="L18" i="80" l="1"/>
  <c r="L27" i="80"/>
  <c r="L24" i="80"/>
  <c r="L21" i="80"/>
  <c r="L15" i="80"/>
  <c r="L26" i="80"/>
  <c r="L20" i="80"/>
  <c r="L14" i="80"/>
  <c r="L28" i="80"/>
  <c r="L22" i="80"/>
  <c r="L16" i="80"/>
  <c r="L31" i="80"/>
  <c r="L25" i="80"/>
  <c r="L19" i="80"/>
  <c r="L13" i="80"/>
  <c r="G26" i="79"/>
  <c r="H26" i="79" s="1"/>
  <c r="L20" i="79"/>
  <c r="L13" i="79"/>
  <c r="L28" i="79"/>
  <c r="L15" i="79"/>
  <c r="L10" i="79"/>
  <c r="L23" i="79"/>
  <c r="L9" i="79"/>
  <c r="L19" i="79"/>
  <c r="L52" i="79"/>
  <c r="L25" i="79"/>
  <c r="L27" i="79"/>
  <c r="L21" i="79"/>
  <c r="L22" i="79"/>
  <c r="L51" i="79"/>
  <c r="L12" i="79"/>
  <c r="L18" i="79"/>
  <c r="L24" i="79"/>
  <c r="L16" i="79"/>
  <c r="L17" i="79"/>
  <c r="L50" i="79"/>
  <c r="L11" i="79"/>
  <c r="AC8" i="79"/>
  <c r="Z8" i="78"/>
  <c r="R8" i="80"/>
  <c r="Y8" i="80"/>
  <c r="R8" i="81"/>
  <c r="Y8" i="81"/>
  <c r="K8" i="81"/>
  <c r="J8" i="81"/>
  <c r="I8" i="81"/>
  <c r="E8" i="81"/>
  <c r="D8" i="81"/>
  <c r="K8" i="80"/>
  <c r="J8" i="80"/>
  <c r="I8" i="80"/>
  <c r="E8" i="80"/>
  <c r="D8" i="80"/>
  <c r="K8" i="79"/>
  <c r="J8" i="79"/>
  <c r="I8" i="79"/>
  <c r="E8" i="79"/>
  <c r="K8" i="78"/>
  <c r="J8" i="78"/>
  <c r="I8" i="78"/>
  <c r="AC32" i="80" l="1"/>
  <c r="D8" i="79" l="1"/>
  <c r="E8" i="78"/>
  <c r="D8" i="78"/>
  <c r="BR138" i="84" l="1"/>
  <c r="BR137" i="84"/>
  <c r="BR136" i="84"/>
  <c r="BR135" i="84"/>
  <c r="BR134" i="84"/>
  <c r="BR132" i="84"/>
  <c r="BR129" i="84"/>
  <c r="BR128" i="84"/>
  <c r="BR126" i="84"/>
  <c r="BR125" i="84"/>
  <c r="BR123" i="84"/>
  <c r="BR122" i="84"/>
  <c r="BR121" i="84"/>
  <c r="BR120" i="84"/>
  <c r="BR119" i="84"/>
  <c r="BR118" i="84"/>
  <c r="BR117" i="84"/>
  <c r="BR116" i="84"/>
  <c r="BR115" i="84"/>
  <c r="BR114" i="84"/>
  <c r="BR113" i="84"/>
  <c r="BR111" i="84"/>
  <c r="BR110" i="84"/>
  <c r="BR109" i="84"/>
  <c r="BR107" i="84"/>
  <c r="BR106" i="84"/>
  <c r="BR105" i="84"/>
  <c r="BR101" i="84"/>
  <c r="BR100" i="84"/>
  <c r="BR99" i="84"/>
  <c r="BR98" i="84"/>
  <c r="BR97" i="84"/>
  <c r="BR96" i="84"/>
  <c r="BR95" i="84"/>
  <c r="BR94" i="84"/>
  <c r="BR92" i="84"/>
  <c r="BR91" i="84"/>
  <c r="BR90" i="84"/>
  <c r="BR89" i="84"/>
  <c r="BR88" i="84"/>
  <c r="BR87" i="84"/>
  <c r="BR86" i="84"/>
  <c r="BR83" i="84"/>
  <c r="BR81" i="84"/>
  <c r="BR80" i="84"/>
  <c r="BR79" i="84"/>
  <c r="BR78" i="84"/>
  <c r="BR77" i="84"/>
  <c r="BR76" i="84"/>
  <c r="BR75" i="84"/>
  <c r="BR74" i="84"/>
  <c r="BR73" i="84"/>
  <c r="BR72" i="84"/>
  <c r="BR71" i="84"/>
  <c r="BR70" i="84"/>
  <c r="BR69" i="84"/>
  <c r="BR68" i="84"/>
  <c r="BR67" i="84"/>
  <c r="BR66" i="84"/>
  <c r="BR65" i="84"/>
  <c r="BR62" i="84"/>
  <c r="BR60" i="84"/>
  <c r="BR59" i="84"/>
  <c r="BR58" i="84"/>
  <c r="BR57" i="84"/>
  <c r="BR56" i="84"/>
  <c r="BR55" i="84"/>
  <c r="BR53" i="84"/>
  <c r="BR52" i="84"/>
  <c r="BR51" i="84"/>
  <c r="BR50" i="84"/>
  <c r="BR47" i="84"/>
  <c r="BR45" i="84"/>
  <c r="BR41" i="84"/>
  <c r="BR40" i="84"/>
  <c r="BR38" i="84"/>
  <c r="BR37" i="84"/>
  <c r="BR36" i="84"/>
  <c r="BR32" i="84"/>
  <c r="B43" i="84"/>
  <c r="BR31" i="84"/>
  <c r="AU42" i="84"/>
  <c r="AT42" i="84"/>
  <c r="AS42" i="84"/>
  <c r="AN42" i="84"/>
  <c r="AM42" i="84"/>
  <c r="AL42" i="84"/>
  <c r="AG42" i="84"/>
  <c r="AF42" i="84"/>
  <c r="AE42" i="84"/>
  <c r="AA42" i="84"/>
  <c r="Z42" i="84"/>
  <c r="BR30" i="84"/>
  <c r="AU41" i="84"/>
  <c r="AT41" i="84"/>
  <c r="AS41" i="84"/>
  <c r="AN41" i="84"/>
  <c r="AM41" i="84"/>
  <c r="AL41" i="84"/>
  <c r="AG41" i="84"/>
  <c r="AF41" i="84"/>
  <c r="AE41" i="84"/>
  <c r="AA41" i="84"/>
  <c r="Z41" i="84"/>
  <c r="AU40" i="84"/>
  <c r="AT40" i="84"/>
  <c r="AS40" i="84"/>
  <c r="AN40" i="84"/>
  <c r="AM40" i="84"/>
  <c r="AL40" i="84"/>
  <c r="AG40" i="84"/>
  <c r="AF40" i="84"/>
  <c r="AE40" i="84"/>
  <c r="AA40" i="84"/>
  <c r="Z40" i="84"/>
  <c r="BR28" i="84"/>
  <c r="AU28" i="84"/>
  <c r="AT28" i="84"/>
  <c r="AS28" i="84"/>
  <c r="AN28" i="84"/>
  <c r="AM28" i="84"/>
  <c r="AL28" i="84"/>
  <c r="AG28" i="84"/>
  <c r="AF28" i="84"/>
  <c r="AE28" i="84"/>
  <c r="AA28" i="84"/>
  <c r="Z28" i="84"/>
  <c r="BR27" i="84"/>
  <c r="AU27" i="84"/>
  <c r="AT27" i="84"/>
  <c r="AS27" i="84"/>
  <c r="AN27" i="84"/>
  <c r="AM27" i="84"/>
  <c r="AL27" i="84"/>
  <c r="AG27" i="84"/>
  <c r="AF27" i="84"/>
  <c r="AE27" i="84"/>
  <c r="AA27" i="84"/>
  <c r="Z27" i="84"/>
  <c r="AU26" i="84"/>
  <c r="AT26" i="84"/>
  <c r="AS26" i="84"/>
  <c r="AN26" i="84"/>
  <c r="AM26" i="84"/>
  <c r="AL26" i="84"/>
  <c r="AG26" i="84"/>
  <c r="AF26" i="84"/>
  <c r="AE26" i="84"/>
  <c r="AA26" i="84"/>
  <c r="Z26" i="84"/>
  <c r="BR25" i="84"/>
  <c r="AU25" i="84"/>
  <c r="AT25" i="84"/>
  <c r="AS25" i="84"/>
  <c r="AN25" i="84"/>
  <c r="AM25" i="84"/>
  <c r="AL25" i="84"/>
  <c r="AG25" i="84"/>
  <c r="AF25" i="84"/>
  <c r="AE25" i="84"/>
  <c r="AA25" i="84"/>
  <c r="Z25" i="84"/>
  <c r="BR24" i="84"/>
  <c r="AU24" i="84"/>
  <c r="AT24" i="84"/>
  <c r="AS24" i="84"/>
  <c r="AN24" i="84"/>
  <c r="AM24" i="84"/>
  <c r="AL24" i="84"/>
  <c r="AG24" i="84"/>
  <c r="AF24" i="84"/>
  <c r="AE24" i="84"/>
  <c r="AA24" i="84"/>
  <c r="Z24" i="84"/>
  <c r="BR23" i="84"/>
  <c r="AU23" i="84"/>
  <c r="AT23" i="84"/>
  <c r="AS23" i="84"/>
  <c r="AN23" i="84"/>
  <c r="AM23" i="84"/>
  <c r="AL23" i="84"/>
  <c r="AG23" i="84"/>
  <c r="AF23" i="84"/>
  <c r="AE23" i="84"/>
  <c r="AA23" i="84"/>
  <c r="Z23" i="84"/>
  <c r="AU22" i="84"/>
  <c r="AT22" i="84"/>
  <c r="AS22" i="84"/>
  <c r="AN22" i="84"/>
  <c r="AM22" i="84"/>
  <c r="AL22" i="84"/>
  <c r="AG22" i="84"/>
  <c r="AF22" i="84"/>
  <c r="AE22" i="84"/>
  <c r="AA22" i="84"/>
  <c r="Z22" i="84"/>
  <c r="BR21" i="84"/>
  <c r="AU21" i="84"/>
  <c r="AT21" i="84"/>
  <c r="AS21" i="84"/>
  <c r="AN21" i="84"/>
  <c r="AM21" i="84"/>
  <c r="AL21" i="84"/>
  <c r="AG21" i="84"/>
  <c r="AF21" i="84"/>
  <c r="AE21" i="84"/>
  <c r="AA21" i="84"/>
  <c r="Z21" i="84"/>
  <c r="BR20" i="84"/>
  <c r="AU20" i="84"/>
  <c r="AT20" i="84"/>
  <c r="AS20" i="84"/>
  <c r="AN20" i="84"/>
  <c r="AM20" i="84"/>
  <c r="AL20" i="84"/>
  <c r="AG20" i="84"/>
  <c r="AF20" i="84"/>
  <c r="AE20" i="84"/>
  <c r="AA20" i="84"/>
  <c r="Z20" i="84"/>
  <c r="BR19" i="84"/>
  <c r="AU19" i="84"/>
  <c r="AT19" i="84"/>
  <c r="AS19" i="84"/>
  <c r="AN19" i="84"/>
  <c r="AM19" i="84"/>
  <c r="AL19" i="84"/>
  <c r="AG19" i="84"/>
  <c r="AF19" i="84"/>
  <c r="AE19" i="84"/>
  <c r="AA19" i="84"/>
  <c r="Z19" i="84"/>
  <c r="BR18" i="84"/>
  <c r="AU18" i="84"/>
  <c r="AT18" i="84"/>
  <c r="AS18" i="84"/>
  <c r="AN18" i="84"/>
  <c r="AM18" i="84"/>
  <c r="AL18" i="84"/>
  <c r="AG18" i="84"/>
  <c r="AF18" i="84"/>
  <c r="AE18" i="84"/>
  <c r="AA18" i="84"/>
  <c r="Z18" i="84"/>
  <c r="BR17" i="84"/>
  <c r="AU17" i="84"/>
  <c r="AT17" i="84"/>
  <c r="AS17" i="84"/>
  <c r="AN17" i="84"/>
  <c r="AM17" i="84"/>
  <c r="AL17" i="84"/>
  <c r="AG17" i="84"/>
  <c r="AF17" i="84"/>
  <c r="AE17" i="84"/>
  <c r="AA17" i="84"/>
  <c r="Z17" i="84"/>
  <c r="BR16" i="84"/>
  <c r="AU16" i="84"/>
  <c r="AT16" i="84"/>
  <c r="AS16" i="84"/>
  <c r="AN16" i="84"/>
  <c r="AM16" i="84"/>
  <c r="AL16" i="84"/>
  <c r="AG16" i="84"/>
  <c r="AF16" i="84"/>
  <c r="AE16" i="84"/>
  <c r="AA16" i="84"/>
  <c r="Z16" i="84"/>
  <c r="AU15" i="84"/>
  <c r="AT15" i="84"/>
  <c r="AS15" i="84"/>
  <c r="AN15" i="84"/>
  <c r="AM15" i="84"/>
  <c r="AL15" i="84"/>
  <c r="AG15" i="84"/>
  <c r="AF15" i="84"/>
  <c r="AE15" i="84"/>
  <c r="AA15" i="84"/>
  <c r="Z15" i="84"/>
  <c r="BR14" i="84"/>
  <c r="AU14" i="84"/>
  <c r="AT14" i="84"/>
  <c r="AS14" i="84"/>
  <c r="AN14" i="84"/>
  <c r="AM14" i="84"/>
  <c r="AL14" i="84"/>
  <c r="AG14" i="84"/>
  <c r="AF14" i="84"/>
  <c r="AE14" i="84"/>
  <c r="AA14" i="84"/>
  <c r="Z14" i="84"/>
  <c r="AU13" i="84"/>
  <c r="AT13" i="84"/>
  <c r="AS13" i="84"/>
  <c r="AN13" i="84"/>
  <c r="AM13" i="84"/>
  <c r="AL13" i="84"/>
  <c r="AG13" i="84"/>
  <c r="AF13" i="84"/>
  <c r="AE13" i="84"/>
  <c r="AA13" i="84"/>
  <c r="Z13" i="84"/>
  <c r="AU12" i="84"/>
  <c r="AT12" i="84"/>
  <c r="AS12" i="84"/>
  <c r="AN12" i="84"/>
  <c r="AM12" i="84"/>
  <c r="AL12" i="84"/>
  <c r="AG12" i="84"/>
  <c r="AF12" i="84"/>
  <c r="AE12" i="84"/>
  <c r="AA12" i="84"/>
  <c r="Z12" i="84"/>
  <c r="AU11" i="84"/>
  <c r="AT11" i="84"/>
  <c r="AS11" i="84"/>
  <c r="AN11" i="84"/>
  <c r="AM11" i="84"/>
  <c r="AL11" i="84"/>
  <c r="AG11" i="84"/>
  <c r="AF11" i="84"/>
  <c r="AE11" i="84"/>
  <c r="AA11" i="84"/>
  <c r="Z11" i="84"/>
  <c r="BR10" i="84"/>
  <c r="AU10" i="84"/>
  <c r="AT10" i="84"/>
  <c r="AS10" i="84"/>
  <c r="AN10" i="84"/>
  <c r="AM10" i="84"/>
  <c r="AL10" i="84"/>
  <c r="AG10" i="84"/>
  <c r="AF10" i="84"/>
  <c r="AE10" i="84"/>
  <c r="AA10" i="84"/>
  <c r="Z10" i="84"/>
  <c r="AU9" i="84"/>
  <c r="AT9" i="84"/>
  <c r="AS9" i="84"/>
  <c r="AN9" i="84"/>
  <c r="AM9" i="84"/>
  <c r="AL9" i="84"/>
  <c r="AG9" i="84"/>
  <c r="AF9" i="84"/>
  <c r="AE9" i="84"/>
  <c r="AA9" i="84"/>
  <c r="Z9" i="84"/>
  <c r="AU8" i="84"/>
  <c r="AT8" i="84"/>
  <c r="AS8" i="84"/>
  <c r="AN8" i="84"/>
  <c r="AM8" i="84"/>
  <c r="AL8" i="84"/>
  <c r="AG8" i="84"/>
  <c r="AF8" i="84"/>
  <c r="AE8" i="84"/>
  <c r="AA8" i="84"/>
  <c r="Z8" i="84"/>
  <c r="BR7" i="84"/>
  <c r="C3" i="84"/>
  <c r="E2" i="84"/>
  <c r="C2" i="84"/>
  <c r="E1" i="84"/>
  <c r="C1" i="84"/>
  <c r="C96" i="77"/>
  <c r="C97" i="77"/>
  <c r="C98" i="77"/>
  <c r="S98" i="77" s="1"/>
  <c r="C99" i="77"/>
  <c r="S99" i="77" s="1"/>
  <c r="C100" i="77"/>
  <c r="S100" i="77" s="1"/>
  <c r="C101" i="77"/>
  <c r="S101" i="77" s="1"/>
  <c r="C102" i="77"/>
  <c r="S102" i="77" s="1"/>
  <c r="C103" i="77"/>
  <c r="S103" i="77" s="1"/>
  <c r="C104" i="77"/>
  <c r="S104" i="77" s="1"/>
  <c r="C105" i="77"/>
  <c r="S105" i="77" s="1"/>
  <c r="C106" i="77"/>
  <c r="S106" i="77" s="1"/>
  <c r="C107" i="77"/>
  <c r="S107" i="77" s="1"/>
  <c r="C108" i="77"/>
  <c r="S108" i="77" s="1"/>
  <c r="C109" i="77"/>
  <c r="S109" i="77" s="1"/>
  <c r="C110" i="77"/>
  <c r="S110" i="77" s="1"/>
  <c r="C111" i="77"/>
  <c r="S111" i="77" s="1"/>
  <c r="C112" i="77"/>
  <c r="S112" i="77" s="1"/>
  <c r="C113" i="77"/>
  <c r="S113" i="77" s="1"/>
  <c r="C114" i="77"/>
  <c r="S114" i="77" s="1"/>
  <c r="C115" i="77"/>
  <c r="S115" i="77" s="1"/>
  <c r="C116" i="77"/>
  <c r="S116" i="77" s="1"/>
  <c r="C117" i="77"/>
  <c r="S117" i="77" s="1"/>
  <c r="C118" i="77"/>
  <c r="S118" i="77" s="1"/>
  <c r="C95" i="77"/>
  <c r="S95" i="77" s="1"/>
  <c r="B53" i="77"/>
  <c r="F91" i="77"/>
  <c r="F90" i="77"/>
  <c r="F89" i="77"/>
  <c r="F88" i="77"/>
  <c r="F87" i="77"/>
  <c r="F86" i="77"/>
  <c r="F85" i="77"/>
  <c r="F84" i="77"/>
  <c r="F83" i="77"/>
  <c r="F82" i="77"/>
  <c r="F81" i="77"/>
  <c r="F80" i="77"/>
  <c r="F79" i="77"/>
  <c r="F78" i="77"/>
  <c r="F77" i="77"/>
  <c r="F76" i="77"/>
  <c r="F75" i="77"/>
  <c r="F74" i="77"/>
  <c r="F73" i="77"/>
  <c r="F72" i="77"/>
  <c r="F71" i="77"/>
  <c r="F70" i="77"/>
  <c r="F69" i="77"/>
  <c r="Z9" i="83"/>
  <c r="AA9" i="83"/>
  <c r="Z10" i="83"/>
  <c r="AA10" i="83"/>
  <c r="Z11" i="83"/>
  <c r="AA11" i="83"/>
  <c r="Z12" i="83"/>
  <c r="AA12" i="83"/>
  <c r="Z13" i="83"/>
  <c r="AA13" i="83"/>
  <c r="Z14" i="83"/>
  <c r="AA14" i="83"/>
  <c r="Z15" i="83"/>
  <c r="AA15" i="83"/>
  <c r="Z16" i="83"/>
  <c r="AA16" i="83"/>
  <c r="Z17" i="83"/>
  <c r="AA17" i="83"/>
  <c r="Z18" i="83"/>
  <c r="AA18" i="83"/>
  <c r="Z19" i="83"/>
  <c r="AA19" i="83"/>
  <c r="Z20" i="83"/>
  <c r="AA20" i="83"/>
  <c r="Z21" i="83"/>
  <c r="AA21" i="83"/>
  <c r="Z22" i="83"/>
  <c r="AA22" i="83"/>
  <c r="Z23" i="83"/>
  <c r="AA23" i="83"/>
  <c r="Z24" i="83"/>
  <c r="AA24" i="83"/>
  <c r="Z25" i="83"/>
  <c r="AA25" i="83"/>
  <c r="Z26" i="83"/>
  <c r="AA26" i="83"/>
  <c r="Z27" i="83"/>
  <c r="AA27" i="83"/>
  <c r="Z28" i="83"/>
  <c r="AA28" i="83"/>
  <c r="Z29" i="83"/>
  <c r="AA29" i="83"/>
  <c r="Z41" i="83"/>
  <c r="AA41" i="83"/>
  <c r="Z42" i="83"/>
  <c r="AA42" i="83"/>
  <c r="AA8" i="83"/>
  <c r="Z8" i="83"/>
  <c r="BB28" i="84" l="1"/>
  <c r="BH28" i="84" s="1"/>
  <c r="BA27" i="84"/>
  <c r="BG27" i="84" s="1"/>
  <c r="AZ21" i="84"/>
  <c r="BF21" i="84" s="1"/>
  <c r="AZ42" i="84"/>
  <c r="BF42" i="84" s="1"/>
  <c r="BB20" i="84"/>
  <c r="BH20" i="84" s="1"/>
  <c r="BB22" i="84"/>
  <c r="BH22" i="84" s="1"/>
  <c r="BB9" i="84"/>
  <c r="BH9" i="84" s="1"/>
  <c r="AZ12" i="84"/>
  <c r="BF12" i="84" s="1"/>
  <c r="AZ16" i="84"/>
  <c r="BF16" i="84" s="1"/>
  <c r="AZ20" i="84"/>
  <c r="BF20" i="84" s="1"/>
  <c r="AZ11" i="84"/>
  <c r="BF11" i="84" s="1"/>
  <c r="BB17" i="84"/>
  <c r="BH17" i="84" s="1"/>
  <c r="BA17" i="84"/>
  <c r="BG17" i="84" s="1"/>
  <c r="AZ8" i="84"/>
  <c r="BF8" i="84" s="1"/>
  <c r="AZ18" i="84"/>
  <c r="BF18" i="84" s="1"/>
  <c r="BA21" i="84"/>
  <c r="BG21" i="84" s="1"/>
  <c r="BB23" i="84"/>
  <c r="BH23" i="84" s="1"/>
  <c r="BB8" i="84"/>
  <c r="BH8" i="84" s="1"/>
  <c r="BB13" i="84"/>
  <c r="BH13" i="84" s="1"/>
  <c r="AY15" i="84"/>
  <c r="BE15" i="84" s="1"/>
  <c r="AZ17" i="84"/>
  <c r="BF17" i="84" s="1"/>
  <c r="AX10" i="84"/>
  <c r="BD10" i="84" s="1"/>
  <c r="BB12" i="84"/>
  <c r="BH12" i="84" s="1"/>
  <c r="AZ14" i="84"/>
  <c r="BF14" i="84" s="1"/>
  <c r="BB16" i="84"/>
  <c r="BH16" i="84" s="1"/>
  <c r="BB18" i="84"/>
  <c r="BH18" i="84" s="1"/>
  <c r="AZ19" i="84"/>
  <c r="BF19" i="84" s="1"/>
  <c r="AZ23" i="84"/>
  <c r="BF23" i="84" s="1"/>
  <c r="AZ25" i="84"/>
  <c r="BF25" i="84" s="1"/>
  <c r="BB27" i="84"/>
  <c r="BH27" i="84" s="1"/>
  <c r="BB40" i="84"/>
  <c r="BH40" i="84" s="1"/>
  <c r="BA42" i="84"/>
  <c r="BG42" i="84" s="1"/>
  <c r="BA14" i="84"/>
  <c r="BG14" i="84" s="1"/>
  <c r="BA23" i="84"/>
  <c r="BG23" i="84" s="1"/>
  <c r="AX24" i="84"/>
  <c r="BD24" i="84" s="1"/>
  <c r="BA25" i="84"/>
  <c r="BG25" i="84" s="1"/>
  <c r="BB24" i="84"/>
  <c r="BH24" i="84" s="1"/>
  <c r="BB26" i="84"/>
  <c r="BH26" i="84" s="1"/>
  <c r="AY28" i="84"/>
  <c r="BE28" i="84" s="1"/>
  <c r="AY40" i="84"/>
  <c r="BE40" i="84" s="1"/>
  <c r="AZ9" i="84"/>
  <c r="BF9" i="84" s="1"/>
  <c r="AZ13" i="84"/>
  <c r="BF13" i="84" s="1"/>
  <c r="BB19" i="84"/>
  <c r="BH19" i="84" s="1"/>
  <c r="AZ22" i="84"/>
  <c r="BF22" i="84" s="1"/>
  <c r="BA11" i="84"/>
  <c r="BG11" i="84" s="1"/>
  <c r="BB21" i="84"/>
  <c r="BH21" i="84" s="1"/>
  <c r="AZ27" i="84"/>
  <c r="BF27" i="84" s="1"/>
  <c r="AZ40" i="84"/>
  <c r="BF40" i="84" s="1"/>
  <c r="BB42" i="84"/>
  <c r="BH42" i="84" s="1"/>
  <c r="V53" i="77"/>
  <c r="F68" i="77"/>
  <c r="F92" i="77" s="1"/>
  <c r="BA12" i="84"/>
  <c r="BG12" i="84" s="1"/>
  <c r="AX15" i="84"/>
  <c r="BD15" i="84" s="1"/>
  <c r="BA19" i="84"/>
  <c r="BG19" i="84" s="1"/>
  <c r="BA41" i="84"/>
  <c r="BG41" i="84" s="1"/>
  <c r="AY9" i="84"/>
  <c r="BE9" i="84" s="1"/>
  <c r="AY14" i="84"/>
  <c r="BE14" i="84" s="1"/>
  <c r="BA18" i="84"/>
  <c r="BG18" i="84" s="1"/>
  <c r="BB25" i="84"/>
  <c r="BH25" i="84" s="1"/>
  <c r="AX26" i="84"/>
  <c r="BD26" i="84" s="1"/>
  <c r="BA40" i="84"/>
  <c r="BG40" i="84" s="1"/>
  <c r="BB41" i="84"/>
  <c r="BH41" i="84" s="1"/>
  <c r="BB11" i="84"/>
  <c r="BH11" i="84" s="1"/>
  <c r="BB15" i="84"/>
  <c r="BH15" i="84" s="1"/>
  <c r="AY21" i="84"/>
  <c r="BE21" i="84" s="1"/>
  <c r="AY10" i="84"/>
  <c r="BE10" i="84" s="1"/>
  <c r="AY12" i="84"/>
  <c r="BE12" i="84" s="1"/>
  <c r="BB14" i="84"/>
  <c r="BH14" i="84" s="1"/>
  <c r="BA16" i="84"/>
  <c r="BG16" i="84" s="1"/>
  <c r="AY19" i="84"/>
  <c r="BE19" i="84" s="1"/>
  <c r="BA22" i="84"/>
  <c r="BG22" i="84" s="1"/>
  <c r="AZ24" i="84"/>
  <c r="BF24" i="84" s="1"/>
  <c r="AZ26" i="84"/>
  <c r="BF26" i="84" s="1"/>
  <c r="BA28" i="84"/>
  <c r="BG28" i="84" s="1"/>
  <c r="AY41" i="84"/>
  <c r="BE41" i="84" s="1"/>
  <c r="BA9" i="84"/>
  <c r="BG9" i="84" s="1"/>
  <c r="AY27" i="84"/>
  <c r="BE27" i="84" s="1"/>
  <c r="AX28" i="84"/>
  <c r="BD28" i="84" s="1"/>
  <c r="AZ41" i="84"/>
  <c r="BF41" i="84" s="1"/>
  <c r="BA8" i="84"/>
  <c r="BG8" i="84" s="1"/>
  <c r="BB10" i="84"/>
  <c r="BH10" i="84" s="1"/>
  <c r="AY11" i="84"/>
  <c r="BE11" i="84" s="1"/>
  <c r="AX13" i="84"/>
  <c r="BD13" i="84" s="1"/>
  <c r="BA15" i="84"/>
  <c r="BG15" i="84" s="1"/>
  <c r="AY17" i="84"/>
  <c r="BE17" i="84" s="1"/>
  <c r="BA20" i="84"/>
  <c r="BG20" i="84" s="1"/>
  <c r="AY23" i="84"/>
  <c r="BE23" i="84" s="1"/>
  <c r="AY25" i="84"/>
  <c r="BE25" i="84" s="1"/>
  <c r="X43" i="84"/>
  <c r="E29" i="65" s="1"/>
  <c r="AX8" i="84"/>
  <c r="BD8" i="84" s="1"/>
  <c r="AZ10" i="84"/>
  <c r="BF10" i="84" s="1"/>
  <c r="AY13" i="84"/>
  <c r="BE13" i="84" s="1"/>
  <c r="AZ15" i="84"/>
  <c r="BF15" i="84" s="1"/>
  <c r="AX16" i="84"/>
  <c r="BD16" i="84" s="1"/>
  <c r="AX18" i="84"/>
  <c r="BD18" i="84" s="1"/>
  <c r="AX20" i="84"/>
  <c r="BD20" i="84" s="1"/>
  <c r="AX22" i="84"/>
  <c r="BD22" i="84" s="1"/>
  <c r="AY24" i="84"/>
  <c r="BE24" i="84" s="1"/>
  <c r="AY26" i="84"/>
  <c r="BE26" i="84" s="1"/>
  <c r="AZ28" i="84"/>
  <c r="BF28" i="84" s="1"/>
  <c r="AX42" i="84"/>
  <c r="BD42" i="84" s="1"/>
  <c r="AY8" i="84"/>
  <c r="BE8" i="84" s="1"/>
  <c r="BA10" i="84"/>
  <c r="BG10" i="84" s="1"/>
  <c r="AX11" i="84"/>
  <c r="BD11" i="84" s="1"/>
  <c r="AX14" i="84"/>
  <c r="BD14" i="84" s="1"/>
  <c r="AY16" i="84"/>
  <c r="BE16" i="84" s="1"/>
  <c r="AY18" i="84"/>
  <c r="BE18" i="84" s="1"/>
  <c r="AY20" i="84"/>
  <c r="BE20" i="84" s="1"/>
  <c r="AY22" i="84"/>
  <c r="BE22" i="84" s="1"/>
  <c r="AX27" i="84"/>
  <c r="BD27" i="84" s="1"/>
  <c r="AX40" i="84"/>
  <c r="BD40" i="84" s="1"/>
  <c r="AY42" i="84"/>
  <c r="BE42" i="84" s="1"/>
  <c r="AX9" i="84"/>
  <c r="BD9" i="84" s="1"/>
  <c r="BA13" i="84"/>
  <c r="BG13" i="84" s="1"/>
  <c r="AX23" i="84"/>
  <c r="BD23" i="84" s="1"/>
  <c r="BA24" i="84"/>
  <c r="BG24" i="84" s="1"/>
  <c r="AX25" i="84"/>
  <c r="BD25" i="84" s="1"/>
  <c r="BA26" i="84"/>
  <c r="BG26" i="84" s="1"/>
  <c r="AX12" i="84"/>
  <c r="BD12" i="84" s="1"/>
  <c r="AX17" i="84"/>
  <c r="BD17" i="84" s="1"/>
  <c r="AX19" i="84"/>
  <c r="BD19" i="84" s="1"/>
  <c r="AX21" i="84"/>
  <c r="BD21" i="84" s="1"/>
  <c r="AX41" i="84"/>
  <c r="BD41" i="84" s="1"/>
  <c r="BH43" i="84" l="1"/>
  <c r="BH44" i="84" s="1"/>
  <c r="BB44" i="84" s="1"/>
  <c r="V43" i="84"/>
  <c r="BG43" i="84"/>
  <c r="BF43" i="84"/>
  <c r="BE43" i="84"/>
  <c r="BD43" i="84"/>
  <c r="T53" i="77"/>
  <c r="BE44" i="84" l="1"/>
  <c r="AY44" i="84" s="1"/>
  <c r="I29" i="65"/>
  <c r="BF44" i="84"/>
  <c r="AZ44" i="84" s="1"/>
  <c r="BG44" i="84"/>
  <c r="BA44" i="84" s="1"/>
  <c r="BD44" i="84"/>
  <c r="AX44" i="84" s="1"/>
  <c r="AU42" i="83"/>
  <c r="AT42" i="83"/>
  <c r="AS42" i="83"/>
  <c r="AN42" i="83"/>
  <c r="AM42" i="83"/>
  <c r="AL42" i="83"/>
  <c r="AG42" i="83"/>
  <c r="AF42" i="83"/>
  <c r="AE42" i="83"/>
  <c r="AU41" i="83"/>
  <c r="AT41" i="83"/>
  <c r="AS41" i="83"/>
  <c r="AN41" i="83"/>
  <c r="AM41" i="83"/>
  <c r="AL41" i="83"/>
  <c r="AG41" i="83"/>
  <c r="AF41" i="83"/>
  <c r="AE41" i="83"/>
  <c r="AU29" i="83"/>
  <c r="AT29" i="83"/>
  <c r="AS29" i="83"/>
  <c r="AN29" i="83"/>
  <c r="AM29" i="83"/>
  <c r="AL29" i="83"/>
  <c r="AG29" i="83"/>
  <c r="AF29" i="83"/>
  <c r="AE29" i="83"/>
  <c r="AU28" i="83"/>
  <c r="AT28" i="83"/>
  <c r="AS28" i="83"/>
  <c r="AN28" i="83"/>
  <c r="AM28" i="83"/>
  <c r="AL28" i="83"/>
  <c r="AG28" i="83"/>
  <c r="AF28" i="83"/>
  <c r="AE28" i="83"/>
  <c r="AU27" i="83"/>
  <c r="AT27" i="83"/>
  <c r="AS27" i="83"/>
  <c r="AN27" i="83"/>
  <c r="AM27" i="83"/>
  <c r="AL27" i="83"/>
  <c r="AG27" i="83"/>
  <c r="AF27" i="83"/>
  <c r="AE27" i="83"/>
  <c r="AU26" i="83"/>
  <c r="AT26" i="83"/>
  <c r="AS26" i="83"/>
  <c r="AN26" i="83"/>
  <c r="AM26" i="83"/>
  <c r="AL26" i="83"/>
  <c r="AG26" i="83"/>
  <c r="AF26" i="83"/>
  <c r="AE26" i="83"/>
  <c r="AU25" i="83"/>
  <c r="AT25" i="83"/>
  <c r="AS25" i="83"/>
  <c r="AN25" i="83"/>
  <c r="AM25" i="83"/>
  <c r="AL25" i="83"/>
  <c r="AG25" i="83"/>
  <c r="AF25" i="83"/>
  <c r="AE25" i="83"/>
  <c r="AU24" i="83"/>
  <c r="AT24" i="83"/>
  <c r="AS24" i="83"/>
  <c r="AN24" i="83"/>
  <c r="AM24" i="83"/>
  <c r="AL24" i="83"/>
  <c r="AG24" i="83"/>
  <c r="AF24" i="83"/>
  <c r="AE24" i="83"/>
  <c r="AU23" i="83"/>
  <c r="AT23" i="83"/>
  <c r="AS23" i="83"/>
  <c r="AN23" i="83"/>
  <c r="AM23" i="83"/>
  <c r="AL23" i="83"/>
  <c r="AG23" i="83"/>
  <c r="AF23" i="83"/>
  <c r="AE23" i="83"/>
  <c r="AU22" i="83"/>
  <c r="AT22" i="83"/>
  <c r="AS22" i="83"/>
  <c r="AN22" i="83"/>
  <c r="AM22" i="83"/>
  <c r="AL22" i="83"/>
  <c r="AG22" i="83"/>
  <c r="AF22" i="83"/>
  <c r="AE22" i="83"/>
  <c r="AU21" i="83"/>
  <c r="AT21" i="83"/>
  <c r="AS21" i="83"/>
  <c r="AN21" i="83"/>
  <c r="AM21" i="83"/>
  <c r="AL21" i="83"/>
  <c r="AG21" i="83"/>
  <c r="AF21" i="83"/>
  <c r="AE21" i="83"/>
  <c r="AU20" i="83"/>
  <c r="AT20" i="83"/>
  <c r="AS20" i="83"/>
  <c r="AN20" i="83"/>
  <c r="AM20" i="83"/>
  <c r="AL20" i="83"/>
  <c r="AG20" i="83"/>
  <c r="AF20" i="83"/>
  <c r="AE20" i="83"/>
  <c r="AU19" i="83"/>
  <c r="AT19" i="83"/>
  <c r="AS19" i="83"/>
  <c r="AN19" i="83"/>
  <c r="AM19" i="83"/>
  <c r="AL19" i="83"/>
  <c r="AG19" i="83"/>
  <c r="AF19" i="83"/>
  <c r="AE19" i="83"/>
  <c r="AU18" i="83"/>
  <c r="AT18" i="83"/>
  <c r="AS18" i="83"/>
  <c r="AN18" i="83"/>
  <c r="AM18" i="83"/>
  <c r="AL18" i="83"/>
  <c r="AG18" i="83"/>
  <c r="AF18" i="83"/>
  <c r="AE18" i="83"/>
  <c r="AU17" i="83"/>
  <c r="AT17" i="83"/>
  <c r="AS17" i="83"/>
  <c r="AN17" i="83"/>
  <c r="AM17" i="83"/>
  <c r="AL17" i="83"/>
  <c r="AG17" i="83"/>
  <c r="AF17" i="83"/>
  <c r="AE17" i="83"/>
  <c r="AU16" i="83"/>
  <c r="AT16" i="83"/>
  <c r="AS16" i="83"/>
  <c r="AN16" i="83"/>
  <c r="AM16" i="83"/>
  <c r="AL16" i="83"/>
  <c r="AG16" i="83"/>
  <c r="AF16" i="83"/>
  <c r="AE16" i="83"/>
  <c r="AU15" i="83"/>
  <c r="AT15" i="83"/>
  <c r="AS15" i="83"/>
  <c r="AN15" i="83"/>
  <c r="AM15" i="83"/>
  <c r="AL15" i="83"/>
  <c r="AG15" i="83"/>
  <c r="AF15" i="83"/>
  <c r="AE15" i="83"/>
  <c r="AU14" i="83"/>
  <c r="AT14" i="83"/>
  <c r="AS14" i="83"/>
  <c r="AN14" i="83"/>
  <c r="AM14" i="83"/>
  <c r="AL14" i="83"/>
  <c r="AG14" i="83"/>
  <c r="AF14" i="83"/>
  <c r="AE14" i="83"/>
  <c r="AU13" i="83"/>
  <c r="AT13" i="83"/>
  <c r="AS13" i="83"/>
  <c r="AN13" i="83"/>
  <c r="AM13" i="83"/>
  <c r="AL13" i="83"/>
  <c r="AG13" i="83"/>
  <c r="AF13" i="83"/>
  <c r="AE13" i="83"/>
  <c r="AU12" i="83"/>
  <c r="AT12" i="83"/>
  <c r="AS12" i="83"/>
  <c r="AN12" i="83"/>
  <c r="AM12" i="83"/>
  <c r="AL12" i="83"/>
  <c r="AG12" i="83"/>
  <c r="AF12" i="83"/>
  <c r="AE12" i="83"/>
  <c r="AU11" i="83"/>
  <c r="AT11" i="83"/>
  <c r="AS11" i="83"/>
  <c r="AN11" i="83"/>
  <c r="AM11" i="83"/>
  <c r="AL11" i="83"/>
  <c r="AG11" i="83"/>
  <c r="AF11" i="83"/>
  <c r="AE11" i="83"/>
  <c r="AU10" i="83"/>
  <c r="AT10" i="83"/>
  <c r="AS10" i="83"/>
  <c r="AN10" i="83"/>
  <c r="AM10" i="83"/>
  <c r="AL10" i="83"/>
  <c r="AG10" i="83"/>
  <c r="AF10" i="83"/>
  <c r="AE10" i="83"/>
  <c r="AU9" i="83"/>
  <c r="AT9" i="83"/>
  <c r="AS9" i="83"/>
  <c r="AN9" i="83"/>
  <c r="AM9" i="83"/>
  <c r="AL9" i="83"/>
  <c r="AG9" i="83"/>
  <c r="AF9" i="83"/>
  <c r="AE9" i="83"/>
  <c r="AU8" i="83"/>
  <c r="AT8" i="83"/>
  <c r="AS8" i="83"/>
  <c r="AN8" i="83"/>
  <c r="AM8" i="83"/>
  <c r="AL8" i="83"/>
  <c r="AG8" i="83"/>
  <c r="AF8" i="83"/>
  <c r="AE8" i="83"/>
  <c r="BR138" i="83"/>
  <c r="BR137" i="83"/>
  <c r="BR136" i="83"/>
  <c r="BR135" i="83"/>
  <c r="BR134" i="83"/>
  <c r="BR132" i="83"/>
  <c r="B43" i="83"/>
  <c r="C3" i="83"/>
  <c r="E2" i="83"/>
  <c r="C2" i="83"/>
  <c r="E1" i="83"/>
  <c r="C1" i="83"/>
  <c r="BB12" i="83" l="1"/>
  <c r="BH12" i="83" s="1"/>
  <c r="BB10" i="83"/>
  <c r="BH10" i="83" s="1"/>
  <c r="BB15" i="83"/>
  <c r="BH15" i="83" s="1"/>
  <c r="BB14" i="83"/>
  <c r="BH14" i="83" s="1"/>
  <c r="AZ13" i="83"/>
  <c r="BF13" i="83" s="1"/>
  <c r="AZ25" i="83"/>
  <c r="BF25" i="83" s="1"/>
  <c r="AZ27" i="83"/>
  <c r="BF27" i="83" s="1"/>
  <c r="AZ15" i="83"/>
  <c r="BF15" i="83" s="1"/>
  <c r="BA8" i="83"/>
  <c r="BG8" i="83" s="1"/>
  <c r="BB21" i="83"/>
  <c r="BH21" i="83" s="1"/>
  <c r="BB23" i="83"/>
  <c r="BH23" i="83" s="1"/>
  <c r="BB25" i="83"/>
  <c r="BH25" i="83" s="1"/>
  <c r="AZ28" i="83"/>
  <c r="BF28" i="83" s="1"/>
  <c r="AZ41" i="83"/>
  <c r="BF41" i="83" s="1"/>
  <c r="AZ42" i="83"/>
  <c r="BF42" i="83" s="1"/>
  <c r="AZ16" i="83"/>
  <c r="BF16" i="83" s="1"/>
  <c r="AZ17" i="83"/>
  <c r="BF17" i="83" s="1"/>
  <c r="AZ18" i="83"/>
  <c r="BF18" i="83" s="1"/>
  <c r="AZ19" i="83"/>
  <c r="BF19" i="83" s="1"/>
  <c r="AZ21" i="83"/>
  <c r="BF21" i="83" s="1"/>
  <c r="AZ23" i="83"/>
  <c r="BF23" i="83" s="1"/>
  <c r="AZ26" i="83"/>
  <c r="BF26" i="83" s="1"/>
  <c r="AY28" i="83"/>
  <c r="BE28" i="83" s="1"/>
  <c r="AX42" i="83"/>
  <c r="BD42" i="83" s="1"/>
  <c r="BA22" i="83"/>
  <c r="BG22" i="83" s="1"/>
  <c r="AY9" i="83"/>
  <c r="BE9" i="83" s="1"/>
  <c r="AY12" i="83"/>
  <c r="BE12" i="83" s="1"/>
  <c r="BB22" i="83"/>
  <c r="BH22" i="83" s="1"/>
  <c r="BB24" i="83"/>
  <c r="BH24" i="83" s="1"/>
  <c r="AZ29" i="83"/>
  <c r="BF29" i="83" s="1"/>
  <c r="AZ9" i="83"/>
  <c r="BF9" i="83" s="1"/>
  <c r="AZ11" i="83"/>
  <c r="BF11" i="83" s="1"/>
  <c r="AZ14" i="83"/>
  <c r="BF14" i="83" s="1"/>
  <c r="AY16" i="83"/>
  <c r="BE16" i="83" s="1"/>
  <c r="AX19" i="83"/>
  <c r="BD19" i="83" s="1"/>
  <c r="AX21" i="83"/>
  <c r="BD21" i="83" s="1"/>
  <c r="AY24" i="83"/>
  <c r="BE24" i="83" s="1"/>
  <c r="AY26" i="83"/>
  <c r="BE26" i="83" s="1"/>
  <c r="AZ8" i="83"/>
  <c r="BF8" i="83" s="1"/>
  <c r="BB9" i="83"/>
  <c r="BH9" i="83" s="1"/>
  <c r="BA11" i="83"/>
  <c r="BG11" i="83" s="1"/>
  <c r="BA12" i="83"/>
  <c r="BG12" i="83" s="1"/>
  <c r="BB16" i="83"/>
  <c r="BH16" i="83" s="1"/>
  <c r="AY18" i="83"/>
  <c r="BE18" i="83" s="1"/>
  <c r="AZ20" i="83"/>
  <c r="BF20" i="83" s="1"/>
  <c r="AX23" i="83"/>
  <c r="BD23" i="83" s="1"/>
  <c r="BA24" i="83"/>
  <c r="BG24" i="83" s="1"/>
  <c r="BB27" i="83"/>
  <c r="BH27" i="83" s="1"/>
  <c r="BB28" i="83"/>
  <c r="BH28" i="83" s="1"/>
  <c r="AY41" i="83"/>
  <c r="BE41" i="83" s="1"/>
  <c r="BA10" i="83"/>
  <c r="BG10" i="83" s="1"/>
  <c r="BB26" i="83"/>
  <c r="BH26" i="83" s="1"/>
  <c r="AX14" i="83"/>
  <c r="BD14" i="83" s="1"/>
  <c r="BA20" i="83"/>
  <c r="BG20" i="83" s="1"/>
  <c r="AX17" i="83"/>
  <c r="BD17" i="83" s="1"/>
  <c r="BA18" i="83"/>
  <c r="BG18" i="83" s="1"/>
  <c r="AX29" i="83"/>
  <c r="BD29" i="83" s="1"/>
  <c r="BA41" i="83"/>
  <c r="BG41" i="83" s="1"/>
  <c r="BB8" i="83"/>
  <c r="BH8" i="83" s="1"/>
  <c r="AY10" i="83"/>
  <c r="BE10" i="83" s="1"/>
  <c r="AZ12" i="83"/>
  <c r="BF12" i="83" s="1"/>
  <c r="BB13" i="83"/>
  <c r="BH13" i="83" s="1"/>
  <c r="AX15" i="83"/>
  <c r="BD15" i="83" s="1"/>
  <c r="BA16" i="83"/>
  <c r="BG16" i="83" s="1"/>
  <c r="BB19" i="83"/>
  <c r="BH19" i="83" s="1"/>
  <c r="BB20" i="83"/>
  <c r="BH20" i="83" s="1"/>
  <c r="AY22" i="83"/>
  <c r="BE22" i="83" s="1"/>
  <c r="AZ24" i="83"/>
  <c r="BF24" i="83" s="1"/>
  <c r="AX27" i="83"/>
  <c r="BD27" i="83" s="1"/>
  <c r="BA28" i="83"/>
  <c r="BG28" i="83" s="1"/>
  <c r="BB42" i="83"/>
  <c r="BH42" i="83" s="1"/>
  <c r="AX8" i="83"/>
  <c r="BD8" i="83" s="1"/>
  <c r="AZ10" i="83"/>
  <c r="BF10" i="83" s="1"/>
  <c r="BB11" i="83"/>
  <c r="BH11" i="83" s="1"/>
  <c r="AX13" i="83"/>
  <c r="BD13" i="83" s="1"/>
  <c r="BA14" i="83"/>
  <c r="BG14" i="83" s="1"/>
  <c r="BB17" i="83"/>
  <c r="BH17" i="83" s="1"/>
  <c r="BB18" i="83"/>
  <c r="BH18" i="83" s="1"/>
  <c r="AY20" i="83"/>
  <c r="BE20" i="83" s="1"/>
  <c r="AZ22" i="83"/>
  <c r="BF22" i="83" s="1"/>
  <c r="AX25" i="83"/>
  <c r="BD25" i="83" s="1"/>
  <c r="BA26" i="83"/>
  <c r="BG26" i="83" s="1"/>
  <c r="BB29" i="83"/>
  <c r="BH29" i="83" s="1"/>
  <c r="BB41" i="83"/>
  <c r="BH41" i="83" s="1"/>
  <c r="BA9" i="83"/>
  <c r="BG9" i="83" s="1"/>
  <c r="AX10" i="83"/>
  <c r="BD10" i="83" s="1"/>
  <c r="AX9" i="83"/>
  <c r="BD9" i="83" s="1"/>
  <c r="AX11" i="83"/>
  <c r="BD11" i="83" s="1"/>
  <c r="AY11" i="83"/>
  <c r="BE11" i="83" s="1"/>
  <c r="AY13" i="83"/>
  <c r="BE13" i="83" s="1"/>
  <c r="AY15" i="83"/>
  <c r="BE15" i="83" s="1"/>
  <c r="AY17" i="83"/>
  <c r="BE17" i="83" s="1"/>
  <c r="AY19" i="83"/>
  <c r="BE19" i="83" s="1"/>
  <c r="AY21" i="83"/>
  <c r="BE21" i="83" s="1"/>
  <c r="AY23" i="83"/>
  <c r="BE23" i="83" s="1"/>
  <c r="AY25" i="83"/>
  <c r="BE25" i="83" s="1"/>
  <c r="AY27" i="83"/>
  <c r="BE27" i="83" s="1"/>
  <c r="AY29" i="83"/>
  <c r="BE29" i="83" s="1"/>
  <c r="AY42" i="83"/>
  <c r="BE42" i="83" s="1"/>
  <c r="AX12" i="83"/>
  <c r="BD12" i="83" s="1"/>
  <c r="BA13" i="83"/>
  <c r="BG13" i="83" s="1"/>
  <c r="BA15" i="83"/>
  <c r="BG15" i="83" s="1"/>
  <c r="AX16" i="83"/>
  <c r="BD16" i="83" s="1"/>
  <c r="BA17" i="83"/>
  <c r="BG17" i="83" s="1"/>
  <c r="AX18" i="83"/>
  <c r="BD18" i="83" s="1"/>
  <c r="BA19" i="83"/>
  <c r="BG19" i="83" s="1"/>
  <c r="AX20" i="83"/>
  <c r="BD20" i="83" s="1"/>
  <c r="BA21" i="83"/>
  <c r="BG21" i="83" s="1"/>
  <c r="AX22" i="83"/>
  <c r="BD22" i="83" s="1"/>
  <c r="BA23" i="83"/>
  <c r="BG23" i="83" s="1"/>
  <c r="AX24" i="83"/>
  <c r="BD24" i="83" s="1"/>
  <c r="BA25" i="83"/>
  <c r="BG25" i="83" s="1"/>
  <c r="AX26" i="83"/>
  <c r="BD26" i="83" s="1"/>
  <c r="BA27" i="83"/>
  <c r="BG27" i="83" s="1"/>
  <c r="AX28" i="83"/>
  <c r="BD28" i="83" s="1"/>
  <c r="BA29" i="83"/>
  <c r="BG29" i="83" s="1"/>
  <c r="AX41" i="83"/>
  <c r="BD41" i="83" s="1"/>
  <c r="BA42" i="83"/>
  <c r="BG42" i="83" s="1"/>
  <c r="AY8" i="83"/>
  <c r="BE8" i="83" s="1"/>
  <c r="AY14" i="83"/>
  <c r="BE14" i="83" s="1"/>
  <c r="X43" i="83"/>
  <c r="BH43" i="83" l="1"/>
  <c r="V43" i="83"/>
  <c r="BF43" i="83"/>
  <c r="BD43" i="83"/>
  <c r="BG43" i="83"/>
  <c r="BE43" i="83"/>
  <c r="E37" i="60"/>
  <c r="E38" i="60" s="1"/>
  <c r="G37" i="60"/>
  <c r="G38" i="60" s="1"/>
  <c r="I37" i="60"/>
  <c r="I38" i="60" s="1"/>
  <c r="K37" i="60"/>
  <c r="K38" i="60" s="1"/>
  <c r="M37" i="60"/>
  <c r="M38" i="60" s="1"/>
  <c r="C37" i="60"/>
  <c r="C38" i="60" s="1"/>
  <c r="E36" i="60"/>
  <c r="G36" i="60"/>
  <c r="I36" i="60"/>
  <c r="K36" i="60"/>
  <c r="M36" i="60"/>
  <c r="C36" i="60"/>
  <c r="BD44" i="83" l="1"/>
  <c r="AX44" i="83" s="1"/>
  <c r="BE44" i="83"/>
  <c r="AY44" i="83" s="1"/>
  <c r="BG44" i="83"/>
  <c r="BA44" i="83" s="1"/>
  <c r="BF44" i="83"/>
  <c r="AZ44" i="83" s="1"/>
  <c r="BH44" i="83"/>
  <c r="BB44" i="83" s="1"/>
  <c r="E35" i="62"/>
  <c r="G35" i="62"/>
  <c r="I35" i="62"/>
  <c r="K35" i="62"/>
  <c r="C35" i="62"/>
  <c r="E35" i="61"/>
  <c r="G35" i="61"/>
  <c r="I35" i="61"/>
  <c r="K35" i="61"/>
  <c r="C35" i="61"/>
  <c r="E34" i="60"/>
  <c r="G34" i="60"/>
  <c r="I34" i="60"/>
  <c r="K34" i="60"/>
  <c r="M34" i="60"/>
  <c r="C34" i="60"/>
  <c r="Q42" i="74"/>
  <c r="Q41" i="74"/>
  <c r="Q29" i="74"/>
  <c r="Q28" i="74"/>
  <c r="Q27" i="74"/>
  <c r="Q26" i="74"/>
  <c r="Q25" i="74"/>
  <c r="Q24" i="74"/>
  <c r="Q23" i="74"/>
  <c r="Q22" i="74"/>
  <c r="Q21" i="74"/>
  <c r="Q20" i="74"/>
  <c r="Q19" i="74"/>
  <c r="Q18" i="74"/>
  <c r="Q17" i="74"/>
  <c r="Q16" i="74"/>
  <c r="Q15" i="74"/>
  <c r="Q14" i="74"/>
  <c r="Q13" i="74"/>
  <c r="Q12" i="74"/>
  <c r="Q11" i="74"/>
  <c r="Q10" i="74"/>
  <c r="Q9" i="74"/>
  <c r="Q8" i="74"/>
  <c r="Q9" i="67"/>
  <c r="Q10" i="67"/>
  <c r="Q11" i="67"/>
  <c r="Q12" i="67"/>
  <c r="Q13" i="67"/>
  <c r="Q14" i="67"/>
  <c r="Q15" i="67"/>
  <c r="Q16" i="67"/>
  <c r="Q17" i="67"/>
  <c r="Q18" i="67"/>
  <c r="Q19" i="67"/>
  <c r="Q20" i="67"/>
  <c r="Q21" i="67"/>
  <c r="Q22" i="67"/>
  <c r="Q23" i="67"/>
  <c r="Q24" i="67"/>
  <c r="Q25" i="67"/>
  <c r="Q26" i="67"/>
  <c r="Q27" i="67"/>
  <c r="Q39" i="67"/>
  <c r="Q40" i="67"/>
  <c r="Q41" i="67"/>
  <c r="Q42" i="67"/>
  <c r="Q8" i="67"/>
  <c r="AN56" i="73"/>
  <c r="AM56" i="73"/>
  <c r="AL56" i="73"/>
  <c r="AN55" i="73"/>
  <c r="AM55" i="73"/>
  <c r="AL55" i="73"/>
  <c r="AN30" i="73"/>
  <c r="AM30" i="73"/>
  <c r="AL30" i="73"/>
  <c r="AN29" i="73"/>
  <c r="AM29" i="73"/>
  <c r="AL29" i="73"/>
  <c r="AN28" i="73"/>
  <c r="AM28" i="73"/>
  <c r="AL28" i="73"/>
  <c r="AN27" i="73"/>
  <c r="AM27" i="73"/>
  <c r="AL27" i="73"/>
  <c r="AN26" i="73"/>
  <c r="AM26" i="73"/>
  <c r="AL26" i="73"/>
  <c r="AN25" i="73"/>
  <c r="AM25" i="73"/>
  <c r="AL25" i="73"/>
  <c r="AN24" i="73"/>
  <c r="AM24" i="73"/>
  <c r="AL24" i="73"/>
  <c r="AN23" i="73"/>
  <c r="AM23" i="73"/>
  <c r="AL23" i="73"/>
  <c r="AN22" i="73"/>
  <c r="AM22" i="73"/>
  <c r="AL22" i="73"/>
  <c r="AN21" i="73"/>
  <c r="AM21" i="73"/>
  <c r="AL21" i="73"/>
  <c r="AN20" i="73"/>
  <c r="AM20" i="73"/>
  <c r="AL20" i="73"/>
  <c r="AN19" i="73"/>
  <c r="AM19" i="73"/>
  <c r="AL19" i="73"/>
  <c r="AN18" i="73"/>
  <c r="AM18" i="73"/>
  <c r="AL18" i="73"/>
  <c r="AN17" i="73"/>
  <c r="AM17" i="73"/>
  <c r="AL17" i="73"/>
  <c r="AN16" i="73"/>
  <c r="AM16" i="73"/>
  <c r="AL16" i="73"/>
  <c r="AN15" i="73"/>
  <c r="AM15" i="73"/>
  <c r="AL15" i="73"/>
  <c r="AN14" i="73"/>
  <c r="AM14" i="73"/>
  <c r="AL14" i="73"/>
  <c r="AN13" i="73"/>
  <c r="AM13" i="73"/>
  <c r="AL13" i="73"/>
  <c r="AN12" i="73"/>
  <c r="AM12" i="73"/>
  <c r="AL12" i="73"/>
  <c r="AN11" i="73"/>
  <c r="AM11" i="73"/>
  <c r="AL11" i="73"/>
  <c r="AN10" i="73"/>
  <c r="AM10" i="73"/>
  <c r="AL10" i="73"/>
  <c r="AG56" i="73"/>
  <c r="AF56" i="73"/>
  <c r="AE56" i="73"/>
  <c r="AG55" i="73"/>
  <c r="AF55" i="73"/>
  <c r="AE55" i="73"/>
  <c r="AG30" i="73"/>
  <c r="AF30" i="73"/>
  <c r="AE30" i="73"/>
  <c r="AG29" i="73"/>
  <c r="AF29" i="73"/>
  <c r="AE29" i="73"/>
  <c r="AG28" i="73"/>
  <c r="AF28" i="73"/>
  <c r="AE28" i="73"/>
  <c r="AG27" i="73"/>
  <c r="AF27" i="73"/>
  <c r="AE27" i="73"/>
  <c r="AG26" i="73"/>
  <c r="AF26" i="73"/>
  <c r="AE26" i="73"/>
  <c r="AG25" i="73"/>
  <c r="AF25" i="73"/>
  <c r="AE25" i="73"/>
  <c r="AG24" i="73"/>
  <c r="AF24" i="73"/>
  <c r="AE24" i="73"/>
  <c r="AG23" i="73"/>
  <c r="AF23" i="73"/>
  <c r="AE23" i="73"/>
  <c r="AG22" i="73"/>
  <c r="AF22" i="73"/>
  <c r="AE22" i="73"/>
  <c r="AG21" i="73"/>
  <c r="AF21" i="73"/>
  <c r="AE21" i="73"/>
  <c r="AG20" i="73"/>
  <c r="AF20" i="73"/>
  <c r="AE20" i="73"/>
  <c r="AG19" i="73"/>
  <c r="AF19" i="73"/>
  <c r="AE19" i="73"/>
  <c r="AG18" i="73"/>
  <c r="AF18" i="73"/>
  <c r="AE18" i="73"/>
  <c r="AG17" i="73"/>
  <c r="AF17" i="73"/>
  <c r="AE17" i="73"/>
  <c r="AG16" i="73"/>
  <c r="AF16" i="73"/>
  <c r="AE16" i="73"/>
  <c r="AG15" i="73"/>
  <c r="AF15" i="73"/>
  <c r="AE15" i="73"/>
  <c r="AG14" i="73"/>
  <c r="AF14" i="73"/>
  <c r="AE14" i="73"/>
  <c r="AG13" i="73"/>
  <c r="AF13" i="73"/>
  <c r="AE13" i="73"/>
  <c r="AG12" i="73"/>
  <c r="AF12" i="73"/>
  <c r="AE12" i="73"/>
  <c r="AG11" i="73"/>
  <c r="AF11" i="73"/>
  <c r="AE11" i="73"/>
  <c r="AG10" i="73"/>
  <c r="AF10" i="73"/>
  <c r="AE10" i="73"/>
  <c r="Z56" i="73"/>
  <c r="Y56" i="73"/>
  <c r="X56" i="73"/>
  <c r="Z55" i="73"/>
  <c r="Y55" i="73"/>
  <c r="X55" i="73"/>
  <c r="Z30" i="73"/>
  <c r="Y30" i="73"/>
  <c r="X30" i="73"/>
  <c r="Z29" i="73"/>
  <c r="Y29" i="73"/>
  <c r="X29" i="73"/>
  <c r="Z28" i="73"/>
  <c r="Y28" i="73"/>
  <c r="X28" i="73"/>
  <c r="Z27" i="73"/>
  <c r="Y27" i="73"/>
  <c r="X27" i="73"/>
  <c r="Z26" i="73"/>
  <c r="Y26" i="73"/>
  <c r="X26" i="73"/>
  <c r="Z25" i="73"/>
  <c r="Y25" i="73"/>
  <c r="X25" i="73"/>
  <c r="Z24" i="73"/>
  <c r="Y24" i="73"/>
  <c r="X24" i="73"/>
  <c r="Z23" i="73"/>
  <c r="Y23" i="73"/>
  <c r="X23" i="73"/>
  <c r="Z22" i="73"/>
  <c r="Y22" i="73"/>
  <c r="X22" i="73"/>
  <c r="Z21" i="73"/>
  <c r="Y21" i="73"/>
  <c r="X21" i="73"/>
  <c r="Z20" i="73"/>
  <c r="Y20" i="73"/>
  <c r="X20" i="73"/>
  <c r="Z19" i="73"/>
  <c r="Y19" i="73"/>
  <c r="X19" i="73"/>
  <c r="Z18" i="73"/>
  <c r="Y18" i="73"/>
  <c r="X18" i="73"/>
  <c r="Z17" i="73"/>
  <c r="Y17" i="73"/>
  <c r="X17" i="73"/>
  <c r="Z16" i="73"/>
  <c r="Y16" i="73"/>
  <c r="X16" i="73"/>
  <c r="Z15" i="73"/>
  <c r="Y15" i="73"/>
  <c r="X15" i="73"/>
  <c r="Z14" i="73"/>
  <c r="Y14" i="73"/>
  <c r="X14" i="73"/>
  <c r="Z13" i="73"/>
  <c r="Y13" i="73"/>
  <c r="X13" i="73"/>
  <c r="Z12" i="73"/>
  <c r="Y12" i="73"/>
  <c r="X12" i="73"/>
  <c r="Z11" i="73"/>
  <c r="Y11" i="73"/>
  <c r="X11" i="73"/>
  <c r="Z10" i="73"/>
  <c r="Y10" i="73"/>
  <c r="X10" i="73"/>
  <c r="AN56" i="71"/>
  <c r="AM56" i="71"/>
  <c r="AL56" i="71"/>
  <c r="AN55" i="71"/>
  <c r="AM55" i="71"/>
  <c r="AL55" i="71"/>
  <c r="AN29" i="71"/>
  <c r="AM29" i="71"/>
  <c r="AL29" i="71"/>
  <c r="AN28" i="71"/>
  <c r="AM28" i="71"/>
  <c r="AL28" i="71"/>
  <c r="AN27" i="71"/>
  <c r="AM27" i="71"/>
  <c r="AL27" i="71"/>
  <c r="AN26" i="71"/>
  <c r="AM26" i="71"/>
  <c r="AL26" i="71"/>
  <c r="AN25" i="71"/>
  <c r="AM25" i="71"/>
  <c r="AL25" i="71"/>
  <c r="AN24" i="71"/>
  <c r="AM24" i="71"/>
  <c r="AL24" i="71"/>
  <c r="AN23" i="71"/>
  <c r="AM23" i="71"/>
  <c r="AL23" i="71"/>
  <c r="AN22" i="71"/>
  <c r="AM22" i="71"/>
  <c r="AL22" i="71"/>
  <c r="AN21" i="71"/>
  <c r="AM21" i="71"/>
  <c r="AL21" i="71"/>
  <c r="AN20" i="71"/>
  <c r="AM20" i="71"/>
  <c r="AL20" i="71"/>
  <c r="AN19" i="71"/>
  <c r="AM19" i="71"/>
  <c r="AL19" i="71"/>
  <c r="AN18" i="71"/>
  <c r="AM18" i="71"/>
  <c r="AL18" i="71"/>
  <c r="AN17" i="71"/>
  <c r="AM17" i="71"/>
  <c r="AL17" i="71"/>
  <c r="AN16" i="71"/>
  <c r="AM16" i="71"/>
  <c r="AL16" i="71"/>
  <c r="AN15" i="71"/>
  <c r="AM15" i="71"/>
  <c r="AL15" i="71"/>
  <c r="AN14" i="71"/>
  <c r="AM14" i="71"/>
  <c r="AL14" i="71"/>
  <c r="AN13" i="71"/>
  <c r="AM13" i="71"/>
  <c r="AL13" i="71"/>
  <c r="AN12" i="71"/>
  <c r="AM12" i="71"/>
  <c r="AL12" i="71"/>
  <c r="AN11" i="71"/>
  <c r="AM11" i="71"/>
  <c r="AL11" i="71"/>
  <c r="AN10" i="71"/>
  <c r="AM10" i="71"/>
  <c r="AL10" i="71"/>
  <c r="AG56" i="71"/>
  <c r="AF56" i="71"/>
  <c r="AE56" i="71"/>
  <c r="AG55" i="71"/>
  <c r="AF55" i="71"/>
  <c r="AE55" i="71"/>
  <c r="AG29" i="71"/>
  <c r="AF29" i="71"/>
  <c r="AE29" i="71"/>
  <c r="AG28" i="71"/>
  <c r="AF28" i="71"/>
  <c r="AE28" i="71"/>
  <c r="AG27" i="71"/>
  <c r="AF27" i="71"/>
  <c r="AE27" i="71"/>
  <c r="AG26" i="71"/>
  <c r="AF26" i="71"/>
  <c r="AE26" i="71"/>
  <c r="AG25" i="71"/>
  <c r="AF25" i="71"/>
  <c r="AE25" i="71"/>
  <c r="AG24" i="71"/>
  <c r="AF24" i="71"/>
  <c r="AE24" i="71"/>
  <c r="AG23" i="71"/>
  <c r="AF23" i="71"/>
  <c r="AE23" i="71"/>
  <c r="AG22" i="71"/>
  <c r="AF22" i="71"/>
  <c r="AE22" i="71"/>
  <c r="AG21" i="71"/>
  <c r="AF21" i="71"/>
  <c r="AE21" i="71"/>
  <c r="AG20" i="71"/>
  <c r="AF20" i="71"/>
  <c r="AE20" i="71"/>
  <c r="AG19" i="71"/>
  <c r="AF19" i="71"/>
  <c r="AE19" i="71"/>
  <c r="AG18" i="71"/>
  <c r="AF18" i="71"/>
  <c r="AE18" i="71"/>
  <c r="AG17" i="71"/>
  <c r="AF17" i="71"/>
  <c r="AE17" i="71"/>
  <c r="AG16" i="71"/>
  <c r="AF16" i="71"/>
  <c r="AE16" i="71"/>
  <c r="AG15" i="71"/>
  <c r="AF15" i="71"/>
  <c r="AE15" i="71"/>
  <c r="AG14" i="71"/>
  <c r="AF14" i="71"/>
  <c r="AE14" i="71"/>
  <c r="AG13" i="71"/>
  <c r="AF13" i="71"/>
  <c r="AE13" i="71"/>
  <c r="AG12" i="71"/>
  <c r="AF12" i="71"/>
  <c r="AE12" i="71"/>
  <c r="AG11" i="71"/>
  <c r="AF11" i="71"/>
  <c r="AE11" i="71"/>
  <c r="AG10" i="71"/>
  <c r="AF10" i="71"/>
  <c r="AE10" i="71"/>
  <c r="Z56" i="71"/>
  <c r="Y56" i="71"/>
  <c r="X56" i="71"/>
  <c r="Z55" i="71"/>
  <c r="Y55" i="71"/>
  <c r="X55" i="71"/>
  <c r="Z29" i="71"/>
  <c r="Y29" i="71"/>
  <c r="X29" i="71"/>
  <c r="Z28" i="71"/>
  <c r="Y28" i="71"/>
  <c r="X28" i="71"/>
  <c r="Z27" i="71"/>
  <c r="Y27" i="71"/>
  <c r="X27" i="71"/>
  <c r="Z26" i="71"/>
  <c r="Y26" i="71"/>
  <c r="X26" i="71"/>
  <c r="Z25" i="71"/>
  <c r="Y25" i="71"/>
  <c r="X25" i="71"/>
  <c r="Z24" i="71"/>
  <c r="Y24" i="71"/>
  <c r="X24" i="71"/>
  <c r="Z23" i="71"/>
  <c r="Y23" i="71"/>
  <c r="X23" i="71"/>
  <c r="Z22" i="71"/>
  <c r="Y22" i="71"/>
  <c r="X22" i="71"/>
  <c r="Z21" i="71"/>
  <c r="Y21" i="71"/>
  <c r="X21" i="71"/>
  <c r="Z20" i="71"/>
  <c r="Y20" i="71"/>
  <c r="X20" i="71"/>
  <c r="Z19" i="71"/>
  <c r="Y19" i="71"/>
  <c r="X19" i="71"/>
  <c r="Z18" i="71"/>
  <c r="Y18" i="71"/>
  <c r="X18" i="71"/>
  <c r="Z17" i="71"/>
  <c r="Y17" i="71"/>
  <c r="X17" i="71"/>
  <c r="Z16" i="71"/>
  <c r="Y16" i="71"/>
  <c r="X16" i="71"/>
  <c r="Z15" i="71"/>
  <c r="Y15" i="71"/>
  <c r="X15" i="71"/>
  <c r="Z14" i="71"/>
  <c r="Y14" i="71"/>
  <c r="X14" i="71"/>
  <c r="Z13" i="71"/>
  <c r="Y13" i="71"/>
  <c r="X13" i="71"/>
  <c r="Z12" i="71"/>
  <c r="Y12" i="71"/>
  <c r="X12" i="71"/>
  <c r="Z11" i="71"/>
  <c r="Y11" i="71"/>
  <c r="X11" i="71"/>
  <c r="Z10" i="71"/>
  <c r="Y10" i="71"/>
  <c r="X10" i="71"/>
  <c r="BA42" i="75"/>
  <c r="AZ42" i="75"/>
  <c r="AY42" i="75"/>
  <c r="BA41" i="75"/>
  <c r="AZ41" i="75"/>
  <c r="AY41" i="75"/>
  <c r="BA29" i="75"/>
  <c r="AZ29" i="75"/>
  <c r="AY29" i="75"/>
  <c r="BA28" i="75"/>
  <c r="AZ28" i="75"/>
  <c r="AY28" i="75"/>
  <c r="BA27" i="75"/>
  <c r="AZ27" i="75"/>
  <c r="AY27" i="75"/>
  <c r="BA26" i="75"/>
  <c r="AZ26" i="75"/>
  <c r="AY26" i="75"/>
  <c r="BA25" i="75"/>
  <c r="AZ25" i="75"/>
  <c r="AY25" i="75"/>
  <c r="BA24" i="75"/>
  <c r="AZ24" i="75"/>
  <c r="AY24" i="75"/>
  <c r="BA23" i="75"/>
  <c r="AZ23" i="75"/>
  <c r="AY23" i="75"/>
  <c r="BA22" i="75"/>
  <c r="AZ22" i="75"/>
  <c r="AY22" i="75"/>
  <c r="BA21" i="75"/>
  <c r="AZ21" i="75"/>
  <c r="AY21" i="75"/>
  <c r="BA20" i="75"/>
  <c r="AZ20" i="75"/>
  <c r="AY20" i="75"/>
  <c r="BA19" i="75"/>
  <c r="AZ19" i="75"/>
  <c r="AY19" i="75"/>
  <c r="BA18" i="75"/>
  <c r="AZ18" i="75"/>
  <c r="AY18" i="75"/>
  <c r="BA17" i="75"/>
  <c r="AZ17" i="75"/>
  <c r="AY17" i="75"/>
  <c r="BA16" i="75"/>
  <c r="AZ16" i="75"/>
  <c r="AY16" i="75"/>
  <c r="BA15" i="75"/>
  <c r="AZ15" i="75"/>
  <c r="AY15" i="75"/>
  <c r="BA14" i="75"/>
  <c r="AZ14" i="75"/>
  <c r="AY14" i="75"/>
  <c r="BA13" i="75"/>
  <c r="AZ13" i="75"/>
  <c r="AY13" i="75"/>
  <c r="BA12" i="75"/>
  <c r="AZ12" i="75"/>
  <c r="AY12" i="75"/>
  <c r="BA11" i="75"/>
  <c r="AZ11" i="75"/>
  <c r="AY11" i="75"/>
  <c r="BA10" i="75"/>
  <c r="AZ10" i="75"/>
  <c r="AY10" i="75"/>
  <c r="BA9" i="75"/>
  <c r="AZ9" i="75"/>
  <c r="AY9" i="75"/>
  <c r="BA8" i="75"/>
  <c r="AZ8" i="75"/>
  <c r="AY8" i="75"/>
  <c r="AT42" i="75"/>
  <c r="AS42" i="75"/>
  <c r="AR42" i="75"/>
  <c r="AT41" i="75"/>
  <c r="AS41" i="75"/>
  <c r="AR41" i="75"/>
  <c r="AT29" i="75"/>
  <c r="AS29" i="75"/>
  <c r="AR29" i="75"/>
  <c r="AT28" i="75"/>
  <c r="AS28" i="75"/>
  <c r="AR28" i="75"/>
  <c r="AT27" i="75"/>
  <c r="AS27" i="75"/>
  <c r="AR27" i="75"/>
  <c r="AT26" i="75"/>
  <c r="AS26" i="75"/>
  <c r="AR26" i="75"/>
  <c r="AT25" i="75"/>
  <c r="AS25" i="75"/>
  <c r="AR25" i="75"/>
  <c r="AT24" i="75"/>
  <c r="AS24" i="75"/>
  <c r="AR24" i="75"/>
  <c r="AT23" i="75"/>
  <c r="AS23" i="75"/>
  <c r="AR23" i="75"/>
  <c r="AT22" i="75"/>
  <c r="AS22" i="75"/>
  <c r="AR22" i="75"/>
  <c r="AT21" i="75"/>
  <c r="AS21" i="75"/>
  <c r="AR21" i="75"/>
  <c r="AT20" i="75"/>
  <c r="AS20" i="75"/>
  <c r="AR20" i="75"/>
  <c r="AT19" i="75"/>
  <c r="AS19" i="75"/>
  <c r="AR19" i="75"/>
  <c r="AT18" i="75"/>
  <c r="AS18" i="75"/>
  <c r="AR18" i="75"/>
  <c r="AT17" i="75"/>
  <c r="AS17" i="75"/>
  <c r="AR17" i="75"/>
  <c r="AT16" i="75"/>
  <c r="AS16" i="75"/>
  <c r="AR16" i="75"/>
  <c r="AT15" i="75"/>
  <c r="AS15" i="75"/>
  <c r="AR15" i="75"/>
  <c r="AT14" i="75"/>
  <c r="AS14" i="75"/>
  <c r="AR14" i="75"/>
  <c r="AT13" i="75"/>
  <c r="AS13" i="75"/>
  <c r="AR13" i="75"/>
  <c r="AT12" i="75"/>
  <c r="AS12" i="75"/>
  <c r="AR12" i="75"/>
  <c r="AT11" i="75"/>
  <c r="AS11" i="75"/>
  <c r="AR11" i="75"/>
  <c r="AT10" i="75"/>
  <c r="AS10" i="75"/>
  <c r="AR10" i="75"/>
  <c r="AT9" i="75"/>
  <c r="AS9" i="75"/>
  <c r="AR9" i="75"/>
  <c r="AT8" i="75"/>
  <c r="AS8" i="75"/>
  <c r="AR8" i="75"/>
  <c r="AM42" i="75"/>
  <c r="AL42" i="75"/>
  <c r="AK42" i="75"/>
  <c r="AM41" i="75"/>
  <c r="AL41" i="75"/>
  <c r="AK41" i="75"/>
  <c r="AM29" i="75"/>
  <c r="AL29" i="75"/>
  <c r="AK29" i="75"/>
  <c r="AM28" i="75"/>
  <c r="AL28" i="75"/>
  <c r="AK28" i="75"/>
  <c r="AM27" i="75"/>
  <c r="AL27" i="75"/>
  <c r="AK27" i="75"/>
  <c r="AM26" i="75"/>
  <c r="AL26" i="75"/>
  <c r="AK26" i="75"/>
  <c r="AM25" i="75"/>
  <c r="AL25" i="75"/>
  <c r="AK25" i="75"/>
  <c r="AM24" i="75"/>
  <c r="AL24" i="75"/>
  <c r="AK24" i="75"/>
  <c r="AM23" i="75"/>
  <c r="AL23" i="75"/>
  <c r="AK23" i="75"/>
  <c r="AM22" i="75"/>
  <c r="AL22" i="75"/>
  <c r="AK22" i="75"/>
  <c r="AM21" i="75"/>
  <c r="AL21" i="75"/>
  <c r="AK21" i="75"/>
  <c r="AM20" i="75"/>
  <c r="AL20" i="75"/>
  <c r="AK20" i="75"/>
  <c r="AM19" i="75"/>
  <c r="AL19" i="75"/>
  <c r="AK19" i="75"/>
  <c r="AM18" i="75"/>
  <c r="AL18" i="75"/>
  <c r="AK18" i="75"/>
  <c r="AM17" i="75"/>
  <c r="AL17" i="75"/>
  <c r="AK17" i="75"/>
  <c r="AM16" i="75"/>
  <c r="AL16" i="75"/>
  <c r="AK16" i="75"/>
  <c r="AM15" i="75"/>
  <c r="AL15" i="75"/>
  <c r="AK15" i="75"/>
  <c r="AM14" i="75"/>
  <c r="AL14" i="75"/>
  <c r="AK14" i="75"/>
  <c r="AM13" i="75"/>
  <c r="AL13" i="75"/>
  <c r="AK13" i="75"/>
  <c r="AM12" i="75"/>
  <c r="AL12" i="75"/>
  <c r="AK12" i="75"/>
  <c r="AM11" i="75"/>
  <c r="AL11" i="75"/>
  <c r="AK11" i="75"/>
  <c r="AM10" i="75"/>
  <c r="AL10" i="75"/>
  <c r="AK10" i="75"/>
  <c r="AM9" i="75"/>
  <c r="AL9" i="75"/>
  <c r="AK9" i="75"/>
  <c r="AM8" i="75"/>
  <c r="AL8" i="75"/>
  <c r="AK8" i="75"/>
  <c r="AF42" i="75"/>
  <c r="AE42" i="75"/>
  <c r="AD42" i="75"/>
  <c r="AF41" i="75"/>
  <c r="AE41" i="75"/>
  <c r="AD41" i="75"/>
  <c r="AF29" i="75"/>
  <c r="AE29" i="75"/>
  <c r="AD29" i="75"/>
  <c r="AF28" i="75"/>
  <c r="AE28" i="75"/>
  <c r="AD28" i="75"/>
  <c r="AF27" i="75"/>
  <c r="AE27" i="75"/>
  <c r="AD27" i="75"/>
  <c r="AF26" i="75"/>
  <c r="AE26" i="75"/>
  <c r="AD26" i="75"/>
  <c r="AF25" i="75"/>
  <c r="AE25" i="75"/>
  <c r="AD25" i="75"/>
  <c r="AF24" i="75"/>
  <c r="AE24" i="75"/>
  <c r="AD24" i="75"/>
  <c r="AF23" i="75"/>
  <c r="AE23" i="75"/>
  <c r="AD23" i="75"/>
  <c r="AF22" i="75"/>
  <c r="AE22" i="75"/>
  <c r="AD22" i="75"/>
  <c r="AF21" i="75"/>
  <c r="AE21" i="75"/>
  <c r="AD21" i="75"/>
  <c r="AF20" i="75"/>
  <c r="AE20" i="75"/>
  <c r="AD20" i="75"/>
  <c r="AF19" i="75"/>
  <c r="AE19" i="75"/>
  <c r="AD19" i="75"/>
  <c r="AF18" i="75"/>
  <c r="AE18" i="75"/>
  <c r="AD18" i="75"/>
  <c r="AF17" i="75"/>
  <c r="AE17" i="75"/>
  <c r="AD17" i="75"/>
  <c r="AF16" i="75"/>
  <c r="AE16" i="75"/>
  <c r="AD16" i="75"/>
  <c r="AF15" i="75"/>
  <c r="AE15" i="75"/>
  <c r="AD15" i="75"/>
  <c r="AF14" i="75"/>
  <c r="AE14" i="75"/>
  <c r="AD14" i="75"/>
  <c r="AF13" i="75"/>
  <c r="AE13" i="75"/>
  <c r="AD13" i="75"/>
  <c r="AF12" i="75"/>
  <c r="AE12" i="75"/>
  <c r="AD12" i="75"/>
  <c r="AF11" i="75"/>
  <c r="AE11" i="75"/>
  <c r="AD11" i="75"/>
  <c r="AF10" i="75"/>
  <c r="AE10" i="75"/>
  <c r="AD10" i="75"/>
  <c r="AF9" i="75"/>
  <c r="AE9" i="75"/>
  <c r="AD9" i="75"/>
  <c r="AF8" i="75"/>
  <c r="AE8" i="75"/>
  <c r="AD8" i="75"/>
  <c r="Y42" i="75"/>
  <c r="X42" i="75"/>
  <c r="W42" i="75"/>
  <c r="Y41" i="75"/>
  <c r="X41" i="75"/>
  <c r="W41" i="75"/>
  <c r="Y29" i="75"/>
  <c r="X29" i="75"/>
  <c r="W29" i="75"/>
  <c r="Y28" i="75"/>
  <c r="X28" i="75"/>
  <c r="W28" i="75"/>
  <c r="Y27" i="75"/>
  <c r="X27" i="75"/>
  <c r="W27" i="75"/>
  <c r="Y26" i="75"/>
  <c r="X26" i="75"/>
  <c r="W26" i="75"/>
  <c r="Y25" i="75"/>
  <c r="X25" i="75"/>
  <c r="W25" i="75"/>
  <c r="Y24" i="75"/>
  <c r="X24" i="75"/>
  <c r="W24" i="75"/>
  <c r="Y23" i="75"/>
  <c r="X23" i="75"/>
  <c r="W23" i="75"/>
  <c r="Y22" i="75"/>
  <c r="X22" i="75"/>
  <c r="W22" i="75"/>
  <c r="Y21" i="75"/>
  <c r="X21" i="75"/>
  <c r="W21" i="75"/>
  <c r="Y20" i="75"/>
  <c r="X20" i="75"/>
  <c r="W20" i="75"/>
  <c r="Y19" i="75"/>
  <c r="X19" i="75"/>
  <c r="W19" i="75"/>
  <c r="Y18" i="75"/>
  <c r="X18" i="75"/>
  <c r="W18" i="75"/>
  <c r="Y17" i="75"/>
  <c r="X17" i="75"/>
  <c r="W17" i="75"/>
  <c r="Y16" i="75"/>
  <c r="X16" i="75"/>
  <c r="W16" i="75"/>
  <c r="Y15" i="75"/>
  <c r="X15" i="75"/>
  <c r="W15" i="75"/>
  <c r="Y14" i="75"/>
  <c r="X14" i="75"/>
  <c r="W14" i="75"/>
  <c r="Y13" i="75"/>
  <c r="X13" i="75"/>
  <c r="W13" i="75"/>
  <c r="Y12" i="75"/>
  <c r="X12" i="75"/>
  <c r="W12" i="75"/>
  <c r="Y11" i="75"/>
  <c r="X11" i="75"/>
  <c r="W11" i="75"/>
  <c r="Y10" i="75"/>
  <c r="X10" i="75"/>
  <c r="W10" i="75"/>
  <c r="Y9" i="75"/>
  <c r="X9" i="75"/>
  <c r="W9" i="75"/>
  <c r="Y8" i="75"/>
  <c r="X8" i="75"/>
  <c r="W8" i="75"/>
  <c r="BA42" i="66"/>
  <c r="AZ42" i="66"/>
  <c r="AY42" i="66"/>
  <c r="BA41" i="66"/>
  <c r="AZ41" i="66"/>
  <c r="AY41" i="66"/>
  <c r="BA29" i="66"/>
  <c r="AZ29" i="66"/>
  <c r="AY29" i="66"/>
  <c r="BA28" i="66"/>
  <c r="AZ28" i="66"/>
  <c r="AY28" i="66"/>
  <c r="BA27" i="66"/>
  <c r="AZ27" i="66"/>
  <c r="AY27" i="66"/>
  <c r="BA26" i="66"/>
  <c r="AZ26" i="66"/>
  <c r="AY26" i="66"/>
  <c r="BA25" i="66"/>
  <c r="AZ25" i="66"/>
  <c r="AY25" i="66"/>
  <c r="BA24" i="66"/>
  <c r="AZ24" i="66"/>
  <c r="AY24" i="66"/>
  <c r="BA23" i="66"/>
  <c r="AZ23" i="66"/>
  <c r="AY23" i="66"/>
  <c r="BA22" i="66"/>
  <c r="AZ22" i="66"/>
  <c r="AY22" i="66"/>
  <c r="BA21" i="66"/>
  <c r="AZ21" i="66"/>
  <c r="AY21" i="66"/>
  <c r="BA20" i="66"/>
  <c r="AZ20" i="66"/>
  <c r="AY20" i="66"/>
  <c r="BA19" i="66"/>
  <c r="AZ19" i="66"/>
  <c r="AY19" i="66"/>
  <c r="BA18" i="66"/>
  <c r="AZ18" i="66"/>
  <c r="AY18" i="66"/>
  <c r="BA17" i="66"/>
  <c r="AZ17" i="66"/>
  <c r="AY17" i="66"/>
  <c r="BA16" i="66"/>
  <c r="AZ16" i="66"/>
  <c r="AY16" i="66"/>
  <c r="BA15" i="66"/>
  <c r="AZ15" i="66"/>
  <c r="AY15" i="66"/>
  <c r="BA14" i="66"/>
  <c r="AZ14" i="66"/>
  <c r="AY14" i="66"/>
  <c r="BA13" i="66"/>
  <c r="AZ13" i="66"/>
  <c r="AY13" i="66"/>
  <c r="BA12" i="66"/>
  <c r="AZ12" i="66"/>
  <c r="AY12" i="66"/>
  <c r="BA11" i="66"/>
  <c r="AZ11" i="66"/>
  <c r="AY11" i="66"/>
  <c r="BA10" i="66"/>
  <c r="AZ10" i="66"/>
  <c r="AY10" i="66"/>
  <c r="BA9" i="66"/>
  <c r="AZ9" i="66"/>
  <c r="AY9" i="66"/>
  <c r="BA8" i="66"/>
  <c r="AZ8" i="66"/>
  <c r="AY8" i="66"/>
  <c r="AT42" i="66"/>
  <c r="AS42" i="66"/>
  <c r="AR42" i="66"/>
  <c r="AT41" i="66"/>
  <c r="AS41" i="66"/>
  <c r="AR41" i="66"/>
  <c r="AT29" i="66"/>
  <c r="AS29" i="66"/>
  <c r="AR29" i="66"/>
  <c r="AT28" i="66"/>
  <c r="AS28" i="66"/>
  <c r="AR28" i="66"/>
  <c r="AT27" i="66"/>
  <c r="AS27" i="66"/>
  <c r="AR27" i="66"/>
  <c r="AT26" i="66"/>
  <c r="AS26" i="66"/>
  <c r="AR26" i="66"/>
  <c r="AT25" i="66"/>
  <c r="AS25" i="66"/>
  <c r="AR25" i="66"/>
  <c r="AT24" i="66"/>
  <c r="AS24" i="66"/>
  <c r="AR24" i="66"/>
  <c r="AT23" i="66"/>
  <c r="AS23" i="66"/>
  <c r="AR23" i="66"/>
  <c r="AT22" i="66"/>
  <c r="AS22" i="66"/>
  <c r="AR22" i="66"/>
  <c r="AT21" i="66"/>
  <c r="AS21" i="66"/>
  <c r="AR21" i="66"/>
  <c r="AT20" i="66"/>
  <c r="AS20" i="66"/>
  <c r="AR20" i="66"/>
  <c r="AT19" i="66"/>
  <c r="AS19" i="66"/>
  <c r="AR19" i="66"/>
  <c r="AT18" i="66"/>
  <c r="AS18" i="66"/>
  <c r="AR18" i="66"/>
  <c r="AT17" i="66"/>
  <c r="AS17" i="66"/>
  <c r="AR17" i="66"/>
  <c r="AT16" i="66"/>
  <c r="AS16" i="66"/>
  <c r="AR16" i="66"/>
  <c r="AT15" i="66"/>
  <c r="AS15" i="66"/>
  <c r="AR15" i="66"/>
  <c r="AT14" i="66"/>
  <c r="AS14" i="66"/>
  <c r="AR14" i="66"/>
  <c r="AT13" i="66"/>
  <c r="AS13" i="66"/>
  <c r="AR13" i="66"/>
  <c r="AT12" i="66"/>
  <c r="AS12" i="66"/>
  <c r="AR12" i="66"/>
  <c r="AT11" i="66"/>
  <c r="AS11" i="66"/>
  <c r="AR11" i="66"/>
  <c r="AT10" i="66"/>
  <c r="AS10" i="66"/>
  <c r="AR10" i="66"/>
  <c r="AT9" i="66"/>
  <c r="AS9" i="66"/>
  <c r="AR9" i="66"/>
  <c r="AT8" i="66"/>
  <c r="AS8" i="66"/>
  <c r="AR8" i="66"/>
  <c r="AM42" i="66"/>
  <c r="AL42" i="66"/>
  <c r="AK42" i="66"/>
  <c r="AM41" i="66"/>
  <c r="AL41" i="66"/>
  <c r="AK41" i="66"/>
  <c r="AM29" i="66"/>
  <c r="AL29" i="66"/>
  <c r="AK29" i="66"/>
  <c r="AM28" i="66"/>
  <c r="AL28" i="66"/>
  <c r="AK28" i="66"/>
  <c r="AM27" i="66"/>
  <c r="AL27" i="66"/>
  <c r="AK27" i="66"/>
  <c r="AM26" i="66"/>
  <c r="AL26" i="66"/>
  <c r="AK26" i="66"/>
  <c r="AM25" i="66"/>
  <c r="AL25" i="66"/>
  <c r="AK25" i="66"/>
  <c r="AM24" i="66"/>
  <c r="AL24" i="66"/>
  <c r="AK24" i="66"/>
  <c r="AM23" i="66"/>
  <c r="AL23" i="66"/>
  <c r="AK23" i="66"/>
  <c r="AM22" i="66"/>
  <c r="AL22" i="66"/>
  <c r="AK22" i="66"/>
  <c r="AM21" i="66"/>
  <c r="AL21" i="66"/>
  <c r="AK21" i="66"/>
  <c r="AM20" i="66"/>
  <c r="AL20" i="66"/>
  <c r="AK20" i="66"/>
  <c r="AM19" i="66"/>
  <c r="AL19" i="66"/>
  <c r="AK19" i="66"/>
  <c r="AM18" i="66"/>
  <c r="AL18" i="66"/>
  <c r="AK18" i="66"/>
  <c r="AM17" i="66"/>
  <c r="AL17" i="66"/>
  <c r="AK17" i="66"/>
  <c r="AM16" i="66"/>
  <c r="AL16" i="66"/>
  <c r="AK16" i="66"/>
  <c r="AM15" i="66"/>
  <c r="AL15" i="66"/>
  <c r="AK15" i="66"/>
  <c r="AM14" i="66"/>
  <c r="AL14" i="66"/>
  <c r="AK14" i="66"/>
  <c r="AM13" i="66"/>
  <c r="AL13" i="66"/>
  <c r="AK13" i="66"/>
  <c r="AM12" i="66"/>
  <c r="AL12" i="66"/>
  <c r="AK12" i="66"/>
  <c r="AM11" i="66"/>
  <c r="AL11" i="66"/>
  <c r="AK11" i="66"/>
  <c r="AM10" i="66"/>
  <c r="AL10" i="66"/>
  <c r="AK10" i="66"/>
  <c r="AM9" i="66"/>
  <c r="AL9" i="66"/>
  <c r="AK9" i="66"/>
  <c r="AM8" i="66"/>
  <c r="AL8" i="66"/>
  <c r="AK8" i="66"/>
  <c r="AF42" i="66"/>
  <c r="AE42" i="66"/>
  <c r="AD42" i="66"/>
  <c r="AF41" i="66"/>
  <c r="AE41" i="66"/>
  <c r="AD41" i="66"/>
  <c r="AF29" i="66"/>
  <c r="AE29" i="66"/>
  <c r="AD29" i="66"/>
  <c r="AF28" i="66"/>
  <c r="AE28" i="66"/>
  <c r="AD28" i="66"/>
  <c r="AF27" i="66"/>
  <c r="AE27" i="66"/>
  <c r="AD27" i="66"/>
  <c r="AF26" i="66"/>
  <c r="AE26" i="66"/>
  <c r="AD26" i="66"/>
  <c r="AF25" i="66"/>
  <c r="AE25" i="66"/>
  <c r="AD25" i="66"/>
  <c r="AF24" i="66"/>
  <c r="AE24" i="66"/>
  <c r="AD24" i="66"/>
  <c r="AF23" i="66"/>
  <c r="AE23" i="66"/>
  <c r="AD23" i="66"/>
  <c r="AF22" i="66"/>
  <c r="AE22" i="66"/>
  <c r="AD22" i="66"/>
  <c r="AF21" i="66"/>
  <c r="AE21" i="66"/>
  <c r="AD21" i="66"/>
  <c r="AF20" i="66"/>
  <c r="AE20" i="66"/>
  <c r="AD20" i="66"/>
  <c r="AF19" i="66"/>
  <c r="AE19" i="66"/>
  <c r="AD19" i="66"/>
  <c r="AF18" i="66"/>
  <c r="AE18" i="66"/>
  <c r="AD18" i="66"/>
  <c r="AF17" i="66"/>
  <c r="AE17" i="66"/>
  <c r="AD17" i="66"/>
  <c r="AF16" i="66"/>
  <c r="AE16" i="66"/>
  <c r="AD16" i="66"/>
  <c r="AF15" i="66"/>
  <c r="AE15" i="66"/>
  <c r="AD15" i="66"/>
  <c r="AF14" i="66"/>
  <c r="AE14" i="66"/>
  <c r="AD14" i="66"/>
  <c r="AF13" i="66"/>
  <c r="AE13" i="66"/>
  <c r="AD13" i="66"/>
  <c r="AF12" i="66"/>
  <c r="AE12" i="66"/>
  <c r="AD12" i="66"/>
  <c r="AF11" i="66"/>
  <c r="AE11" i="66"/>
  <c r="AD11" i="66"/>
  <c r="AF10" i="66"/>
  <c r="AE10" i="66"/>
  <c r="AD10" i="66"/>
  <c r="AF9" i="66"/>
  <c r="AE9" i="66"/>
  <c r="AD9" i="66"/>
  <c r="AF8" i="66"/>
  <c r="AE8" i="66"/>
  <c r="AD8" i="66"/>
  <c r="Y42" i="66"/>
  <c r="X42" i="66"/>
  <c r="W42" i="66"/>
  <c r="Y41" i="66"/>
  <c r="X41" i="66"/>
  <c r="W41" i="66"/>
  <c r="Y29" i="66"/>
  <c r="X29" i="66"/>
  <c r="W29" i="66"/>
  <c r="Y28" i="66"/>
  <c r="X28" i="66"/>
  <c r="W28" i="66"/>
  <c r="Y27" i="66"/>
  <c r="X27" i="66"/>
  <c r="W27" i="66"/>
  <c r="Y26" i="66"/>
  <c r="X26" i="66"/>
  <c r="W26" i="66"/>
  <c r="Y25" i="66"/>
  <c r="X25" i="66"/>
  <c r="W25" i="66"/>
  <c r="Y24" i="66"/>
  <c r="X24" i="66"/>
  <c r="W24" i="66"/>
  <c r="Y23" i="66"/>
  <c r="X23" i="66"/>
  <c r="W23" i="66"/>
  <c r="Y22" i="66"/>
  <c r="X22" i="66"/>
  <c r="W22" i="66"/>
  <c r="Y21" i="66"/>
  <c r="X21" i="66"/>
  <c r="W21" i="66"/>
  <c r="Y20" i="66"/>
  <c r="X20" i="66"/>
  <c r="W20" i="66"/>
  <c r="Y19" i="66"/>
  <c r="X19" i="66"/>
  <c r="W19" i="66"/>
  <c r="Y18" i="66"/>
  <c r="X18" i="66"/>
  <c r="W18" i="66"/>
  <c r="Y17" i="66"/>
  <c r="X17" i="66"/>
  <c r="W17" i="66"/>
  <c r="Y16" i="66"/>
  <c r="X16" i="66"/>
  <c r="W16" i="66"/>
  <c r="Y15" i="66"/>
  <c r="X15" i="66"/>
  <c r="W15" i="66"/>
  <c r="Y14" i="66"/>
  <c r="X14" i="66"/>
  <c r="W14" i="66"/>
  <c r="Y13" i="66"/>
  <c r="X13" i="66"/>
  <c r="W13" i="66"/>
  <c r="Y12" i="66"/>
  <c r="X12" i="66"/>
  <c r="W12" i="66"/>
  <c r="Y11" i="66"/>
  <c r="X11" i="66"/>
  <c r="W11" i="66"/>
  <c r="Y10" i="66"/>
  <c r="X10" i="66"/>
  <c r="W10" i="66"/>
  <c r="Y9" i="66"/>
  <c r="X9" i="66"/>
  <c r="W9" i="66"/>
  <c r="Y8" i="66"/>
  <c r="X8" i="66"/>
  <c r="W8" i="66"/>
  <c r="BB42" i="74"/>
  <c r="BA42" i="74"/>
  <c r="AZ42" i="74"/>
  <c r="BB41" i="74"/>
  <c r="BA41" i="74"/>
  <c r="AZ41" i="74"/>
  <c r="BB29" i="74"/>
  <c r="BA29" i="74"/>
  <c r="AZ29" i="74"/>
  <c r="BB28" i="74"/>
  <c r="BA28" i="74"/>
  <c r="AZ28" i="74"/>
  <c r="BB27" i="74"/>
  <c r="BA27" i="74"/>
  <c r="AZ27" i="74"/>
  <c r="BB26" i="74"/>
  <c r="BA26" i="74"/>
  <c r="AZ26" i="74"/>
  <c r="BB25" i="74"/>
  <c r="BA25" i="74"/>
  <c r="AZ25" i="74"/>
  <c r="BB24" i="74"/>
  <c r="BA24" i="74"/>
  <c r="AZ24" i="74"/>
  <c r="BB23" i="74"/>
  <c r="BA23" i="74"/>
  <c r="AZ23" i="74"/>
  <c r="BB22" i="74"/>
  <c r="BA22" i="74"/>
  <c r="AZ22" i="74"/>
  <c r="BB21" i="74"/>
  <c r="BA21" i="74"/>
  <c r="AZ21" i="74"/>
  <c r="BB20" i="74"/>
  <c r="BA20" i="74"/>
  <c r="AZ20" i="74"/>
  <c r="BB19" i="74"/>
  <c r="BA19" i="74"/>
  <c r="AZ19" i="74"/>
  <c r="BB18" i="74"/>
  <c r="BA18" i="74"/>
  <c r="AZ18" i="74"/>
  <c r="BB17" i="74"/>
  <c r="BA17" i="74"/>
  <c r="AZ17" i="74"/>
  <c r="BB16" i="74"/>
  <c r="BA16" i="74"/>
  <c r="AZ16" i="74"/>
  <c r="BB15" i="74"/>
  <c r="BA15" i="74"/>
  <c r="AZ15" i="74"/>
  <c r="BB14" i="74"/>
  <c r="BA14" i="74"/>
  <c r="AZ14" i="74"/>
  <c r="BB13" i="74"/>
  <c r="BA13" i="74"/>
  <c r="AZ13" i="74"/>
  <c r="BB12" i="74"/>
  <c r="BA12" i="74"/>
  <c r="AZ12" i="74"/>
  <c r="BB11" i="74"/>
  <c r="BA11" i="74"/>
  <c r="AZ11" i="74"/>
  <c r="BB10" i="74"/>
  <c r="BA10" i="74"/>
  <c r="AZ10" i="74"/>
  <c r="BB9" i="74"/>
  <c r="BA9" i="74"/>
  <c r="AZ9" i="74"/>
  <c r="BB8" i="74"/>
  <c r="BA8" i="74"/>
  <c r="AZ8" i="74"/>
  <c r="AU42" i="74"/>
  <c r="AT42" i="74"/>
  <c r="AS42" i="74"/>
  <c r="AU41" i="74"/>
  <c r="AT41" i="74"/>
  <c r="AS41" i="74"/>
  <c r="AU29" i="74"/>
  <c r="AT29" i="74"/>
  <c r="AS29" i="74"/>
  <c r="AU28" i="74"/>
  <c r="AT28" i="74"/>
  <c r="AS28" i="74"/>
  <c r="AU27" i="74"/>
  <c r="BH27" i="74" s="1"/>
  <c r="AT27" i="74"/>
  <c r="BF27" i="74" s="1"/>
  <c r="AS27" i="74"/>
  <c r="AU26" i="74"/>
  <c r="BH26" i="74" s="1"/>
  <c r="AT26" i="74"/>
  <c r="BF26" i="74" s="1"/>
  <c r="AS26" i="74"/>
  <c r="AU25" i="74"/>
  <c r="BH25" i="74" s="1"/>
  <c r="AT25" i="74"/>
  <c r="BF25" i="74" s="1"/>
  <c r="AS25" i="74"/>
  <c r="AU24" i="74"/>
  <c r="BH24" i="74" s="1"/>
  <c r="AT24" i="74"/>
  <c r="BF24" i="74" s="1"/>
  <c r="AS24" i="74"/>
  <c r="AU23" i="74"/>
  <c r="BH23" i="74" s="1"/>
  <c r="AT23" i="74"/>
  <c r="BF23" i="74" s="1"/>
  <c r="AS23" i="74"/>
  <c r="AU22" i="74"/>
  <c r="BH22" i="74" s="1"/>
  <c r="AT22" i="74"/>
  <c r="BF22" i="74" s="1"/>
  <c r="AS22" i="74"/>
  <c r="AU21" i="74"/>
  <c r="BH21" i="74" s="1"/>
  <c r="AT21" i="74"/>
  <c r="BF21" i="74" s="1"/>
  <c r="AS21" i="74"/>
  <c r="AU20" i="74"/>
  <c r="BH20" i="74" s="1"/>
  <c r="AT20" i="74"/>
  <c r="BF20" i="74" s="1"/>
  <c r="AS20" i="74"/>
  <c r="AU19" i="74"/>
  <c r="BH19" i="74" s="1"/>
  <c r="AT19" i="74"/>
  <c r="BF19" i="74" s="1"/>
  <c r="AS19" i="74"/>
  <c r="AU18" i="74"/>
  <c r="BH18" i="74" s="1"/>
  <c r="AT18" i="74"/>
  <c r="BF18" i="74" s="1"/>
  <c r="AS18" i="74"/>
  <c r="AU17" i="74"/>
  <c r="BH17" i="74" s="1"/>
  <c r="AT17" i="74"/>
  <c r="BF17" i="74" s="1"/>
  <c r="AS17" i="74"/>
  <c r="AU16" i="74"/>
  <c r="BH16" i="74" s="1"/>
  <c r="AT16" i="74"/>
  <c r="BF16" i="74" s="1"/>
  <c r="AS16" i="74"/>
  <c r="AU15" i="74"/>
  <c r="BH15" i="74" s="1"/>
  <c r="AT15" i="74"/>
  <c r="BF15" i="74" s="1"/>
  <c r="AS15" i="74"/>
  <c r="AU14" i="74"/>
  <c r="BH14" i="74" s="1"/>
  <c r="AT14" i="74"/>
  <c r="BF14" i="74" s="1"/>
  <c r="AS14" i="74"/>
  <c r="AU13" i="74"/>
  <c r="BH13" i="74" s="1"/>
  <c r="AT13" i="74"/>
  <c r="BF13" i="74" s="1"/>
  <c r="AS13" i="74"/>
  <c r="AU12" i="74"/>
  <c r="BH12" i="74" s="1"/>
  <c r="AT12" i="74"/>
  <c r="BF12" i="74" s="1"/>
  <c r="AS12" i="74"/>
  <c r="AU11" i="74"/>
  <c r="BH11" i="74" s="1"/>
  <c r="AT11" i="74"/>
  <c r="BF11" i="74" s="1"/>
  <c r="AS11" i="74"/>
  <c r="AU10" i="74"/>
  <c r="BH10" i="74" s="1"/>
  <c r="AT10" i="74"/>
  <c r="BF10" i="74" s="1"/>
  <c r="AS10" i="74"/>
  <c r="AU9" i="74"/>
  <c r="BH9" i="74" s="1"/>
  <c r="AT9" i="74"/>
  <c r="BF9" i="74" s="1"/>
  <c r="AS9" i="74"/>
  <c r="AU8" i="74"/>
  <c r="AT8" i="74"/>
  <c r="AS8" i="74"/>
  <c r="AN42" i="74"/>
  <c r="AM42" i="74"/>
  <c r="AL42" i="74"/>
  <c r="AN41" i="74"/>
  <c r="AM41" i="74"/>
  <c r="AL41" i="74"/>
  <c r="AN29" i="74"/>
  <c r="AM29" i="74"/>
  <c r="AL29" i="74"/>
  <c r="AN28" i="74"/>
  <c r="AM28" i="74"/>
  <c r="AL28" i="74"/>
  <c r="AN27" i="74"/>
  <c r="AM27" i="74"/>
  <c r="AL27" i="74"/>
  <c r="AN26" i="74"/>
  <c r="AM26" i="74"/>
  <c r="AL26" i="74"/>
  <c r="AN25" i="74"/>
  <c r="AM25" i="74"/>
  <c r="AL25" i="74"/>
  <c r="AN24" i="74"/>
  <c r="AM24" i="74"/>
  <c r="AL24" i="74"/>
  <c r="AN23" i="74"/>
  <c r="AM23" i="74"/>
  <c r="AL23" i="74"/>
  <c r="AN22" i="74"/>
  <c r="AM22" i="74"/>
  <c r="AL22" i="74"/>
  <c r="AN21" i="74"/>
  <c r="AM21" i="74"/>
  <c r="AL21" i="74"/>
  <c r="AN20" i="74"/>
  <c r="AM20" i="74"/>
  <c r="AL20" i="74"/>
  <c r="AN19" i="74"/>
  <c r="AM19" i="74"/>
  <c r="AL19" i="74"/>
  <c r="AN18" i="74"/>
  <c r="AM18" i="74"/>
  <c r="AL18" i="74"/>
  <c r="AN17" i="74"/>
  <c r="AM17" i="74"/>
  <c r="AL17" i="74"/>
  <c r="AN16" i="74"/>
  <c r="AM16" i="74"/>
  <c r="AL16" i="74"/>
  <c r="AN15" i="74"/>
  <c r="AM15" i="74"/>
  <c r="AL15" i="74"/>
  <c r="AN14" i="74"/>
  <c r="AM14" i="74"/>
  <c r="AL14" i="74"/>
  <c r="AN13" i="74"/>
  <c r="AM13" i="74"/>
  <c r="AL13" i="74"/>
  <c r="AN12" i="74"/>
  <c r="AM12" i="74"/>
  <c r="AL12" i="74"/>
  <c r="AN11" i="74"/>
  <c r="AM11" i="74"/>
  <c r="AL11" i="74"/>
  <c r="AN10" i="74"/>
  <c r="AM10" i="74"/>
  <c r="AL10" i="74"/>
  <c r="AN9" i="74"/>
  <c r="AM9" i="74"/>
  <c r="AL9" i="74"/>
  <c r="AN8" i="74"/>
  <c r="AM8" i="74"/>
  <c r="AL8" i="74"/>
  <c r="AG42" i="74"/>
  <c r="AF42" i="74"/>
  <c r="AE42" i="74"/>
  <c r="AG41" i="74"/>
  <c r="AF41" i="74"/>
  <c r="AE41" i="74"/>
  <c r="AG29" i="74"/>
  <c r="AF29" i="74"/>
  <c r="AE29" i="74"/>
  <c r="AG28" i="74"/>
  <c r="AF28" i="74"/>
  <c r="AE28" i="74"/>
  <c r="AG27" i="74"/>
  <c r="AF27" i="74"/>
  <c r="AE27" i="74"/>
  <c r="AG26" i="74"/>
  <c r="AF26" i="74"/>
  <c r="AE26" i="74"/>
  <c r="AG25" i="74"/>
  <c r="AF25" i="74"/>
  <c r="AE25" i="74"/>
  <c r="AG24" i="74"/>
  <c r="AF24" i="74"/>
  <c r="AE24" i="74"/>
  <c r="AG23" i="74"/>
  <c r="AF23" i="74"/>
  <c r="AE23" i="74"/>
  <c r="AG22" i="74"/>
  <c r="AF22" i="74"/>
  <c r="AE22" i="74"/>
  <c r="AG21" i="74"/>
  <c r="AF21" i="74"/>
  <c r="AE21" i="74"/>
  <c r="AG20" i="74"/>
  <c r="AF20" i="74"/>
  <c r="AE20" i="74"/>
  <c r="AG19" i="74"/>
  <c r="AF19" i="74"/>
  <c r="AE19" i="74"/>
  <c r="AG18" i="74"/>
  <c r="AF18" i="74"/>
  <c r="AE18" i="74"/>
  <c r="AG17" i="74"/>
  <c r="AF17" i="74"/>
  <c r="AE17" i="74"/>
  <c r="AG16" i="74"/>
  <c r="AF16" i="74"/>
  <c r="AE16" i="74"/>
  <c r="AG15" i="74"/>
  <c r="AF15" i="74"/>
  <c r="AE15" i="74"/>
  <c r="AG14" i="74"/>
  <c r="AF14" i="74"/>
  <c r="AE14" i="74"/>
  <c r="AG13" i="74"/>
  <c r="AF13" i="74"/>
  <c r="AE13" i="74"/>
  <c r="AG12" i="74"/>
  <c r="AF12" i="74"/>
  <c r="AE12" i="74"/>
  <c r="AG11" i="74"/>
  <c r="AF11" i="74"/>
  <c r="AE11" i="74"/>
  <c r="AG10" i="74"/>
  <c r="AF10" i="74"/>
  <c r="AE10" i="74"/>
  <c r="AG9" i="74"/>
  <c r="AF9" i="74"/>
  <c r="AE9" i="74"/>
  <c r="AG8" i="74"/>
  <c r="AF8" i="74"/>
  <c r="AE8" i="74"/>
  <c r="Z42" i="74"/>
  <c r="BH42" i="74" s="1"/>
  <c r="Y42" i="74"/>
  <c r="BF42" i="74" s="1"/>
  <c r="X42" i="74"/>
  <c r="Z41" i="74"/>
  <c r="BH41" i="74" s="1"/>
  <c r="Y41" i="74"/>
  <c r="X41" i="74"/>
  <c r="Z29" i="74"/>
  <c r="BH29" i="74" s="1"/>
  <c r="Y29" i="74"/>
  <c r="BF29" i="74" s="1"/>
  <c r="X29" i="74"/>
  <c r="Z28" i="74"/>
  <c r="BH28" i="74" s="1"/>
  <c r="Y28" i="74"/>
  <c r="X28" i="74"/>
  <c r="Z27" i="74"/>
  <c r="Y27" i="74"/>
  <c r="X27" i="74"/>
  <c r="Z26" i="74"/>
  <c r="Y26" i="74"/>
  <c r="X26" i="74"/>
  <c r="Z25" i="74"/>
  <c r="Y25" i="74"/>
  <c r="X25" i="74"/>
  <c r="Z24" i="74"/>
  <c r="Y24" i="74"/>
  <c r="X24" i="74"/>
  <c r="Z23" i="74"/>
  <c r="Y23" i="74"/>
  <c r="X23" i="74"/>
  <c r="Z22" i="74"/>
  <c r="Y22" i="74"/>
  <c r="X22" i="74"/>
  <c r="Z21" i="74"/>
  <c r="Y21" i="74"/>
  <c r="X21" i="74"/>
  <c r="Z20" i="74"/>
  <c r="Y20" i="74"/>
  <c r="X20" i="74"/>
  <c r="Z19" i="74"/>
  <c r="Y19" i="74"/>
  <c r="X19" i="74"/>
  <c r="Z18" i="74"/>
  <c r="Y18" i="74"/>
  <c r="X18" i="74"/>
  <c r="Z17" i="74"/>
  <c r="Y17" i="74"/>
  <c r="X17" i="74"/>
  <c r="Z16" i="74"/>
  <c r="Y16" i="74"/>
  <c r="X16" i="74"/>
  <c r="Z15" i="74"/>
  <c r="Y15" i="74"/>
  <c r="X15" i="74"/>
  <c r="Z14" i="74"/>
  <c r="Y14" i="74"/>
  <c r="X14" i="74"/>
  <c r="Z13" i="74"/>
  <c r="Y13" i="74"/>
  <c r="X13" i="74"/>
  <c r="Z12" i="74"/>
  <c r="Y12" i="74"/>
  <c r="X12" i="74"/>
  <c r="Z11" i="74"/>
  <c r="Y11" i="74"/>
  <c r="X11" i="74"/>
  <c r="Z10" i="74"/>
  <c r="Y10" i="74"/>
  <c r="X10" i="74"/>
  <c r="Z9" i="74"/>
  <c r="Y9" i="74"/>
  <c r="X9" i="74"/>
  <c r="Z8" i="74"/>
  <c r="BH8" i="74" s="1"/>
  <c r="Y8" i="74"/>
  <c r="BF8" i="74" s="1"/>
  <c r="X8" i="74"/>
  <c r="BC42" i="67"/>
  <c r="BB42" i="67"/>
  <c r="BA42" i="67"/>
  <c r="BC41" i="67"/>
  <c r="BB41" i="67"/>
  <c r="BA41" i="67"/>
  <c r="BC40" i="67"/>
  <c r="BB40" i="67"/>
  <c r="BA40" i="67"/>
  <c r="BC39" i="67"/>
  <c r="BB39" i="67"/>
  <c r="BA39" i="67"/>
  <c r="BC27" i="67"/>
  <c r="BB27" i="67"/>
  <c r="BA27" i="67"/>
  <c r="BC26" i="67"/>
  <c r="BB26" i="67"/>
  <c r="BA26" i="67"/>
  <c r="BC25" i="67"/>
  <c r="BB25" i="67"/>
  <c r="BA25" i="67"/>
  <c r="BC24" i="67"/>
  <c r="BB24" i="67"/>
  <c r="BA24" i="67"/>
  <c r="BC23" i="67"/>
  <c r="BB23" i="67"/>
  <c r="BA23" i="67"/>
  <c r="BC22" i="67"/>
  <c r="BB22" i="67"/>
  <c r="BA22" i="67"/>
  <c r="BC21" i="67"/>
  <c r="BB21" i="67"/>
  <c r="BA21" i="67"/>
  <c r="BC20" i="67"/>
  <c r="BB20" i="67"/>
  <c r="BA20" i="67"/>
  <c r="BC19" i="67"/>
  <c r="BB19" i="67"/>
  <c r="BA19" i="67"/>
  <c r="BC18" i="67"/>
  <c r="BB18" i="67"/>
  <c r="BA18" i="67"/>
  <c r="BC17" i="67"/>
  <c r="BB17" i="67"/>
  <c r="BA17" i="67"/>
  <c r="BC16" i="67"/>
  <c r="BB16" i="67"/>
  <c r="BA16" i="67"/>
  <c r="BC15" i="67"/>
  <c r="BB15" i="67"/>
  <c r="BA15" i="67"/>
  <c r="BC14" i="67"/>
  <c r="BB14" i="67"/>
  <c r="BA14" i="67"/>
  <c r="BC13" i="67"/>
  <c r="BB13" i="67"/>
  <c r="BA13" i="67"/>
  <c r="BC12" i="67"/>
  <c r="BB12" i="67"/>
  <c r="BA12" i="67"/>
  <c r="BC11" i="67"/>
  <c r="BB11" i="67"/>
  <c r="BA11" i="67"/>
  <c r="BC10" i="67"/>
  <c r="BB10" i="67"/>
  <c r="BA10" i="67"/>
  <c r="BC9" i="67"/>
  <c r="BB9" i="67"/>
  <c r="BA9" i="67"/>
  <c r="BC8" i="67"/>
  <c r="BB8" i="67"/>
  <c r="BA8" i="67"/>
  <c r="AV42" i="67"/>
  <c r="AU42" i="67"/>
  <c r="AT42" i="67"/>
  <c r="AV41" i="67"/>
  <c r="AU41" i="67"/>
  <c r="AT41" i="67"/>
  <c r="AV40" i="67"/>
  <c r="AU40" i="67"/>
  <c r="AT40" i="67"/>
  <c r="AV39" i="67"/>
  <c r="AU39" i="67"/>
  <c r="AT39" i="67"/>
  <c r="AV27" i="67"/>
  <c r="AU27" i="67"/>
  <c r="AT27" i="67"/>
  <c r="AV26" i="67"/>
  <c r="AU26" i="67"/>
  <c r="AT26" i="67"/>
  <c r="AV25" i="67"/>
  <c r="AU25" i="67"/>
  <c r="AT25" i="67"/>
  <c r="AV24" i="67"/>
  <c r="AU24" i="67"/>
  <c r="AT24" i="67"/>
  <c r="AV23" i="67"/>
  <c r="AU23" i="67"/>
  <c r="AT23" i="67"/>
  <c r="AV22" i="67"/>
  <c r="AU22" i="67"/>
  <c r="AT22" i="67"/>
  <c r="AV21" i="67"/>
  <c r="AU21" i="67"/>
  <c r="AT21" i="67"/>
  <c r="AV20" i="67"/>
  <c r="AU20" i="67"/>
  <c r="AT20" i="67"/>
  <c r="AV19" i="67"/>
  <c r="AU19" i="67"/>
  <c r="AT19" i="67"/>
  <c r="AV18" i="67"/>
  <c r="AU18" i="67"/>
  <c r="AT18" i="67"/>
  <c r="AV17" i="67"/>
  <c r="AU17" i="67"/>
  <c r="AT17" i="67"/>
  <c r="AV16" i="67"/>
  <c r="AU16" i="67"/>
  <c r="AT16" i="67"/>
  <c r="AV15" i="67"/>
  <c r="AU15" i="67"/>
  <c r="AT15" i="67"/>
  <c r="AV14" i="67"/>
  <c r="AU14" i="67"/>
  <c r="AT14" i="67"/>
  <c r="AV13" i="67"/>
  <c r="AU13" i="67"/>
  <c r="AT13" i="67"/>
  <c r="AV12" i="67"/>
  <c r="AU12" i="67"/>
  <c r="AT12" i="67"/>
  <c r="AV11" i="67"/>
  <c r="AU11" i="67"/>
  <c r="AT11" i="67"/>
  <c r="AV10" i="67"/>
  <c r="AU10" i="67"/>
  <c r="AT10" i="67"/>
  <c r="AV9" i="67"/>
  <c r="AU9" i="67"/>
  <c r="AT9" i="67"/>
  <c r="AV8" i="67"/>
  <c r="AU8" i="67"/>
  <c r="AT8" i="67"/>
  <c r="AO42" i="67"/>
  <c r="AN42" i="67"/>
  <c r="AM42" i="67"/>
  <c r="AO41" i="67"/>
  <c r="AN41" i="67"/>
  <c r="AM41" i="67"/>
  <c r="AO40" i="67"/>
  <c r="AN40" i="67"/>
  <c r="AM40" i="67"/>
  <c r="AO39" i="67"/>
  <c r="AN39" i="67"/>
  <c r="AM39" i="67"/>
  <c r="AO27" i="67"/>
  <c r="AN27" i="67"/>
  <c r="AM27" i="67"/>
  <c r="AO26" i="67"/>
  <c r="AN26" i="67"/>
  <c r="AM26" i="67"/>
  <c r="AO25" i="67"/>
  <c r="AN25" i="67"/>
  <c r="AM25" i="67"/>
  <c r="AO24" i="67"/>
  <c r="AN24" i="67"/>
  <c r="AM24" i="67"/>
  <c r="AO23" i="67"/>
  <c r="AN23" i="67"/>
  <c r="AM23" i="67"/>
  <c r="AO22" i="67"/>
  <c r="AN22" i="67"/>
  <c r="AM22" i="67"/>
  <c r="AO21" i="67"/>
  <c r="AN21" i="67"/>
  <c r="AM21" i="67"/>
  <c r="AO20" i="67"/>
  <c r="AN20" i="67"/>
  <c r="AM20" i="67"/>
  <c r="AO19" i="67"/>
  <c r="AN19" i="67"/>
  <c r="AM19" i="67"/>
  <c r="AO18" i="67"/>
  <c r="AN18" i="67"/>
  <c r="AM18" i="67"/>
  <c r="AO17" i="67"/>
  <c r="AN17" i="67"/>
  <c r="AM17" i="67"/>
  <c r="AO16" i="67"/>
  <c r="AN16" i="67"/>
  <c r="AM16" i="67"/>
  <c r="AO15" i="67"/>
  <c r="AN15" i="67"/>
  <c r="AM15" i="67"/>
  <c r="AO14" i="67"/>
  <c r="AN14" i="67"/>
  <c r="AM14" i="67"/>
  <c r="AO13" i="67"/>
  <c r="AN13" i="67"/>
  <c r="AM13" i="67"/>
  <c r="AO12" i="67"/>
  <c r="AN12" i="67"/>
  <c r="AM12" i="67"/>
  <c r="AO11" i="67"/>
  <c r="AN11" i="67"/>
  <c r="AM11" i="67"/>
  <c r="AO10" i="67"/>
  <c r="AN10" i="67"/>
  <c r="AM10" i="67"/>
  <c r="AO9" i="67"/>
  <c r="AN9" i="67"/>
  <c r="AM9" i="67"/>
  <c r="AO8" i="67"/>
  <c r="AN8" i="67"/>
  <c r="AM8" i="67"/>
  <c r="AH42" i="67"/>
  <c r="AG42" i="67"/>
  <c r="AF42" i="67"/>
  <c r="AH41" i="67"/>
  <c r="AG41" i="67"/>
  <c r="AF41" i="67"/>
  <c r="AH40" i="67"/>
  <c r="AG40" i="67"/>
  <c r="AF40" i="67"/>
  <c r="AH39" i="67"/>
  <c r="AG39" i="67"/>
  <c r="AF39" i="67"/>
  <c r="AH27" i="67"/>
  <c r="AG27" i="67"/>
  <c r="AF27" i="67"/>
  <c r="AH26" i="67"/>
  <c r="AG26" i="67"/>
  <c r="AF26" i="67"/>
  <c r="AH25" i="67"/>
  <c r="AG25" i="67"/>
  <c r="AF25" i="67"/>
  <c r="AH24" i="67"/>
  <c r="AG24" i="67"/>
  <c r="AF24" i="67"/>
  <c r="AH23" i="67"/>
  <c r="AG23" i="67"/>
  <c r="AF23" i="67"/>
  <c r="AH22" i="67"/>
  <c r="AG22" i="67"/>
  <c r="AF22" i="67"/>
  <c r="AH21" i="67"/>
  <c r="AG21" i="67"/>
  <c r="AF21" i="67"/>
  <c r="AH20" i="67"/>
  <c r="AG20" i="67"/>
  <c r="AF20" i="67"/>
  <c r="AH19" i="67"/>
  <c r="AG19" i="67"/>
  <c r="AF19" i="67"/>
  <c r="AH18" i="67"/>
  <c r="AG18" i="67"/>
  <c r="AF18" i="67"/>
  <c r="AH17" i="67"/>
  <c r="AG17" i="67"/>
  <c r="AF17" i="67"/>
  <c r="AH16" i="67"/>
  <c r="AG16" i="67"/>
  <c r="AF16" i="67"/>
  <c r="AH15" i="67"/>
  <c r="AG15" i="67"/>
  <c r="AF15" i="67"/>
  <c r="AH14" i="67"/>
  <c r="AG14" i="67"/>
  <c r="AF14" i="67"/>
  <c r="AH13" i="67"/>
  <c r="AG13" i="67"/>
  <c r="AF13" i="67"/>
  <c r="AH12" i="67"/>
  <c r="AG12" i="67"/>
  <c r="AF12" i="67"/>
  <c r="AH11" i="67"/>
  <c r="AG11" i="67"/>
  <c r="AF11" i="67"/>
  <c r="AH10" i="67"/>
  <c r="AG10" i="67"/>
  <c r="AF10" i="67"/>
  <c r="AH9" i="67"/>
  <c r="AG9" i="67"/>
  <c r="AF9" i="67"/>
  <c r="AH8" i="67"/>
  <c r="AG8" i="67"/>
  <c r="AF8" i="67"/>
  <c r="AA42" i="67"/>
  <c r="Z42" i="67"/>
  <c r="Y42" i="67"/>
  <c r="AA41" i="67"/>
  <c r="Z41" i="67"/>
  <c r="Y41" i="67"/>
  <c r="AA40" i="67"/>
  <c r="Z40" i="67"/>
  <c r="Y40" i="67"/>
  <c r="AA39" i="67"/>
  <c r="Z39" i="67"/>
  <c r="Y39" i="67"/>
  <c r="AA27" i="67"/>
  <c r="Z27" i="67"/>
  <c r="Y27" i="67"/>
  <c r="AA26" i="67"/>
  <c r="Z26" i="67"/>
  <c r="Y26" i="67"/>
  <c r="AA25" i="67"/>
  <c r="Z25" i="67"/>
  <c r="Y25" i="67"/>
  <c r="AA24" i="67"/>
  <c r="Z24" i="67"/>
  <c r="Y24" i="67"/>
  <c r="AA23" i="67"/>
  <c r="Z23" i="67"/>
  <c r="Y23" i="67"/>
  <c r="AA22" i="67"/>
  <c r="Z22" i="67"/>
  <c r="Y22" i="67"/>
  <c r="AA21" i="67"/>
  <c r="Z21" i="67"/>
  <c r="Y21" i="67"/>
  <c r="AA20" i="67"/>
  <c r="Z20" i="67"/>
  <c r="Y20" i="67"/>
  <c r="AA19" i="67"/>
  <c r="Z19" i="67"/>
  <c r="Y19" i="67"/>
  <c r="AA18" i="67"/>
  <c r="Z18" i="67"/>
  <c r="Y18" i="67"/>
  <c r="AA17" i="67"/>
  <c r="Z17" i="67"/>
  <c r="Y17" i="67"/>
  <c r="AA16" i="67"/>
  <c r="Z16" i="67"/>
  <c r="Y16" i="67"/>
  <c r="AA15" i="67"/>
  <c r="Z15" i="67"/>
  <c r="Y15" i="67"/>
  <c r="AA14" i="67"/>
  <c r="Z14" i="67"/>
  <c r="Y14" i="67"/>
  <c r="AA13" i="67"/>
  <c r="Z13" i="67"/>
  <c r="Y13" i="67"/>
  <c r="AA12" i="67"/>
  <c r="Z12" i="67"/>
  <c r="Y12" i="67"/>
  <c r="AA11" i="67"/>
  <c r="Z11" i="67"/>
  <c r="Y11" i="67"/>
  <c r="AA10" i="67"/>
  <c r="Z10" i="67"/>
  <c r="Y10" i="67"/>
  <c r="AA9" i="67"/>
  <c r="Z9" i="67"/>
  <c r="Y9" i="67"/>
  <c r="AA8" i="67"/>
  <c r="BI8" i="67" s="1"/>
  <c r="Z8" i="67"/>
  <c r="BG8" i="67" s="1"/>
  <c r="Y8" i="67"/>
  <c r="AS52" i="77"/>
  <c r="AR52" i="77"/>
  <c r="AQ52" i="77"/>
  <c r="AS51" i="77"/>
  <c r="AR51" i="77"/>
  <c r="AQ51" i="77"/>
  <c r="AS29" i="77"/>
  <c r="AR29" i="77"/>
  <c r="AQ29" i="77"/>
  <c r="AS28" i="77"/>
  <c r="AR28" i="77"/>
  <c r="AQ28" i="77"/>
  <c r="AS27" i="77"/>
  <c r="AR27" i="77"/>
  <c r="AQ27" i="77"/>
  <c r="AS26" i="77"/>
  <c r="AR26" i="77"/>
  <c r="AQ26" i="77"/>
  <c r="AS25" i="77"/>
  <c r="AR25" i="77"/>
  <c r="AQ25" i="77"/>
  <c r="AS24" i="77"/>
  <c r="AR24" i="77"/>
  <c r="AQ24" i="77"/>
  <c r="AS23" i="77"/>
  <c r="AR23" i="77"/>
  <c r="AQ23" i="77"/>
  <c r="AS22" i="77"/>
  <c r="AR22" i="77"/>
  <c r="AQ22" i="77"/>
  <c r="AS21" i="77"/>
  <c r="AR21" i="77"/>
  <c r="AQ21" i="77"/>
  <c r="AS20" i="77"/>
  <c r="AR20" i="77"/>
  <c r="AQ20" i="77"/>
  <c r="AS19" i="77"/>
  <c r="AR19" i="77"/>
  <c r="AQ19" i="77"/>
  <c r="AS18" i="77"/>
  <c r="AR18" i="77"/>
  <c r="AQ18" i="77"/>
  <c r="AS17" i="77"/>
  <c r="AR17" i="77"/>
  <c r="AQ17" i="77"/>
  <c r="AS16" i="77"/>
  <c r="AR16" i="77"/>
  <c r="AQ16" i="77"/>
  <c r="AS15" i="77"/>
  <c r="AR15" i="77"/>
  <c r="AQ15" i="77"/>
  <c r="AS14" i="77"/>
  <c r="AR14" i="77"/>
  <c r="AQ14" i="77"/>
  <c r="AS13" i="77"/>
  <c r="AR13" i="77"/>
  <c r="AQ13" i="77"/>
  <c r="AS12" i="77"/>
  <c r="AR12" i="77"/>
  <c r="AQ12" i="77"/>
  <c r="AS11" i="77"/>
  <c r="AR11" i="77"/>
  <c r="AQ11" i="77"/>
  <c r="AS10" i="77"/>
  <c r="AR10" i="77"/>
  <c r="AQ10" i="77"/>
  <c r="AS9" i="77"/>
  <c r="AR9" i="77"/>
  <c r="AQ9" i="77"/>
  <c r="AS8" i="77"/>
  <c r="AR8" i="77"/>
  <c r="AQ8" i="77"/>
  <c r="AL52" i="77"/>
  <c r="AK52" i="77"/>
  <c r="AJ52" i="77"/>
  <c r="AL51" i="77"/>
  <c r="AK51" i="77"/>
  <c r="AJ51" i="77"/>
  <c r="AL29" i="77"/>
  <c r="AK29" i="77"/>
  <c r="AJ29" i="77"/>
  <c r="AL28" i="77"/>
  <c r="AK28" i="77"/>
  <c r="AJ28" i="77"/>
  <c r="AL27" i="77"/>
  <c r="AK27" i="77"/>
  <c r="AJ27" i="77"/>
  <c r="AL26" i="77"/>
  <c r="AK26" i="77"/>
  <c r="AJ26" i="77"/>
  <c r="AL25" i="77"/>
  <c r="AK25" i="77"/>
  <c r="AJ25" i="77"/>
  <c r="AL24" i="77"/>
  <c r="AK24" i="77"/>
  <c r="AJ24" i="77"/>
  <c r="AL23" i="77"/>
  <c r="AK23" i="77"/>
  <c r="AJ23" i="77"/>
  <c r="AL22" i="77"/>
  <c r="AK22" i="77"/>
  <c r="AJ22" i="77"/>
  <c r="AL21" i="77"/>
  <c r="AK21" i="77"/>
  <c r="AJ21" i="77"/>
  <c r="AL20" i="77"/>
  <c r="AK20" i="77"/>
  <c r="AJ20" i="77"/>
  <c r="AL19" i="77"/>
  <c r="AK19" i="77"/>
  <c r="AJ19" i="77"/>
  <c r="AL18" i="77"/>
  <c r="AK18" i="77"/>
  <c r="AJ18" i="77"/>
  <c r="AL17" i="77"/>
  <c r="AK17" i="77"/>
  <c r="AJ17" i="77"/>
  <c r="AL16" i="77"/>
  <c r="AK16" i="77"/>
  <c r="AJ16" i="77"/>
  <c r="AL15" i="77"/>
  <c r="AK15" i="77"/>
  <c r="AJ15" i="77"/>
  <c r="AL14" i="77"/>
  <c r="AK14" i="77"/>
  <c r="AJ14" i="77"/>
  <c r="AL13" i="77"/>
  <c r="AK13" i="77"/>
  <c r="AJ13" i="77"/>
  <c r="AL12" i="77"/>
  <c r="AK12" i="77"/>
  <c r="AJ12" i="77"/>
  <c r="AL11" i="77"/>
  <c r="AK11" i="77"/>
  <c r="AJ11" i="77"/>
  <c r="AL10" i="77"/>
  <c r="AK10" i="77"/>
  <c r="AJ10" i="77"/>
  <c r="AL9" i="77"/>
  <c r="AK9" i="77"/>
  <c r="AJ9" i="77"/>
  <c r="AL8" i="77"/>
  <c r="AK8" i="77"/>
  <c r="AJ8" i="77"/>
  <c r="AE52" i="77"/>
  <c r="AD52" i="77"/>
  <c r="AC52" i="77"/>
  <c r="AE51" i="77"/>
  <c r="AD51" i="77"/>
  <c r="AC51" i="77"/>
  <c r="AE29" i="77"/>
  <c r="AD29" i="77"/>
  <c r="AC29" i="77"/>
  <c r="AE28" i="77"/>
  <c r="AD28" i="77"/>
  <c r="AC28" i="77"/>
  <c r="AE27" i="77"/>
  <c r="AD27" i="77"/>
  <c r="AC27" i="77"/>
  <c r="AE26" i="77"/>
  <c r="AD26" i="77"/>
  <c r="AC26" i="77"/>
  <c r="AE25" i="77"/>
  <c r="AD25" i="77"/>
  <c r="AC25" i="77"/>
  <c r="AE24" i="77"/>
  <c r="AD24" i="77"/>
  <c r="AC24" i="77"/>
  <c r="AE23" i="77"/>
  <c r="AD23" i="77"/>
  <c r="AC23" i="77"/>
  <c r="AE22" i="77"/>
  <c r="AD22" i="77"/>
  <c r="AC22" i="77"/>
  <c r="AE21" i="77"/>
  <c r="AD21" i="77"/>
  <c r="AC21" i="77"/>
  <c r="AE20" i="77"/>
  <c r="AD20" i="77"/>
  <c r="AC20" i="77"/>
  <c r="AE19" i="77"/>
  <c r="AD19" i="77"/>
  <c r="AC19" i="77"/>
  <c r="AE18" i="77"/>
  <c r="AD18" i="77"/>
  <c r="AC18" i="77"/>
  <c r="AE17" i="77"/>
  <c r="AD17" i="77"/>
  <c r="AC17" i="77"/>
  <c r="AE16" i="77"/>
  <c r="AD16" i="77"/>
  <c r="AC16" i="77"/>
  <c r="AE15" i="77"/>
  <c r="AD15" i="77"/>
  <c r="AC15" i="77"/>
  <c r="AE14" i="77"/>
  <c r="AD14" i="77"/>
  <c r="AC14" i="77"/>
  <c r="AE13" i="77"/>
  <c r="AD13" i="77"/>
  <c r="AC13" i="77"/>
  <c r="AE12" i="77"/>
  <c r="AD12" i="77"/>
  <c r="AC12" i="77"/>
  <c r="AE11" i="77"/>
  <c r="AD11" i="77"/>
  <c r="AC11" i="77"/>
  <c r="AE10" i="77"/>
  <c r="AD10" i="77"/>
  <c r="AC10" i="77"/>
  <c r="AE9" i="77"/>
  <c r="AD9" i="77"/>
  <c r="AC9" i="77"/>
  <c r="AE8" i="77"/>
  <c r="AD8" i="77"/>
  <c r="AC8" i="77"/>
  <c r="AS52" i="76"/>
  <c r="AR52" i="76"/>
  <c r="AQ52" i="76"/>
  <c r="AS51" i="76"/>
  <c r="AR51" i="76"/>
  <c r="AQ51" i="76"/>
  <c r="AS50" i="76"/>
  <c r="AR50" i="76"/>
  <c r="AQ50" i="76"/>
  <c r="AS49" i="76"/>
  <c r="AR49" i="76"/>
  <c r="AQ49" i="76"/>
  <c r="AS27" i="76"/>
  <c r="AR27" i="76"/>
  <c r="AQ27" i="76"/>
  <c r="AS26" i="76"/>
  <c r="AR26" i="76"/>
  <c r="AQ26" i="76"/>
  <c r="AS25" i="76"/>
  <c r="AR25" i="76"/>
  <c r="AQ25" i="76"/>
  <c r="AS24" i="76"/>
  <c r="AR24" i="76"/>
  <c r="AQ24" i="76"/>
  <c r="AS23" i="76"/>
  <c r="AR23" i="76"/>
  <c r="AQ23" i="76"/>
  <c r="AS22" i="76"/>
  <c r="AR22" i="76"/>
  <c r="AQ22" i="76"/>
  <c r="AS21" i="76"/>
  <c r="AR21" i="76"/>
  <c r="AQ21" i="76"/>
  <c r="AS20" i="76"/>
  <c r="AR20" i="76"/>
  <c r="AQ20" i="76"/>
  <c r="AS19" i="76"/>
  <c r="AR19" i="76"/>
  <c r="AQ19" i="76"/>
  <c r="AS18" i="76"/>
  <c r="AR18" i="76"/>
  <c r="AQ18" i="76"/>
  <c r="AS17" i="76"/>
  <c r="AR17" i="76"/>
  <c r="AQ17" i="76"/>
  <c r="AS16" i="76"/>
  <c r="AR16" i="76"/>
  <c r="AQ16" i="76"/>
  <c r="AS15" i="76"/>
  <c r="AR15" i="76"/>
  <c r="AQ15" i="76"/>
  <c r="AS14" i="76"/>
  <c r="AR14" i="76"/>
  <c r="AQ14" i="76"/>
  <c r="AS13" i="76"/>
  <c r="AR13" i="76"/>
  <c r="AQ13" i="76"/>
  <c r="AS12" i="76"/>
  <c r="AR12" i="76"/>
  <c r="AQ12" i="76"/>
  <c r="AS11" i="76"/>
  <c r="AR11" i="76"/>
  <c r="AQ11" i="76"/>
  <c r="AS10" i="76"/>
  <c r="AR10" i="76"/>
  <c r="AQ10" i="76"/>
  <c r="AS9" i="76"/>
  <c r="AR9" i="76"/>
  <c r="AQ9" i="76"/>
  <c r="AS8" i="76"/>
  <c r="AR8" i="76"/>
  <c r="AQ8" i="76"/>
  <c r="AL52" i="76"/>
  <c r="AK52" i="76"/>
  <c r="AJ52" i="76"/>
  <c r="AL51" i="76"/>
  <c r="AK51" i="76"/>
  <c r="AJ51" i="76"/>
  <c r="AL50" i="76"/>
  <c r="AK50" i="76"/>
  <c r="AJ50" i="76"/>
  <c r="AL49" i="76"/>
  <c r="AK49" i="76"/>
  <c r="AJ49" i="76"/>
  <c r="AL27" i="76"/>
  <c r="AK27" i="76"/>
  <c r="AJ27" i="76"/>
  <c r="AL26" i="76"/>
  <c r="AK26" i="76"/>
  <c r="AJ26" i="76"/>
  <c r="AL25" i="76"/>
  <c r="AK25" i="76"/>
  <c r="AJ25" i="76"/>
  <c r="AL24" i="76"/>
  <c r="AK24" i="76"/>
  <c r="AJ24" i="76"/>
  <c r="AL23" i="76"/>
  <c r="AK23" i="76"/>
  <c r="AJ23" i="76"/>
  <c r="AL22" i="76"/>
  <c r="AK22" i="76"/>
  <c r="AJ22" i="76"/>
  <c r="AL21" i="76"/>
  <c r="AK21" i="76"/>
  <c r="AJ21" i="76"/>
  <c r="AL20" i="76"/>
  <c r="AK20" i="76"/>
  <c r="AJ20" i="76"/>
  <c r="AL19" i="76"/>
  <c r="AK19" i="76"/>
  <c r="AJ19" i="76"/>
  <c r="AL18" i="76"/>
  <c r="AK18" i="76"/>
  <c r="AJ18" i="76"/>
  <c r="AL17" i="76"/>
  <c r="AK17" i="76"/>
  <c r="AJ17" i="76"/>
  <c r="AL16" i="76"/>
  <c r="AK16" i="76"/>
  <c r="AJ16" i="76"/>
  <c r="AL15" i="76"/>
  <c r="AK15" i="76"/>
  <c r="AJ15" i="76"/>
  <c r="AL14" i="76"/>
  <c r="AK14" i="76"/>
  <c r="AJ14" i="76"/>
  <c r="AL13" i="76"/>
  <c r="AK13" i="76"/>
  <c r="AJ13" i="76"/>
  <c r="AL12" i="76"/>
  <c r="AK12" i="76"/>
  <c r="AJ12" i="76"/>
  <c r="AL11" i="76"/>
  <c r="AK11" i="76"/>
  <c r="AJ11" i="76"/>
  <c r="AL10" i="76"/>
  <c r="AK10" i="76"/>
  <c r="AJ10" i="76"/>
  <c r="AL9" i="76"/>
  <c r="AK9" i="76"/>
  <c r="AJ9" i="76"/>
  <c r="AL8" i="76"/>
  <c r="AK8" i="76"/>
  <c r="AJ8" i="76"/>
  <c r="AE52" i="76"/>
  <c r="AD52" i="76"/>
  <c r="AC52" i="76"/>
  <c r="AE51" i="76"/>
  <c r="AD51" i="76"/>
  <c r="AC51" i="76"/>
  <c r="AE50" i="76"/>
  <c r="AD50" i="76"/>
  <c r="AC50" i="76"/>
  <c r="AE49" i="76"/>
  <c r="AD49" i="76"/>
  <c r="AC49" i="76"/>
  <c r="AE27" i="76"/>
  <c r="AD27" i="76"/>
  <c r="AC27" i="76"/>
  <c r="AE26" i="76"/>
  <c r="AD26" i="76"/>
  <c r="AC26" i="76"/>
  <c r="AE25" i="76"/>
  <c r="AD25" i="76"/>
  <c r="AC25" i="76"/>
  <c r="AE24" i="76"/>
  <c r="AD24" i="76"/>
  <c r="AC24" i="76"/>
  <c r="AE23" i="76"/>
  <c r="AD23" i="76"/>
  <c r="AC23" i="76"/>
  <c r="AE22" i="76"/>
  <c r="AD22" i="76"/>
  <c r="AC22" i="76"/>
  <c r="AE21" i="76"/>
  <c r="AD21" i="76"/>
  <c r="AC21" i="76"/>
  <c r="AE20" i="76"/>
  <c r="AD20" i="76"/>
  <c r="AC20" i="76"/>
  <c r="AE19" i="76"/>
  <c r="AD19" i="76"/>
  <c r="AC19" i="76"/>
  <c r="AE18" i="76"/>
  <c r="AD18" i="76"/>
  <c r="AC18" i="76"/>
  <c r="AE17" i="76"/>
  <c r="AD17" i="76"/>
  <c r="AC17" i="76"/>
  <c r="AE16" i="76"/>
  <c r="AD16" i="76"/>
  <c r="AC16" i="76"/>
  <c r="AE15" i="76"/>
  <c r="AD15" i="76"/>
  <c r="AC15" i="76"/>
  <c r="AE14" i="76"/>
  <c r="AD14" i="76"/>
  <c r="AC14" i="76"/>
  <c r="AE13" i="76"/>
  <c r="AD13" i="76"/>
  <c r="AC13" i="76"/>
  <c r="AE12" i="76"/>
  <c r="AD12" i="76"/>
  <c r="AC12" i="76"/>
  <c r="AE11" i="76"/>
  <c r="AD11" i="76"/>
  <c r="AC11" i="76"/>
  <c r="AE10" i="76"/>
  <c r="AD10" i="76"/>
  <c r="AC10" i="76"/>
  <c r="AE9" i="76"/>
  <c r="AD9" i="76"/>
  <c r="AC9" i="76"/>
  <c r="AE8" i="76"/>
  <c r="AD8" i="76"/>
  <c r="AC8" i="76"/>
  <c r="BK31" i="81"/>
  <c r="BJ31" i="81"/>
  <c r="BI31" i="81"/>
  <c r="BK30" i="81"/>
  <c r="BJ30" i="81"/>
  <c r="BI30" i="81"/>
  <c r="BK29" i="81"/>
  <c r="BJ29" i="81"/>
  <c r="BI29" i="81"/>
  <c r="BK28" i="81"/>
  <c r="BJ28" i="81"/>
  <c r="BI28" i="81"/>
  <c r="BK27" i="81"/>
  <c r="BJ27" i="81"/>
  <c r="BI27" i="81"/>
  <c r="BK26" i="81"/>
  <c r="BJ26" i="81"/>
  <c r="BI26" i="81"/>
  <c r="BK25" i="81"/>
  <c r="BJ25" i="81"/>
  <c r="BI25" i="81"/>
  <c r="BK24" i="81"/>
  <c r="BJ24" i="81"/>
  <c r="BI24" i="81"/>
  <c r="BK23" i="81"/>
  <c r="BJ23" i="81"/>
  <c r="BI23" i="81"/>
  <c r="BK22" i="81"/>
  <c r="BJ22" i="81"/>
  <c r="BI22" i="81"/>
  <c r="BK21" i="81"/>
  <c r="BJ21" i="81"/>
  <c r="BI21" i="81"/>
  <c r="BK20" i="81"/>
  <c r="BJ20" i="81"/>
  <c r="BI20" i="81"/>
  <c r="BK19" i="81"/>
  <c r="BJ19" i="81"/>
  <c r="BI19" i="81"/>
  <c r="BK18" i="81"/>
  <c r="BJ18" i="81"/>
  <c r="BI18" i="81"/>
  <c r="BK17" i="81"/>
  <c r="BJ17" i="81"/>
  <c r="BI17" i="81"/>
  <c r="BK16" i="81"/>
  <c r="BJ16" i="81"/>
  <c r="BI16" i="81"/>
  <c r="BK15" i="81"/>
  <c r="BJ15" i="81"/>
  <c r="BI15" i="81"/>
  <c r="BK14" i="81"/>
  <c r="BJ14" i="81"/>
  <c r="BI14" i="81"/>
  <c r="BK13" i="81"/>
  <c r="BJ13" i="81"/>
  <c r="BI13" i="81"/>
  <c r="BK12" i="81"/>
  <c r="BJ12" i="81"/>
  <c r="BI12" i="81"/>
  <c r="BK11" i="81"/>
  <c r="BJ11" i="81"/>
  <c r="BI11" i="81"/>
  <c r="BK10" i="81"/>
  <c r="BJ10" i="81"/>
  <c r="BI10" i="81"/>
  <c r="BK9" i="81"/>
  <c r="BJ9" i="81"/>
  <c r="BI9" i="81"/>
  <c r="BK8" i="81"/>
  <c r="BJ8" i="81"/>
  <c r="BI8" i="81"/>
  <c r="BD31" i="81"/>
  <c r="BC31" i="81"/>
  <c r="BB31" i="81"/>
  <c r="BD30" i="81"/>
  <c r="BC30" i="81"/>
  <c r="BB30" i="81"/>
  <c r="BD29" i="81"/>
  <c r="BC29" i="81"/>
  <c r="BB29" i="81"/>
  <c r="BD28" i="81"/>
  <c r="BC28" i="81"/>
  <c r="BB28" i="81"/>
  <c r="BD27" i="81"/>
  <c r="BC27" i="81"/>
  <c r="BB27" i="81"/>
  <c r="BD26" i="81"/>
  <c r="BC26" i="81"/>
  <c r="BB26" i="81"/>
  <c r="BD25" i="81"/>
  <c r="BC25" i="81"/>
  <c r="BB25" i="81"/>
  <c r="BD24" i="81"/>
  <c r="BC24" i="81"/>
  <c r="BB24" i="81"/>
  <c r="BD23" i="81"/>
  <c r="BC23" i="81"/>
  <c r="BB23" i="81"/>
  <c r="BD22" i="81"/>
  <c r="BC22" i="81"/>
  <c r="BB22" i="81"/>
  <c r="BD21" i="81"/>
  <c r="BC21" i="81"/>
  <c r="BB21" i="81"/>
  <c r="BD20" i="81"/>
  <c r="BC20" i="81"/>
  <c r="BB20" i="81"/>
  <c r="BD19" i="81"/>
  <c r="BC19" i="81"/>
  <c r="BB19" i="81"/>
  <c r="BD18" i="81"/>
  <c r="BC18" i="81"/>
  <c r="BB18" i="81"/>
  <c r="BD17" i="81"/>
  <c r="BC17" i="81"/>
  <c r="BB17" i="81"/>
  <c r="BD16" i="81"/>
  <c r="BC16" i="81"/>
  <c r="BB16" i="81"/>
  <c r="BD15" i="81"/>
  <c r="BC15" i="81"/>
  <c r="BB15" i="81"/>
  <c r="BD14" i="81"/>
  <c r="BC14" i="81"/>
  <c r="BB14" i="81"/>
  <c r="BD13" i="81"/>
  <c r="BC13" i="81"/>
  <c r="BB13" i="81"/>
  <c r="BD12" i="81"/>
  <c r="BC12" i="81"/>
  <c r="BB12" i="81"/>
  <c r="BD11" i="81"/>
  <c r="BC11" i="81"/>
  <c r="BB11" i="81"/>
  <c r="BD10" i="81"/>
  <c r="BC10" i="81"/>
  <c r="BB10" i="81"/>
  <c r="BD9" i="81"/>
  <c r="BC9" i="81"/>
  <c r="BB9" i="81"/>
  <c r="BD8" i="81"/>
  <c r="BC8" i="81"/>
  <c r="BB8" i="81"/>
  <c r="AW31" i="81"/>
  <c r="AV31" i="81"/>
  <c r="AU31" i="81"/>
  <c r="AW30" i="81"/>
  <c r="AV30" i="81"/>
  <c r="AU30" i="81"/>
  <c r="AW29" i="81"/>
  <c r="AV29" i="81"/>
  <c r="AU29" i="81"/>
  <c r="AW28" i="81"/>
  <c r="AV28" i="81"/>
  <c r="AU28" i="81"/>
  <c r="AW27" i="81"/>
  <c r="AV27" i="81"/>
  <c r="AU27" i="81"/>
  <c r="AW26" i="81"/>
  <c r="AV26" i="81"/>
  <c r="AU26" i="81"/>
  <c r="AW25" i="81"/>
  <c r="AV25" i="81"/>
  <c r="AU25" i="81"/>
  <c r="AW24" i="81"/>
  <c r="AV24" i="81"/>
  <c r="AU24" i="81"/>
  <c r="AW23" i="81"/>
  <c r="AV23" i="81"/>
  <c r="AU23" i="81"/>
  <c r="AW22" i="81"/>
  <c r="AV22" i="81"/>
  <c r="AU22" i="81"/>
  <c r="AW21" i="81"/>
  <c r="AV21" i="81"/>
  <c r="AU21" i="81"/>
  <c r="AW20" i="81"/>
  <c r="AV20" i="81"/>
  <c r="AU20" i="81"/>
  <c r="AW19" i="81"/>
  <c r="AV19" i="81"/>
  <c r="AU19" i="81"/>
  <c r="AW18" i="81"/>
  <c r="AV18" i="81"/>
  <c r="AU18" i="81"/>
  <c r="AW17" i="81"/>
  <c r="AV17" i="81"/>
  <c r="AU17" i="81"/>
  <c r="AW16" i="81"/>
  <c r="AV16" i="81"/>
  <c r="AU16" i="81"/>
  <c r="AW15" i="81"/>
  <c r="AV15" i="81"/>
  <c r="AU15" i="81"/>
  <c r="AW14" i="81"/>
  <c r="AV14" i="81"/>
  <c r="AU14" i="81"/>
  <c r="AW13" i="81"/>
  <c r="AV13" i="81"/>
  <c r="AU13" i="81"/>
  <c r="AW12" i="81"/>
  <c r="AV12" i="81"/>
  <c r="AU12" i="81"/>
  <c r="AW11" i="81"/>
  <c r="AV11" i="81"/>
  <c r="AU11" i="81"/>
  <c r="AW10" i="81"/>
  <c r="AV10" i="81"/>
  <c r="AU10" i="81"/>
  <c r="AW9" i="81"/>
  <c r="AV9" i="81"/>
  <c r="AU9" i="81"/>
  <c r="AW8" i="81"/>
  <c r="AV8" i="81"/>
  <c r="AU8" i="81"/>
  <c r="AP31" i="81"/>
  <c r="AO31" i="81"/>
  <c r="AN31" i="81"/>
  <c r="AP30" i="81"/>
  <c r="AO30" i="81"/>
  <c r="AN30" i="81"/>
  <c r="AP29" i="81"/>
  <c r="AO29" i="81"/>
  <c r="AN29" i="81"/>
  <c r="AP28" i="81"/>
  <c r="AO28" i="81"/>
  <c r="AN28" i="81"/>
  <c r="AP27" i="81"/>
  <c r="AO27" i="81"/>
  <c r="AN27" i="81"/>
  <c r="AP26" i="81"/>
  <c r="AO26" i="81"/>
  <c r="AN26" i="81"/>
  <c r="AP25" i="81"/>
  <c r="AO25" i="81"/>
  <c r="AN25" i="81"/>
  <c r="AP24" i="81"/>
  <c r="AO24" i="81"/>
  <c r="AN24" i="81"/>
  <c r="AP23" i="81"/>
  <c r="AO23" i="81"/>
  <c r="AN23" i="81"/>
  <c r="AP22" i="81"/>
  <c r="AO22" i="81"/>
  <c r="AN22" i="81"/>
  <c r="AP21" i="81"/>
  <c r="AO21" i="81"/>
  <c r="AN21" i="81"/>
  <c r="AP20" i="81"/>
  <c r="AO20" i="81"/>
  <c r="AN20" i="81"/>
  <c r="AP19" i="81"/>
  <c r="AO19" i="81"/>
  <c r="AN19" i="81"/>
  <c r="AP18" i="81"/>
  <c r="AO18" i="81"/>
  <c r="AN18" i="81"/>
  <c r="AP17" i="81"/>
  <c r="AO17" i="81"/>
  <c r="AN17" i="81"/>
  <c r="AP16" i="81"/>
  <c r="AO16" i="81"/>
  <c r="AN16" i="81"/>
  <c r="AP15" i="81"/>
  <c r="AO15" i="81"/>
  <c r="AN15" i="81"/>
  <c r="AP14" i="81"/>
  <c r="AO14" i="81"/>
  <c r="AN14" i="81"/>
  <c r="AP13" i="81"/>
  <c r="AO13" i="81"/>
  <c r="AN13" i="81"/>
  <c r="AP12" i="81"/>
  <c r="AO12" i="81"/>
  <c r="AN12" i="81"/>
  <c r="AP11" i="81"/>
  <c r="AO11" i="81"/>
  <c r="AN11" i="81"/>
  <c r="AP10" i="81"/>
  <c r="AO10" i="81"/>
  <c r="AN10" i="81"/>
  <c r="AP9" i="81"/>
  <c r="AO9" i="81"/>
  <c r="AN9" i="81"/>
  <c r="AP8" i="81"/>
  <c r="AO8" i="81"/>
  <c r="AN8" i="81"/>
  <c r="AI31" i="81"/>
  <c r="AH31" i="81"/>
  <c r="AG31" i="81"/>
  <c r="AI30" i="81"/>
  <c r="AH30" i="81"/>
  <c r="AG30" i="81"/>
  <c r="AI29" i="81"/>
  <c r="AH29" i="81"/>
  <c r="AG29" i="81"/>
  <c r="AI28" i="81"/>
  <c r="AH28" i="81"/>
  <c r="AG28" i="81"/>
  <c r="AI27" i="81"/>
  <c r="AH27" i="81"/>
  <c r="AG27" i="81"/>
  <c r="AI26" i="81"/>
  <c r="AH26" i="81"/>
  <c r="AG26" i="81"/>
  <c r="AI25" i="81"/>
  <c r="AH25" i="81"/>
  <c r="AG25" i="81"/>
  <c r="AI24" i="81"/>
  <c r="AH24" i="81"/>
  <c r="AG24" i="81"/>
  <c r="AI23" i="81"/>
  <c r="AH23" i="81"/>
  <c r="AG23" i="81"/>
  <c r="AI22" i="81"/>
  <c r="AH22" i="81"/>
  <c r="AG22" i="81"/>
  <c r="AI21" i="81"/>
  <c r="AH21" i="81"/>
  <c r="AG21" i="81"/>
  <c r="AI20" i="81"/>
  <c r="AH20" i="81"/>
  <c r="AG20" i="81"/>
  <c r="AI19" i="81"/>
  <c r="AH19" i="81"/>
  <c r="AG19" i="81"/>
  <c r="AI18" i="81"/>
  <c r="AH18" i="81"/>
  <c r="AG18" i="81"/>
  <c r="AI17" i="81"/>
  <c r="AH17" i="81"/>
  <c r="AG17" i="81"/>
  <c r="AI16" i="81"/>
  <c r="AH16" i="81"/>
  <c r="AG16" i="81"/>
  <c r="AI15" i="81"/>
  <c r="AH15" i="81"/>
  <c r="AG15" i="81"/>
  <c r="AI14" i="81"/>
  <c r="AH14" i="81"/>
  <c r="AG14" i="81"/>
  <c r="AI13" i="81"/>
  <c r="AH13" i="81"/>
  <c r="AG13" i="81"/>
  <c r="AI12" i="81"/>
  <c r="AH12" i="81"/>
  <c r="AG12" i="81"/>
  <c r="AI11" i="81"/>
  <c r="AH11" i="81"/>
  <c r="AG11" i="81"/>
  <c r="AI10" i="81"/>
  <c r="AH10" i="81"/>
  <c r="AG10" i="81"/>
  <c r="AI9" i="81"/>
  <c r="AH9" i="81"/>
  <c r="AG9" i="81"/>
  <c r="AI8" i="81"/>
  <c r="AH8" i="81"/>
  <c r="AG8" i="81"/>
  <c r="BK31" i="80"/>
  <c r="BJ31" i="80"/>
  <c r="BI31" i="80"/>
  <c r="BK30" i="80"/>
  <c r="BJ30" i="80"/>
  <c r="BI30" i="80"/>
  <c r="BK29" i="80"/>
  <c r="BJ29" i="80"/>
  <c r="BI29" i="80"/>
  <c r="BK28" i="80"/>
  <c r="BJ28" i="80"/>
  <c r="BI28" i="80"/>
  <c r="BK27" i="80"/>
  <c r="BJ27" i="80"/>
  <c r="BI27" i="80"/>
  <c r="BK26" i="80"/>
  <c r="BJ26" i="80"/>
  <c r="BI26" i="80"/>
  <c r="BK25" i="80"/>
  <c r="BJ25" i="80"/>
  <c r="BI25" i="80"/>
  <c r="BK24" i="80"/>
  <c r="BJ24" i="80"/>
  <c r="BI24" i="80"/>
  <c r="BK23" i="80"/>
  <c r="BJ23" i="80"/>
  <c r="BI23" i="80"/>
  <c r="BK22" i="80"/>
  <c r="BJ22" i="80"/>
  <c r="BI22" i="80"/>
  <c r="BK21" i="80"/>
  <c r="BJ21" i="80"/>
  <c r="BI21" i="80"/>
  <c r="BK20" i="80"/>
  <c r="BJ20" i="80"/>
  <c r="BI20" i="80"/>
  <c r="BK19" i="80"/>
  <c r="BJ19" i="80"/>
  <c r="BI19" i="80"/>
  <c r="BK18" i="80"/>
  <c r="BJ18" i="80"/>
  <c r="BI18" i="80"/>
  <c r="BK17" i="80"/>
  <c r="BJ17" i="80"/>
  <c r="BI17" i="80"/>
  <c r="BK16" i="80"/>
  <c r="BJ16" i="80"/>
  <c r="BI16" i="80"/>
  <c r="BK15" i="80"/>
  <c r="BJ15" i="80"/>
  <c r="BI15" i="80"/>
  <c r="BK14" i="80"/>
  <c r="BJ14" i="80"/>
  <c r="BI14" i="80"/>
  <c r="BK13" i="80"/>
  <c r="BJ13" i="80"/>
  <c r="BI13" i="80"/>
  <c r="BK12" i="80"/>
  <c r="BJ12" i="80"/>
  <c r="BI12" i="80"/>
  <c r="BK11" i="80"/>
  <c r="BJ11" i="80"/>
  <c r="BI11" i="80"/>
  <c r="BK10" i="80"/>
  <c r="BJ10" i="80"/>
  <c r="BI10" i="80"/>
  <c r="BK9" i="80"/>
  <c r="BJ9" i="80"/>
  <c r="BI9" i="80"/>
  <c r="BK8" i="80"/>
  <c r="BJ8" i="80"/>
  <c r="BI8" i="80"/>
  <c r="BD31" i="80"/>
  <c r="BC31" i="80"/>
  <c r="BB31" i="80"/>
  <c r="BD30" i="80"/>
  <c r="BC30" i="80"/>
  <c r="BB30" i="80"/>
  <c r="BD29" i="80"/>
  <c r="BC29" i="80"/>
  <c r="BB29" i="80"/>
  <c r="BD28" i="80"/>
  <c r="BC28" i="80"/>
  <c r="BB28" i="80"/>
  <c r="BD27" i="80"/>
  <c r="BC27" i="80"/>
  <c r="BB27" i="80"/>
  <c r="BD26" i="80"/>
  <c r="BC26" i="80"/>
  <c r="BB26" i="80"/>
  <c r="BD25" i="80"/>
  <c r="BC25" i="80"/>
  <c r="BB25" i="80"/>
  <c r="BD24" i="80"/>
  <c r="BC24" i="80"/>
  <c r="BB24" i="80"/>
  <c r="BD23" i="80"/>
  <c r="BC23" i="80"/>
  <c r="BB23" i="80"/>
  <c r="BD22" i="80"/>
  <c r="BC22" i="80"/>
  <c r="BB22" i="80"/>
  <c r="BD21" i="80"/>
  <c r="BC21" i="80"/>
  <c r="BB21" i="80"/>
  <c r="BD20" i="80"/>
  <c r="BC20" i="80"/>
  <c r="BB20" i="80"/>
  <c r="BD19" i="80"/>
  <c r="BC19" i="80"/>
  <c r="BB19" i="80"/>
  <c r="BD18" i="80"/>
  <c r="BC18" i="80"/>
  <c r="BB18" i="80"/>
  <c r="BD17" i="80"/>
  <c r="BC17" i="80"/>
  <c r="BB17" i="80"/>
  <c r="BD16" i="80"/>
  <c r="BC16" i="80"/>
  <c r="BB16" i="80"/>
  <c r="BD15" i="80"/>
  <c r="BC15" i="80"/>
  <c r="BB15" i="80"/>
  <c r="BD14" i="80"/>
  <c r="BC14" i="80"/>
  <c r="BB14" i="80"/>
  <c r="BD13" i="80"/>
  <c r="BC13" i="80"/>
  <c r="BB13" i="80"/>
  <c r="BD12" i="80"/>
  <c r="BC12" i="80"/>
  <c r="BB12" i="80"/>
  <c r="BD11" i="80"/>
  <c r="BC11" i="80"/>
  <c r="BB11" i="80"/>
  <c r="BD10" i="80"/>
  <c r="BC10" i="80"/>
  <c r="BB10" i="80"/>
  <c r="BD9" i="80"/>
  <c r="BC9" i="80"/>
  <c r="BB9" i="80"/>
  <c r="BD8" i="80"/>
  <c r="BC8" i="80"/>
  <c r="BB8" i="80"/>
  <c r="AW31" i="80"/>
  <c r="AV31" i="80"/>
  <c r="AU31" i="80"/>
  <c r="AW30" i="80"/>
  <c r="AV30" i="80"/>
  <c r="AU30" i="80"/>
  <c r="AW29" i="80"/>
  <c r="AV29" i="80"/>
  <c r="AU29" i="80"/>
  <c r="AW28" i="80"/>
  <c r="AV28" i="80"/>
  <c r="AU28" i="80"/>
  <c r="AW27" i="80"/>
  <c r="AV27" i="80"/>
  <c r="AU27" i="80"/>
  <c r="AW26" i="80"/>
  <c r="AV26" i="80"/>
  <c r="AU26" i="80"/>
  <c r="AW25" i="80"/>
  <c r="AV25" i="80"/>
  <c r="AU25" i="80"/>
  <c r="AW24" i="80"/>
  <c r="AV24" i="80"/>
  <c r="AU24" i="80"/>
  <c r="AW23" i="80"/>
  <c r="AV23" i="80"/>
  <c r="AU23" i="80"/>
  <c r="AW22" i="80"/>
  <c r="AV22" i="80"/>
  <c r="AU22" i="80"/>
  <c r="AW21" i="80"/>
  <c r="AV21" i="80"/>
  <c r="AU21" i="80"/>
  <c r="AW20" i="80"/>
  <c r="AV20" i="80"/>
  <c r="AU20" i="80"/>
  <c r="AW19" i="80"/>
  <c r="AV19" i="80"/>
  <c r="AU19" i="80"/>
  <c r="AW18" i="80"/>
  <c r="AV18" i="80"/>
  <c r="AU18" i="80"/>
  <c r="AW17" i="80"/>
  <c r="AV17" i="80"/>
  <c r="AU17" i="80"/>
  <c r="AW16" i="80"/>
  <c r="AV16" i="80"/>
  <c r="AU16" i="80"/>
  <c r="AW15" i="80"/>
  <c r="AV15" i="80"/>
  <c r="AU15" i="80"/>
  <c r="AW14" i="80"/>
  <c r="AV14" i="80"/>
  <c r="AU14" i="80"/>
  <c r="AW13" i="80"/>
  <c r="AV13" i="80"/>
  <c r="AU13" i="80"/>
  <c r="AW12" i="80"/>
  <c r="AV12" i="80"/>
  <c r="AU12" i="80"/>
  <c r="AW11" i="80"/>
  <c r="AV11" i="80"/>
  <c r="AU11" i="80"/>
  <c r="AW10" i="80"/>
  <c r="AV10" i="80"/>
  <c r="AU10" i="80"/>
  <c r="AW9" i="80"/>
  <c r="AV9" i="80"/>
  <c r="AU9" i="80"/>
  <c r="AW8" i="80"/>
  <c r="AV8" i="80"/>
  <c r="AU8" i="80"/>
  <c r="AP31" i="80"/>
  <c r="AO31" i="80"/>
  <c r="AN31" i="80"/>
  <c r="AP30" i="80"/>
  <c r="AO30" i="80"/>
  <c r="AN30" i="80"/>
  <c r="AP29" i="80"/>
  <c r="AO29" i="80"/>
  <c r="AN29" i="80"/>
  <c r="AP28" i="80"/>
  <c r="AO28" i="80"/>
  <c r="AN28" i="80"/>
  <c r="AP27" i="80"/>
  <c r="AO27" i="80"/>
  <c r="AN27" i="80"/>
  <c r="AP26" i="80"/>
  <c r="AO26" i="80"/>
  <c r="AN26" i="80"/>
  <c r="AP25" i="80"/>
  <c r="AO25" i="80"/>
  <c r="AN25" i="80"/>
  <c r="AP24" i="80"/>
  <c r="AO24" i="80"/>
  <c r="AN24" i="80"/>
  <c r="AP23" i="80"/>
  <c r="AO23" i="80"/>
  <c r="AN23" i="80"/>
  <c r="AP22" i="80"/>
  <c r="AO22" i="80"/>
  <c r="AN22" i="80"/>
  <c r="AP21" i="80"/>
  <c r="AO21" i="80"/>
  <c r="AN21" i="80"/>
  <c r="AP20" i="80"/>
  <c r="AO20" i="80"/>
  <c r="AN20" i="80"/>
  <c r="AP19" i="80"/>
  <c r="AO19" i="80"/>
  <c r="AN19" i="80"/>
  <c r="AP18" i="80"/>
  <c r="AO18" i="80"/>
  <c r="AN18" i="80"/>
  <c r="AP17" i="80"/>
  <c r="AO17" i="80"/>
  <c r="AN17" i="80"/>
  <c r="AP16" i="80"/>
  <c r="AO16" i="80"/>
  <c r="AN16" i="80"/>
  <c r="AP15" i="80"/>
  <c r="AO15" i="80"/>
  <c r="AN15" i="80"/>
  <c r="AP14" i="80"/>
  <c r="AO14" i="80"/>
  <c r="AN14" i="80"/>
  <c r="AP13" i="80"/>
  <c r="AO13" i="80"/>
  <c r="AN13" i="80"/>
  <c r="AP12" i="80"/>
  <c r="AO12" i="80"/>
  <c r="AN12" i="80"/>
  <c r="AP11" i="80"/>
  <c r="AO11" i="80"/>
  <c r="AN11" i="80"/>
  <c r="AP10" i="80"/>
  <c r="AO10" i="80"/>
  <c r="AN10" i="80"/>
  <c r="AP9" i="80"/>
  <c r="AO9" i="80"/>
  <c r="AN9" i="80"/>
  <c r="AP8" i="80"/>
  <c r="AO8" i="80"/>
  <c r="AN8" i="80"/>
  <c r="AI31" i="80"/>
  <c r="AH31" i="80"/>
  <c r="AG31" i="80"/>
  <c r="AI30" i="80"/>
  <c r="AH30" i="80"/>
  <c r="AG30" i="80"/>
  <c r="AI29" i="80"/>
  <c r="AH29" i="80"/>
  <c r="AG29" i="80"/>
  <c r="AI28" i="80"/>
  <c r="AH28" i="80"/>
  <c r="AG28" i="80"/>
  <c r="AI27" i="80"/>
  <c r="AH27" i="80"/>
  <c r="AG27" i="80"/>
  <c r="AI26" i="80"/>
  <c r="AH26" i="80"/>
  <c r="AG26" i="80"/>
  <c r="AI25" i="80"/>
  <c r="AH25" i="80"/>
  <c r="AG25" i="80"/>
  <c r="AI24" i="80"/>
  <c r="AH24" i="80"/>
  <c r="AG24" i="80"/>
  <c r="AI23" i="80"/>
  <c r="AH23" i="80"/>
  <c r="AG23" i="80"/>
  <c r="AI22" i="80"/>
  <c r="AH22" i="80"/>
  <c r="AG22" i="80"/>
  <c r="AI21" i="80"/>
  <c r="AH21" i="80"/>
  <c r="AG21" i="80"/>
  <c r="AI20" i="80"/>
  <c r="AH20" i="80"/>
  <c r="AG20" i="80"/>
  <c r="AI19" i="80"/>
  <c r="AH19" i="80"/>
  <c r="AG19" i="80"/>
  <c r="AI18" i="80"/>
  <c r="AH18" i="80"/>
  <c r="AG18" i="80"/>
  <c r="AI17" i="80"/>
  <c r="AH17" i="80"/>
  <c r="AG17" i="80"/>
  <c r="AI16" i="80"/>
  <c r="AH16" i="80"/>
  <c r="AG16" i="80"/>
  <c r="AI15" i="80"/>
  <c r="AH15" i="80"/>
  <c r="AG15" i="80"/>
  <c r="AI14" i="80"/>
  <c r="AH14" i="80"/>
  <c r="AG14" i="80"/>
  <c r="AI13" i="80"/>
  <c r="AH13" i="80"/>
  <c r="AG13" i="80"/>
  <c r="AI12" i="80"/>
  <c r="AH12" i="80"/>
  <c r="AG12" i="80"/>
  <c r="AI11" i="80"/>
  <c r="AH11" i="80"/>
  <c r="AG11" i="80"/>
  <c r="AI10" i="80"/>
  <c r="AH10" i="80"/>
  <c r="AG10" i="80"/>
  <c r="AI9" i="80"/>
  <c r="AH9" i="80"/>
  <c r="AG9" i="80"/>
  <c r="AI8" i="80"/>
  <c r="AH8" i="80"/>
  <c r="AG8" i="80"/>
  <c r="BO52" i="79"/>
  <c r="BN52" i="79"/>
  <c r="BM52" i="79"/>
  <c r="BO51" i="79"/>
  <c r="BN51" i="79"/>
  <c r="BM51" i="79"/>
  <c r="BO50" i="79"/>
  <c r="BN50" i="79"/>
  <c r="BM50" i="79"/>
  <c r="BO28" i="79"/>
  <c r="BN28" i="79"/>
  <c r="BM28" i="79"/>
  <c r="BO27" i="79"/>
  <c r="BN27" i="79"/>
  <c r="BM27" i="79"/>
  <c r="BO26" i="79"/>
  <c r="BN26" i="79"/>
  <c r="BM26" i="79"/>
  <c r="BO25" i="79"/>
  <c r="BN25" i="79"/>
  <c r="BM25" i="79"/>
  <c r="BO24" i="79"/>
  <c r="BN24" i="79"/>
  <c r="BM24" i="79"/>
  <c r="BO23" i="79"/>
  <c r="BN23" i="79"/>
  <c r="BM23" i="79"/>
  <c r="BO22" i="79"/>
  <c r="BN22" i="79"/>
  <c r="BM22" i="79"/>
  <c r="BO21" i="79"/>
  <c r="BN21" i="79"/>
  <c r="BM21" i="79"/>
  <c r="BO20" i="79"/>
  <c r="BN20" i="79"/>
  <c r="BM20" i="79"/>
  <c r="BO19" i="79"/>
  <c r="BN19" i="79"/>
  <c r="BM19" i="79"/>
  <c r="BO18" i="79"/>
  <c r="BN18" i="79"/>
  <c r="BM18" i="79"/>
  <c r="BO17" i="79"/>
  <c r="BN17" i="79"/>
  <c r="BM17" i="79"/>
  <c r="BO16" i="79"/>
  <c r="BN16" i="79"/>
  <c r="BM16" i="79"/>
  <c r="BO15" i="79"/>
  <c r="BN15" i="79"/>
  <c r="BM15" i="79"/>
  <c r="BO14" i="79"/>
  <c r="BN14" i="79"/>
  <c r="BM14" i="79"/>
  <c r="BO13" i="79"/>
  <c r="BN13" i="79"/>
  <c r="BM13" i="79"/>
  <c r="BO12" i="79"/>
  <c r="BN12" i="79"/>
  <c r="BM12" i="79"/>
  <c r="BO11" i="79"/>
  <c r="BN11" i="79"/>
  <c r="BM11" i="79"/>
  <c r="BO10" i="79"/>
  <c r="BN10" i="79"/>
  <c r="BM10" i="79"/>
  <c r="BO9" i="79"/>
  <c r="BN9" i="79"/>
  <c r="BM9" i="79"/>
  <c r="BO8" i="79"/>
  <c r="BN8" i="79"/>
  <c r="BM8" i="79"/>
  <c r="BH52" i="79"/>
  <c r="BG52" i="79"/>
  <c r="BF52" i="79"/>
  <c r="BH51" i="79"/>
  <c r="BG51" i="79"/>
  <c r="BF51" i="79"/>
  <c r="BH50" i="79"/>
  <c r="BG50" i="79"/>
  <c r="BF50" i="79"/>
  <c r="BH28" i="79"/>
  <c r="BG28" i="79"/>
  <c r="BF28" i="79"/>
  <c r="BH27" i="79"/>
  <c r="BG27" i="79"/>
  <c r="BF27" i="79"/>
  <c r="BH26" i="79"/>
  <c r="BG26" i="79"/>
  <c r="BF26" i="79"/>
  <c r="BH25" i="79"/>
  <c r="BG25" i="79"/>
  <c r="BF25" i="79"/>
  <c r="BH24" i="79"/>
  <c r="BG24" i="79"/>
  <c r="BF24" i="79"/>
  <c r="BH23" i="79"/>
  <c r="BG23" i="79"/>
  <c r="BF23" i="79"/>
  <c r="BH22" i="79"/>
  <c r="BG22" i="79"/>
  <c r="BF22" i="79"/>
  <c r="BH21" i="79"/>
  <c r="BG21" i="79"/>
  <c r="BF21" i="79"/>
  <c r="BH20" i="79"/>
  <c r="BG20" i="79"/>
  <c r="BF20" i="79"/>
  <c r="BH19" i="79"/>
  <c r="BG19" i="79"/>
  <c r="BF19" i="79"/>
  <c r="BH18" i="79"/>
  <c r="BG18" i="79"/>
  <c r="BF18" i="79"/>
  <c r="BH17" i="79"/>
  <c r="BG17" i="79"/>
  <c r="BF17" i="79"/>
  <c r="BH16" i="79"/>
  <c r="BG16" i="79"/>
  <c r="BF16" i="79"/>
  <c r="BH15" i="79"/>
  <c r="BG15" i="79"/>
  <c r="BF15" i="79"/>
  <c r="BH14" i="79"/>
  <c r="BG14" i="79"/>
  <c r="BF14" i="79"/>
  <c r="BH13" i="79"/>
  <c r="BG13" i="79"/>
  <c r="BF13" i="79"/>
  <c r="BH12" i="79"/>
  <c r="BG12" i="79"/>
  <c r="BF12" i="79"/>
  <c r="BH11" i="79"/>
  <c r="BG11" i="79"/>
  <c r="BF11" i="79"/>
  <c r="BH10" i="79"/>
  <c r="BG10" i="79"/>
  <c r="BF10" i="79"/>
  <c r="BH9" i="79"/>
  <c r="BG9" i="79"/>
  <c r="BF9" i="79"/>
  <c r="BH8" i="79"/>
  <c r="BG8" i="79"/>
  <c r="BF8" i="79"/>
  <c r="BA52" i="79"/>
  <c r="AZ52" i="79"/>
  <c r="AY52" i="79"/>
  <c r="BA51" i="79"/>
  <c r="AZ51" i="79"/>
  <c r="AY51" i="79"/>
  <c r="BA50" i="79"/>
  <c r="AZ50" i="79"/>
  <c r="AY50" i="79"/>
  <c r="BA28" i="79"/>
  <c r="AZ28" i="79"/>
  <c r="AY28" i="79"/>
  <c r="BA27" i="79"/>
  <c r="AZ27" i="79"/>
  <c r="AY27" i="79"/>
  <c r="BA26" i="79"/>
  <c r="AZ26" i="79"/>
  <c r="AY26" i="79"/>
  <c r="BA25" i="79"/>
  <c r="AZ25" i="79"/>
  <c r="AY25" i="79"/>
  <c r="BA24" i="79"/>
  <c r="AZ24" i="79"/>
  <c r="AY24" i="79"/>
  <c r="BA23" i="79"/>
  <c r="AZ23" i="79"/>
  <c r="AY23" i="79"/>
  <c r="BA22" i="79"/>
  <c r="AZ22" i="79"/>
  <c r="AY22" i="79"/>
  <c r="BA21" i="79"/>
  <c r="AZ21" i="79"/>
  <c r="AY21" i="79"/>
  <c r="BA20" i="79"/>
  <c r="AZ20" i="79"/>
  <c r="AY20" i="79"/>
  <c r="BA19" i="79"/>
  <c r="AZ19" i="79"/>
  <c r="AY19" i="79"/>
  <c r="BA18" i="79"/>
  <c r="AZ18" i="79"/>
  <c r="AY18" i="79"/>
  <c r="BA17" i="79"/>
  <c r="AZ17" i="79"/>
  <c r="AY17" i="79"/>
  <c r="BA16" i="79"/>
  <c r="AZ16" i="79"/>
  <c r="AY16" i="79"/>
  <c r="BA15" i="79"/>
  <c r="AZ15" i="79"/>
  <c r="AY15" i="79"/>
  <c r="BA14" i="79"/>
  <c r="AZ14" i="79"/>
  <c r="AY14" i="79"/>
  <c r="BA13" i="79"/>
  <c r="AZ13" i="79"/>
  <c r="AY13" i="79"/>
  <c r="BA12" i="79"/>
  <c r="AZ12" i="79"/>
  <c r="AY12" i="79"/>
  <c r="BA11" i="79"/>
  <c r="AZ11" i="79"/>
  <c r="AY11" i="79"/>
  <c r="BA10" i="79"/>
  <c r="AZ10" i="79"/>
  <c r="AY10" i="79"/>
  <c r="BA9" i="79"/>
  <c r="AZ9" i="79"/>
  <c r="AY9" i="79"/>
  <c r="BA8" i="79"/>
  <c r="AZ8" i="79"/>
  <c r="AY8" i="79"/>
  <c r="AT52" i="79"/>
  <c r="AS52" i="79"/>
  <c r="AR52" i="79"/>
  <c r="AT51" i="79"/>
  <c r="AS51" i="79"/>
  <c r="AR51" i="79"/>
  <c r="AT50" i="79"/>
  <c r="AS50" i="79"/>
  <c r="AR50" i="79"/>
  <c r="AT28" i="79"/>
  <c r="AS28" i="79"/>
  <c r="AR28" i="79"/>
  <c r="AT27" i="79"/>
  <c r="AS27" i="79"/>
  <c r="AR27" i="79"/>
  <c r="AT26" i="79"/>
  <c r="AS26" i="79"/>
  <c r="AR26" i="79"/>
  <c r="AT25" i="79"/>
  <c r="AS25" i="79"/>
  <c r="AR25" i="79"/>
  <c r="AT24" i="79"/>
  <c r="AS24" i="79"/>
  <c r="AR24" i="79"/>
  <c r="AT23" i="79"/>
  <c r="AS23" i="79"/>
  <c r="AR23" i="79"/>
  <c r="AT22" i="79"/>
  <c r="AS22" i="79"/>
  <c r="AR22" i="79"/>
  <c r="AT21" i="79"/>
  <c r="AS21" i="79"/>
  <c r="AR21" i="79"/>
  <c r="AT20" i="79"/>
  <c r="AS20" i="79"/>
  <c r="AR20" i="79"/>
  <c r="AT19" i="79"/>
  <c r="AS19" i="79"/>
  <c r="AR19" i="79"/>
  <c r="AT18" i="79"/>
  <c r="AS18" i="79"/>
  <c r="AR18" i="79"/>
  <c r="AT17" i="79"/>
  <c r="AS17" i="79"/>
  <c r="AR17" i="79"/>
  <c r="AT16" i="79"/>
  <c r="AS16" i="79"/>
  <c r="AR16" i="79"/>
  <c r="AT15" i="79"/>
  <c r="AS15" i="79"/>
  <c r="AR15" i="79"/>
  <c r="AT14" i="79"/>
  <c r="AS14" i="79"/>
  <c r="AR14" i="79"/>
  <c r="AT13" i="79"/>
  <c r="AS13" i="79"/>
  <c r="AR13" i="79"/>
  <c r="AT12" i="79"/>
  <c r="AS12" i="79"/>
  <c r="AR12" i="79"/>
  <c r="AT11" i="79"/>
  <c r="AS11" i="79"/>
  <c r="AR11" i="79"/>
  <c r="AT10" i="79"/>
  <c r="AS10" i="79"/>
  <c r="AR10" i="79"/>
  <c r="AT9" i="79"/>
  <c r="AS9" i="79"/>
  <c r="AR9" i="79"/>
  <c r="AT8" i="79"/>
  <c r="AS8" i="79"/>
  <c r="AR8" i="79"/>
  <c r="AM52" i="79"/>
  <c r="AL52" i="79"/>
  <c r="AK52" i="79"/>
  <c r="AM51" i="79"/>
  <c r="AL51" i="79"/>
  <c r="AK51" i="79"/>
  <c r="AM50" i="79"/>
  <c r="AL50" i="79"/>
  <c r="AK50" i="79"/>
  <c r="AM28" i="79"/>
  <c r="AL28" i="79"/>
  <c r="AK28" i="79"/>
  <c r="AM27" i="79"/>
  <c r="AL27" i="79"/>
  <c r="AK27" i="79"/>
  <c r="AM26" i="79"/>
  <c r="AL26" i="79"/>
  <c r="AK26" i="79"/>
  <c r="AM25" i="79"/>
  <c r="AL25" i="79"/>
  <c r="AK25" i="79"/>
  <c r="AM24" i="79"/>
  <c r="AL24" i="79"/>
  <c r="AK24" i="79"/>
  <c r="AM23" i="79"/>
  <c r="AL23" i="79"/>
  <c r="AK23" i="79"/>
  <c r="AM22" i="79"/>
  <c r="AL22" i="79"/>
  <c r="AK22" i="79"/>
  <c r="AM21" i="79"/>
  <c r="AL21" i="79"/>
  <c r="AK21" i="79"/>
  <c r="AM20" i="79"/>
  <c r="AL20" i="79"/>
  <c r="AK20" i="79"/>
  <c r="AM19" i="79"/>
  <c r="AL19" i="79"/>
  <c r="AK19" i="79"/>
  <c r="AM18" i="79"/>
  <c r="AL18" i="79"/>
  <c r="AK18" i="79"/>
  <c r="AM17" i="79"/>
  <c r="AL17" i="79"/>
  <c r="AK17" i="79"/>
  <c r="AM16" i="79"/>
  <c r="AL16" i="79"/>
  <c r="AK16" i="79"/>
  <c r="AM15" i="79"/>
  <c r="AL15" i="79"/>
  <c r="AK15" i="79"/>
  <c r="AM14" i="79"/>
  <c r="AL14" i="79"/>
  <c r="AK14" i="79"/>
  <c r="AM13" i="79"/>
  <c r="AL13" i="79"/>
  <c r="AK13" i="79"/>
  <c r="AM12" i="79"/>
  <c r="AL12" i="79"/>
  <c r="AK12" i="79"/>
  <c r="AM11" i="79"/>
  <c r="AL11" i="79"/>
  <c r="AK11" i="79"/>
  <c r="AM10" i="79"/>
  <c r="AL10" i="79"/>
  <c r="AK10" i="79"/>
  <c r="AM9" i="79"/>
  <c r="AL9" i="79"/>
  <c r="AK9" i="79"/>
  <c r="AM8" i="79"/>
  <c r="AL8" i="79"/>
  <c r="AK8" i="79"/>
  <c r="BL52" i="78"/>
  <c r="BK52" i="78"/>
  <c r="BJ52" i="78"/>
  <c r="BL51" i="78"/>
  <c r="BK51" i="78"/>
  <c r="BJ51" i="78"/>
  <c r="BL29" i="78"/>
  <c r="BK29" i="78"/>
  <c r="BJ29" i="78"/>
  <c r="BL28" i="78"/>
  <c r="BK28" i="78"/>
  <c r="BJ28" i="78"/>
  <c r="BL27" i="78"/>
  <c r="BK27" i="78"/>
  <c r="BJ27" i="78"/>
  <c r="BL26" i="78"/>
  <c r="BK26" i="78"/>
  <c r="BJ26" i="78"/>
  <c r="BL25" i="78"/>
  <c r="BK25" i="78"/>
  <c r="BJ25" i="78"/>
  <c r="BL24" i="78"/>
  <c r="BK24" i="78"/>
  <c r="BJ24" i="78"/>
  <c r="BL23" i="78"/>
  <c r="BK23" i="78"/>
  <c r="BJ23" i="78"/>
  <c r="BL22" i="78"/>
  <c r="BK22" i="78"/>
  <c r="BJ22" i="78"/>
  <c r="BL21" i="78"/>
  <c r="BK21" i="78"/>
  <c r="BJ21" i="78"/>
  <c r="BL20" i="78"/>
  <c r="BK20" i="78"/>
  <c r="BJ20" i="78"/>
  <c r="BL19" i="78"/>
  <c r="BK19" i="78"/>
  <c r="BJ19" i="78"/>
  <c r="BL18" i="78"/>
  <c r="BK18" i="78"/>
  <c r="BJ18" i="78"/>
  <c r="BL17" i="78"/>
  <c r="BK17" i="78"/>
  <c r="BJ17" i="78"/>
  <c r="BL16" i="78"/>
  <c r="BK16" i="78"/>
  <c r="BJ16" i="78"/>
  <c r="BL15" i="78"/>
  <c r="BK15" i="78"/>
  <c r="BJ15" i="78"/>
  <c r="BL14" i="78"/>
  <c r="BK14" i="78"/>
  <c r="BJ14" i="78"/>
  <c r="BL13" i="78"/>
  <c r="BK13" i="78"/>
  <c r="BJ13" i="78"/>
  <c r="BL12" i="78"/>
  <c r="BK12" i="78"/>
  <c r="BJ12" i="78"/>
  <c r="BL11" i="78"/>
  <c r="BK11" i="78"/>
  <c r="BJ11" i="78"/>
  <c r="BL10" i="78"/>
  <c r="BK10" i="78"/>
  <c r="BJ10" i="78"/>
  <c r="BL9" i="78"/>
  <c r="BK9" i="78"/>
  <c r="BJ9" i="78"/>
  <c r="BL8" i="78"/>
  <c r="BK8" i="78"/>
  <c r="BJ8" i="78"/>
  <c r="BE52" i="78"/>
  <c r="BD52" i="78"/>
  <c r="BC52" i="78"/>
  <c r="BE51" i="78"/>
  <c r="BD51" i="78"/>
  <c r="BC51" i="78"/>
  <c r="BE29" i="78"/>
  <c r="BD29" i="78"/>
  <c r="BC29" i="78"/>
  <c r="BE28" i="78"/>
  <c r="BD28" i="78"/>
  <c r="BC28" i="78"/>
  <c r="BE27" i="78"/>
  <c r="BD27" i="78"/>
  <c r="BC27" i="78"/>
  <c r="BE26" i="78"/>
  <c r="BD26" i="78"/>
  <c r="BC26" i="78"/>
  <c r="BE25" i="78"/>
  <c r="BD25" i="78"/>
  <c r="BC25" i="78"/>
  <c r="BE24" i="78"/>
  <c r="BD24" i="78"/>
  <c r="BC24" i="78"/>
  <c r="BE23" i="78"/>
  <c r="BD23" i="78"/>
  <c r="BC23" i="78"/>
  <c r="BE22" i="78"/>
  <c r="BD22" i="78"/>
  <c r="BC22" i="78"/>
  <c r="BE21" i="78"/>
  <c r="BD21" i="78"/>
  <c r="BC21" i="78"/>
  <c r="BE20" i="78"/>
  <c r="BD20" i="78"/>
  <c r="BC20" i="78"/>
  <c r="BE19" i="78"/>
  <c r="BD19" i="78"/>
  <c r="BC19" i="78"/>
  <c r="BE18" i="78"/>
  <c r="BD18" i="78"/>
  <c r="BC18" i="78"/>
  <c r="BE17" i="78"/>
  <c r="BD17" i="78"/>
  <c r="BC17" i="78"/>
  <c r="BE16" i="78"/>
  <c r="BD16" i="78"/>
  <c r="BC16" i="78"/>
  <c r="BE15" i="78"/>
  <c r="BD15" i="78"/>
  <c r="BC15" i="78"/>
  <c r="BE14" i="78"/>
  <c r="BD14" i="78"/>
  <c r="BC14" i="78"/>
  <c r="BE13" i="78"/>
  <c r="BD13" i="78"/>
  <c r="BC13" i="78"/>
  <c r="BE12" i="78"/>
  <c r="BD12" i="78"/>
  <c r="BC12" i="78"/>
  <c r="BE11" i="78"/>
  <c r="BD11" i="78"/>
  <c r="BC11" i="78"/>
  <c r="BE10" i="78"/>
  <c r="BD10" i="78"/>
  <c r="BC10" i="78"/>
  <c r="BE9" i="78"/>
  <c r="BD9" i="78"/>
  <c r="BC9" i="78"/>
  <c r="BE8" i="78"/>
  <c r="BD8" i="78"/>
  <c r="BC8" i="78"/>
  <c r="AX52" i="78"/>
  <c r="AW52" i="78"/>
  <c r="AV52" i="78"/>
  <c r="AX51" i="78"/>
  <c r="AW51" i="78"/>
  <c r="AV51" i="78"/>
  <c r="AX29" i="78"/>
  <c r="AW29" i="78"/>
  <c r="AV29" i="78"/>
  <c r="AX28" i="78"/>
  <c r="AW28" i="78"/>
  <c r="AV28" i="78"/>
  <c r="AX27" i="78"/>
  <c r="AW27" i="78"/>
  <c r="AV27" i="78"/>
  <c r="AX26" i="78"/>
  <c r="AW26" i="78"/>
  <c r="AV26" i="78"/>
  <c r="AX25" i="78"/>
  <c r="AW25" i="78"/>
  <c r="AV25" i="78"/>
  <c r="AX24" i="78"/>
  <c r="AW24" i="78"/>
  <c r="AV24" i="78"/>
  <c r="AX23" i="78"/>
  <c r="AW23" i="78"/>
  <c r="AV23" i="78"/>
  <c r="AX22" i="78"/>
  <c r="AW22" i="78"/>
  <c r="AV22" i="78"/>
  <c r="AX21" i="78"/>
  <c r="AW21" i="78"/>
  <c r="AV21" i="78"/>
  <c r="AX20" i="78"/>
  <c r="AW20" i="78"/>
  <c r="AV20" i="78"/>
  <c r="AX19" i="78"/>
  <c r="AW19" i="78"/>
  <c r="AV19" i="78"/>
  <c r="AX18" i="78"/>
  <c r="AW18" i="78"/>
  <c r="AV18" i="78"/>
  <c r="AX17" i="78"/>
  <c r="AW17" i="78"/>
  <c r="AV17" i="78"/>
  <c r="AX16" i="78"/>
  <c r="AW16" i="78"/>
  <c r="AV16" i="78"/>
  <c r="AX15" i="78"/>
  <c r="AW15" i="78"/>
  <c r="AV15" i="78"/>
  <c r="AX14" i="78"/>
  <c r="AW14" i="78"/>
  <c r="AV14" i="78"/>
  <c r="AX13" i="78"/>
  <c r="AW13" i="78"/>
  <c r="AV13" i="78"/>
  <c r="AX12" i="78"/>
  <c r="AW12" i="78"/>
  <c r="AV12" i="78"/>
  <c r="AX11" i="78"/>
  <c r="AW11" i="78"/>
  <c r="AV11" i="78"/>
  <c r="AX10" i="78"/>
  <c r="AW10" i="78"/>
  <c r="AV10" i="78"/>
  <c r="AX9" i="78"/>
  <c r="AW9" i="78"/>
  <c r="AV9" i="78"/>
  <c r="AX8" i="78"/>
  <c r="AW8" i="78"/>
  <c r="AV8" i="78"/>
  <c r="AQ52" i="78"/>
  <c r="AP52" i="78"/>
  <c r="AO52" i="78"/>
  <c r="AQ51" i="78"/>
  <c r="AP51" i="78"/>
  <c r="AO51" i="78"/>
  <c r="AQ29" i="78"/>
  <c r="AP29" i="78"/>
  <c r="AO29" i="78"/>
  <c r="AQ28" i="78"/>
  <c r="AP28" i="78"/>
  <c r="AO28" i="78"/>
  <c r="AQ27" i="78"/>
  <c r="AP27" i="78"/>
  <c r="AO27" i="78"/>
  <c r="AQ26" i="78"/>
  <c r="AP26" i="78"/>
  <c r="AO26" i="78"/>
  <c r="AQ25" i="78"/>
  <c r="AP25" i="78"/>
  <c r="AO25" i="78"/>
  <c r="AQ24" i="78"/>
  <c r="AP24" i="78"/>
  <c r="AO24" i="78"/>
  <c r="AQ23" i="78"/>
  <c r="AP23" i="78"/>
  <c r="AO23" i="78"/>
  <c r="AQ22" i="78"/>
  <c r="AP22" i="78"/>
  <c r="AO22" i="78"/>
  <c r="AQ21" i="78"/>
  <c r="AP21" i="78"/>
  <c r="AO21" i="78"/>
  <c r="AQ20" i="78"/>
  <c r="AP20" i="78"/>
  <c r="AO20" i="78"/>
  <c r="AQ19" i="78"/>
  <c r="AP19" i="78"/>
  <c r="AO19" i="78"/>
  <c r="AQ18" i="78"/>
  <c r="AP18" i="78"/>
  <c r="AO18" i="78"/>
  <c r="AQ17" i="78"/>
  <c r="AP17" i="78"/>
  <c r="AO17" i="78"/>
  <c r="AQ16" i="78"/>
  <c r="AP16" i="78"/>
  <c r="AO16" i="78"/>
  <c r="AQ15" i="78"/>
  <c r="AP15" i="78"/>
  <c r="AO15" i="78"/>
  <c r="AQ14" i="78"/>
  <c r="AP14" i="78"/>
  <c r="AO14" i="78"/>
  <c r="AQ13" i="78"/>
  <c r="AP13" i="78"/>
  <c r="AO13" i="78"/>
  <c r="AQ12" i="78"/>
  <c r="AP12" i="78"/>
  <c r="AO12" i="78"/>
  <c r="AQ11" i="78"/>
  <c r="AP11" i="78"/>
  <c r="AO11" i="78"/>
  <c r="AQ10" i="78"/>
  <c r="AP10" i="78"/>
  <c r="AO10" i="78"/>
  <c r="AQ9" i="78"/>
  <c r="AP9" i="78"/>
  <c r="AO9" i="78"/>
  <c r="AQ8" i="78"/>
  <c r="AP8" i="78"/>
  <c r="AO8" i="78"/>
  <c r="AJ52" i="78"/>
  <c r="AI52" i="78"/>
  <c r="AH52" i="78"/>
  <c r="AJ51" i="78"/>
  <c r="AI51" i="78"/>
  <c r="AH51" i="78"/>
  <c r="AJ29" i="78"/>
  <c r="AI29" i="78"/>
  <c r="AH29" i="78"/>
  <c r="AJ28" i="78"/>
  <c r="AI28" i="78"/>
  <c r="AH28" i="78"/>
  <c r="AJ27" i="78"/>
  <c r="AI27" i="78"/>
  <c r="AH27" i="78"/>
  <c r="AJ26" i="78"/>
  <c r="AI26" i="78"/>
  <c r="AH26" i="78"/>
  <c r="AJ25" i="78"/>
  <c r="AI25" i="78"/>
  <c r="AH25" i="78"/>
  <c r="AJ24" i="78"/>
  <c r="AI24" i="78"/>
  <c r="AH24" i="78"/>
  <c r="AJ23" i="78"/>
  <c r="AI23" i="78"/>
  <c r="AH23" i="78"/>
  <c r="AJ22" i="78"/>
  <c r="AI22" i="78"/>
  <c r="AH22" i="78"/>
  <c r="AJ21" i="78"/>
  <c r="AI21" i="78"/>
  <c r="AH21" i="78"/>
  <c r="AJ20" i="78"/>
  <c r="AI20" i="78"/>
  <c r="AH20" i="78"/>
  <c r="AJ19" i="78"/>
  <c r="AI19" i="78"/>
  <c r="AH19" i="78"/>
  <c r="AJ18" i="78"/>
  <c r="AI18" i="78"/>
  <c r="AH18" i="78"/>
  <c r="AJ17" i="78"/>
  <c r="AI17" i="78"/>
  <c r="AH17" i="78"/>
  <c r="AJ16" i="78"/>
  <c r="AI16" i="78"/>
  <c r="AH16" i="78"/>
  <c r="AJ15" i="78"/>
  <c r="AI15" i="78"/>
  <c r="AH15" i="78"/>
  <c r="AJ14" i="78"/>
  <c r="AI14" i="78"/>
  <c r="AH14" i="78"/>
  <c r="AJ13" i="78"/>
  <c r="AI13" i="78"/>
  <c r="AH13" i="78"/>
  <c r="AJ12" i="78"/>
  <c r="AI12" i="78"/>
  <c r="AH12" i="78"/>
  <c r="AJ11" i="78"/>
  <c r="AI11" i="78"/>
  <c r="AH11" i="78"/>
  <c r="AJ10" i="78"/>
  <c r="AI10" i="78"/>
  <c r="AH10" i="78"/>
  <c r="AJ9" i="78"/>
  <c r="AI9" i="78"/>
  <c r="AH9" i="78"/>
  <c r="AJ8" i="78"/>
  <c r="AI8" i="78"/>
  <c r="AH8" i="78"/>
  <c r="BE52" i="72"/>
  <c r="BD52" i="72"/>
  <c r="BC52" i="72"/>
  <c r="BE51" i="72"/>
  <c r="BD51" i="72"/>
  <c r="BC51" i="72"/>
  <c r="BE50" i="72"/>
  <c r="BD50" i="72"/>
  <c r="BC50" i="72"/>
  <c r="BE49" i="72"/>
  <c r="BD49" i="72"/>
  <c r="BC49" i="72"/>
  <c r="BE48" i="72"/>
  <c r="BD48" i="72"/>
  <c r="BC48" i="72"/>
  <c r="BE26" i="72"/>
  <c r="BD26" i="72"/>
  <c r="BC26" i="72"/>
  <c r="BE25" i="72"/>
  <c r="BD25" i="72"/>
  <c r="BC25" i="72"/>
  <c r="BE24" i="72"/>
  <c r="BD24" i="72"/>
  <c r="BC24" i="72"/>
  <c r="BE23" i="72"/>
  <c r="BD23" i="72"/>
  <c r="BC23" i="72"/>
  <c r="BE22" i="72"/>
  <c r="BD22" i="72"/>
  <c r="BC22" i="72"/>
  <c r="BE21" i="72"/>
  <c r="BD21" i="72"/>
  <c r="BC21" i="72"/>
  <c r="BE20" i="72"/>
  <c r="BD20" i="72"/>
  <c r="BC20" i="72"/>
  <c r="BE19" i="72"/>
  <c r="BD19" i="72"/>
  <c r="BC19" i="72"/>
  <c r="BE18" i="72"/>
  <c r="BD18" i="72"/>
  <c r="BC18" i="72"/>
  <c r="BE17" i="72"/>
  <c r="BD17" i="72"/>
  <c r="BC17" i="72"/>
  <c r="BE16" i="72"/>
  <c r="BD16" i="72"/>
  <c r="BC16" i="72"/>
  <c r="BE15" i="72"/>
  <c r="BD15" i="72"/>
  <c r="BC15" i="72"/>
  <c r="BE14" i="72"/>
  <c r="BD14" i="72"/>
  <c r="BC14" i="72"/>
  <c r="BE13" i="72"/>
  <c r="BD13" i="72"/>
  <c r="BC13" i="72"/>
  <c r="BE12" i="72"/>
  <c r="BD12" i="72"/>
  <c r="BC12" i="72"/>
  <c r="BE11" i="72"/>
  <c r="BD11" i="72"/>
  <c r="BC11" i="72"/>
  <c r="BE10" i="72"/>
  <c r="BD10" i="72"/>
  <c r="BC10" i="72"/>
  <c r="BE9" i="72"/>
  <c r="BD9" i="72"/>
  <c r="BC9" i="72"/>
  <c r="BE8" i="72"/>
  <c r="BD8" i="72"/>
  <c r="BC8" i="72"/>
  <c r="AX52" i="72"/>
  <c r="AW52" i="72"/>
  <c r="AV52" i="72"/>
  <c r="AX51" i="72"/>
  <c r="AW51" i="72"/>
  <c r="AV51" i="72"/>
  <c r="AX50" i="72"/>
  <c r="AW50" i="72"/>
  <c r="AV50" i="72"/>
  <c r="AX49" i="72"/>
  <c r="AW49" i="72"/>
  <c r="AV49" i="72"/>
  <c r="AX48" i="72"/>
  <c r="AW48" i="72"/>
  <c r="AV48" i="72"/>
  <c r="AX26" i="72"/>
  <c r="AW26" i="72"/>
  <c r="AV26" i="72"/>
  <c r="AX25" i="72"/>
  <c r="AW25" i="72"/>
  <c r="AV25" i="72"/>
  <c r="AX24" i="72"/>
  <c r="AW24" i="72"/>
  <c r="AV24" i="72"/>
  <c r="AX23" i="72"/>
  <c r="AW23" i="72"/>
  <c r="AV23" i="72"/>
  <c r="AX22" i="72"/>
  <c r="AW22" i="72"/>
  <c r="AV22" i="72"/>
  <c r="AX21" i="72"/>
  <c r="AW21" i="72"/>
  <c r="AV21" i="72"/>
  <c r="AX20" i="72"/>
  <c r="AW20" i="72"/>
  <c r="AV20" i="72"/>
  <c r="AX19" i="72"/>
  <c r="AW19" i="72"/>
  <c r="AV19" i="72"/>
  <c r="AX18" i="72"/>
  <c r="AW18" i="72"/>
  <c r="AV18" i="72"/>
  <c r="AX17" i="72"/>
  <c r="AW17" i="72"/>
  <c r="AV17" i="72"/>
  <c r="AX16" i="72"/>
  <c r="AW16" i="72"/>
  <c r="AV16" i="72"/>
  <c r="AX15" i="72"/>
  <c r="AW15" i="72"/>
  <c r="AV15" i="72"/>
  <c r="AX14" i="72"/>
  <c r="AW14" i="72"/>
  <c r="AV14" i="72"/>
  <c r="AX13" i="72"/>
  <c r="AW13" i="72"/>
  <c r="AV13" i="72"/>
  <c r="AX12" i="72"/>
  <c r="AW12" i="72"/>
  <c r="AV12" i="72"/>
  <c r="AX11" i="72"/>
  <c r="AW11" i="72"/>
  <c r="AV11" i="72"/>
  <c r="AX10" i="72"/>
  <c r="AW10" i="72"/>
  <c r="AV10" i="72"/>
  <c r="AX9" i="72"/>
  <c r="AW9" i="72"/>
  <c r="AV9" i="72"/>
  <c r="AX8" i="72"/>
  <c r="AW8" i="72"/>
  <c r="AV8" i="72"/>
  <c r="AQ52" i="72"/>
  <c r="AP52" i="72"/>
  <c r="AO52" i="72"/>
  <c r="AQ51" i="72"/>
  <c r="AP51" i="72"/>
  <c r="AO51" i="72"/>
  <c r="AQ50" i="72"/>
  <c r="AP50" i="72"/>
  <c r="AO50" i="72"/>
  <c r="AQ49" i="72"/>
  <c r="AP49" i="72"/>
  <c r="AO49" i="72"/>
  <c r="AQ48" i="72"/>
  <c r="AP48" i="72"/>
  <c r="AO48" i="72"/>
  <c r="AQ26" i="72"/>
  <c r="AP26" i="72"/>
  <c r="AO26" i="72"/>
  <c r="AQ25" i="72"/>
  <c r="AP25" i="72"/>
  <c r="AO25" i="72"/>
  <c r="AQ24" i="72"/>
  <c r="AP24" i="72"/>
  <c r="AO24" i="72"/>
  <c r="AQ23" i="72"/>
  <c r="AP23" i="72"/>
  <c r="AO23" i="72"/>
  <c r="AQ22" i="72"/>
  <c r="AP22" i="72"/>
  <c r="AO22" i="72"/>
  <c r="AQ21" i="72"/>
  <c r="AP21" i="72"/>
  <c r="AO21" i="72"/>
  <c r="AQ20" i="72"/>
  <c r="AP20" i="72"/>
  <c r="AO20" i="72"/>
  <c r="AQ19" i="72"/>
  <c r="AP19" i="72"/>
  <c r="AO19" i="72"/>
  <c r="AQ18" i="72"/>
  <c r="AP18" i="72"/>
  <c r="AO18" i="72"/>
  <c r="AQ17" i="72"/>
  <c r="AP17" i="72"/>
  <c r="AO17" i="72"/>
  <c r="AQ16" i="72"/>
  <c r="AP16" i="72"/>
  <c r="AO16" i="72"/>
  <c r="AQ15" i="72"/>
  <c r="AP15" i="72"/>
  <c r="AO15" i="72"/>
  <c r="AQ14" i="72"/>
  <c r="AP14" i="72"/>
  <c r="AO14" i="72"/>
  <c r="AQ13" i="72"/>
  <c r="AP13" i="72"/>
  <c r="AO13" i="72"/>
  <c r="AQ12" i="72"/>
  <c r="AP12" i="72"/>
  <c r="AO12" i="72"/>
  <c r="AQ11" i="72"/>
  <c r="AP11" i="72"/>
  <c r="AO11" i="72"/>
  <c r="AQ10" i="72"/>
  <c r="AP10" i="72"/>
  <c r="AO10" i="72"/>
  <c r="AQ9" i="72"/>
  <c r="AP9" i="72"/>
  <c r="AO9" i="72"/>
  <c r="AQ8" i="72"/>
  <c r="AP8" i="72"/>
  <c r="AO8" i="72"/>
  <c r="AJ52" i="72"/>
  <c r="AI52" i="72"/>
  <c r="AH52" i="72"/>
  <c r="AJ51" i="72"/>
  <c r="AI51" i="72"/>
  <c r="AH51" i="72"/>
  <c r="AJ50" i="72"/>
  <c r="AI50" i="72"/>
  <c r="AH50" i="72"/>
  <c r="AJ49" i="72"/>
  <c r="AI49" i="72"/>
  <c r="AH49" i="72"/>
  <c r="AJ48" i="72"/>
  <c r="AI48" i="72"/>
  <c r="AH48" i="72"/>
  <c r="AJ26" i="72"/>
  <c r="AI26" i="72"/>
  <c r="AH26" i="72"/>
  <c r="AJ25" i="72"/>
  <c r="AI25" i="72"/>
  <c r="AH25" i="72"/>
  <c r="AJ24" i="72"/>
  <c r="AI24" i="72"/>
  <c r="AH24" i="72"/>
  <c r="AJ23" i="72"/>
  <c r="AI23" i="72"/>
  <c r="AH23" i="72"/>
  <c r="AJ22" i="72"/>
  <c r="AI22" i="72"/>
  <c r="AH22" i="72"/>
  <c r="AJ21" i="72"/>
  <c r="AI21" i="72"/>
  <c r="AH21" i="72"/>
  <c r="AJ20" i="72"/>
  <c r="AI20" i="72"/>
  <c r="AH20" i="72"/>
  <c r="AJ19" i="72"/>
  <c r="AI19" i="72"/>
  <c r="AH19" i="72"/>
  <c r="AJ18" i="72"/>
  <c r="AI18" i="72"/>
  <c r="AH18" i="72"/>
  <c r="AJ17" i="72"/>
  <c r="AI17" i="72"/>
  <c r="AH17" i="72"/>
  <c r="AJ16" i="72"/>
  <c r="AI16" i="72"/>
  <c r="AH16" i="72"/>
  <c r="AJ15" i="72"/>
  <c r="AI15" i="72"/>
  <c r="AH15" i="72"/>
  <c r="AJ14" i="72"/>
  <c r="AI14" i="72"/>
  <c r="AH14" i="72"/>
  <c r="AJ13" i="72"/>
  <c r="AI13" i="72"/>
  <c r="AH13" i="72"/>
  <c r="AJ12" i="72"/>
  <c r="AI12" i="72"/>
  <c r="AH12" i="72"/>
  <c r="AJ11" i="72"/>
  <c r="AI11" i="72"/>
  <c r="AH11" i="72"/>
  <c r="AJ10" i="72"/>
  <c r="AI10" i="72"/>
  <c r="AH10" i="72"/>
  <c r="AJ9" i="72"/>
  <c r="AI9" i="72"/>
  <c r="AH9" i="72"/>
  <c r="AJ8" i="72"/>
  <c r="AI8" i="72"/>
  <c r="AH8" i="72"/>
  <c r="AC52" i="72"/>
  <c r="AB52" i="72"/>
  <c r="AA52" i="72"/>
  <c r="AC51" i="72"/>
  <c r="AB51" i="72"/>
  <c r="AA51" i="72"/>
  <c r="AC50" i="72"/>
  <c r="AB50" i="72"/>
  <c r="AA50" i="72"/>
  <c r="AC49" i="72"/>
  <c r="AB49" i="72"/>
  <c r="AA49" i="72"/>
  <c r="AC48" i="72"/>
  <c r="AB48" i="72"/>
  <c r="AA48" i="72"/>
  <c r="AC26" i="72"/>
  <c r="AB26" i="72"/>
  <c r="AA26" i="72"/>
  <c r="AC25" i="72"/>
  <c r="AB25" i="72"/>
  <c r="AA25" i="72"/>
  <c r="AC24" i="72"/>
  <c r="AB24" i="72"/>
  <c r="AA24" i="72"/>
  <c r="AC23" i="72"/>
  <c r="AB23" i="72"/>
  <c r="AA23" i="72"/>
  <c r="AC22" i="72"/>
  <c r="AB22" i="72"/>
  <c r="AA22" i="72"/>
  <c r="AC21" i="72"/>
  <c r="AB21" i="72"/>
  <c r="AA21" i="72"/>
  <c r="AC20" i="72"/>
  <c r="AB20" i="72"/>
  <c r="AA20" i="72"/>
  <c r="AC19" i="72"/>
  <c r="AB19" i="72"/>
  <c r="AA19" i="72"/>
  <c r="AC18" i="72"/>
  <c r="AB18" i="72"/>
  <c r="AA18" i="72"/>
  <c r="AC17" i="72"/>
  <c r="AB17" i="72"/>
  <c r="AA17" i="72"/>
  <c r="AC16" i="72"/>
  <c r="AB16" i="72"/>
  <c r="AA16" i="72"/>
  <c r="AC15" i="72"/>
  <c r="AB15" i="72"/>
  <c r="AA15" i="72"/>
  <c r="AC14" i="72"/>
  <c r="AB14" i="72"/>
  <c r="AA14" i="72"/>
  <c r="AC13" i="72"/>
  <c r="AB13" i="72"/>
  <c r="AA13" i="72"/>
  <c r="AC12" i="72"/>
  <c r="AB12" i="72"/>
  <c r="AA12" i="72"/>
  <c r="AC11" i="72"/>
  <c r="AB11" i="72"/>
  <c r="AA11" i="72"/>
  <c r="AC10" i="72"/>
  <c r="AB10" i="72"/>
  <c r="AA10" i="72"/>
  <c r="AC9" i="72"/>
  <c r="AB9" i="72"/>
  <c r="AA9" i="72"/>
  <c r="AC8" i="72"/>
  <c r="AB8" i="72"/>
  <c r="AA8" i="72"/>
  <c r="BE52" i="41"/>
  <c r="BD52" i="41"/>
  <c r="BC52" i="41"/>
  <c r="BE51" i="41"/>
  <c r="BD51" i="41"/>
  <c r="BC51" i="41"/>
  <c r="BE50" i="41"/>
  <c r="BD50" i="41"/>
  <c r="BC50" i="41"/>
  <c r="BE49" i="41"/>
  <c r="BD49" i="41"/>
  <c r="BC49" i="41"/>
  <c r="BE48" i="41"/>
  <c r="BD48" i="41"/>
  <c r="BC48" i="41"/>
  <c r="BE26" i="41"/>
  <c r="BD26" i="41"/>
  <c r="BC26" i="41"/>
  <c r="BE25" i="41"/>
  <c r="BD25" i="41"/>
  <c r="BC25" i="41"/>
  <c r="BE24" i="41"/>
  <c r="BD24" i="41"/>
  <c r="BC24" i="41"/>
  <c r="BE23" i="41"/>
  <c r="BD23" i="41"/>
  <c r="BC23" i="41"/>
  <c r="BE22" i="41"/>
  <c r="BD22" i="41"/>
  <c r="BC22" i="41"/>
  <c r="BE21" i="41"/>
  <c r="BD21" i="41"/>
  <c r="BC21" i="41"/>
  <c r="BE20" i="41"/>
  <c r="BD20" i="41"/>
  <c r="BC20" i="41"/>
  <c r="BE19" i="41"/>
  <c r="BD19" i="41"/>
  <c r="BC19" i="41"/>
  <c r="BE18" i="41"/>
  <c r="BD18" i="41"/>
  <c r="BC18" i="41"/>
  <c r="BE17" i="41"/>
  <c r="BD17" i="41"/>
  <c r="BC17" i="41"/>
  <c r="BE16" i="41"/>
  <c r="BD16" i="41"/>
  <c r="BC16" i="41"/>
  <c r="BE15" i="41"/>
  <c r="BD15" i="41"/>
  <c r="BC15" i="41"/>
  <c r="BE14" i="41"/>
  <c r="BD14" i="41"/>
  <c r="BC14" i="41"/>
  <c r="BE13" i="41"/>
  <c r="BD13" i="41"/>
  <c r="BC13" i="41"/>
  <c r="BE12" i="41"/>
  <c r="BD12" i="41"/>
  <c r="BC12" i="41"/>
  <c r="BE11" i="41"/>
  <c r="BD11" i="41"/>
  <c r="BC11" i="41"/>
  <c r="BE10" i="41"/>
  <c r="BD10" i="41"/>
  <c r="BC10" i="41"/>
  <c r="BE9" i="41"/>
  <c r="BD9" i="41"/>
  <c r="BC9" i="41"/>
  <c r="BE8" i="41"/>
  <c r="BD8" i="41"/>
  <c r="BC8" i="41"/>
  <c r="AX52" i="41"/>
  <c r="AW52" i="41"/>
  <c r="AV52" i="41"/>
  <c r="AX51" i="41"/>
  <c r="AW51" i="41"/>
  <c r="AV51" i="41"/>
  <c r="AX50" i="41"/>
  <c r="AW50" i="41"/>
  <c r="AV50" i="41"/>
  <c r="AX49" i="41"/>
  <c r="AW49" i="41"/>
  <c r="AV49" i="41"/>
  <c r="AX48" i="41"/>
  <c r="AW48" i="41"/>
  <c r="AV48" i="41"/>
  <c r="AX26" i="41"/>
  <c r="AW26" i="41"/>
  <c r="AV26" i="41"/>
  <c r="AX25" i="41"/>
  <c r="AW25" i="41"/>
  <c r="AV25" i="41"/>
  <c r="AX24" i="41"/>
  <c r="AW24" i="41"/>
  <c r="AV24" i="41"/>
  <c r="AX23" i="41"/>
  <c r="AW23" i="41"/>
  <c r="AV23" i="41"/>
  <c r="AX22" i="41"/>
  <c r="AW22" i="41"/>
  <c r="AV22" i="41"/>
  <c r="AX21" i="41"/>
  <c r="AW21" i="41"/>
  <c r="AV21" i="41"/>
  <c r="AX20" i="41"/>
  <c r="AW20" i="41"/>
  <c r="AV20" i="41"/>
  <c r="AX19" i="41"/>
  <c r="AW19" i="41"/>
  <c r="AV19" i="41"/>
  <c r="AX18" i="41"/>
  <c r="AW18" i="41"/>
  <c r="AV18" i="41"/>
  <c r="AX17" i="41"/>
  <c r="AW17" i="41"/>
  <c r="AV17" i="41"/>
  <c r="AX16" i="41"/>
  <c r="AW16" i="41"/>
  <c r="AV16" i="41"/>
  <c r="AX15" i="41"/>
  <c r="AW15" i="41"/>
  <c r="AV15" i="41"/>
  <c r="AX14" i="41"/>
  <c r="AW14" i="41"/>
  <c r="AV14" i="41"/>
  <c r="AX13" i="41"/>
  <c r="AW13" i="41"/>
  <c r="AV13" i="41"/>
  <c r="AX12" i="41"/>
  <c r="AW12" i="41"/>
  <c r="AV12" i="41"/>
  <c r="AX11" i="41"/>
  <c r="AW11" i="41"/>
  <c r="AV11" i="41"/>
  <c r="AX10" i="41"/>
  <c r="AW10" i="41"/>
  <c r="AV10" i="41"/>
  <c r="AX9" i="41"/>
  <c r="AW9" i="41"/>
  <c r="AV9" i="41"/>
  <c r="AX8" i="41"/>
  <c r="AW8" i="41"/>
  <c r="AV8" i="41"/>
  <c r="AQ52" i="41"/>
  <c r="AP52" i="41"/>
  <c r="AO52" i="41"/>
  <c r="AQ51" i="41"/>
  <c r="AP51" i="41"/>
  <c r="AO51" i="41"/>
  <c r="AQ50" i="41"/>
  <c r="AP50" i="41"/>
  <c r="AO50" i="41"/>
  <c r="AQ49" i="41"/>
  <c r="AP49" i="41"/>
  <c r="AO49" i="41"/>
  <c r="AQ48" i="41"/>
  <c r="AP48" i="41"/>
  <c r="AO48" i="41"/>
  <c r="AQ26" i="41"/>
  <c r="AP26" i="41"/>
  <c r="AO26" i="41"/>
  <c r="AQ25" i="41"/>
  <c r="AP25" i="41"/>
  <c r="AO25" i="41"/>
  <c r="AQ24" i="41"/>
  <c r="AP24" i="41"/>
  <c r="AO24" i="41"/>
  <c r="AQ23" i="41"/>
  <c r="AP23" i="41"/>
  <c r="AO23" i="41"/>
  <c r="AQ22" i="41"/>
  <c r="AP22" i="41"/>
  <c r="AO22" i="41"/>
  <c r="AQ21" i="41"/>
  <c r="AP21" i="41"/>
  <c r="AO21" i="41"/>
  <c r="AQ20" i="41"/>
  <c r="AP20" i="41"/>
  <c r="AO20" i="41"/>
  <c r="AQ19" i="41"/>
  <c r="AP19" i="41"/>
  <c r="AO19" i="41"/>
  <c r="AQ18" i="41"/>
  <c r="AP18" i="41"/>
  <c r="AO18" i="41"/>
  <c r="AQ17" i="41"/>
  <c r="AP17" i="41"/>
  <c r="AO17" i="41"/>
  <c r="AQ16" i="41"/>
  <c r="AP16" i="41"/>
  <c r="AO16" i="41"/>
  <c r="AQ15" i="41"/>
  <c r="AP15" i="41"/>
  <c r="AO15" i="41"/>
  <c r="AQ14" i="41"/>
  <c r="AP14" i="41"/>
  <c r="AO14" i="41"/>
  <c r="AQ13" i="41"/>
  <c r="AP13" i="41"/>
  <c r="AO13" i="41"/>
  <c r="AQ12" i="41"/>
  <c r="AP12" i="41"/>
  <c r="AO12" i="41"/>
  <c r="AQ11" i="41"/>
  <c r="AP11" i="41"/>
  <c r="AO11" i="41"/>
  <c r="AQ10" i="41"/>
  <c r="AP10" i="41"/>
  <c r="AO10" i="41"/>
  <c r="AQ9" i="41"/>
  <c r="AP9" i="41"/>
  <c r="AO9" i="41"/>
  <c r="AQ8" i="41"/>
  <c r="AP8" i="41"/>
  <c r="AO8" i="41"/>
  <c r="AH9" i="41"/>
  <c r="AI9" i="41"/>
  <c r="AJ9" i="41"/>
  <c r="AH10" i="41"/>
  <c r="AI10" i="41"/>
  <c r="AJ10" i="41"/>
  <c r="AH11" i="41"/>
  <c r="AI11" i="41"/>
  <c r="AJ11" i="41"/>
  <c r="AH12" i="41"/>
  <c r="AI12" i="41"/>
  <c r="AJ12" i="41"/>
  <c r="AH13" i="41"/>
  <c r="AI13" i="41"/>
  <c r="AJ13" i="41"/>
  <c r="AH14" i="41"/>
  <c r="AI14" i="41"/>
  <c r="AJ14" i="41"/>
  <c r="AH15" i="41"/>
  <c r="AI15" i="41"/>
  <c r="AJ15" i="41"/>
  <c r="AH16" i="41"/>
  <c r="AI16" i="41"/>
  <c r="AJ16" i="41"/>
  <c r="AH17" i="41"/>
  <c r="AI17" i="41"/>
  <c r="AJ17" i="41"/>
  <c r="AH18" i="41"/>
  <c r="AI18" i="41"/>
  <c r="AJ18" i="41"/>
  <c r="AH19" i="41"/>
  <c r="AI19" i="41"/>
  <c r="AJ19" i="41"/>
  <c r="AH20" i="41"/>
  <c r="AI20" i="41"/>
  <c r="AJ20" i="41"/>
  <c r="AH21" i="41"/>
  <c r="AI21" i="41"/>
  <c r="AJ21" i="41"/>
  <c r="AH22" i="41"/>
  <c r="AI22" i="41"/>
  <c r="AJ22" i="41"/>
  <c r="AH23" i="41"/>
  <c r="AI23" i="41"/>
  <c r="AJ23" i="41"/>
  <c r="AH24" i="41"/>
  <c r="AI24" i="41"/>
  <c r="AJ24" i="41"/>
  <c r="AH25" i="41"/>
  <c r="AI25" i="41"/>
  <c r="AJ25" i="41"/>
  <c r="AH26" i="41"/>
  <c r="AI26" i="41"/>
  <c r="AJ26" i="41"/>
  <c r="AH48" i="41"/>
  <c r="AI48" i="41"/>
  <c r="AJ48" i="41"/>
  <c r="AH49" i="41"/>
  <c r="AI49" i="41"/>
  <c r="AJ49" i="41"/>
  <c r="AH50" i="41"/>
  <c r="AI50" i="41"/>
  <c r="AJ50" i="41"/>
  <c r="AH51" i="41"/>
  <c r="AI51" i="41"/>
  <c r="AJ51" i="41"/>
  <c r="AH52" i="41"/>
  <c r="AI52" i="41"/>
  <c r="AJ52" i="41"/>
  <c r="AJ8" i="41"/>
  <c r="AI8" i="41"/>
  <c r="AH8" i="41"/>
  <c r="AC9" i="41"/>
  <c r="AC10" i="41"/>
  <c r="AC11" i="41"/>
  <c r="AC12" i="41"/>
  <c r="AC13" i="41"/>
  <c r="AC14" i="41"/>
  <c r="AC15" i="41"/>
  <c r="AC16" i="41"/>
  <c r="AC17" i="41"/>
  <c r="AC18" i="41"/>
  <c r="AC19" i="41"/>
  <c r="AC20" i="41"/>
  <c r="AC21" i="41"/>
  <c r="AC22" i="41"/>
  <c r="AC23" i="41"/>
  <c r="AC24" i="41"/>
  <c r="AC25" i="41"/>
  <c r="AC26" i="41"/>
  <c r="AC48" i="41"/>
  <c r="AC49" i="41"/>
  <c r="AC50" i="41"/>
  <c r="AC51" i="41"/>
  <c r="AC52" i="41"/>
  <c r="AC8" i="41"/>
  <c r="AA9" i="41"/>
  <c r="AA10" i="41"/>
  <c r="AA11" i="41"/>
  <c r="AA12" i="41"/>
  <c r="AA13" i="41"/>
  <c r="AA14" i="41"/>
  <c r="AA15" i="41"/>
  <c r="AA16" i="41"/>
  <c r="AA17" i="41"/>
  <c r="AA18" i="41"/>
  <c r="AA19" i="41"/>
  <c r="AA20" i="41"/>
  <c r="AA21" i="41"/>
  <c r="AA22" i="41"/>
  <c r="AA23" i="41"/>
  <c r="AA24" i="41"/>
  <c r="AA25" i="41"/>
  <c r="AA26" i="41"/>
  <c r="AA48" i="41"/>
  <c r="AA49" i="41"/>
  <c r="AA50" i="41"/>
  <c r="AA51" i="41"/>
  <c r="AA52" i="41"/>
  <c r="AA8" i="41"/>
  <c r="BG8" i="74" l="1"/>
  <c r="BE8" i="74"/>
  <c r="BD8" i="74"/>
  <c r="BF8" i="67"/>
  <c r="BE8" i="67"/>
  <c r="BH8" i="67"/>
  <c r="BE10" i="74"/>
  <c r="BG10" i="74"/>
  <c r="BD10" i="74"/>
  <c r="BE12" i="74"/>
  <c r="BD12" i="74"/>
  <c r="BG12" i="74"/>
  <c r="BG14" i="74"/>
  <c r="BE14" i="74"/>
  <c r="BD14" i="74"/>
  <c r="BG16" i="74"/>
  <c r="BE16" i="74"/>
  <c r="BD16" i="74"/>
  <c r="BE18" i="74"/>
  <c r="BD18" i="74"/>
  <c r="BG18" i="74"/>
  <c r="BG20" i="74"/>
  <c r="BE20" i="74"/>
  <c r="BD20" i="74"/>
  <c r="BG22" i="74"/>
  <c r="BE22" i="74"/>
  <c r="BD22" i="74"/>
  <c r="BE24" i="74"/>
  <c r="BD24" i="74"/>
  <c r="BG24" i="74"/>
  <c r="BE26" i="74"/>
  <c r="BD26" i="74"/>
  <c r="BG26" i="74"/>
  <c r="BG9" i="74"/>
  <c r="BE9" i="74"/>
  <c r="BD9" i="74"/>
  <c r="BD11" i="74"/>
  <c r="BG11" i="74"/>
  <c r="BE11" i="74"/>
  <c r="BE13" i="74"/>
  <c r="BD13" i="74"/>
  <c r="BG13" i="74"/>
  <c r="BD15" i="74"/>
  <c r="BG15" i="74"/>
  <c r="BE15" i="74"/>
  <c r="BD17" i="74"/>
  <c r="BG17" i="74"/>
  <c r="BE17" i="74"/>
  <c r="BE19" i="74"/>
  <c r="BD19" i="74"/>
  <c r="BG19" i="74"/>
  <c r="BD21" i="74"/>
  <c r="BG21" i="74"/>
  <c r="BE21" i="74"/>
  <c r="BD23" i="74"/>
  <c r="BG23" i="74"/>
  <c r="BE23" i="74"/>
  <c r="BE25" i="74"/>
  <c r="BD25" i="74"/>
  <c r="BG25" i="74"/>
  <c r="BD27" i="74"/>
  <c r="BG27" i="74"/>
  <c r="BE27" i="74"/>
  <c r="BF28" i="74"/>
  <c r="BF41" i="74"/>
  <c r="BG28" i="74"/>
  <c r="BE28" i="74"/>
  <c r="BD28" i="74"/>
  <c r="BG41" i="74"/>
  <c r="BE41" i="74"/>
  <c r="BD41" i="74"/>
  <c r="BG29" i="74"/>
  <c r="BE29" i="74"/>
  <c r="BD29" i="74"/>
  <c r="BG42" i="74"/>
  <c r="BE42" i="74"/>
  <c r="BD42" i="74"/>
  <c r="I6" i="42"/>
  <c r="I7" i="42"/>
  <c r="I8" i="42"/>
  <c r="I9" i="42"/>
  <c r="I10" i="42"/>
  <c r="I11" i="42"/>
  <c r="I12" i="42"/>
  <c r="I13" i="42"/>
  <c r="I14" i="42"/>
  <c r="I15" i="42"/>
  <c r="I16" i="42"/>
  <c r="I17" i="42"/>
  <c r="I18" i="42"/>
  <c r="I19" i="42"/>
  <c r="I20" i="42"/>
  <c r="I21" i="42"/>
  <c r="I22" i="42"/>
  <c r="Y7" i="82" l="1"/>
  <c r="Y8" i="82"/>
  <c r="Y9" i="82"/>
  <c r="Y10" i="82"/>
  <c r="Y11" i="82"/>
  <c r="Y12" i="82"/>
  <c r="Y13" i="82"/>
  <c r="Y14" i="82"/>
  <c r="Y15" i="82"/>
  <c r="Y16" i="82"/>
  <c r="Y17" i="82"/>
  <c r="Y18" i="82"/>
  <c r="Y19" i="82"/>
  <c r="Y20" i="82"/>
  <c r="Y21" i="82"/>
  <c r="Y22" i="82"/>
  <c r="Y23" i="82"/>
  <c r="Y24" i="82"/>
  <c r="Y25" i="82"/>
  <c r="Y26" i="82"/>
  <c r="Y27" i="82"/>
  <c r="Y28" i="82"/>
  <c r="Y29" i="82"/>
  <c r="Y30" i="82"/>
  <c r="Y31" i="82"/>
  <c r="Y32" i="82"/>
  <c r="Y33" i="82"/>
  <c r="Y34" i="82"/>
  <c r="Y35" i="82"/>
  <c r="Y36" i="82"/>
  <c r="Y37" i="82"/>
  <c r="Y38" i="82"/>
  <c r="Y39" i="82"/>
  <c r="Y40" i="82"/>
  <c r="Y41" i="82"/>
  <c r="Y42" i="82"/>
  <c r="Y43" i="82"/>
  <c r="Y44" i="82"/>
  <c r="Y45" i="82"/>
  <c r="Y46" i="82"/>
  <c r="Y47" i="82"/>
  <c r="Y48" i="82"/>
  <c r="Y49" i="82"/>
  <c r="Y50" i="82"/>
  <c r="Y51" i="82"/>
  <c r="Y52" i="82"/>
  <c r="Y53" i="82"/>
  <c r="Y54" i="82"/>
  <c r="Y55" i="82"/>
  <c r="Y56" i="82"/>
  <c r="Y57" i="82"/>
  <c r="Y58" i="82"/>
  <c r="Y59" i="82"/>
  <c r="Y6" i="82"/>
  <c r="N39" i="82"/>
  <c r="O39" i="82"/>
  <c r="P39" i="82"/>
  <c r="Q39" i="82"/>
  <c r="N40" i="82"/>
  <c r="O40" i="82"/>
  <c r="P40" i="82"/>
  <c r="Q40" i="82"/>
  <c r="N41" i="82"/>
  <c r="O41" i="82"/>
  <c r="P41" i="82"/>
  <c r="Q41" i="82"/>
  <c r="N42" i="82"/>
  <c r="O42" i="82"/>
  <c r="P42" i="82"/>
  <c r="Q42" i="82"/>
  <c r="N43" i="82"/>
  <c r="O43" i="82"/>
  <c r="P43" i="82"/>
  <c r="Q43" i="82"/>
  <c r="Q38" i="82"/>
  <c r="P38" i="82"/>
  <c r="O38" i="82"/>
  <c r="N38" i="82"/>
  <c r="N27" i="82"/>
  <c r="O27" i="82"/>
  <c r="P27" i="82"/>
  <c r="Q27" i="82"/>
  <c r="N28" i="82"/>
  <c r="O28" i="82"/>
  <c r="P28" i="82"/>
  <c r="Q28" i="82"/>
  <c r="N29" i="82"/>
  <c r="O29" i="82"/>
  <c r="P29" i="82"/>
  <c r="Q29" i="82"/>
  <c r="N30" i="82"/>
  <c r="O30" i="82"/>
  <c r="P30" i="82"/>
  <c r="Q30" i="82"/>
  <c r="Q26" i="82"/>
  <c r="P26" i="82"/>
  <c r="O26" i="82"/>
  <c r="N26" i="82"/>
  <c r="N16" i="82"/>
  <c r="O16" i="82"/>
  <c r="P16" i="82"/>
  <c r="Q16" i="82"/>
  <c r="N17" i="82"/>
  <c r="O17" i="82"/>
  <c r="P17" i="82"/>
  <c r="Q17" i="82"/>
  <c r="N18" i="82"/>
  <c r="O18" i="82"/>
  <c r="P18" i="82"/>
  <c r="Q18" i="82"/>
  <c r="Q15" i="82"/>
  <c r="P15" i="82"/>
  <c r="O15" i="82"/>
  <c r="N15" i="82"/>
  <c r="N6" i="82"/>
  <c r="O6" i="82"/>
  <c r="P6" i="82"/>
  <c r="Q6" i="82"/>
  <c r="N7" i="82"/>
  <c r="O7" i="82"/>
  <c r="P7" i="82"/>
  <c r="Q7" i="82"/>
  <c r="Q5" i="82"/>
  <c r="P5" i="82"/>
  <c r="O5" i="82"/>
  <c r="N5" i="82"/>
  <c r="H39" i="36"/>
  <c r="H40" i="36"/>
  <c r="H41" i="36"/>
  <c r="H42" i="36"/>
  <c r="H43" i="36"/>
  <c r="H38" i="36"/>
  <c r="H27" i="36"/>
  <c r="H28" i="36"/>
  <c r="H29" i="36"/>
  <c r="H30" i="36"/>
  <c r="H26" i="36"/>
  <c r="H16" i="36"/>
  <c r="H17" i="36"/>
  <c r="H18" i="36"/>
  <c r="H15" i="36"/>
  <c r="H7" i="36"/>
  <c r="H6" i="36"/>
  <c r="H5" i="36"/>
  <c r="H44" i="36" l="1"/>
  <c r="H46" i="36" s="1"/>
  <c r="H31" i="36"/>
  <c r="H33" i="36" s="1"/>
  <c r="U8" i="79"/>
  <c r="Q9" i="79"/>
  <c r="R9" i="79"/>
  <c r="Q10" i="79"/>
  <c r="R10" i="79"/>
  <c r="Q11" i="79"/>
  <c r="R11" i="79"/>
  <c r="Q12" i="79"/>
  <c r="R12" i="79"/>
  <c r="Q13" i="79"/>
  <c r="R13" i="79"/>
  <c r="Q14" i="79"/>
  <c r="R14" i="79"/>
  <c r="Q15" i="79"/>
  <c r="R15" i="79"/>
  <c r="Q16" i="79"/>
  <c r="R16" i="79"/>
  <c r="Q17" i="79"/>
  <c r="R17" i="79"/>
  <c r="Q18" i="79"/>
  <c r="R18" i="79"/>
  <c r="Q19" i="79"/>
  <c r="R19" i="79"/>
  <c r="Q20" i="79"/>
  <c r="R20" i="79"/>
  <c r="Q21" i="79"/>
  <c r="R21" i="79"/>
  <c r="Q22" i="79"/>
  <c r="R22" i="79"/>
  <c r="Q23" i="79"/>
  <c r="R23" i="79"/>
  <c r="Q24" i="79"/>
  <c r="R24" i="79"/>
  <c r="Q25" i="79"/>
  <c r="R25" i="79"/>
  <c r="Q26" i="79"/>
  <c r="R26" i="79"/>
  <c r="Q27" i="79"/>
  <c r="R27" i="79"/>
  <c r="Q28" i="79"/>
  <c r="R28" i="79"/>
  <c r="Q50" i="79"/>
  <c r="R50" i="79"/>
  <c r="Q51" i="79"/>
  <c r="R51" i="79"/>
  <c r="Q52" i="79"/>
  <c r="R52" i="79"/>
  <c r="R8" i="79"/>
  <c r="Q8" i="79"/>
  <c r="O9" i="79"/>
  <c r="O10" i="79"/>
  <c r="O11" i="79"/>
  <c r="O12" i="79"/>
  <c r="O13" i="79"/>
  <c r="O14" i="79"/>
  <c r="O15" i="79"/>
  <c r="O16" i="79"/>
  <c r="O17" i="79"/>
  <c r="O18" i="79"/>
  <c r="O19" i="79"/>
  <c r="O20" i="79"/>
  <c r="O21" i="79"/>
  <c r="O22" i="79"/>
  <c r="O23" i="79"/>
  <c r="O24" i="79"/>
  <c r="O25" i="79"/>
  <c r="O26" i="79"/>
  <c r="O27" i="79"/>
  <c r="O28" i="79"/>
  <c r="O50" i="79"/>
  <c r="O51" i="79"/>
  <c r="O52" i="79"/>
  <c r="O8" i="79"/>
  <c r="P9" i="78"/>
  <c r="P10" i="78"/>
  <c r="P11" i="78"/>
  <c r="P12" i="78"/>
  <c r="P13" i="78"/>
  <c r="P14" i="78"/>
  <c r="P15" i="78"/>
  <c r="P16" i="78"/>
  <c r="P17" i="78"/>
  <c r="P18" i="78"/>
  <c r="P19" i="78"/>
  <c r="P20" i="78"/>
  <c r="P21" i="78"/>
  <c r="P22" i="78"/>
  <c r="P23" i="78"/>
  <c r="P24" i="78"/>
  <c r="P25" i="78"/>
  <c r="P26" i="78"/>
  <c r="P27" i="78"/>
  <c r="P28" i="78"/>
  <c r="P29" i="78"/>
  <c r="P51" i="78"/>
  <c r="P52" i="78"/>
  <c r="P8" i="78"/>
  <c r="N9" i="78"/>
  <c r="N10" i="78"/>
  <c r="N11" i="78"/>
  <c r="N12" i="78"/>
  <c r="N13" i="78"/>
  <c r="N14" i="78"/>
  <c r="N15" i="78"/>
  <c r="N16" i="78"/>
  <c r="N17" i="78"/>
  <c r="N18" i="78"/>
  <c r="N19" i="78"/>
  <c r="N20" i="78"/>
  <c r="N21" i="78"/>
  <c r="N22" i="78"/>
  <c r="N23" i="78"/>
  <c r="N24" i="78"/>
  <c r="N25" i="78"/>
  <c r="N26" i="78"/>
  <c r="N27" i="78"/>
  <c r="N28" i="78"/>
  <c r="N29" i="78"/>
  <c r="N51" i="78"/>
  <c r="N52" i="78"/>
  <c r="N8" i="78"/>
  <c r="Y52" i="77" l="1"/>
  <c r="X52" i="77"/>
  <c r="Y51" i="77"/>
  <c r="X51" i="77"/>
  <c r="Y29" i="77"/>
  <c r="X29" i="77"/>
  <c r="Y28" i="77"/>
  <c r="X28" i="77"/>
  <c r="Y27" i="77"/>
  <c r="X27" i="77"/>
  <c r="Y26" i="77"/>
  <c r="X26" i="77"/>
  <c r="Y25" i="77"/>
  <c r="X25" i="77"/>
  <c r="Y24" i="77"/>
  <c r="X24" i="77"/>
  <c r="Y23" i="77"/>
  <c r="X23" i="77"/>
  <c r="Y22" i="77"/>
  <c r="X22" i="77"/>
  <c r="Y21" i="77"/>
  <c r="X21" i="77"/>
  <c r="Y20" i="77"/>
  <c r="X20" i="77"/>
  <c r="Y19" i="77"/>
  <c r="X19" i="77"/>
  <c r="Y18" i="77"/>
  <c r="X18" i="77"/>
  <c r="Y17" i="77"/>
  <c r="X17" i="77"/>
  <c r="Y16" i="77"/>
  <c r="X16" i="77"/>
  <c r="Y15" i="77"/>
  <c r="X15" i="77"/>
  <c r="Y14" i="77"/>
  <c r="X14" i="77"/>
  <c r="Y13" i="77"/>
  <c r="X13" i="77"/>
  <c r="Y12" i="77"/>
  <c r="X12" i="77"/>
  <c r="Y11" i="77"/>
  <c r="X11" i="77"/>
  <c r="Y10" i="77"/>
  <c r="X10" i="77"/>
  <c r="Y9" i="77"/>
  <c r="X9" i="77"/>
  <c r="Y8" i="77"/>
  <c r="X8" i="77"/>
  <c r="C3" i="77"/>
  <c r="E2" i="77"/>
  <c r="C2" i="77"/>
  <c r="E1" i="77"/>
  <c r="C1" i="77"/>
  <c r="B53" i="76"/>
  <c r="C14" i="65" s="1"/>
  <c r="AZ23" i="77" l="1"/>
  <c r="BF23" i="77" s="1"/>
  <c r="AV51" i="77"/>
  <c r="BB51" i="77" s="1"/>
  <c r="AZ25" i="77"/>
  <c r="BF25" i="77" s="1"/>
  <c r="AX13" i="77"/>
  <c r="BD13" i="77" s="1"/>
  <c r="AZ17" i="77"/>
  <c r="BF17" i="77" s="1"/>
  <c r="AZ19" i="77"/>
  <c r="BF19" i="77" s="1"/>
  <c r="AZ21" i="77"/>
  <c r="BF21" i="77" s="1"/>
  <c r="AZ27" i="77"/>
  <c r="BF27" i="77" s="1"/>
  <c r="AZ12" i="77"/>
  <c r="BF12" i="77" s="1"/>
  <c r="AZ13" i="77"/>
  <c r="BF13" i="77" s="1"/>
  <c r="AY21" i="77"/>
  <c r="BE21" i="77" s="1"/>
  <c r="AZ10" i="77"/>
  <c r="AZ20" i="77"/>
  <c r="BF20" i="77" s="1"/>
  <c r="AX16" i="77"/>
  <c r="BD16" i="77" s="1"/>
  <c r="AZ8" i="77"/>
  <c r="AX11" i="77"/>
  <c r="BD11" i="77" s="1"/>
  <c r="AY29" i="77"/>
  <c r="BE29" i="77" s="1"/>
  <c r="AZ52" i="77"/>
  <c r="BF52" i="77" s="1"/>
  <c r="AW24" i="77"/>
  <c r="BC24" i="77" s="1"/>
  <c r="AZ51" i="77"/>
  <c r="BF51" i="77" s="1"/>
  <c r="AZ22" i="77"/>
  <c r="BF22" i="77" s="1"/>
  <c r="AX27" i="77"/>
  <c r="BD27" i="77" s="1"/>
  <c r="AW8" i="77"/>
  <c r="AW14" i="77"/>
  <c r="BC14" i="77" s="1"/>
  <c r="AW16" i="77"/>
  <c r="BC16" i="77" s="1"/>
  <c r="AX23" i="77"/>
  <c r="BD23" i="77" s="1"/>
  <c r="AX24" i="77"/>
  <c r="BD24" i="77" s="1"/>
  <c r="AZ28" i="77"/>
  <c r="BF28" i="77" s="1"/>
  <c r="AZ14" i="77"/>
  <c r="BF14" i="77" s="1"/>
  <c r="AX8" i="77"/>
  <c r="AW9" i="77"/>
  <c r="AX14" i="77"/>
  <c r="BD14" i="77" s="1"/>
  <c r="AW15" i="77"/>
  <c r="BC15" i="77" s="1"/>
  <c r="AW18" i="77"/>
  <c r="BC18" i="77" s="1"/>
  <c r="AW20" i="77"/>
  <c r="BC20" i="77" s="1"/>
  <c r="AV22" i="77"/>
  <c r="BB22" i="77" s="1"/>
  <c r="AW26" i="77"/>
  <c r="BC26" i="77" s="1"/>
  <c r="AY52" i="77"/>
  <c r="BE52" i="77" s="1"/>
  <c r="AV28" i="77"/>
  <c r="BB28" i="77" s="1"/>
  <c r="AX9" i="77"/>
  <c r="AW13" i="77"/>
  <c r="BC13" i="77" s="1"/>
  <c r="AX15" i="77"/>
  <c r="BD15" i="77" s="1"/>
  <c r="AX17" i="77"/>
  <c r="BD17" i="77" s="1"/>
  <c r="AX18" i="77"/>
  <c r="BD18" i="77" s="1"/>
  <c r="AX25" i="77"/>
  <c r="BD25" i="77" s="1"/>
  <c r="AX26" i="77"/>
  <c r="BD26" i="77" s="1"/>
  <c r="AZ29" i="77"/>
  <c r="BF29" i="77" s="1"/>
  <c r="AY9" i="77"/>
  <c r="AZ18" i="77"/>
  <c r="BF18" i="77" s="1"/>
  <c r="AX21" i="77"/>
  <c r="BD21" i="77" s="1"/>
  <c r="AX22" i="77"/>
  <c r="BD22" i="77" s="1"/>
  <c r="AZ24" i="77"/>
  <c r="BF24" i="77" s="1"/>
  <c r="AZ26" i="77"/>
  <c r="BF26" i="77" s="1"/>
  <c r="AX28" i="77"/>
  <c r="BD28" i="77" s="1"/>
  <c r="AX29" i="77"/>
  <c r="BD29" i="77" s="1"/>
  <c r="AX51" i="77"/>
  <c r="BD51" i="77" s="1"/>
  <c r="AX52" i="77"/>
  <c r="BD52" i="77" s="1"/>
  <c r="AV10" i="77"/>
  <c r="AY12" i="77"/>
  <c r="BE12" i="77" s="1"/>
  <c r="AZ9" i="77"/>
  <c r="AX10" i="77"/>
  <c r="AW11" i="77"/>
  <c r="BC11" i="77" s="1"/>
  <c r="AX12" i="77"/>
  <c r="BD12" i="77" s="1"/>
  <c r="AV13" i="77"/>
  <c r="BB13" i="77" s="1"/>
  <c r="AY15" i="77"/>
  <c r="BE15" i="77" s="1"/>
  <c r="AV16" i="77"/>
  <c r="BB16" i="77" s="1"/>
  <c r="AW22" i="77"/>
  <c r="BC22" i="77" s="1"/>
  <c r="AW28" i="77"/>
  <c r="BC28" i="77" s="1"/>
  <c r="AW51" i="77"/>
  <c r="BC51" i="77" s="1"/>
  <c r="AY19" i="77"/>
  <c r="BE19" i="77" s="1"/>
  <c r="AV20" i="77"/>
  <c r="BB20" i="77" s="1"/>
  <c r="AW10" i="77"/>
  <c r="AZ11" i="77"/>
  <c r="BF11" i="77" s="1"/>
  <c r="AW12" i="77"/>
  <c r="BC12" i="77" s="1"/>
  <c r="AZ15" i="77"/>
  <c r="BF15" i="77" s="1"/>
  <c r="AZ16" i="77"/>
  <c r="BF16" i="77" s="1"/>
  <c r="AY17" i="77"/>
  <c r="BE17" i="77" s="1"/>
  <c r="AV18" i="77"/>
  <c r="BB18" i="77" s="1"/>
  <c r="AX19" i="77"/>
  <c r="BD19" i="77" s="1"/>
  <c r="AX20" i="77"/>
  <c r="BD20" i="77" s="1"/>
  <c r="AY23" i="77"/>
  <c r="BE23" i="77" s="1"/>
  <c r="AV24" i="77"/>
  <c r="BB24" i="77" s="1"/>
  <c r="AY25" i="77"/>
  <c r="BE25" i="77" s="1"/>
  <c r="AV26" i="77"/>
  <c r="BB26" i="77" s="1"/>
  <c r="AY27" i="77"/>
  <c r="BE27" i="77" s="1"/>
  <c r="AY8" i="77"/>
  <c r="AV9" i="77"/>
  <c r="AV12" i="77"/>
  <c r="BB12" i="77" s="1"/>
  <c r="AV15" i="77"/>
  <c r="BB15" i="77" s="1"/>
  <c r="AY16" i="77"/>
  <c r="BE16" i="77" s="1"/>
  <c r="AV17" i="77"/>
  <c r="BB17" i="77" s="1"/>
  <c r="AY18" i="77"/>
  <c r="BE18" i="77" s="1"/>
  <c r="AV19" i="77"/>
  <c r="BB19" i="77" s="1"/>
  <c r="AY20" i="77"/>
  <c r="BE20" i="77" s="1"/>
  <c r="AV21" i="77"/>
  <c r="BB21" i="77" s="1"/>
  <c r="AY22" i="77"/>
  <c r="BE22" i="77" s="1"/>
  <c r="AV23" i="77"/>
  <c r="BB23" i="77" s="1"/>
  <c r="AY24" i="77"/>
  <c r="BE24" i="77" s="1"/>
  <c r="AV25" i="77"/>
  <c r="BB25" i="77" s="1"/>
  <c r="AY26" i="77"/>
  <c r="BE26" i="77" s="1"/>
  <c r="AV27" i="77"/>
  <c r="BB27" i="77" s="1"/>
  <c r="AY28" i="77"/>
  <c r="BE28" i="77" s="1"/>
  <c r="AV29" i="77"/>
  <c r="BB29" i="77" s="1"/>
  <c r="AY51" i="77"/>
  <c r="BE51" i="77" s="1"/>
  <c r="AV52" i="77"/>
  <c r="BB52" i="77" s="1"/>
  <c r="AY11" i="77"/>
  <c r="BE11" i="77" s="1"/>
  <c r="AY14" i="77"/>
  <c r="BE14" i="77" s="1"/>
  <c r="AV8" i="77"/>
  <c r="AV11" i="77"/>
  <c r="BB11" i="77" s="1"/>
  <c r="AV14" i="77"/>
  <c r="BB14" i="77" s="1"/>
  <c r="AW17" i="77"/>
  <c r="BC17" i="77" s="1"/>
  <c r="AW19" i="77"/>
  <c r="BC19" i="77" s="1"/>
  <c r="AW21" i="77"/>
  <c r="BC21" i="77" s="1"/>
  <c r="AW23" i="77"/>
  <c r="BC23" i="77" s="1"/>
  <c r="AW25" i="77"/>
  <c r="BC25" i="77" s="1"/>
  <c r="AW27" i="77"/>
  <c r="BC27" i="77" s="1"/>
  <c r="AW29" i="77"/>
  <c r="BC29" i="77" s="1"/>
  <c r="AW52" i="77"/>
  <c r="BC52" i="77" s="1"/>
  <c r="AY10" i="77"/>
  <c r="AY13" i="77"/>
  <c r="BE13" i="77" s="1"/>
  <c r="U31" i="81"/>
  <c r="U9" i="81"/>
  <c r="U10" i="81"/>
  <c r="U11" i="81"/>
  <c r="U12" i="81"/>
  <c r="U13" i="81"/>
  <c r="U14" i="81"/>
  <c r="U15" i="81"/>
  <c r="U16" i="81"/>
  <c r="U17" i="81"/>
  <c r="U18" i="81"/>
  <c r="U19" i="81"/>
  <c r="U20" i="81"/>
  <c r="U21" i="81"/>
  <c r="U22" i="81"/>
  <c r="U23" i="81"/>
  <c r="U24" i="81"/>
  <c r="U25" i="81"/>
  <c r="U26" i="81"/>
  <c r="U27" i="81"/>
  <c r="U28" i="81"/>
  <c r="U29" i="81"/>
  <c r="U30" i="81"/>
  <c r="U8" i="81"/>
  <c r="Q31" i="81"/>
  <c r="Q10" i="81"/>
  <c r="Q11" i="81"/>
  <c r="Q12" i="81"/>
  <c r="Q13" i="81"/>
  <c r="Q14" i="81"/>
  <c r="Q15" i="81"/>
  <c r="Q16" i="81"/>
  <c r="Q17" i="81"/>
  <c r="Q18" i="81"/>
  <c r="Q19" i="81"/>
  <c r="Q20" i="81"/>
  <c r="Q21" i="81"/>
  <c r="Q22" i="81"/>
  <c r="Q23" i="81"/>
  <c r="Q24" i="81"/>
  <c r="Q25" i="81"/>
  <c r="Q26" i="81"/>
  <c r="Q27" i="81"/>
  <c r="Q28" i="81"/>
  <c r="Q29" i="81"/>
  <c r="Q30" i="81"/>
  <c r="Q9" i="81"/>
  <c r="Q8" i="81"/>
  <c r="O30" i="81"/>
  <c r="O10" i="81"/>
  <c r="O11" i="81"/>
  <c r="O12" i="81"/>
  <c r="O13" i="81"/>
  <c r="O14" i="81"/>
  <c r="O15" i="81"/>
  <c r="O16" i="81"/>
  <c r="O17" i="81"/>
  <c r="O18" i="81"/>
  <c r="O19" i="81"/>
  <c r="O20" i="81"/>
  <c r="O21" i="81"/>
  <c r="O22" i="81"/>
  <c r="O23" i="81"/>
  <c r="O24" i="81"/>
  <c r="O25" i="81"/>
  <c r="O26" i="81"/>
  <c r="O27" i="81"/>
  <c r="O28" i="81"/>
  <c r="O29" i="81"/>
  <c r="O9" i="81"/>
  <c r="O31" i="81"/>
  <c r="O8" i="81"/>
  <c r="BF10" i="77" l="1"/>
  <c r="N97" i="77"/>
  <c r="S97" i="77" s="1"/>
  <c r="BE10" i="77"/>
  <c r="M97" i="77"/>
  <c r="BC10" i="77"/>
  <c r="E97" i="77"/>
  <c r="BB10" i="77"/>
  <c r="D97" i="77"/>
  <c r="BD10" i="77"/>
  <c r="F97" i="77"/>
  <c r="BE9" i="77"/>
  <c r="M96" i="77"/>
  <c r="BB9" i="77"/>
  <c r="D96" i="77"/>
  <c r="BF9" i="77"/>
  <c r="N96" i="77"/>
  <c r="S96" i="77" s="1"/>
  <c r="BD9" i="77"/>
  <c r="F96" i="77"/>
  <c r="BC9" i="77"/>
  <c r="E96" i="77"/>
  <c r="BB8" i="77"/>
  <c r="D95" i="77"/>
  <c r="BD8" i="77"/>
  <c r="F95" i="77"/>
  <c r="BF8" i="77"/>
  <c r="N95" i="77"/>
  <c r="BE8" i="77"/>
  <c r="M95" i="77"/>
  <c r="BC8" i="77"/>
  <c r="E95" i="77"/>
  <c r="S119" i="77" l="1"/>
  <c r="M29" i="65" s="1"/>
  <c r="BB53" i="77"/>
  <c r="BB54" i="77" s="1"/>
  <c r="AV54" i="77" s="1"/>
  <c r="BF53" i="77"/>
  <c r="BF54" i="77" s="1"/>
  <c r="AZ54" i="77" s="1"/>
  <c r="BC53" i="77"/>
  <c r="BC54" i="77" s="1"/>
  <c r="AW54" i="77" s="1"/>
  <c r="BD53" i="77"/>
  <c r="BD54" i="77" s="1"/>
  <c r="AX54" i="77" s="1"/>
  <c r="BE53" i="77"/>
  <c r="BE54" i="77" s="1"/>
  <c r="AY54" i="77" s="1"/>
  <c r="E43" i="82"/>
  <c r="F43" i="82"/>
  <c r="G43" i="82"/>
  <c r="H43" i="82"/>
  <c r="H42" i="82"/>
  <c r="G42" i="82"/>
  <c r="F42" i="82"/>
  <c r="E42" i="82"/>
  <c r="H41" i="82"/>
  <c r="G41" i="82"/>
  <c r="F41" i="82"/>
  <c r="E41" i="82"/>
  <c r="H40" i="82"/>
  <c r="G40" i="82"/>
  <c r="F40" i="82"/>
  <c r="E40" i="82"/>
  <c r="H39" i="82"/>
  <c r="G39" i="82"/>
  <c r="F39" i="82"/>
  <c r="E39" i="82"/>
  <c r="H38" i="82"/>
  <c r="G38" i="82"/>
  <c r="F38" i="82"/>
  <c r="E38" i="82"/>
  <c r="E30" i="82"/>
  <c r="F30" i="82"/>
  <c r="G30" i="82"/>
  <c r="H30" i="82"/>
  <c r="H29" i="82"/>
  <c r="G29" i="82"/>
  <c r="F29" i="82"/>
  <c r="E29" i="82"/>
  <c r="H28" i="82"/>
  <c r="G28" i="82"/>
  <c r="F28" i="82"/>
  <c r="E28" i="82"/>
  <c r="H27" i="82"/>
  <c r="G27" i="82"/>
  <c r="F27" i="82"/>
  <c r="E27" i="82"/>
  <c r="H26" i="82"/>
  <c r="G26" i="82"/>
  <c r="F26" i="82"/>
  <c r="E26" i="82"/>
  <c r="H18" i="82"/>
  <c r="G18" i="82"/>
  <c r="F18" i="82"/>
  <c r="E18" i="82"/>
  <c r="H17" i="82"/>
  <c r="G17" i="82"/>
  <c r="F17" i="82"/>
  <c r="E17" i="82"/>
  <c r="H16" i="82"/>
  <c r="G16" i="82"/>
  <c r="F16" i="82"/>
  <c r="E16" i="82"/>
  <c r="H15" i="82"/>
  <c r="G15" i="82"/>
  <c r="F15" i="82"/>
  <c r="E15" i="82"/>
  <c r="E6" i="82"/>
  <c r="F6" i="82"/>
  <c r="G6" i="82"/>
  <c r="H6" i="82"/>
  <c r="E7" i="82"/>
  <c r="F7" i="82"/>
  <c r="G7" i="82"/>
  <c r="H7" i="82"/>
  <c r="H5" i="82"/>
  <c r="G5" i="82"/>
  <c r="F5" i="82"/>
  <c r="E5" i="82"/>
  <c r="P33" i="82"/>
  <c r="G33" i="82"/>
  <c r="N10" i="82"/>
  <c r="E10" i="82"/>
  <c r="E19" i="82" l="1"/>
  <c r="F19" i="82"/>
  <c r="F21" i="82" s="1"/>
  <c r="N19" i="82"/>
  <c r="N21" i="82" s="1"/>
  <c r="G19" i="82"/>
  <c r="G21" i="82" s="1"/>
  <c r="O19" i="82"/>
  <c r="O21" i="82" s="1"/>
  <c r="H19" i="82"/>
  <c r="H21" i="82" s="1"/>
  <c r="P19" i="82"/>
  <c r="G8" i="82"/>
  <c r="G10" i="82" s="1"/>
  <c r="Q19" i="82"/>
  <c r="Q21" i="82" s="1"/>
  <c r="Q44" i="82"/>
  <c r="Q46" i="82" s="1"/>
  <c r="H31" i="82"/>
  <c r="H33" i="82" s="1"/>
  <c r="N31" i="82"/>
  <c r="N33" i="82" s="1"/>
  <c r="E21" i="82"/>
  <c r="P21" i="82"/>
  <c r="N8" i="82"/>
  <c r="P8" i="82"/>
  <c r="P10" i="82" s="1"/>
  <c r="H8" i="82"/>
  <c r="H10" i="82" s="1"/>
  <c r="O8" i="82"/>
  <c r="O10" i="82" s="1"/>
  <c r="E8" i="82"/>
  <c r="H44" i="82"/>
  <c r="H46" i="82" s="1"/>
  <c r="N44" i="82"/>
  <c r="N46" i="82" s="1"/>
  <c r="O44" i="82"/>
  <c r="O46" i="82" s="1"/>
  <c r="P44" i="82"/>
  <c r="P46" i="82" s="1"/>
  <c r="F44" i="82"/>
  <c r="F46" i="82" s="1"/>
  <c r="G44" i="82"/>
  <c r="G46" i="82" s="1"/>
  <c r="E44" i="82"/>
  <c r="E46" i="82" s="1"/>
  <c r="O31" i="82"/>
  <c r="O33" i="82" s="1"/>
  <c r="Q31" i="82"/>
  <c r="Q33" i="82" s="1"/>
  <c r="F31" i="82"/>
  <c r="F33" i="82" s="1"/>
  <c r="G31" i="82"/>
  <c r="E31" i="82"/>
  <c r="E33" i="82" s="1"/>
  <c r="P31" i="82"/>
  <c r="F8" i="82"/>
  <c r="F10" i="82" s="1"/>
  <c r="Q8" i="82"/>
  <c r="Q10" i="82" s="1"/>
  <c r="CM137" i="79"/>
  <c r="CM136" i="79"/>
  <c r="CM135" i="79"/>
  <c r="CM134" i="79"/>
  <c r="CM133" i="79"/>
  <c r="CM131" i="79"/>
  <c r="CM128" i="79"/>
  <c r="CM127" i="79"/>
  <c r="CM125" i="79"/>
  <c r="CM124" i="79"/>
  <c r="CM122" i="79"/>
  <c r="CM121" i="79"/>
  <c r="CM120" i="79"/>
  <c r="CM119" i="79"/>
  <c r="CM118" i="79"/>
  <c r="CM117" i="79"/>
  <c r="CM116" i="79"/>
  <c r="CM115" i="79"/>
  <c r="CM114" i="79"/>
  <c r="CM113" i="79"/>
  <c r="CM112" i="79"/>
  <c r="CM110" i="79"/>
  <c r="CM109" i="79"/>
  <c r="CM108" i="79"/>
  <c r="CM106" i="79"/>
  <c r="CM105" i="79"/>
  <c r="CM104" i="79"/>
  <c r="CM100" i="79"/>
  <c r="CM99" i="79"/>
  <c r="CM98" i="79"/>
  <c r="CM97" i="79"/>
  <c r="CM96" i="79"/>
  <c r="CM95" i="79"/>
  <c r="CM94" i="79"/>
  <c r="CM93" i="79"/>
  <c r="CM91" i="79"/>
  <c r="CM90" i="79"/>
  <c r="CM89" i="79"/>
  <c r="CM88" i="79"/>
  <c r="CM87" i="79"/>
  <c r="CM86" i="79"/>
  <c r="CM85" i="79"/>
  <c r="CM82" i="79"/>
  <c r="CM80" i="79"/>
  <c r="CM79" i="79"/>
  <c r="CM78" i="79"/>
  <c r="CM77" i="79"/>
  <c r="CM76" i="79"/>
  <c r="CM75" i="79"/>
  <c r="CM74" i="79"/>
  <c r="CM73" i="79"/>
  <c r="CM72" i="79"/>
  <c r="CM71" i="79"/>
  <c r="CM70" i="79"/>
  <c r="CM69" i="79"/>
  <c r="CM68" i="79"/>
  <c r="CM67" i="79"/>
  <c r="CM66" i="79"/>
  <c r="CM65" i="79"/>
  <c r="CM64" i="79"/>
  <c r="CM61" i="79"/>
  <c r="CM59" i="79"/>
  <c r="CM58" i="79"/>
  <c r="CM57" i="79"/>
  <c r="CM56" i="79"/>
  <c r="CM55" i="79"/>
  <c r="CM54" i="79"/>
  <c r="CM52" i="79"/>
  <c r="CM51" i="79"/>
  <c r="CM50" i="79"/>
  <c r="CM49" i="79"/>
  <c r="CM46" i="79"/>
  <c r="CM44" i="79"/>
  <c r="CM40" i="79"/>
  <c r="CM39" i="79"/>
  <c r="CM37" i="79"/>
  <c r="CM36" i="79"/>
  <c r="CM35" i="79"/>
  <c r="CM31" i="79"/>
  <c r="CM30" i="79"/>
  <c r="CM29" i="79"/>
  <c r="CM27" i="79"/>
  <c r="CM26" i="79"/>
  <c r="CM24" i="79"/>
  <c r="CM23" i="79"/>
  <c r="CM22" i="79"/>
  <c r="CM20" i="79"/>
  <c r="CM19" i="79"/>
  <c r="CM18" i="79"/>
  <c r="CM17" i="79"/>
  <c r="CM16" i="79"/>
  <c r="CM15" i="79"/>
  <c r="CM13" i="79"/>
  <c r="CM9" i="79"/>
  <c r="CM6" i="79"/>
  <c r="X9" i="79"/>
  <c r="Z9" i="79"/>
  <c r="X10" i="79"/>
  <c r="Z10" i="79"/>
  <c r="X11" i="79"/>
  <c r="Z11" i="79"/>
  <c r="X12" i="79"/>
  <c r="Z12" i="79"/>
  <c r="X13" i="79"/>
  <c r="Z13" i="79"/>
  <c r="X14" i="79"/>
  <c r="Z14" i="79"/>
  <c r="X15" i="79"/>
  <c r="Z15" i="79"/>
  <c r="X16" i="79"/>
  <c r="Z16" i="79"/>
  <c r="X17" i="79"/>
  <c r="Z17" i="79"/>
  <c r="X18" i="79"/>
  <c r="Z18" i="79"/>
  <c r="X19" i="79"/>
  <c r="Z19" i="79"/>
  <c r="X20" i="79"/>
  <c r="Z20" i="79"/>
  <c r="X21" i="79"/>
  <c r="Z21" i="79"/>
  <c r="X22" i="79"/>
  <c r="Z22" i="79"/>
  <c r="X23" i="79"/>
  <c r="Z23" i="79"/>
  <c r="X24" i="79"/>
  <c r="Z24" i="79"/>
  <c r="X25" i="79"/>
  <c r="Z25" i="79"/>
  <c r="X26" i="79"/>
  <c r="Z26" i="79"/>
  <c r="X27" i="79"/>
  <c r="Z27" i="79"/>
  <c r="X28" i="79"/>
  <c r="Z28" i="79"/>
  <c r="X50" i="79"/>
  <c r="Z50" i="79"/>
  <c r="X51" i="79"/>
  <c r="Z51" i="79"/>
  <c r="X52" i="79"/>
  <c r="Z52" i="79"/>
  <c r="U52" i="79"/>
  <c r="U51" i="79"/>
  <c r="U50" i="79"/>
  <c r="U28" i="79"/>
  <c r="U27" i="79"/>
  <c r="U26" i="79"/>
  <c r="U25" i="79"/>
  <c r="U24" i="79"/>
  <c r="U23" i="79"/>
  <c r="U22" i="79"/>
  <c r="U21" i="79"/>
  <c r="U20" i="79"/>
  <c r="U19" i="79"/>
  <c r="U18" i="79"/>
  <c r="U17" i="79"/>
  <c r="U16" i="79"/>
  <c r="U15" i="79"/>
  <c r="U14" i="79"/>
  <c r="U13" i="79"/>
  <c r="U12" i="79"/>
  <c r="U11" i="79"/>
  <c r="U10" i="79"/>
  <c r="U9" i="79"/>
  <c r="AD8" i="79"/>
  <c r="Z8" i="79"/>
  <c r="X8" i="79"/>
  <c r="G8" i="79"/>
  <c r="H8" i="79" s="1"/>
  <c r="Q9" i="78"/>
  <c r="Q10" i="78"/>
  <c r="Q11" i="78"/>
  <c r="Q12" i="78"/>
  <c r="Q13" i="78"/>
  <c r="Q14" i="78"/>
  <c r="Q15" i="78"/>
  <c r="Q16" i="78"/>
  <c r="Q17" i="78"/>
  <c r="Q18" i="78"/>
  <c r="Q19" i="78"/>
  <c r="Q20" i="78"/>
  <c r="Q21" i="78"/>
  <c r="Q22" i="78"/>
  <c r="Q23" i="78"/>
  <c r="Q24" i="78"/>
  <c r="Q25" i="78"/>
  <c r="Q26" i="78"/>
  <c r="Q27" i="78"/>
  <c r="Q28" i="78"/>
  <c r="Q29" i="78"/>
  <c r="Q51" i="78"/>
  <c r="Q52" i="78"/>
  <c r="Q8" i="78"/>
  <c r="CJ137" i="78"/>
  <c r="CJ136" i="78"/>
  <c r="CJ135" i="78"/>
  <c r="CJ134" i="78"/>
  <c r="CJ133" i="78"/>
  <c r="CJ131" i="78"/>
  <c r="CJ128" i="78"/>
  <c r="CJ127" i="78"/>
  <c r="CJ125" i="78"/>
  <c r="CJ124" i="78"/>
  <c r="CJ122" i="78"/>
  <c r="CJ121" i="78"/>
  <c r="CJ120" i="78"/>
  <c r="CJ119" i="78"/>
  <c r="CJ118" i="78"/>
  <c r="CJ117" i="78"/>
  <c r="CJ116" i="78"/>
  <c r="CJ115" i="78"/>
  <c r="CJ114" i="78"/>
  <c r="CJ113" i="78"/>
  <c r="CJ112" i="78"/>
  <c r="CJ110" i="78"/>
  <c r="CJ109" i="78"/>
  <c r="CJ108" i="78"/>
  <c r="CJ106" i="78"/>
  <c r="CJ105" i="78"/>
  <c r="CJ104" i="78"/>
  <c r="CJ100" i="78"/>
  <c r="CJ99" i="78"/>
  <c r="CJ98" i="78"/>
  <c r="CJ97" i="78"/>
  <c r="CJ96" i="78"/>
  <c r="CJ95" i="78"/>
  <c r="CJ94" i="78"/>
  <c r="CJ93" i="78"/>
  <c r="CJ91" i="78"/>
  <c r="CJ90" i="78"/>
  <c r="CJ89" i="78"/>
  <c r="CJ88" i="78"/>
  <c r="CJ87" i="78"/>
  <c r="CJ86" i="78"/>
  <c r="CJ85" i="78"/>
  <c r="CJ82" i="78"/>
  <c r="CJ80" i="78"/>
  <c r="CJ79" i="78"/>
  <c r="CJ78" i="78"/>
  <c r="CJ77" i="78"/>
  <c r="CJ76" i="78"/>
  <c r="CJ75" i="78"/>
  <c r="CJ74" i="78"/>
  <c r="CJ73" i="78"/>
  <c r="CJ72" i="78"/>
  <c r="CJ71" i="78"/>
  <c r="CJ70" i="78"/>
  <c r="CJ69" i="78"/>
  <c r="CJ68" i="78"/>
  <c r="CJ67" i="78"/>
  <c r="CJ66" i="78"/>
  <c r="CJ65" i="78"/>
  <c r="CJ64" i="78"/>
  <c r="CJ61" i="78"/>
  <c r="CJ59" i="78"/>
  <c r="CJ58" i="78"/>
  <c r="CJ57" i="78"/>
  <c r="CJ56" i="78"/>
  <c r="CJ55" i="78"/>
  <c r="CJ54" i="78"/>
  <c r="CJ52" i="78"/>
  <c r="CJ51" i="78"/>
  <c r="CJ50" i="78"/>
  <c r="CJ49" i="78"/>
  <c r="CJ46" i="78"/>
  <c r="CJ44" i="78"/>
  <c r="CJ40" i="78"/>
  <c r="CJ39" i="78"/>
  <c r="CJ37" i="78"/>
  <c r="CJ36" i="78"/>
  <c r="CJ35" i="78"/>
  <c r="CJ31" i="78"/>
  <c r="CJ30" i="78"/>
  <c r="CJ29" i="78"/>
  <c r="CJ27" i="78"/>
  <c r="CJ26" i="78"/>
  <c r="CJ24" i="78"/>
  <c r="CJ23" i="78"/>
  <c r="CJ22" i="78"/>
  <c r="CJ20" i="78"/>
  <c r="CJ19" i="78"/>
  <c r="CJ18" i="78"/>
  <c r="CJ17" i="78"/>
  <c r="CJ16" i="78"/>
  <c r="CJ15" i="78"/>
  <c r="CJ13" i="78"/>
  <c r="CJ9" i="78"/>
  <c r="CJ6" i="78"/>
  <c r="AA52" i="79" l="1"/>
  <c r="AB52" i="79" s="1"/>
  <c r="AA25" i="79"/>
  <c r="AB25" i="79" s="1"/>
  <c r="AA26" i="79"/>
  <c r="AB26" i="79" s="1"/>
  <c r="AA28" i="79"/>
  <c r="AB28" i="79" s="1"/>
  <c r="AA22" i="79"/>
  <c r="AB22" i="79" s="1"/>
  <c r="AA19" i="79"/>
  <c r="AB19" i="79" s="1"/>
  <c r="AA16" i="79"/>
  <c r="AB16" i="79" s="1"/>
  <c r="AA13" i="79"/>
  <c r="AB13" i="79" s="1"/>
  <c r="AA10" i="79"/>
  <c r="AB10" i="79" s="1"/>
  <c r="AA51" i="79"/>
  <c r="AB51" i="79" s="1"/>
  <c r="AA27" i="79"/>
  <c r="AB27" i="79" s="1"/>
  <c r="AA24" i="79"/>
  <c r="AB24" i="79" s="1"/>
  <c r="AA21" i="79"/>
  <c r="AB21" i="79" s="1"/>
  <c r="AA18" i="79"/>
  <c r="AB18" i="79" s="1"/>
  <c r="AA15" i="79"/>
  <c r="AB15" i="79" s="1"/>
  <c r="AA12" i="79"/>
  <c r="AB12" i="79" s="1"/>
  <c r="AA9" i="79"/>
  <c r="AB9" i="79" s="1"/>
  <c r="AA50" i="79"/>
  <c r="AB50" i="79" s="1"/>
  <c r="AA23" i="79"/>
  <c r="AB23" i="79" s="1"/>
  <c r="AA20" i="79"/>
  <c r="AB20" i="79" s="1"/>
  <c r="AA17" i="79"/>
  <c r="AB17" i="79" s="1"/>
  <c r="AA14" i="79"/>
  <c r="AB14" i="79" s="1"/>
  <c r="AA11" i="79"/>
  <c r="AB11" i="79" s="1"/>
  <c r="L8" i="79"/>
  <c r="AA8" i="79" s="1"/>
  <c r="AB8" i="79" l="1"/>
  <c r="AB53" i="79" s="1"/>
  <c r="N29" i="65" l="1"/>
  <c r="Y9" i="76"/>
  <c r="Y10" i="76"/>
  <c r="Y11" i="76"/>
  <c r="Y12" i="76"/>
  <c r="Y13" i="76"/>
  <c r="Y14" i="76"/>
  <c r="Y15" i="76"/>
  <c r="Y16" i="76"/>
  <c r="Y17" i="76"/>
  <c r="Y18" i="76"/>
  <c r="Y19" i="76"/>
  <c r="Y20" i="76"/>
  <c r="Y21" i="76"/>
  <c r="Y22" i="76"/>
  <c r="Y23" i="76"/>
  <c r="Y24" i="76"/>
  <c r="Y25" i="76"/>
  <c r="Y26" i="76"/>
  <c r="Y27" i="76"/>
  <c r="Y49" i="76"/>
  <c r="Y50" i="76"/>
  <c r="Y51" i="76"/>
  <c r="Y52" i="76"/>
  <c r="Y8" i="76"/>
  <c r="O97" i="77"/>
  <c r="O98" i="77"/>
  <c r="P99" i="77"/>
  <c r="Q100" i="77"/>
  <c r="O103" i="77"/>
  <c r="O104" i="77"/>
  <c r="Q106" i="77"/>
  <c r="O109" i="77"/>
  <c r="O110" i="77"/>
  <c r="P111" i="77"/>
  <c r="Q112" i="77"/>
  <c r="O113" i="77"/>
  <c r="O115" i="77"/>
  <c r="O116" i="77"/>
  <c r="P117" i="77"/>
  <c r="O118" i="77"/>
  <c r="Q96" i="77"/>
  <c r="P100" i="77"/>
  <c r="O101" i="77"/>
  <c r="P101" i="77"/>
  <c r="Q101" i="77"/>
  <c r="R101" i="77"/>
  <c r="Q103" i="77"/>
  <c r="R103" i="77"/>
  <c r="O107" i="77"/>
  <c r="P107" i="77"/>
  <c r="Q107" i="77"/>
  <c r="R107" i="77"/>
  <c r="R109" i="77"/>
  <c r="P113" i="77"/>
  <c r="Q113" i="77"/>
  <c r="R113" i="77"/>
  <c r="O114" i="77"/>
  <c r="R116" i="77"/>
  <c r="Q109" i="77" l="1"/>
  <c r="P103" i="77"/>
  <c r="Q115" i="77"/>
  <c r="P109" i="77"/>
  <c r="P115" i="77"/>
  <c r="R108" i="77"/>
  <c r="R104" i="77"/>
  <c r="R115" i="77"/>
  <c r="O102" i="77"/>
  <c r="O117" i="77"/>
  <c r="O111" i="77"/>
  <c r="O105" i="77"/>
  <c r="O99" i="77"/>
  <c r="P108" i="77"/>
  <c r="R114" i="77"/>
  <c r="O108" i="77"/>
  <c r="R102" i="77"/>
  <c r="Q114" i="77"/>
  <c r="Q102" i="77"/>
  <c r="P114" i="77"/>
  <c r="P102" i="77"/>
  <c r="Q108" i="77"/>
  <c r="R110" i="77"/>
  <c r="P106" i="77"/>
  <c r="P112" i="77"/>
  <c r="P118" i="77"/>
  <c r="R98" i="77"/>
  <c r="O112" i="77"/>
  <c r="O106" i="77"/>
  <c r="O100" i="77"/>
  <c r="R117" i="77"/>
  <c r="Q116" i="77"/>
  <c r="R111" i="77"/>
  <c r="Q110" i="77"/>
  <c r="R105" i="77"/>
  <c r="Q104" i="77"/>
  <c r="R99" i="77"/>
  <c r="Q98" i="77"/>
  <c r="R118" i="77"/>
  <c r="Q117" i="77"/>
  <c r="P116" i="77"/>
  <c r="R112" i="77"/>
  <c r="Q111" i="77"/>
  <c r="P110" i="77"/>
  <c r="R106" i="77"/>
  <c r="Q105" i="77"/>
  <c r="P104" i="77"/>
  <c r="R100" i="77"/>
  <c r="Q99" i="77"/>
  <c r="P98" i="77"/>
  <c r="Q118" i="77"/>
  <c r="P105" i="77"/>
  <c r="R96" i="77"/>
  <c r="R97" i="77"/>
  <c r="Q97" i="77"/>
  <c r="P97" i="77"/>
  <c r="P96" i="77"/>
  <c r="O96" i="77"/>
  <c r="O95" i="77"/>
  <c r="P95" i="77"/>
  <c r="Q95" i="77"/>
  <c r="R95" i="77"/>
  <c r="G29" i="65"/>
  <c r="D69" i="77"/>
  <c r="D70" i="77"/>
  <c r="D71" i="77"/>
  <c r="D72" i="77"/>
  <c r="D73" i="77"/>
  <c r="D74" i="77"/>
  <c r="D75" i="77"/>
  <c r="D76" i="77"/>
  <c r="D77" i="77"/>
  <c r="D78" i="77"/>
  <c r="D79" i="77"/>
  <c r="D80" i="77"/>
  <c r="D81" i="77"/>
  <c r="D82" i="77"/>
  <c r="D83" i="77"/>
  <c r="D84" i="77"/>
  <c r="D85" i="77"/>
  <c r="D86" i="77"/>
  <c r="D87" i="77"/>
  <c r="D88" i="77"/>
  <c r="D89" i="77"/>
  <c r="D90" i="77"/>
  <c r="D91" i="77"/>
  <c r="D68" i="77"/>
  <c r="C69" i="77"/>
  <c r="C70" i="77"/>
  <c r="C71" i="77"/>
  <c r="O71" i="77" s="1"/>
  <c r="C72" i="77"/>
  <c r="N72" i="77" s="1"/>
  <c r="C73" i="77"/>
  <c r="N73" i="77" s="1"/>
  <c r="C74" i="77"/>
  <c r="O74" i="77" s="1"/>
  <c r="C75" i="77"/>
  <c r="N75" i="77" s="1"/>
  <c r="C76" i="77"/>
  <c r="N76" i="77" s="1"/>
  <c r="C77" i="77"/>
  <c r="O77" i="77" s="1"/>
  <c r="C78" i="77"/>
  <c r="C79" i="77"/>
  <c r="N79" i="77" s="1"/>
  <c r="C80" i="77"/>
  <c r="O80" i="77" s="1"/>
  <c r="C81" i="77"/>
  <c r="N81" i="77" s="1"/>
  <c r="C82" i="77"/>
  <c r="N82" i="77" s="1"/>
  <c r="C83" i="77"/>
  <c r="O83" i="77" s="1"/>
  <c r="C84" i="77"/>
  <c r="N84" i="77" s="1"/>
  <c r="C85" i="77"/>
  <c r="N85" i="77" s="1"/>
  <c r="C86" i="77"/>
  <c r="O86" i="77" s="1"/>
  <c r="C87" i="77"/>
  <c r="N87" i="77" s="1"/>
  <c r="C88" i="77"/>
  <c r="N88" i="77" s="1"/>
  <c r="C89" i="77"/>
  <c r="O89" i="77" s="1"/>
  <c r="C90" i="77"/>
  <c r="N90" i="77" s="1"/>
  <c r="C91" i="77"/>
  <c r="N91" i="77" s="1"/>
  <c r="C68" i="77"/>
  <c r="M68" i="77" s="1"/>
  <c r="AB8" i="80"/>
  <c r="AC8" i="80"/>
  <c r="AB9" i="80"/>
  <c r="AC9" i="80"/>
  <c r="AB10" i="80"/>
  <c r="AC10" i="80"/>
  <c r="AB11" i="80"/>
  <c r="AC11" i="80"/>
  <c r="AB12" i="80"/>
  <c r="AC12" i="80"/>
  <c r="AB13" i="80"/>
  <c r="AC13" i="80"/>
  <c r="AB14" i="80"/>
  <c r="AC14" i="80"/>
  <c r="AB15" i="80"/>
  <c r="AC15" i="80"/>
  <c r="AB16" i="80"/>
  <c r="AC16" i="80"/>
  <c r="AB17" i="80"/>
  <c r="AC17" i="80"/>
  <c r="AB18" i="80"/>
  <c r="AC18" i="80"/>
  <c r="AB19" i="80"/>
  <c r="AC19" i="80"/>
  <c r="AB20" i="80"/>
  <c r="AC20" i="80"/>
  <c r="AB21" i="80"/>
  <c r="AC21" i="80"/>
  <c r="AB22" i="80"/>
  <c r="AC22" i="80"/>
  <c r="AB23" i="80"/>
  <c r="AC23" i="80"/>
  <c r="AB24" i="80"/>
  <c r="AC24" i="80"/>
  <c r="AB25" i="80"/>
  <c r="AC25" i="80"/>
  <c r="AB26" i="80"/>
  <c r="AC26" i="80"/>
  <c r="AB27" i="80"/>
  <c r="AC27" i="80"/>
  <c r="AB28" i="80"/>
  <c r="AC28" i="80"/>
  <c r="AB29" i="80"/>
  <c r="AC29" i="80"/>
  <c r="AB30" i="80"/>
  <c r="AC30" i="80"/>
  <c r="AB31" i="80"/>
  <c r="AC31" i="80"/>
  <c r="AG52" i="79"/>
  <c r="AF52" i="79"/>
  <c r="AG51" i="79"/>
  <c r="AF51" i="79"/>
  <c r="AG50" i="79"/>
  <c r="AF50" i="79"/>
  <c r="AG28" i="79"/>
  <c r="AF28" i="79"/>
  <c r="AG27" i="79"/>
  <c r="AF27" i="79"/>
  <c r="AG26" i="79"/>
  <c r="AF26" i="79"/>
  <c r="AG25" i="79"/>
  <c r="AF25" i="79"/>
  <c r="AG24" i="79"/>
  <c r="AF24" i="79"/>
  <c r="AG23" i="79"/>
  <c r="AF23" i="79"/>
  <c r="AG22" i="79"/>
  <c r="AF22" i="79"/>
  <c r="AG21" i="79"/>
  <c r="AF21" i="79"/>
  <c r="AG20" i="79"/>
  <c r="AF20" i="79"/>
  <c r="AG19" i="79"/>
  <c r="AF19" i="79"/>
  <c r="AG18" i="79"/>
  <c r="AF18" i="79"/>
  <c r="AG17" i="79"/>
  <c r="AF17" i="79"/>
  <c r="AG16" i="79"/>
  <c r="AF16" i="79"/>
  <c r="AG15" i="79"/>
  <c r="AF15" i="79"/>
  <c r="AG14" i="79"/>
  <c r="AF14" i="79"/>
  <c r="AG13" i="79"/>
  <c r="AF13" i="79"/>
  <c r="AG12" i="79"/>
  <c r="AF12" i="79"/>
  <c r="AG11" i="79"/>
  <c r="AF11" i="79"/>
  <c r="AG10" i="79"/>
  <c r="AF10" i="79"/>
  <c r="AG9" i="79"/>
  <c r="AF9" i="79"/>
  <c r="AG8" i="79"/>
  <c r="AF8" i="79"/>
  <c r="M91" i="77" l="1"/>
  <c r="M89" i="77"/>
  <c r="M73" i="77"/>
  <c r="M85" i="77"/>
  <c r="M83" i="77"/>
  <c r="M79" i="77"/>
  <c r="M77" i="77"/>
  <c r="M90" i="77"/>
  <c r="M84" i="77"/>
  <c r="M78" i="77"/>
  <c r="M72" i="77"/>
  <c r="M88" i="77"/>
  <c r="M82" i="77"/>
  <c r="M76" i="77"/>
  <c r="M87" i="77"/>
  <c r="M81" i="77"/>
  <c r="M75" i="77"/>
  <c r="M86" i="77"/>
  <c r="M80" i="77"/>
  <c r="M74" i="77"/>
  <c r="R119" i="77"/>
  <c r="Q119" i="77"/>
  <c r="P119" i="77"/>
  <c r="O119" i="77"/>
  <c r="M71" i="77"/>
  <c r="M70" i="77"/>
  <c r="M69" i="77"/>
  <c r="D92" i="77"/>
  <c r="N86" i="77"/>
  <c r="O76" i="77"/>
  <c r="N83" i="77"/>
  <c r="O82" i="77"/>
  <c r="N74" i="77"/>
  <c r="N89" i="77"/>
  <c r="N71" i="77"/>
  <c r="O88" i="77"/>
  <c r="N80" i="77"/>
  <c r="O91" i="77"/>
  <c r="O85" i="77"/>
  <c r="O79" i="77"/>
  <c r="O73" i="77"/>
  <c r="O90" i="77"/>
  <c r="O87" i="77"/>
  <c r="O84" i="77"/>
  <c r="O81" i="77"/>
  <c r="O78" i="77"/>
  <c r="O75" i="77"/>
  <c r="O72" i="77"/>
  <c r="H8" i="36"/>
  <c r="H10" i="36" s="1"/>
  <c r="H19" i="36"/>
  <c r="H21" i="36" s="1"/>
  <c r="Q43" i="36"/>
  <c r="Q40" i="36"/>
  <c r="Q41" i="36"/>
  <c r="Q42" i="36"/>
  <c r="Q39" i="36"/>
  <c r="Q38" i="36"/>
  <c r="Q30" i="36"/>
  <c r="Q29" i="36"/>
  <c r="Q28" i="36"/>
  <c r="Q27" i="36"/>
  <c r="Q26" i="36"/>
  <c r="Q18" i="36"/>
  <c r="Q17" i="36"/>
  <c r="Q16" i="36"/>
  <c r="Q15" i="36"/>
  <c r="Q7" i="36"/>
  <c r="Q6" i="36"/>
  <c r="Q5" i="36"/>
  <c r="L29" i="65" l="1"/>
  <c r="J29" i="65"/>
  <c r="R29" i="65"/>
  <c r="K29" i="65"/>
  <c r="P29" i="65" s="1"/>
  <c r="M92" i="77"/>
  <c r="C30" i="65" s="1"/>
  <c r="S42" i="75"/>
  <c r="R42" i="75"/>
  <c r="S41" i="75"/>
  <c r="R41" i="75"/>
  <c r="S29" i="75"/>
  <c r="R29" i="75"/>
  <c r="S28" i="75"/>
  <c r="R28" i="75"/>
  <c r="S27" i="75"/>
  <c r="R27" i="75"/>
  <c r="S26" i="75"/>
  <c r="R26" i="75"/>
  <c r="S25" i="75"/>
  <c r="R25" i="75"/>
  <c r="S24" i="75"/>
  <c r="R24" i="75"/>
  <c r="S23" i="75"/>
  <c r="R23" i="75"/>
  <c r="S22" i="75"/>
  <c r="R22" i="75"/>
  <c r="S21" i="75"/>
  <c r="R21" i="75"/>
  <c r="S20" i="75"/>
  <c r="R20" i="75"/>
  <c r="S19" i="75"/>
  <c r="R19" i="75"/>
  <c r="S18" i="75"/>
  <c r="R18" i="75"/>
  <c r="S17" i="75"/>
  <c r="R17" i="75"/>
  <c r="S16" i="75"/>
  <c r="R16" i="75"/>
  <c r="S15" i="75"/>
  <c r="R15" i="75"/>
  <c r="S14" i="75"/>
  <c r="R14" i="75"/>
  <c r="S13" i="75"/>
  <c r="R13" i="75"/>
  <c r="S12" i="75"/>
  <c r="R12" i="75"/>
  <c r="S11" i="75"/>
  <c r="R11" i="75"/>
  <c r="S10" i="75"/>
  <c r="R10" i="75"/>
  <c r="S9" i="75"/>
  <c r="R9" i="75"/>
  <c r="S8" i="75"/>
  <c r="R8" i="75"/>
  <c r="R9" i="66"/>
  <c r="S9" i="66"/>
  <c r="R10" i="66"/>
  <c r="S10" i="66"/>
  <c r="R11" i="66"/>
  <c r="S11" i="66"/>
  <c r="R12" i="66"/>
  <c r="S12" i="66"/>
  <c r="R13" i="66"/>
  <c r="S13" i="66"/>
  <c r="R14" i="66"/>
  <c r="S14" i="66"/>
  <c r="R15" i="66"/>
  <c r="S15" i="66"/>
  <c r="R16" i="66"/>
  <c r="S16" i="66"/>
  <c r="R17" i="66"/>
  <c r="S17" i="66"/>
  <c r="R18" i="66"/>
  <c r="S18" i="66"/>
  <c r="R19" i="66"/>
  <c r="S19" i="66"/>
  <c r="R20" i="66"/>
  <c r="S20" i="66"/>
  <c r="R21" i="66"/>
  <c r="S21" i="66"/>
  <c r="R22" i="66"/>
  <c r="S22" i="66"/>
  <c r="R23" i="66"/>
  <c r="S23" i="66"/>
  <c r="R24" i="66"/>
  <c r="S24" i="66"/>
  <c r="R25" i="66"/>
  <c r="S25" i="66"/>
  <c r="R26" i="66"/>
  <c r="S26" i="66"/>
  <c r="R27" i="66"/>
  <c r="S27" i="66"/>
  <c r="R28" i="66"/>
  <c r="S28" i="66"/>
  <c r="R29" i="66"/>
  <c r="S29" i="66"/>
  <c r="R41" i="66"/>
  <c r="S41" i="66"/>
  <c r="R42" i="66"/>
  <c r="S42" i="66"/>
  <c r="S8" i="66"/>
  <c r="R8" i="66"/>
  <c r="T8" i="74"/>
  <c r="T9" i="74"/>
  <c r="T10" i="74"/>
  <c r="T11" i="74"/>
  <c r="T12" i="74"/>
  <c r="T13" i="74"/>
  <c r="T14" i="74"/>
  <c r="T15" i="74"/>
  <c r="T16" i="74"/>
  <c r="T17" i="74"/>
  <c r="T18" i="74"/>
  <c r="T19" i="74"/>
  <c r="T20" i="74"/>
  <c r="T21" i="74"/>
  <c r="T22" i="74"/>
  <c r="T23" i="74"/>
  <c r="T24" i="74"/>
  <c r="T25" i="74"/>
  <c r="T26" i="74"/>
  <c r="T27" i="74"/>
  <c r="T28" i="74"/>
  <c r="T29" i="74"/>
  <c r="T41" i="74"/>
  <c r="T42" i="74"/>
  <c r="T9" i="67"/>
  <c r="U9" i="67"/>
  <c r="T10" i="67"/>
  <c r="U10" i="67"/>
  <c r="T11" i="67"/>
  <c r="U11" i="67"/>
  <c r="T12" i="67"/>
  <c r="U12" i="67"/>
  <c r="T13" i="67"/>
  <c r="U13" i="67"/>
  <c r="T14" i="67"/>
  <c r="U14" i="67"/>
  <c r="T15" i="67"/>
  <c r="U15" i="67"/>
  <c r="T16" i="67"/>
  <c r="U16" i="67"/>
  <c r="T17" i="67"/>
  <c r="U17" i="67"/>
  <c r="T18" i="67"/>
  <c r="U18" i="67"/>
  <c r="T19" i="67"/>
  <c r="U19" i="67"/>
  <c r="T20" i="67"/>
  <c r="U20" i="67"/>
  <c r="T21" i="67"/>
  <c r="U21" i="67"/>
  <c r="T22" i="67"/>
  <c r="U22" i="67"/>
  <c r="T23" i="67"/>
  <c r="U23" i="67"/>
  <c r="T24" i="67"/>
  <c r="U24" i="67"/>
  <c r="T25" i="67"/>
  <c r="U25" i="67"/>
  <c r="T26" i="67"/>
  <c r="U26" i="67"/>
  <c r="T27" i="67"/>
  <c r="U27" i="67"/>
  <c r="T39" i="67"/>
  <c r="U39" i="67"/>
  <c r="T40" i="67"/>
  <c r="U40" i="67"/>
  <c r="T41" i="67"/>
  <c r="U41" i="67"/>
  <c r="T42" i="67"/>
  <c r="U42" i="67"/>
  <c r="U8" i="67"/>
  <c r="T8" i="67"/>
  <c r="AC31" i="81"/>
  <c r="AB31" i="81"/>
  <c r="AC30" i="81"/>
  <c r="AB30" i="81"/>
  <c r="AC29" i="81"/>
  <c r="AB29" i="81"/>
  <c r="AC28" i="81"/>
  <c r="AB28" i="81"/>
  <c r="AC27" i="81"/>
  <c r="AB27" i="81"/>
  <c r="AC26" i="81"/>
  <c r="AB26" i="81"/>
  <c r="AC25" i="81"/>
  <c r="AB25" i="81"/>
  <c r="AC24" i="81"/>
  <c r="AB24" i="81"/>
  <c r="AC23" i="81"/>
  <c r="AB23" i="81"/>
  <c r="AC22" i="81"/>
  <c r="AB22" i="81"/>
  <c r="AC21" i="81"/>
  <c r="AB21" i="81"/>
  <c r="AC20" i="81"/>
  <c r="AB20" i="81"/>
  <c r="AC19" i="81"/>
  <c r="AB19" i="81"/>
  <c r="AC18" i="81"/>
  <c r="AB18" i="81"/>
  <c r="AC17" i="81"/>
  <c r="AB17" i="81"/>
  <c r="AC16" i="81"/>
  <c r="AB16" i="81"/>
  <c r="AC15" i="81"/>
  <c r="AB15" i="81"/>
  <c r="AC14" i="81"/>
  <c r="AB14" i="81"/>
  <c r="AC13" i="81"/>
  <c r="AB13" i="81"/>
  <c r="AC12" i="81"/>
  <c r="AB12" i="81"/>
  <c r="AC11" i="81"/>
  <c r="AB11" i="81"/>
  <c r="AC10" i="81"/>
  <c r="AB10" i="81"/>
  <c r="AC9" i="81"/>
  <c r="AB9" i="81"/>
  <c r="AC8" i="81"/>
  <c r="AB8" i="81"/>
  <c r="X9" i="76"/>
  <c r="X10" i="76"/>
  <c r="X11" i="76"/>
  <c r="X12" i="76"/>
  <c r="X13" i="76"/>
  <c r="X14" i="76"/>
  <c r="X15" i="76"/>
  <c r="X16" i="76"/>
  <c r="X17" i="76"/>
  <c r="X18" i="76"/>
  <c r="X19" i="76"/>
  <c r="X20" i="76"/>
  <c r="X21" i="76"/>
  <c r="X22" i="76"/>
  <c r="X23" i="76"/>
  <c r="X24" i="76"/>
  <c r="X25" i="76"/>
  <c r="X26" i="76"/>
  <c r="X27" i="76"/>
  <c r="X49" i="76"/>
  <c r="X50" i="76"/>
  <c r="X51" i="76"/>
  <c r="X52" i="76"/>
  <c r="X8" i="76"/>
  <c r="AC9" i="78"/>
  <c r="AC10" i="78"/>
  <c r="AC11" i="78"/>
  <c r="AC12" i="78"/>
  <c r="AC13" i="78"/>
  <c r="AC14" i="78"/>
  <c r="AC15" i="78"/>
  <c r="AC16" i="78"/>
  <c r="AC17" i="78"/>
  <c r="AC18" i="78"/>
  <c r="AC19" i="78"/>
  <c r="AC20" i="78"/>
  <c r="AC21" i="78"/>
  <c r="AC22" i="78"/>
  <c r="AC23" i="78"/>
  <c r="AC24" i="78"/>
  <c r="AC25" i="78"/>
  <c r="AC26" i="78"/>
  <c r="AC27" i="78"/>
  <c r="AC28" i="78"/>
  <c r="AC29" i="78"/>
  <c r="AC51" i="78"/>
  <c r="AC52" i="78"/>
  <c r="AC8" i="78"/>
  <c r="AD9" i="78"/>
  <c r="AD10" i="78"/>
  <c r="AD11" i="78"/>
  <c r="AD12" i="78"/>
  <c r="AD13" i="78"/>
  <c r="AD14" i="78"/>
  <c r="AD15" i="78"/>
  <c r="AD16" i="78"/>
  <c r="AD17" i="78"/>
  <c r="AD18" i="78"/>
  <c r="AD19" i="78"/>
  <c r="AD20" i="78"/>
  <c r="AD21" i="78"/>
  <c r="AD22" i="78"/>
  <c r="AD23" i="78"/>
  <c r="AD24" i="78"/>
  <c r="AD25" i="78"/>
  <c r="AD26" i="78"/>
  <c r="AD27" i="78"/>
  <c r="AD28" i="78"/>
  <c r="AD29" i="78"/>
  <c r="AD51" i="78"/>
  <c r="AD52" i="78"/>
  <c r="AD8" i="78"/>
  <c r="W52" i="72"/>
  <c r="V52" i="72"/>
  <c r="W51" i="72"/>
  <c r="V51" i="72"/>
  <c r="W50" i="72"/>
  <c r="V50" i="72"/>
  <c r="W49" i="72"/>
  <c r="V49" i="72"/>
  <c r="W48" i="72"/>
  <c r="V48" i="72"/>
  <c r="W26" i="72"/>
  <c r="V26" i="72"/>
  <c r="W25" i="72"/>
  <c r="V25" i="72"/>
  <c r="W24" i="72"/>
  <c r="V24" i="72"/>
  <c r="W23" i="72"/>
  <c r="V23" i="72"/>
  <c r="W22" i="72"/>
  <c r="V22" i="72"/>
  <c r="W21" i="72"/>
  <c r="V21" i="72"/>
  <c r="W20" i="72"/>
  <c r="V20" i="72"/>
  <c r="W19" i="72"/>
  <c r="V19" i="72"/>
  <c r="W18" i="72"/>
  <c r="V18" i="72"/>
  <c r="W17" i="72"/>
  <c r="V17" i="72"/>
  <c r="W16" i="72"/>
  <c r="V16" i="72"/>
  <c r="W15" i="72"/>
  <c r="V15" i="72"/>
  <c r="W14" i="72"/>
  <c r="V14" i="72"/>
  <c r="W13" i="72"/>
  <c r="V13" i="72"/>
  <c r="W12" i="72"/>
  <c r="V12" i="72"/>
  <c r="W11" i="72"/>
  <c r="V11" i="72"/>
  <c r="W10" i="72"/>
  <c r="V10" i="72"/>
  <c r="W9" i="72"/>
  <c r="V9" i="72"/>
  <c r="W8" i="72"/>
  <c r="V8" i="72"/>
  <c r="P92" i="77" l="1"/>
  <c r="C29" i="65" s="1"/>
  <c r="E30" i="65" l="1"/>
  <c r="O29" i="65"/>
  <c r="Q29" i="65"/>
  <c r="E34" i="63"/>
  <c r="G34" i="63"/>
  <c r="I34" i="63"/>
  <c r="C34" i="63"/>
  <c r="C52" i="59"/>
  <c r="C51" i="58"/>
  <c r="C55" i="56"/>
  <c r="C57" i="55"/>
  <c r="F54" i="64"/>
  <c r="E54" i="64"/>
  <c r="D54" i="64"/>
  <c r="C54" i="64"/>
  <c r="C55" i="54"/>
  <c r="C57" i="53"/>
  <c r="C59" i="52"/>
  <c r="C58" i="51"/>
  <c r="C59" i="50"/>
  <c r="C59" i="49"/>
  <c r="C60" i="40"/>
  <c r="B3" i="81" l="1"/>
  <c r="E2" i="81"/>
  <c r="B2" i="81"/>
  <c r="E1" i="81"/>
  <c r="B1" i="81"/>
  <c r="B3" i="80"/>
  <c r="E2" i="80"/>
  <c r="B2" i="80"/>
  <c r="E1" i="80"/>
  <c r="B1" i="80"/>
  <c r="Y7" i="36"/>
  <c r="Y8" i="36"/>
  <c r="Y9" i="36"/>
  <c r="Y10" i="36"/>
  <c r="Y11" i="36"/>
  <c r="Y12" i="36"/>
  <c r="Y13" i="36"/>
  <c r="Y14" i="36"/>
  <c r="Y15" i="36"/>
  <c r="Y16" i="36"/>
  <c r="Y17" i="36"/>
  <c r="Y18" i="36"/>
  <c r="Y19" i="36"/>
  <c r="Y20" i="36"/>
  <c r="Y21" i="36"/>
  <c r="Y22" i="36"/>
  <c r="Y23" i="36"/>
  <c r="Y24" i="36"/>
  <c r="Y25" i="36"/>
  <c r="Y26" i="36"/>
  <c r="Y27" i="36"/>
  <c r="Y28" i="36"/>
  <c r="Y29" i="36"/>
  <c r="Y30" i="36"/>
  <c r="Y31" i="36"/>
  <c r="Y32" i="36"/>
  <c r="Y33" i="36"/>
  <c r="Y6" i="36"/>
  <c r="B32" i="81" l="1"/>
  <c r="C28" i="65" s="1"/>
  <c r="Z31" i="81"/>
  <c r="M31" i="81"/>
  <c r="Z30" i="81"/>
  <c r="H30" i="81"/>
  <c r="L30" i="81" s="1"/>
  <c r="Z29" i="81"/>
  <c r="M29" i="81"/>
  <c r="Z28" i="81"/>
  <c r="M28" i="81"/>
  <c r="Z27" i="81"/>
  <c r="M27" i="81"/>
  <c r="Z26" i="81"/>
  <c r="M26" i="81"/>
  <c r="Z25" i="81"/>
  <c r="M25" i="81"/>
  <c r="Z24" i="81"/>
  <c r="H24" i="81"/>
  <c r="L24" i="81" s="1"/>
  <c r="Z23" i="81"/>
  <c r="M23" i="81"/>
  <c r="Z22" i="81"/>
  <c r="M22" i="81"/>
  <c r="Z21" i="81"/>
  <c r="M21" i="81"/>
  <c r="Z20" i="81"/>
  <c r="M20" i="81"/>
  <c r="Z19" i="81"/>
  <c r="M19" i="81"/>
  <c r="Z18" i="81"/>
  <c r="H18" i="81"/>
  <c r="L18" i="81" s="1"/>
  <c r="Z17" i="81"/>
  <c r="H17" i="81"/>
  <c r="L17" i="81" s="1"/>
  <c r="Z16" i="81"/>
  <c r="M16" i="81"/>
  <c r="Z15" i="81"/>
  <c r="H15" i="81"/>
  <c r="L15" i="81" s="1"/>
  <c r="Z14" i="81"/>
  <c r="H14" i="81"/>
  <c r="L14" i="81" s="1"/>
  <c r="M14" i="81"/>
  <c r="Z13" i="81"/>
  <c r="H13" i="81"/>
  <c r="L13" i="81" s="1"/>
  <c r="Z12" i="81"/>
  <c r="H12" i="81"/>
  <c r="L12" i="81" s="1"/>
  <c r="Z11" i="81"/>
  <c r="Z10" i="81"/>
  <c r="G10" i="81"/>
  <c r="Z9" i="81"/>
  <c r="Z8" i="81"/>
  <c r="Z8" i="80"/>
  <c r="Q31" i="80"/>
  <c r="U31" i="80"/>
  <c r="B32" i="80"/>
  <c r="C13" i="65" s="1"/>
  <c r="Q28" i="80"/>
  <c r="Q29" i="80"/>
  <c r="Q30" i="80"/>
  <c r="U28" i="80"/>
  <c r="U29" i="80"/>
  <c r="U30" i="80"/>
  <c r="O28" i="80"/>
  <c r="O29" i="80"/>
  <c r="O30" i="80"/>
  <c r="O31" i="80"/>
  <c r="U9" i="80"/>
  <c r="U10" i="80"/>
  <c r="U11" i="80"/>
  <c r="U12" i="80"/>
  <c r="U13" i="80"/>
  <c r="U14" i="80"/>
  <c r="U15" i="80"/>
  <c r="U16" i="80"/>
  <c r="U17" i="80"/>
  <c r="U18" i="80"/>
  <c r="U19" i="80"/>
  <c r="U20" i="80"/>
  <c r="U21" i="80"/>
  <c r="U22" i="80"/>
  <c r="U23" i="80"/>
  <c r="U24" i="80"/>
  <c r="U25" i="80"/>
  <c r="U26" i="80"/>
  <c r="U27" i="80"/>
  <c r="U8" i="80"/>
  <c r="O9" i="80"/>
  <c r="O10" i="80"/>
  <c r="O11" i="80"/>
  <c r="O12" i="80"/>
  <c r="O13" i="80"/>
  <c r="O14" i="80"/>
  <c r="O15" i="80"/>
  <c r="O16" i="80"/>
  <c r="O17" i="80"/>
  <c r="O18" i="80"/>
  <c r="O19" i="80"/>
  <c r="O20" i="80"/>
  <c r="O21" i="80"/>
  <c r="O22" i="80"/>
  <c r="O23" i="80"/>
  <c r="O24" i="80"/>
  <c r="O25" i="80"/>
  <c r="O26" i="80"/>
  <c r="O27" i="80"/>
  <c r="Q9" i="80"/>
  <c r="Q10" i="80"/>
  <c r="Q11" i="80"/>
  <c r="Q12" i="80"/>
  <c r="Q13" i="80"/>
  <c r="Q14" i="80"/>
  <c r="Q15" i="80"/>
  <c r="Q16" i="80"/>
  <c r="Q17" i="80"/>
  <c r="Q18" i="80"/>
  <c r="Q19" i="80"/>
  <c r="Q20" i="80"/>
  <c r="Q21" i="80"/>
  <c r="Q22" i="80"/>
  <c r="Q23" i="80"/>
  <c r="Q24" i="80"/>
  <c r="Q25" i="80"/>
  <c r="Q26" i="80"/>
  <c r="Q27" i="80"/>
  <c r="Q8" i="80"/>
  <c r="O8" i="80"/>
  <c r="B53" i="79"/>
  <c r="B3" i="79"/>
  <c r="E2" i="79"/>
  <c r="B2" i="79"/>
  <c r="E1" i="79"/>
  <c r="B1" i="79"/>
  <c r="W9" i="78"/>
  <c r="W10" i="78"/>
  <c r="W11" i="78"/>
  <c r="W12" i="78"/>
  <c r="W13" i="78"/>
  <c r="W14" i="78"/>
  <c r="W15" i="78"/>
  <c r="W16" i="78"/>
  <c r="W17" i="78"/>
  <c r="W18" i="78"/>
  <c r="W19" i="78"/>
  <c r="W20" i="78"/>
  <c r="W21" i="78"/>
  <c r="W22" i="78"/>
  <c r="W23" i="78"/>
  <c r="W24" i="78"/>
  <c r="W25" i="78"/>
  <c r="W26" i="78"/>
  <c r="W27" i="78"/>
  <c r="W28" i="78"/>
  <c r="W29" i="78"/>
  <c r="W51" i="78"/>
  <c r="W52" i="78"/>
  <c r="W8" i="78"/>
  <c r="G10" i="80" l="1"/>
  <c r="H10" i="80"/>
  <c r="L10" i="80" s="1"/>
  <c r="M10" i="80" s="1"/>
  <c r="G9" i="80"/>
  <c r="H9" i="80" s="1"/>
  <c r="C27" i="65"/>
  <c r="G21" i="78"/>
  <c r="H21" i="78" s="1"/>
  <c r="G52" i="78"/>
  <c r="H52" i="78" s="1"/>
  <c r="G25" i="78"/>
  <c r="H25" i="78" s="1"/>
  <c r="G22" i="78"/>
  <c r="H22" i="78" s="1"/>
  <c r="G19" i="78"/>
  <c r="H19" i="78" s="1"/>
  <c r="G16" i="78"/>
  <c r="H16" i="78" s="1"/>
  <c r="G12" i="78"/>
  <c r="H12" i="78" s="1"/>
  <c r="G24" i="78"/>
  <c r="H24" i="78" s="1"/>
  <c r="G20" i="78"/>
  <c r="H20" i="78" s="1"/>
  <c r="H22" i="81"/>
  <c r="L22" i="81" s="1"/>
  <c r="G20" i="81"/>
  <c r="G28" i="81"/>
  <c r="G14" i="81"/>
  <c r="G16" i="81"/>
  <c r="BU28" i="79"/>
  <c r="CA28" i="79" s="1"/>
  <c r="BS20" i="79"/>
  <c r="BY20" i="79" s="1"/>
  <c r="BU50" i="79"/>
  <c r="CA50" i="79" s="1"/>
  <c r="BU25" i="79"/>
  <c r="CA25" i="79" s="1"/>
  <c r="BR15" i="79"/>
  <c r="BX15" i="79" s="1"/>
  <c r="BR21" i="79"/>
  <c r="BX21" i="79" s="1"/>
  <c r="BS11" i="79"/>
  <c r="BY11" i="79" s="1"/>
  <c r="BT12" i="79"/>
  <c r="BZ12" i="79" s="1"/>
  <c r="BS27" i="79"/>
  <c r="BY27" i="79" s="1"/>
  <c r="BT8" i="79"/>
  <c r="BZ8" i="79" s="1"/>
  <c r="BR10" i="79"/>
  <c r="BX10" i="79" s="1"/>
  <c r="BU18" i="79"/>
  <c r="CA18" i="79" s="1"/>
  <c r="BU24" i="79"/>
  <c r="CA24" i="79" s="1"/>
  <c r="BS26" i="79"/>
  <c r="BY26" i="79" s="1"/>
  <c r="BU27" i="79"/>
  <c r="CA27" i="79" s="1"/>
  <c r="BU51" i="79"/>
  <c r="CA51" i="79" s="1"/>
  <c r="BU8" i="79"/>
  <c r="CA8" i="79" s="1"/>
  <c r="BT9" i="79"/>
  <c r="BZ9" i="79" s="1"/>
  <c r="BU10" i="79"/>
  <c r="CA10" i="79" s="1"/>
  <c r="BR14" i="79"/>
  <c r="BX14" i="79" s="1"/>
  <c r="BU16" i="79"/>
  <c r="CA16" i="79" s="1"/>
  <c r="BT17" i="79"/>
  <c r="BZ17" i="79" s="1"/>
  <c r="BU22" i="79"/>
  <c r="CA22" i="79" s="1"/>
  <c r="BT23" i="79"/>
  <c r="BZ23" i="79" s="1"/>
  <c r="BR26" i="79"/>
  <c r="BX26" i="79" s="1"/>
  <c r="BS50" i="79"/>
  <c r="BY50" i="79" s="1"/>
  <c r="BU52" i="79"/>
  <c r="CA52" i="79" s="1"/>
  <c r="BU14" i="79"/>
  <c r="CA14" i="79" s="1"/>
  <c r="BU17" i="79"/>
  <c r="CA17" i="79" s="1"/>
  <c r="BU23" i="79"/>
  <c r="CA23" i="79" s="1"/>
  <c r="BT24" i="79"/>
  <c r="BZ24" i="79" s="1"/>
  <c r="BU26" i="79"/>
  <c r="CA26" i="79" s="1"/>
  <c r="BT51" i="79"/>
  <c r="BZ51" i="79" s="1"/>
  <c r="BS8" i="79"/>
  <c r="BY8" i="79" s="1"/>
  <c r="BT28" i="79"/>
  <c r="BZ28" i="79" s="1"/>
  <c r="BS9" i="79"/>
  <c r="BY9" i="79" s="1"/>
  <c r="BT10" i="79"/>
  <c r="BZ10" i="79" s="1"/>
  <c r="BR11" i="79"/>
  <c r="BX11" i="79" s="1"/>
  <c r="BQ12" i="79"/>
  <c r="BW12" i="79" s="1"/>
  <c r="BU13" i="79"/>
  <c r="CA13" i="79" s="1"/>
  <c r="BS16" i="79"/>
  <c r="BY16" i="79" s="1"/>
  <c r="BR20" i="79"/>
  <c r="BX20" i="79" s="1"/>
  <c r="BQ21" i="79"/>
  <c r="BW21" i="79" s="1"/>
  <c r="BQ22" i="79"/>
  <c r="BW22" i="79" s="1"/>
  <c r="BS23" i="79"/>
  <c r="BY23" i="79" s="1"/>
  <c r="BR27" i="79"/>
  <c r="BX27" i="79" s="1"/>
  <c r="BQ28" i="79"/>
  <c r="BW28" i="79" s="1"/>
  <c r="BT13" i="79"/>
  <c r="BZ13" i="79" s="1"/>
  <c r="BQ10" i="79"/>
  <c r="BW10" i="79" s="1"/>
  <c r="BU11" i="79"/>
  <c r="CA11" i="79" s="1"/>
  <c r="BR12" i="79"/>
  <c r="BX12" i="79" s="1"/>
  <c r="BS12" i="79"/>
  <c r="BY12" i="79" s="1"/>
  <c r="BQ13" i="79"/>
  <c r="BW13" i="79" s="1"/>
  <c r="BQ15" i="79"/>
  <c r="BW15" i="79" s="1"/>
  <c r="BQ16" i="79"/>
  <c r="BW16" i="79" s="1"/>
  <c r="BS17" i="79"/>
  <c r="BY17" i="79" s="1"/>
  <c r="BU19" i="79"/>
  <c r="CA19" i="79" s="1"/>
  <c r="BU21" i="79"/>
  <c r="CA21" i="79" s="1"/>
  <c r="BS24" i="79"/>
  <c r="BY24" i="79" s="1"/>
  <c r="BR28" i="79"/>
  <c r="BX28" i="79" s="1"/>
  <c r="BS28" i="79"/>
  <c r="BY28" i="79" s="1"/>
  <c r="BQ50" i="79"/>
  <c r="BW50" i="79" s="1"/>
  <c r="BS51" i="79"/>
  <c r="BY51" i="79" s="1"/>
  <c r="BS10" i="79"/>
  <c r="BY10" i="79" s="1"/>
  <c r="BT11" i="79"/>
  <c r="BZ11" i="79" s="1"/>
  <c r="BT18" i="79"/>
  <c r="BZ18" i="79" s="1"/>
  <c r="BT20" i="79"/>
  <c r="BZ20" i="79" s="1"/>
  <c r="BT22" i="79"/>
  <c r="BZ22" i="79" s="1"/>
  <c r="BT25" i="79"/>
  <c r="BZ25" i="79" s="1"/>
  <c r="BT27" i="79"/>
  <c r="BZ27" i="79" s="1"/>
  <c r="BT52" i="79"/>
  <c r="BZ52" i="79" s="1"/>
  <c r="BU9" i="79"/>
  <c r="CA9" i="79" s="1"/>
  <c r="BQ11" i="79"/>
  <c r="BW11" i="79" s="1"/>
  <c r="BU12" i="79"/>
  <c r="CA12" i="79" s="1"/>
  <c r="BR13" i="79"/>
  <c r="BX13" i="79" s="1"/>
  <c r="BS13" i="79"/>
  <c r="BY13" i="79" s="1"/>
  <c r="BU15" i="79"/>
  <c r="CA15" i="79" s="1"/>
  <c r="BS18" i="79"/>
  <c r="BY18" i="79" s="1"/>
  <c r="BS19" i="79"/>
  <c r="BY19" i="79" s="1"/>
  <c r="BQ20" i="79"/>
  <c r="BW20" i="79" s="1"/>
  <c r="BS22" i="79"/>
  <c r="BY22" i="79" s="1"/>
  <c r="BS25" i="79"/>
  <c r="BY25" i="79" s="1"/>
  <c r="BQ27" i="79"/>
  <c r="BW27" i="79" s="1"/>
  <c r="BQ51" i="79"/>
  <c r="BW51" i="79" s="1"/>
  <c r="BS52" i="79"/>
  <c r="BY52" i="79" s="1"/>
  <c r="BT16" i="79"/>
  <c r="BZ16" i="79" s="1"/>
  <c r="BR50" i="79"/>
  <c r="BX50" i="79" s="1"/>
  <c r="M17" i="81"/>
  <c r="G26" i="81"/>
  <c r="H28" i="81"/>
  <c r="L28" i="81" s="1"/>
  <c r="G8" i="81"/>
  <c r="G9" i="81"/>
  <c r="H9" i="81" s="1"/>
  <c r="L9" i="81" s="1"/>
  <c r="M9" i="81" s="1"/>
  <c r="G11" i="81"/>
  <c r="H11" i="81" s="1"/>
  <c r="L11" i="81" s="1"/>
  <c r="M11" i="81" s="1"/>
  <c r="G15" i="81"/>
  <c r="G17" i="81"/>
  <c r="G22" i="81"/>
  <c r="M18" i="81"/>
  <c r="H8" i="81"/>
  <c r="L8" i="81" s="1"/>
  <c r="M8" i="81" s="1"/>
  <c r="H10" i="81"/>
  <c r="L10" i="81" s="1"/>
  <c r="M10" i="81" s="1"/>
  <c r="H16" i="81"/>
  <c r="L16" i="81" s="1"/>
  <c r="H20" i="81"/>
  <c r="L20" i="81" s="1"/>
  <c r="H26" i="81"/>
  <c r="L26" i="81" s="1"/>
  <c r="M12" i="81"/>
  <c r="M30" i="81"/>
  <c r="G12" i="81"/>
  <c r="G13" i="81"/>
  <c r="M15" i="81"/>
  <c r="G18" i="81"/>
  <c r="G24" i="81"/>
  <c r="G30" i="81"/>
  <c r="M24" i="81"/>
  <c r="BQ22" i="81"/>
  <c r="BW22" i="81" s="1"/>
  <c r="BN23" i="81"/>
  <c r="BT23" i="81" s="1"/>
  <c r="BO25" i="81"/>
  <c r="BU25" i="81" s="1"/>
  <c r="BO26" i="81"/>
  <c r="BU26" i="81" s="1"/>
  <c r="Z32" i="81"/>
  <c r="E28" i="65" s="1"/>
  <c r="G28" i="65" s="1"/>
  <c r="BO11" i="81"/>
  <c r="BU11" i="81" s="1"/>
  <c r="M13" i="81"/>
  <c r="BN21" i="81"/>
  <c r="BT21" i="81" s="1"/>
  <c r="BO8" i="81"/>
  <c r="BU8" i="81" s="1"/>
  <c r="BQ17" i="81"/>
  <c r="BW17" i="81" s="1"/>
  <c r="BO21" i="81"/>
  <c r="BU21" i="81" s="1"/>
  <c r="BQ24" i="81"/>
  <c r="BW24" i="81" s="1"/>
  <c r="BN25" i="81"/>
  <c r="BT25" i="81" s="1"/>
  <c r="BO27" i="81"/>
  <c r="BU27" i="81" s="1"/>
  <c r="BO28" i="81"/>
  <c r="BU28" i="81" s="1"/>
  <c r="BN31" i="81"/>
  <c r="BT31" i="81" s="1"/>
  <c r="BO10" i="81"/>
  <c r="BU10" i="81" s="1"/>
  <c r="BO14" i="81"/>
  <c r="BU14" i="81" s="1"/>
  <c r="BM18" i="81"/>
  <c r="BS18" i="81" s="1"/>
  <c r="BO16" i="81"/>
  <c r="BU16" i="81" s="1"/>
  <c r="BO19" i="81"/>
  <c r="BU19" i="81" s="1"/>
  <c r="BO20" i="81"/>
  <c r="BU20" i="81" s="1"/>
  <c r="BM10" i="81"/>
  <c r="BS10" i="81" s="1"/>
  <c r="BO12" i="81"/>
  <c r="BU12" i="81" s="1"/>
  <c r="BQ15" i="81"/>
  <c r="BW15" i="81" s="1"/>
  <c r="BO17" i="81"/>
  <c r="BU17" i="81" s="1"/>
  <c r="BO13" i="81"/>
  <c r="BU13" i="81" s="1"/>
  <c r="BP16" i="81"/>
  <c r="BV16" i="81" s="1"/>
  <c r="BM22" i="81"/>
  <c r="BS22" i="81" s="1"/>
  <c r="BO15" i="81"/>
  <c r="BU15" i="81" s="1"/>
  <c r="BM8" i="81"/>
  <c r="BS8" i="81" s="1"/>
  <c r="BP20" i="81"/>
  <c r="BV20" i="81" s="1"/>
  <c r="BN29" i="81"/>
  <c r="BT29" i="81" s="1"/>
  <c r="BQ13" i="81"/>
  <c r="BW13" i="81" s="1"/>
  <c r="BQ19" i="81"/>
  <c r="BW19" i="81" s="1"/>
  <c r="BO31" i="81"/>
  <c r="BU31" i="81" s="1"/>
  <c r="BO9" i="81"/>
  <c r="BU9" i="81" s="1"/>
  <c r="BP17" i="81"/>
  <c r="BV17" i="81" s="1"/>
  <c r="BO23" i="81"/>
  <c r="BU23" i="81" s="1"/>
  <c r="BO24" i="81"/>
  <c r="BU24" i="81" s="1"/>
  <c r="BQ26" i="81"/>
  <c r="BW26" i="81" s="1"/>
  <c r="BN27" i="81"/>
  <c r="BT27" i="81" s="1"/>
  <c r="BO29" i="81"/>
  <c r="BU29" i="81" s="1"/>
  <c r="BO30" i="81"/>
  <c r="BU30" i="81" s="1"/>
  <c r="BQ11" i="81"/>
  <c r="BW11" i="81" s="1"/>
  <c r="BP14" i="81"/>
  <c r="BV14" i="81" s="1"/>
  <c r="BP15" i="81"/>
  <c r="BV15" i="81" s="1"/>
  <c r="BP19" i="81"/>
  <c r="BV19" i="81" s="1"/>
  <c r="BQ21" i="81"/>
  <c r="BW21" i="81" s="1"/>
  <c r="BP22" i="81"/>
  <c r="BV22" i="81" s="1"/>
  <c r="BM24" i="81"/>
  <c r="BS24" i="81" s="1"/>
  <c r="BM26" i="81"/>
  <c r="BS26" i="81" s="1"/>
  <c r="BM28" i="81"/>
  <c r="BS28" i="81" s="1"/>
  <c r="BM30" i="81"/>
  <c r="BS30" i="81" s="1"/>
  <c r="BM12" i="81"/>
  <c r="BS12" i="81" s="1"/>
  <c r="BM16" i="81"/>
  <c r="BS16" i="81" s="1"/>
  <c r="BP18" i="81"/>
  <c r="BV18" i="81" s="1"/>
  <c r="BM20" i="81"/>
  <c r="BS20" i="81" s="1"/>
  <c r="BM14" i="81"/>
  <c r="BS14" i="81" s="1"/>
  <c r="BO22" i="81"/>
  <c r="BU22" i="81" s="1"/>
  <c r="BP23" i="81"/>
  <c r="BV23" i="81" s="1"/>
  <c r="BP25" i="81"/>
  <c r="BV25" i="81" s="1"/>
  <c r="BP27" i="81"/>
  <c r="BV27" i="81" s="1"/>
  <c r="BP29" i="81"/>
  <c r="BV29" i="81" s="1"/>
  <c r="BP31" i="81"/>
  <c r="BV31" i="81" s="1"/>
  <c r="BP10" i="81"/>
  <c r="BV10" i="81" s="1"/>
  <c r="BP11" i="81"/>
  <c r="BV11" i="81" s="1"/>
  <c r="BP21" i="81"/>
  <c r="BV21" i="81" s="1"/>
  <c r="BP12" i="81"/>
  <c r="BV12" i="81" s="1"/>
  <c r="BP13" i="81"/>
  <c r="BV13" i="81" s="1"/>
  <c r="BO18" i="81"/>
  <c r="BU18" i="81" s="1"/>
  <c r="BQ23" i="81"/>
  <c r="BW23" i="81" s="1"/>
  <c r="BP24" i="81"/>
  <c r="BV24" i="81" s="1"/>
  <c r="BQ25" i="81"/>
  <c r="BW25" i="81" s="1"/>
  <c r="BP26" i="81"/>
  <c r="BV26" i="81" s="1"/>
  <c r="BQ27" i="81"/>
  <c r="BW27" i="81" s="1"/>
  <c r="BP28" i="81"/>
  <c r="BV28" i="81" s="1"/>
  <c r="BQ29" i="81"/>
  <c r="BW29" i="81" s="1"/>
  <c r="BP30" i="81"/>
  <c r="BV30" i="81" s="1"/>
  <c r="BQ31" i="81"/>
  <c r="BW31" i="81" s="1"/>
  <c r="BQ29" i="80"/>
  <c r="BW29" i="80" s="1"/>
  <c r="BQ30" i="80"/>
  <c r="BW30" i="80" s="1"/>
  <c r="BQ28" i="80"/>
  <c r="BW28" i="80" s="1"/>
  <c r="BP31" i="80"/>
  <c r="BV31" i="80" s="1"/>
  <c r="BM29" i="80"/>
  <c r="BS29" i="80" s="1"/>
  <c r="BM31" i="80"/>
  <c r="BS31" i="80" s="1"/>
  <c r="BO30" i="80"/>
  <c r="BU30" i="80" s="1"/>
  <c r="BO28" i="80"/>
  <c r="BU28" i="80" s="1"/>
  <c r="BN30" i="80"/>
  <c r="BT30" i="80" s="1"/>
  <c r="BP29" i="80"/>
  <c r="BV29" i="80" s="1"/>
  <c r="BM28" i="80"/>
  <c r="BS28" i="80" s="1"/>
  <c r="BQ31" i="80"/>
  <c r="BW31" i="80" s="1"/>
  <c r="BO31" i="80"/>
  <c r="BU31" i="80" s="1"/>
  <c r="BO29" i="80"/>
  <c r="BU29" i="80" s="1"/>
  <c r="BP28" i="80"/>
  <c r="BV28" i="80" s="1"/>
  <c r="BN31" i="80"/>
  <c r="BT31" i="80" s="1"/>
  <c r="BM30" i="80"/>
  <c r="BS30" i="80" s="1"/>
  <c r="BP30" i="80"/>
  <c r="BV30" i="80" s="1"/>
  <c r="BN28" i="80"/>
  <c r="BT28" i="80" s="1"/>
  <c r="BN29" i="80"/>
  <c r="BT29" i="80" s="1"/>
  <c r="BQ8" i="81"/>
  <c r="BW8" i="81" s="1"/>
  <c r="BQ10" i="81"/>
  <c r="BW10" i="81" s="1"/>
  <c r="BQ12" i="81"/>
  <c r="BW12" i="81" s="1"/>
  <c r="BQ14" i="81"/>
  <c r="BW14" i="81" s="1"/>
  <c r="BQ16" i="81"/>
  <c r="BW16" i="81" s="1"/>
  <c r="BQ18" i="81"/>
  <c r="BW18" i="81" s="1"/>
  <c r="BQ28" i="81"/>
  <c r="BW28" i="81" s="1"/>
  <c r="BP8" i="81"/>
  <c r="BV8" i="81" s="1"/>
  <c r="BQ20" i="81"/>
  <c r="BW20" i="81" s="1"/>
  <c r="BQ9" i="81"/>
  <c r="BW9" i="81" s="1"/>
  <c r="BP9" i="81"/>
  <c r="BV9" i="81" s="1"/>
  <c r="BN9" i="81"/>
  <c r="BT9" i="81" s="1"/>
  <c r="BM9" i="81"/>
  <c r="BS9" i="81" s="1"/>
  <c r="BQ30" i="81"/>
  <c r="BW30" i="81" s="1"/>
  <c r="BN8" i="81"/>
  <c r="BT8" i="81" s="1"/>
  <c r="BN10" i="81"/>
  <c r="BT10" i="81" s="1"/>
  <c r="BN12" i="81"/>
  <c r="BT12" i="81" s="1"/>
  <c r="BN14" i="81"/>
  <c r="BT14" i="81" s="1"/>
  <c r="BN16" i="81"/>
  <c r="BT16" i="81" s="1"/>
  <c r="BN18" i="81"/>
  <c r="BT18" i="81" s="1"/>
  <c r="H19" i="81"/>
  <c r="L19" i="81" s="1"/>
  <c r="BN20" i="81"/>
  <c r="BT20" i="81" s="1"/>
  <c r="H21" i="81"/>
  <c r="L21" i="81" s="1"/>
  <c r="BN22" i="81"/>
  <c r="BT22" i="81" s="1"/>
  <c r="H23" i="81"/>
  <c r="L23" i="81" s="1"/>
  <c r="BN24" i="81"/>
  <c r="BT24" i="81" s="1"/>
  <c r="H25" i="81"/>
  <c r="L25" i="81" s="1"/>
  <c r="BN26" i="81"/>
  <c r="BT26" i="81" s="1"/>
  <c r="H27" i="81"/>
  <c r="L27" i="81" s="1"/>
  <c r="BN28" i="81"/>
  <c r="BT28" i="81" s="1"/>
  <c r="H29" i="81"/>
  <c r="L29" i="81" s="1"/>
  <c r="BN30" i="81"/>
  <c r="BT30" i="81" s="1"/>
  <c r="H31" i="81"/>
  <c r="L31" i="81" s="1"/>
  <c r="BM11" i="81"/>
  <c r="BS11" i="81" s="1"/>
  <c r="BM13" i="81"/>
  <c r="BS13" i="81" s="1"/>
  <c r="BM15" i="81"/>
  <c r="BS15" i="81" s="1"/>
  <c r="BM17" i="81"/>
  <c r="BS17" i="81" s="1"/>
  <c r="BM19" i="81"/>
  <c r="BS19" i="81" s="1"/>
  <c r="BM21" i="81"/>
  <c r="BS21" i="81" s="1"/>
  <c r="BM23" i="81"/>
  <c r="BS23" i="81" s="1"/>
  <c r="BM25" i="81"/>
  <c r="BS25" i="81" s="1"/>
  <c r="BM27" i="81"/>
  <c r="BS27" i="81" s="1"/>
  <c r="BM29" i="81"/>
  <c r="BS29" i="81" s="1"/>
  <c r="BM31" i="81"/>
  <c r="BS31" i="81" s="1"/>
  <c r="BN11" i="81"/>
  <c r="BT11" i="81" s="1"/>
  <c r="BN13" i="81"/>
  <c r="BT13" i="81" s="1"/>
  <c r="BN15" i="81"/>
  <c r="BT15" i="81" s="1"/>
  <c r="BN17" i="81"/>
  <c r="BT17" i="81" s="1"/>
  <c r="BN19" i="81"/>
  <c r="BT19" i="81" s="1"/>
  <c r="G19" i="81"/>
  <c r="G21" i="81"/>
  <c r="G23" i="81"/>
  <c r="G25" i="81"/>
  <c r="G27" i="81"/>
  <c r="G29" i="81"/>
  <c r="G31" i="81"/>
  <c r="AD53" i="79"/>
  <c r="E27" i="65" s="1"/>
  <c r="G27" i="65" s="1"/>
  <c r="G28" i="78"/>
  <c r="H28" i="78" s="1"/>
  <c r="G8" i="78"/>
  <c r="H8" i="78" s="1"/>
  <c r="L8" i="78" s="1"/>
  <c r="X8" i="78" s="1"/>
  <c r="G10" i="78"/>
  <c r="H10" i="78" s="1"/>
  <c r="G26" i="78"/>
  <c r="H26" i="78" s="1"/>
  <c r="G11" i="78"/>
  <c r="H11" i="78" s="1"/>
  <c r="BQ14" i="79"/>
  <c r="BW14" i="79" s="1"/>
  <c r="BS15" i="79"/>
  <c r="BY15" i="79" s="1"/>
  <c r="BU20" i="79"/>
  <c r="CA20" i="79" s="1"/>
  <c r="BS21" i="79"/>
  <c r="BY21" i="79" s="1"/>
  <c r="BR19" i="79"/>
  <c r="BX19" i="79" s="1"/>
  <c r="BQ19" i="79"/>
  <c r="BW19" i="79" s="1"/>
  <c r="BR8" i="79"/>
  <c r="BX8" i="79" s="1"/>
  <c r="BQ8" i="79"/>
  <c r="BW8" i="79" s="1"/>
  <c r="BR9" i="79"/>
  <c r="BX9" i="79" s="1"/>
  <c r="BQ9" i="79"/>
  <c r="BW9" i="79" s="1"/>
  <c r="BS14" i="79"/>
  <c r="BY14" i="79" s="1"/>
  <c r="BT19" i="79"/>
  <c r="BZ19" i="79" s="1"/>
  <c r="BT26" i="79"/>
  <c r="BZ26" i="79" s="1"/>
  <c r="BR16" i="79"/>
  <c r="BX16" i="79" s="1"/>
  <c r="BQ17" i="79"/>
  <c r="BW17" i="79" s="1"/>
  <c r="BR22" i="79"/>
  <c r="BX22" i="79" s="1"/>
  <c r="BQ23" i="79"/>
  <c r="BW23" i="79" s="1"/>
  <c r="BR51" i="79"/>
  <c r="BX51" i="79" s="1"/>
  <c r="BQ52" i="79"/>
  <c r="BW52" i="79" s="1"/>
  <c r="BT14" i="79"/>
  <c r="BZ14" i="79" s="1"/>
  <c r="BT15" i="79"/>
  <c r="BZ15" i="79" s="1"/>
  <c r="BR17" i="79"/>
  <c r="BX17" i="79" s="1"/>
  <c r="BQ18" i="79"/>
  <c r="BW18" i="79" s="1"/>
  <c r="BT21" i="79"/>
  <c r="BZ21" i="79" s="1"/>
  <c r="BR23" i="79"/>
  <c r="BX23" i="79" s="1"/>
  <c r="BQ24" i="79"/>
  <c r="BW24" i="79" s="1"/>
  <c r="BQ25" i="79"/>
  <c r="BW25" i="79" s="1"/>
  <c r="BT50" i="79"/>
  <c r="BZ50" i="79" s="1"/>
  <c r="BR52" i="79"/>
  <c r="BX52" i="79" s="1"/>
  <c r="BR18" i="79"/>
  <c r="BX18" i="79" s="1"/>
  <c r="BR24" i="79"/>
  <c r="BX24" i="79" s="1"/>
  <c r="BR25" i="79"/>
  <c r="BX25" i="79" s="1"/>
  <c r="BQ26" i="79"/>
  <c r="BW26" i="79" s="1"/>
  <c r="G27" i="78"/>
  <c r="H27" i="78" s="1"/>
  <c r="G9" i="78"/>
  <c r="H9" i="78" s="1"/>
  <c r="G17" i="78"/>
  <c r="H17" i="78" s="1"/>
  <c r="G15" i="78"/>
  <c r="H15" i="78" s="1"/>
  <c r="G14" i="78"/>
  <c r="H14" i="78" s="1"/>
  <c r="G29" i="78"/>
  <c r="H29" i="78" s="1"/>
  <c r="G23" i="78"/>
  <c r="H23" i="78" s="1"/>
  <c r="G13" i="78"/>
  <c r="H13" i="78" s="1"/>
  <c r="G51" i="78"/>
  <c r="H51" i="78" s="1"/>
  <c r="G18" i="78"/>
  <c r="H18" i="78" s="1"/>
  <c r="W8" i="81" l="1"/>
  <c r="X8" i="81" s="1"/>
  <c r="X32" i="81" s="1"/>
  <c r="D28" i="65" s="1"/>
  <c r="F28" i="65" s="1"/>
  <c r="L9" i="80"/>
  <c r="M9" i="80" s="1"/>
  <c r="L9" i="78"/>
  <c r="BY53" i="79"/>
  <c r="CA53" i="79"/>
  <c r="BZ53" i="79"/>
  <c r="BU32" i="81"/>
  <c r="BU33" i="81" s="1"/>
  <c r="BO33" i="81" s="1"/>
  <c r="BS32" i="81"/>
  <c r="BV32" i="81"/>
  <c r="BT32" i="81"/>
  <c r="BW32" i="81"/>
  <c r="D27" i="65"/>
  <c r="F27" i="65" s="1"/>
  <c r="BW53" i="79"/>
  <c r="BX53" i="79"/>
  <c r="BW54" i="79" l="1"/>
  <c r="BQ54" i="79" s="1"/>
  <c r="J27" i="65"/>
  <c r="O27" i="65" s="1"/>
  <c r="BZ54" i="79"/>
  <c r="BT54" i="79" s="1"/>
  <c r="K27" i="65"/>
  <c r="P27" i="65" s="1"/>
  <c r="CA54" i="79"/>
  <c r="BU54" i="79" s="1"/>
  <c r="M27" i="65"/>
  <c r="R27" i="65" s="1"/>
  <c r="BY54" i="79"/>
  <c r="BS54" i="79" s="1"/>
  <c r="L27" i="65"/>
  <c r="Q27" i="65" s="1"/>
  <c r="BX54" i="79"/>
  <c r="BR54" i="79" s="1"/>
  <c r="I27" i="65"/>
  <c r="N27" i="65" s="1"/>
  <c r="L28" i="65"/>
  <c r="Q28" i="65" s="1"/>
  <c r="BS33" i="81"/>
  <c r="BM33" i="81" s="1"/>
  <c r="J28" i="65"/>
  <c r="O28" i="65" s="1"/>
  <c r="BW33" i="81"/>
  <c r="BQ33" i="81" s="1"/>
  <c r="M28" i="65"/>
  <c r="R28" i="65" s="1"/>
  <c r="BT33" i="81"/>
  <c r="BN33" i="81" s="1"/>
  <c r="I28" i="65"/>
  <c r="N28" i="65" s="1"/>
  <c r="BV33" i="81"/>
  <c r="BP33" i="81" s="1"/>
  <c r="K28" i="65"/>
  <c r="G8" i="80"/>
  <c r="H8" i="80" s="1"/>
  <c r="L8" i="80" s="1"/>
  <c r="M8" i="80" l="1"/>
  <c r="Z32" i="80"/>
  <c r="E13" i="65" s="1"/>
  <c r="G13" i="65" s="1"/>
  <c r="P28" i="65"/>
  <c r="BM27" i="80"/>
  <c r="BS27" i="80" s="1"/>
  <c r="BO27" i="80"/>
  <c r="BU27" i="80" s="1"/>
  <c r="BQ27" i="80"/>
  <c r="BW27" i="80" s="1"/>
  <c r="BP27" i="80"/>
  <c r="BV27" i="80" s="1"/>
  <c r="BN27" i="80"/>
  <c r="BT27" i="80" s="1"/>
  <c r="BO11" i="80"/>
  <c r="BU11" i="80" s="1"/>
  <c r="BQ15" i="80"/>
  <c r="BW15" i="80" s="1"/>
  <c r="BO17" i="80"/>
  <c r="BU17" i="80" s="1"/>
  <c r="BN22" i="80"/>
  <c r="BT22" i="80" s="1"/>
  <c r="BO23" i="80"/>
  <c r="BU23" i="80" s="1"/>
  <c r="BN14" i="80"/>
  <c r="BT14" i="80" s="1"/>
  <c r="BO24" i="80"/>
  <c r="BU24" i="80" s="1"/>
  <c r="BM10" i="80"/>
  <c r="BS10" i="80" s="1"/>
  <c r="BQ8" i="80"/>
  <c r="BW8" i="80" s="1"/>
  <c r="BP12" i="80"/>
  <c r="BV12" i="80" s="1"/>
  <c r="BO13" i="80"/>
  <c r="BU13" i="80" s="1"/>
  <c r="BO16" i="80"/>
  <c r="BU16" i="80" s="1"/>
  <c r="BO19" i="80"/>
  <c r="BU19" i="80" s="1"/>
  <c r="BQ20" i="80"/>
  <c r="BW20" i="80" s="1"/>
  <c r="BO25" i="80"/>
  <c r="BU25" i="80" s="1"/>
  <c r="BO9" i="80"/>
  <c r="BU9" i="80" s="1"/>
  <c r="BO12" i="80"/>
  <c r="BU12" i="80" s="1"/>
  <c r="BO15" i="80"/>
  <c r="BU15" i="80" s="1"/>
  <c r="BQ16" i="80"/>
  <c r="BW16" i="80" s="1"/>
  <c r="BQ23" i="80"/>
  <c r="BW23" i="80" s="1"/>
  <c r="BO21" i="80"/>
  <c r="BU21" i="80" s="1"/>
  <c r="BP11" i="80"/>
  <c r="BV11" i="80" s="1"/>
  <c r="BP24" i="80"/>
  <c r="BV24" i="80" s="1"/>
  <c r="BO8" i="80"/>
  <c r="BU8" i="80" s="1"/>
  <c r="BQ12" i="80"/>
  <c r="BW12" i="80" s="1"/>
  <c r="BP16" i="80"/>
  <c r="BV16" i="80" s="1"/>
  <c r="BQ19" i="80"/>
  <c r="BW19" i="80" s="1"/>
  <c r="BM23" i="80"/>
  <c r="BS23" i="80" s="1"/>
  <c r="BN26" i="80"/>
  <c r="BT26" i="80" s="1"/>
  <c r="BQ11" i="80"/>
  <c r="BW11" i="80" s="1"/>
  <c r="BM15" i="80"/>
  <c r="BS15" i="80" s="1"/>
  <c r="BO20" i="80"/>
  <c r="BU20" i="80" s="1"/>
  <c r="BQ24" i="80"/>
  <c r="BW24" i="80" s="1"/>
  <c r="BN18" i="80"/>
  <c r="BT18" i="80" s="1"/>
  <c r="BP9" i="80"/>
  <c r="BV9" i="80" s="1"/>
  <c r="BP10" i="80"/>
  <c r="BV10" i="80" s="1"/>
  <c r="BQ13" i="80"/>
  <c r="BW13" i="80" s="1"/>
  <c r="BQ14" i="80"/>
  <c r="BW14" i="80" s="1"/>
  <c r="BN16" i="80"/>
  <c r="BT16" i="80" s="1"/>
  <c r="BO18" i="80"/>
  <c r="BU18" i="80" s="1"/>
  <c r="BM21" i="80"/>
  <c r="BS21" i="80" s="1"/>
  <c r="BP22" i="80"/>
  <c r="BV22" i="80" s="1"/>
  <c r="BQ25" i="80"/>
  <c r="BW25" i="80" s="1"/>
  <c r="BQ26" i="80"/>
  <c r="BW26" i="80" s="1"/>
  <c r="BP8" i="80"/>
  <c r="BV8" i="80" s="1"/>
  <c r="BM19" i="80"/>
  <c r="BS19" i="80" s="1"/>
  <c r="BP20" i="80"/>
  <c r="BV20" i="80" s="1"/>
  <c r="BQ9" i="80"/>
  <c r="BW9" i="80" s="1"/>
  <c r="BQ10" i="80"/>
  <c r="BW10" i="80" s="1"/>
  <c r="BM12" i="80"/>
  <c r="BS12" i="80" s="1"/>
  <c r="BO14" i="80"/>
  <c r="BU14" i="80" s="1"/>
  <c r="BP17" i="80"/>
  <c r="BV17" i="80" s="1"/>
  <c r="BP18" i="80"/>
  <c r="BV18" i="80" s="1"/>
  <c r="BQ21" i="80"/>
  <c r="BW21" i="80" s="1"/>
  <c r="BQ22" i="80"/>
  <c r="BW22" i="80" s="1"/>
  <c r="BN24" i="80"/>
  <c r="BT24" i="80" s="1"/>
  <c r="BO26" i="80"/>
  <c r="BU26" i="80" s="1"/>
  <c r="BN8" i="80"/>
  <c r="BT8" i="80" s="1"/>
  <c r="BO10" i="80"/>
  <c r="BU10" i="80" s="1"/>
  <c r="BM13" i="80"/>
  <c r="BS13" i="80" s="1"/>
  <c r="BP14" i="80"/>
  <c r="BV14" i="80" s="1"/>
  <c r="BQ17" i="80"/>
  <c r="BW17" i="80" s="1"/>
  <c r="BQ18" i="80"/>
  <c r="BW18" i="80" s="1"/>
  <c r="BN20" i="80"/>
  <c r="BT20" i="80" s="1"/>
  <c r="BO22" i="80"/>
  <c r="BU22" i="80" s="1"/>
  <c r="BM25" i="80"/>
  <c r="BS25" i="80" s="1"/>
  <c r="BP26" i="80"/>
  <c r="BV26" i="80" s="1"/>
  <c r="BM9" i="80"/>
  <c r="BS9" i="80" s="1"/>
  <c r="BM11" i="80"/>
  <c r="BS11" i="80" s="1"/>
  <c r="BM17" i="80"/>
  <c r="BS17" i="80" s="1"/>
  <c r="BN9" i="80"/>
  <c r="BT9" i="80" s="1"/>
  <c r="BN11" i="80"/>
  <c r="BT11" i="80" s="1"/>
  <c r="BN13" i="80"/>
  <c r="BT13" i="80" s="1"/>
  <c r="BN15" i="80"/>
  <c r="BT15" i="80" s="1"/>
  <c r="BN17" i="80"/>
  <c r="BT17" i="80" s="1"/>
  <c r="BN19" i="80"/>
  <c r="BT19" i="80" s="1"/>
  <c r="BN21" i="80"/>
  <c r="BT21" i="80" s="1"/>
  <c r="BN23" i="80"/>
  <c r="BT23" i="80" s="1"/>
  <c r="BN25" i="80"/>
  <c r="BT25" i="80" s="1"/>
  <c r="BP13" i="80"/>
  <c r="BV13" i="80" s="1"/>
  <c r="BP15" i="80"/>
  <c r="BV15" i="80" s="1"/>
  <c r="BM16" i="80"/>
  <c r="BS16" i="80" s="1"/>
  <c r="BM18" i="80"/>
  <c r="BS18" i="80" s="1"/>
  <c r="BP19" i="80"/>
  <c r="BV19" i="80" s="1"/>
  <c r="BM20" i="80"/>
  <c r="BS20" i="80" s="1"/>
  <c r="BP21" i="80"/>
  <c r="BV21" i="80" s="1"/>
  <c r="BM22" i="80"/>
  <c r="BS22" i="80" s="1"/>
  <c r="BP23" i="80"/>
  <c r="BV23" i="80" s="1"/>
  <c r="BM24" i="80"/>
  <c r="BS24" i="80" s="1"/>
  <c r="BP25" i="80"/>
  <c r="BV25" i="80" s="1"/>
  <c r="BM26" i="80"/>
  <c r="BS26" i="80" s="1"/>
  <c r="BM8" i="80"/>
  <c r="BS8" i="80" s="1"/>
  <c r="BM14" i="80"/>
  <c r="BS14" i="80" s="1"/>
  <c r="BN10" i="80"/>
  <c r="BT10" i="80" s="1"/>
  <c r="BN12" i="80"/>
  <c r="BT12" i="80" s="1"/>
  <c r="W8" i="80" l="1"/>
  <c r="X8" i="80" s="1"/>
  <c r="X32" i="80" s="1"/>
  <c r="D13" i="65" s="1"/>
  <c r="F13" i="65" s="1"/>
  <c r="BW32" i="80"/>
  <c r="M13" i="65" s="1"/>
  <c r="R13" i="65" s="1"/>
  <c r="BU32" i="80"/>
  <c r="L13" i="65" s="1"/>
  <c r="Q13" i="65" s="1"/>
  <c r="BV32" i="80"/>
  <c r="K13" i="65" s="1"/>
  <c r="P13" i="65" s="1"/>
  <c r="BT32" i="80"/>
  <c r="I13" i="65" s="1"/>
  <c r="N13" i="65" s="1"/>
  <c r="BS32" i="80"/>
  <c r="J13" i="65" s="1"/>
  <c r="O13" i="65" s="1"/>
  <c r="BT33" i="80" l="1"/>
  <c r="BN33" i="80" s="1"/>
  <c r="BV33" i="80"/>
  <c r="BP33" i="80" s="1"/>
  <c r="BU33" i="80"/>
  <c r="BO33" i="80" s="1"/>
  <c r="BW33" i="80"/>
  <c r="BQ33" i="80" s="1"/>
  <c r="BS33" i="80"/>
  <c r="BM33" i="80" s="1"/>
  <c r="AA9" i="78"/>
  <c r="AA10" i="78"/>
  <c r="AA11" i="78"/>
  <c r="AA12" i="78"/>
  <c r="AA13" i="78"/>
  <c r="AA14" i="78"/>
  <c r="AA15" i="78"/>
  <c r="AA16" i="78"/>
  <c r="AA17" i="78"/>
  <c r="AA18" i="78"/>
  <c r="AA19" i="78"/>
  <c r="AA20" i="78"/>
  <c r="AA21" i="78"/>
  <c r="AA22" i="78"/>
  <c r="AA23" i="78"/>
  <c r="AA24" i="78"/>
  <c r="AA25" i="78"/>
  <c r="AA26" i="78"/>
  <c r="AA27" i="78"/>
  <c r="AA28" i="78"/>
  <c r="AA29" i="78"/>
  <c r="AA51" i="78"/>
  <c r="AA52" i="78"/>
  <c r="T9" i="78" l="1"/>
  <c r="T10" i="78"/>
  <c r="T11" i="78"/>
  <c r="T12" i="78"/>
  <c r="T13" i="78"/>
  <c r="T14" i="78"/>
  <c r="T15" i="78"/>
  <c r="T16" i="78"/>
  <c r="T17" i="78"/>
  <c r="T18" i="78"/>
  <c r="T19" i="78"/>
  <c r="T20" i="78"/>
  <c r="T21" i="78"/>
  <c r="T22" i="78"/>
  <c r="T23" i="78"/>
  <c r="T24" i="78"/>
  <c r="T25" i="78"/>
  <c r="T26" i="78"/>
  <c r="T27" i="78"/>
  <c r="T28" i="78"/>
  <c r="T29" i="78"/>
  <c r="T51" i="78"/>
  <c r="T52" i="78"/>
  <c r="T8" i="78"/>
  <c r="Y8" i="78" l="1"/>
  <c r="Y53" i="78" s="1"/>
  <c r="Q31" i="36"/>
  <c r="Q33" i="36" s="1"/>
  <c r="Q8" i="36"/>
  <c r="Q10" i="36" s="1"/>
  <c r="Q44" i="36" l="1"/>
  <c r="Q46" i="36" s="1"/>
  <c r="Q19" i="36"/>
  <c r="Q21" i="36" s="1"/>
  <c r="D52" i="59" l="1"/>
  <c r="D53" i="59" s="1"/>
  <c r="C51" i="59"/>
  <c r="D51" i="59"/>
  <c r="D51" i="58"/>
  <c r="D52" i="58" s="1"/>
  <c r="C50" i="58"/>
  <c r="D50" i="58"/>
  <c r="F53" i="64"/>
  <c r="E53" i="64"/>
  <c r="D55" i="64"/>
  <c r="C55" i="64"/>
  <c r="C22" i="53"/>
  <c r="C23" i="53"/>
  <c r="C24" i="53"/>
  <c r="C25" i="53" s="1"/>
  <c r="B26" i="53"/>
  <c r="C27" i="53"/>
  <c r="C28" i="53"/>
  <c r="C39" i="54"/>
  <c r="D55" i="54" s="1"/>
  <c r="D54" i="54" s="1"/>
  <c r="D58" i="51"/>
  <c r="D59" i="51" s="1"/>
  <c r="C57" i="51"/>
  <c r="D57" i="51"/>
  <c r="D59" i="50"/>
  <c r="D60" i="50" s="1"/>
  <c r="C58" i="50"/>
  <c r="D58" i="50"/>
  <c r="D59" i="49"/>
  <c r="D60" i="49" s="1"/>
  <c r="C57" i="49"/>
  <c r="D60" i="40"/>
  <c r="D61" i="40" s="1"/>
  <c r="C59" i="40"/>
  <c r="D59" i="40"/>
  <c r="C50" i="59" l="1"/>
  <c r="C53" i="59"/>
  <c r="D50" i="59"/>
  <c r="C49" i="58"/>
  <c r="C52" i="58"/>
  <c r="D49" i="58"/>
  <c r="E52" i="64"/>
  <c r="E55" i="64"/>
  <c r="F52" i="64"/>
  <c r="F55" i="64"/>
  <c r="C53" i="64"/>
  <c r="D53" i="64"/>
  <c r="C52" i="64"/>
  <c r="D52" i="64"/>
  <c r="C54" i="54"/>
  <c r="C53" i="54"/>
  <c r="C56" i="54"/>
  <c r="D53" i="54"/>
  <c r="D56" i="54"/>
  <c r="C56" i="51"/>
  <c r="C59" i="51"/>
  <c r="D56" i="51"/>
  <c r="D58" i="49"/>
  <c r="C57" i="50"/>
  <c r="C60" i="50"/>
  <c r="D57" i="50"/>
  <c r="C60" i="49"/>
  <c r="C58" i="49"/>
  <c r="D57" i="49"/>
  <c r="C58" i="40"/>
  <c r="C61" i="40"/>
  <c r="D58" i="40"/>
  <c r="B3" i="78" l="1"/>
  <c r="E2" i="78"/>
  <c r="B2" i="78"/>
  <c r="E1" i="78"/>
  <c r="B1" i="78"/>
  <c r="B53" i="78"/>
  <c r="AA8" i="78"/>
  <c r="C12" i="65" l="1"/>
  <c r="BP26" i="78"/>
  <c r="BV26" i="78" s="1"/>
  <c r="BP29" i="78"/>
  <c r="BV29" i="78" s="1"/>
  <c r="BR28" i="78"/>
  <c r="BX28" i="78" s="1"/>
  <c r="BR25" i="78"/>
  <c r="BX25" i="78" s="1"/>
  <c r="AA53" i="78"/>
  <c r="E12" i="65" s="1"/>
  <c r="G12" i="65" s="1"/>
  <c r="BR10" i="78"/>
  <c r="BX10" i="78" s="1"/>
  <c r="BR13" i="78"/>
  <c r="BX13" i="78" s="1"/>
  <c r="BR14" i="78"/>
  <c r="BX14" i="78" s="1"/>
  <c r="BP8" i="78"/>
  <c r="BV8" i="78" s="1"/>
  <c r="BN12" i="78"/>
  <c r="BT12" i="78" s="1"/>
  <c r="BQ20" i="78"/>
  <c r="BW20" i="78" s="1"/>
  <c r="BQ21" i="78"/>
  <c r="BW21" i="78" s="1"/>
  <c r="BQ22" i="78"/>
  <c r="BW22" i="78" s="1"/>
  <c r="BP17" i="78"/>
  <c r="BV17" i="78" s="1"/>
  <c r="BP18" i="78"/>
  <c r="BV18" i="78" s="1"/>
  <c r="BP19" i="78"/>
  <c r="BV19" i="78" s="1"/>
  <c r="BP23" i="78"/>
  <c r="BV23" i="78" s="1"/>
  <c r="BP24" i="78"/>
  <c r="BV24" i="78" s="1"/>
  <c r="BP25" i="78"/>
  <c r="BV25" i="78" s="1"/>
  <c r="BR15" i="78"/>
  <c r="BX15" i="78" s="1"/>
  <c r="BR16" i="78"/>
  <c r="BX16" i="78" s="1"/>
  <c r="BR19" i="78"/>
  <c r="BX19" i="78" s="1"/>
  <c r="BR8" i="78"/>
  <c r="BX8" i="78" s="1"/>
  <c r="BR9" i="78"/>
  <c r="BX9" i="78" s="1"/>
  <c r="BP11" i="78"/>
  <c r="BV11" i="78" s="1"/>
  <c r="BP12" i="78"/>
  <c r="BV12" i="78" s="1"/>
  <c r="BP13" i="78"/>
  <c r="BV13" i="78" s="1"/>
  <c r="BQ14" i="78"/>
  <c r="BW14" i="78" s="1"/>
  <c r="BQ15" i="78"/>
  <c r="BW15" i="78" s="1"/>
  <c r="BQ16" i="78"/>
  <c r="BW16" i="78" s="1"/>
  <c r="BP20" i="78"/>
  <c r="BV20" i="78" s="1"/>
  <c r="BN51" i="78"/>
  <c r="BT51" i="78" s="1"/>
  <c r="BO11" i="78"/>
  <c r="BU11" i="78" s="1"/>
  <c r="BQ26" i="78"/>
  <c r="BW26" i="78" s="1"/>
  <c r="BQ29" i="78"/>
  <c r="BW29" i="78" s="1"/>
  <c r="BQ8" i="78"/>
  <c r="BW8" i="78" s="1"/>
  <c r="BQ9" i="78"/>
  <c r="BW9" i="78" s="1"/>
  <c r="BQ10" i="78"/>
  <c r="BW10" i="78" s="1"/>
  <c r="BP14" i="78"/>
  <c r="BV14" i="78" s="1"/>
  <c r="BO17" i="78"/>
  <c r="BU17" i="78" s="1"/>
  <c r="BN18" i="78"/>
  <c r="BT18" i="78" s="1"/>
  <c r="BR20" i="78"/>
  <c r="BX20" i="78" s="1"/>
  <c r="BR21" i="78"/>
  <c r="BX21" i="78" s="1"/>
  <c r="BR22" i="78"/>
  <c r="BX22" i="78" s="1"/>
  <c r="BP28" i="78"/>
  <c r="BV28" i="78" s="1"/>
  <c r="BP51" i="78"/>
  <c r="BV51" i="78" s="1"/>
  <c r="BP52" i="78"/>
  <c r="BV52" i="78" s="1"/>
  <c r="BO23" i="78"/>
  <c r="BU23" i="78" s="1"/>
  <c r="BN24" i="78"/>
  <c r="BT24" i="78" s="1"/>
  <c r="BR26" i="78"/>
  <c r="BX26" i="78" s="1"/>
  <c r="BR29" i="78"/>
  <c r="BX29" i="78" s="1"/>
  <c r="BR52" i="78"/>
  <c r="BX52" i="78" s="1"/>
  <c r="BN8" i="78"/>
  <c r="BT8" i="78" s="1"/>
  <c r="BR12" i="78"/>
  <c r="BX12" i="78" s="1"/>
  <c r="BN14" i="78"/>
  <c r="BT14" i="78" s="1"/>
  <c r="BR18" i="78"/>
  <c r="BX18" i="78" s="1"/>
  <c r="BN20" i="78"/>
  <c r="BT20" i="78" s="1"/>
  <c r="BR24" i="78"/>
  <c r="BX24" i="78" s="1"/>
  <c r="BN26" i="78"/>
  <c r="BT26" i="78" s="1"/>
  <c r="BQ27" i="78"/>
  <c r="BW27" i="78" s="1"/>
  <c r="BQ28" i="78"/>
  <c r="BW28" i="78" s="1"/>
  <c r="BP27" i="78"/>
  <c r="BV27" i="78" s="1"/>
  <c r="BO8" i="78"/>
  <c r="BU8" i="78" s="1"/>
  <c r="BP9" i="78"/>
  <c r="BV9" i="78" s="1"/>
  <c r="BP10" i="78"/>
  <c r="BV10" i="78" s="1"/>
  <c r="BQ11" i="78"/>
  <c r="BW11" i="78" s="1"/>
  <c r="BO14" i="78"/>
  <c r="BU14" i="78" s="1"/>
  <c r="BP15" i="78"/>
  <c r="BV15" i="78" s="1"/>
  <c r="BP16" i="78"/>
  <c r="BV16" i="78" s="1"/>
  <c r="BQ17" i="78"/>
  <c r="BW17" i="78" s="1"/>
  <c r="BO20" i="78"/>
  <c r="BU20" i="78" s="1"/>
  <c r="BP21" i="78"/>
  <c r="BV21" i="78" s="1"/>
  <c r="BP22" i="78"/>
  <c r="BV22" i="78" s="1"/>
  <c r="BQ23" i="78"/>
  <c r="BW23" i="78" s="1"/>
  <c r="BO26" i="78"/>
  <c r="BU26" i="78" s="1"/>
  <c r="BR27" i="78"/>
  <c r="BX27" i="78" s="1"/>
  <c r="BN29" i="78"/>
  <c r="BT29" i="78" s="1"/>
  <c r="BQ51" i="78"/>
  <c r="BW51" i="78" s="1"/>
  <c r="BQ52" i="78"/>
  <c r="BW52" i="78" s="1"/>
  <c r="BN11" i="78"/>
  <c r="BT11" i="78" s="1"/>
  <c r="BN17" i="78"/>
  <c r="BT17" i="78" s="1"/>
  <c r="BN23" i="78"/>
  <c r="BT23" i="78" s="1"/>
  <c r="BN27" i="78"/>
  <c r="BT27" i="78" s="1"/>
  <c r="BN9" i="78"/>
  <c r="BT9" i="78" s="1"/>
  <c r="BR11" i="78"/>
  <c r="BX11" i="78" s="1"/>
  <c r="BQ12" i="78"/>
  <c r="BW12" i="78" s="1"/>
  <c r="BQ13" i="78"/>
  <c r="BW13" i="78" s="1"/>
  <c r="BN15" i="78"/>
  <c r="BT15" i="78" s="1"/>
  <c r="BR17" i="78"/>
  <c r="BX17" i="78" s="1"/>
  <c r="BQ18" i="78"/>
  <c r="BW18" i="78" s="1"/>
  <c r="BQ19" i="78"/>
  <c r="BW19" i="78" s="1"/>
  <c r="BN21" i="78"/>
  <c r="BT21" i="78" s="1"/>
  <c r="BR23" i="78"/>
  <c r="BX23" i="78" s="1"/>
  <c r="BQ24" i="78"/>
  <c r="BW24" i="78" s="1"/>
  <c r="BQ25" i="78"/>
  <c r="BW25" i="78" s="1"/>
  <c r="BO29" i="78"/>
  <c r="BU29" i="78" s="1"/>
  <c r="BR51" i="78"/>
  <c r="BX51" i="78" s="1"/>
  <c r="BO9" i="78"/>
  <c r="BU9" i="78" s="1"/>
  <c r="BO12" i="78"/>
  <c r="BU12" i="78" s="1"/>
  <c r="BO15" i="78"/>
  <c r="BU15" i="78" s="1"/>
  <c r="BO18" i="78"/>
  <c r="BU18" i="78" s="1"/>
  <c r="BO21" i="78"/>
  <c r="BU21" i="78" s="1"/>
  <c r="BO24" i="78"/>
  <c r="BU24" i="78" s="1"/>
  <c r="BO27" i="78"/>
  <c r="BU27" i="78" s="1"/>
  <c r="BO51" i="78"/>
  <c r="BU51" i="78" s="1"/>
  <c r="BN10" i="78"/>
  <c r="BT10" i="78" s="1"/>
  <c r="BN13" i="78"/>
  <c r="BT13" i="78" s="1"/>
  <c r="BN16" i="78"/>
  <c r="BT16" i="78" s="1"/>
  <c r="BN19" i="78"/>
  <c r="BT19" i="78" s="1"/>
  <c r="BN22" i="78"/>
  <c r="BT22" i="78" s="1"/>
  <c r="BN25" i="78"/>
  <c r="BT25" i="78" s="1"/>
  <c r="BN28" i="78"/>
  <c r="BT28" i="78" s="1"/>
  <c r="BN52" i="78"/>
  <c r="BT52" i="78" s="1"/>
  <c r="BO10" i="78"/>
  <c r="BU10" i="78" s="1"/>
  <c r="BO13" i="78"/>
  <c r="BU13" i="78" s="1"/>
  <c r="BO16" i="78"/>
  <c r="BU16" i="78" s="1"/>
  <c r="BO19" i="78"/>
  <c r="BU19" i="78" s="1"/>
  <c r="BO22" i="78"/>
  <c r="BU22" i="78" s="1"/>
  <c r="BO25" i="78"/>
  <c r="BU25" i="78" s="1"/>
  <c r="BO28" i="78"/>
  <c r="BU28" i="78" s="1"/>
  <c r="BO52" i="78"/>
  <c r="BU52" i="78" s="1"/>
  <c r="CK42" i="67"/>
  <c r="CE42" i="67"/>
  <c r="BY42" i="67"/>
  <c r="BS42" i="67"/>
  <c r="BR42" i="67"/>
  <c r="CK41" i="67"/>
  <c r="CE41" i="67"/>
  <c r="BY41" i="67"/>
  <c r="BS41" i="67"/>
  <c r="BR41" i="67"/>
  <c r="CK40" i="67"/>
  <c r="CE40" i="67"/>
  <c r="BY40" i="67"/>
  <c r="BS40" i="67"/>
  <c r="BR40" i="67"/>
  <c r="CK39" i="67"/>
  <c r="CE39" i="67"/>
  <c r="BY39" i="67"/>
  <c r="BS39" i="67"/>
  <c r="BR39" i="67"/>
  <c r="CK27" i="67"/>
  <c r="CE27" i="67"/>
  <c r="BY27" i="67"/>
  <c r="BS27" i="67"/>
  <c r="BR27" i="67"/>
  <c r="CK26" i="67"/>
  <c r="CE26" i="67"/>
  <c r="BY26" i="67"/>
  <c r="BS26" i="67"/>
  <c r="BR26" i="67"/>
  <c r="CK25" i="67"/>
  <c r="CE25" i="67"/>
  <c r="BY25" i="67"/>
  <c r="BS25" i="67"/>
  <c r="BR25" i="67"/>
  <c r="CK24" i="67"/>
  <c r="CE24" i="67"/>
  <c r="BY24" i="67"/>
  <c r="BS24" i="67"/>
  <c r="BR24" i="67"/>
  <c r="CK23" i="67"/>
  <c r="CE23" i="67"/>
  <c r="BY23" i="67"/>
  <c r="BS23" i="67"/>
  <c r="BR23" i="67"/>
  <c r="CK22" i="67"/>
  <c r="CE22" i="67"/>
  <c r="BY22" i="67"/>
  <c r="BS22" i="67"/>
  <c r="BR22" i="67"/>
  <c r="CK21" i="67"/>
  <c r="CE21" i="67"/>
  <c r="BY21" i="67"/>
  <c r="BS21" i="67"/>
  <c r="BR21" i="67"/>
  <c r="CK20" i="67"/>
  <c r="CE20" i="67"/>
  <c r="BY20" i="67"/>
  <c r="BS20" i="67"/>
  <c r="BR20" i="67"/>
  <c r="CK19" i="67"/>
  <c r="CE19" i="67"/>
  <c r="BY19" i="67"/>
  <c r="BS19" i="67"/>
  <c r="BR19" i="67"/>
  <c r="CK18" i="67"/>
  <c r="CE18" i="67"/>
  <c r="BY18" i="67"/>
  <c r="BS18" i="67"/>
  <c r="BR18" i="67"/>
  <c r="CK17" i="67"/>
  <c r="CE17" i="67"/>
  <c r="BY17" i="67"/>
  <c r="BS17" i="67"/>
  <c r="BR17" i="67"/>
  <c r="CK16" i="67"/>
  <c r="CE16" i="67"/>
  <c r="BY16" i="67"/>
  <c r="BS16" i="67"/>
  <c r="BR16" i="67"/>
  <c r="CK15" i="67"/>
  <c r="CE15" i="67"/>
  <c r="BY15" i="67"/>
  <c r="BS15" i="67"/>
  <c r="BR15" i="67"/>
  <c r="CK14" i="67"/>
  <c r="CE14" i="67"/>
  <c r="BY14" i="67"/>
  <c r="BS14" i="67"/>
  <c r="BR14" i="67"/>
  <c r="CK13" i="67"/>
  <c r="CE13" i="67"/>
  <c r="BY13" i="67"/>
  <c r="BS13" i="67"/>
  <c r="BR13" i="67"/>
  <c r="CK12" i="67"/>
  <c r="CE12" i="67"/>
  <c r="BY12" i="67"/>
  <c r="BS12" i="67"/>
  <c r="BR12" i="67"/>
  <c r="CK11" i="67"/>
  <c r="CE11" i="67"/>
  <c r="BY11" i="67"/>
  <c r="BS11" i="67"/>
  <c r="BR11" i="67"/>
  <c r="CK10" i="67"/>
  <c r="CE10" i="67"/>
  <c r="BY10" i="67"/>
  <c r="BS10" i="67"/>
  <c r="BR10" i="67"/>
  <c r="CK9" i="67"/>
  <c r="CE9" i="67"/>
  <c r="BY9" i="67"/>
  <c r="BS9" i="67"/>
  <c r="BR9" i="67"/>
  <c r="CK8" i="67"/>
  <c r="CE8" i="67"/>
  <c r="BY8" i="67"/>
  <c r="BS8" i="67"/>
  <c r="BR8" i="67"/>
  <c r="CJ42" i="74"/>
  <c r="CJ41" i="74"/>
  <c r="CJ29" i="74"/>
  <c r="CJ28" i="74"/>
  <c r="CJ27" i="74"/>
  <c r="CJ26" i="74"/>
  <c r="CJ25" i="74"/>
  <c r="CJ24" i="74"/>
  <c r="CJ23" i="74"/>
  <c r="CJ22" i="74"/>
  <c r="CJ21" i="74"/>
  <c r="CJ20" i="74"/>
  <c r="CJ19" i="74"/>
  <c r="CJ18" i="74"/>
  <c r="CJ17" i="74"/>
  <c r="CJ16" i="74"/>
  <c r="CJ15" i="74"/>
  <c r="CJ14" i="74"/>
  <c r="CJ13" i="74"/>
  <c r="CJ12" i="74"/>
  <c r="CJ11" i="74"/>
  <c r="CJ10" i="74"/>
  <c r="CJ9" i="74"/>
  <c r="CJ8" i="74"/>
  <c r="CD42" i="74"/>
  <c r="CD41" i="74"/>
  <c r="CD29" i="74"/>
  <c r="CD28" i="74"/>
  <c r="CD27" i="74"/>
  <c r="CD26" i="74"/>
  <c r="CD25" i="74"/>
  <c r="CD24" i="74"/>
  <c r="CD23" i="74"/>
  <c r="CD22" i="74"/>
  <c r="CD21" i="74"/>
  <c r="CD20" i="74"/>
  <c r="CD19" i="74"/>
  <c r="CD18" i="74"/>
  <c r="CD17" i="74"/>
  <c r="CD16" i="74"/>
  <c r="CD15" i="74"/>
  <c r="CD14" i="74"/>
  <c r="CD13" i="74"/>
  <c r="CD12" i="74"/>
  <c r="CD11" i="74"/>
  <c r="CD10" i="74"/>
  <c r="CD9" i="74"/>
  <c r="CD8" i="74"/>
  <c r="BX53" i="78" l="1"/>
  <c r="BW53" i="78"/>
  <c r="BV53" i="78"/>
  <c r="BT53" i="78"/>
  <c r="BU53" i="78"/>
  <c r="B32" i="52"/>
  <c r="BV54" i="78" l="1"/>
  <c r="BP54" i="78" s="1"/>
  <c r="L12" i="65"/>
  <c r="Q12" i="65" s="1"/>
  <c r="BU54" i="78"/>
  <c r="BO54" i="78" s="1"/>
  <c r="I12" i="65"/>
  <c r="N12" i="65" s="1"/>
  <c r="BT54" i="78"/>
  <c r="BN54" i="78" s="1"/>
  <c r="J12" i="65"/>
  <c r="O12" i="65" s="1"/>
  <c r="BW54" i="78"/>
  <c r="BQ54" i="78" s="1"/>
  <c r="K12" i="65"/>
  <c r="P12" i="65" s="1"/>
  <c r="BX54" i="78"/>
  <c r="BR54" i="78" s="1"/>
  <c r="M12" i="65"/>
  <c r="R12" i="65" s="1"/>
  <c r="D12" i="65"/>
  <c r="F12" i="65" s="1"/>
  <c r="BX42" i="74"/>
  <c r="BR42" i="74"/>
  <c r="BQ42" i="74"/>
  <c r="BX41" i="74"/>
  <c r="BR41" i="74"/>
  <c r="BQ41" i="74"/>
  <c r="BX29" i="74"/>
  <c r="BR29" i="74"/>
  <c r="BQ29" i="74"/>
  <c r="BX28" i="74"/>
  <c r="BR28" i="74"/>
  <c r="BQ28" i="74"/>
  <c r="BX27" i="74"/>
  <c r="BR27" i="74"/>
  <c r="BQ27" i="74"/>
  <c r="BX26" i="74"/>
  <c r="BR26" i="74"/>
  <c r="BQ26" i="74"/>
  <c r="BX25" i="74"/>
  <c r="BR25" i="74"/>
  <c r="BQ25" i="74"/>
  <c r="BX24" i="74"/>
  <c r="BR24" i="74"/>
  <c r="BQ24" i="74"/>
  <c r="BX23" i="74"/>
  <c r="BR23" i="74"/>
  <c r="BQ23" i="74"/>
  <c r="BX22" i="74"/>
  <c r="BR22" i="74"/>
  <c r="BQ22" i="74"/>
  <c r="BX21" i="74"/>
  <c r="BR21" i="74"/>
  <c r="BQ21" i="74"/>
  <c r="BX20" i="74"/>
  <c r="BR20" i="74"/>
  <c r="BQ20" i="74"/>
  <c r="BX19" i="74"/>
  <c r="BR19" i="74"/>
  <c r="BQ19" i="74"/>
  <c r="BX18" i="74"/>
  <c r="BR18" i="74"/>
  <c r="BQ18" i="74"/>
  <c r="BX17" i="74"/>
  <c r="BR17" i="74"/>
  <c r="BQ17" i="74"/>
  <c r="BX16" i="74"/>
  <c r="BR16" i="74"/>
  <c r="BQ16" i="74"/>
  <c r="BX15" i="74"/>
  <c r="BR15" i="74"/>
  <c r="BQ15" i="74"/>
  <c r="BX14" i="74"/>
  <c r="BR14" i="74"/>
  <c r="BQ14" i="74"/>
  <c r="BX13" i="74"/>
  <c r="BR13" i="74"/>
  <c r="BQ13" i="74"/>
  <c r="BX12" i="74"/>
  <c r="BR12" i="74"/>
  <c r="BQ12" i="74"/>
  <c r="BX11" i="74"/>
  <c r="BR11" i="74"/>
  <c r="BQ11" i="74"/>
  <c r="BX10" i="74"/>
  <c r="BR10" i="74"/>
  <c r="BQ10" i="74"/>
  <c r="BX9" i="74"/>
  <c r="BR9" i="74"/>
  <c r="BQ9" i="74"/>
  <c r="BX8" i="74"/>
  <c r="BR8" i="74"/>
  <c r="BQ8" i="74"/>
  <c r="O70" i="77" l="1"/>
  <c r="O69" i="77"/>
  <c r="O68" i="77" l="1"/>
  <c r="O92" i="77" s="1"/>
  <c r="G30" i="65"/>
  <c r="N68" i="77"/>
  <c r="N78" i="77"/>
  <c r="C3" i="76"/>
  <c r="E2" i="76"/>
  <c r="C2" i="76"/>
  <c r="E1" i="76"/>
  <c r="C1" i="76"/>
  <c r="N119" i="77" l="1"/>
  <c r="X119" i="77" s="1"/>
  <c r="M30" i="65" s="1"/>
  <c r="E119" i="77"/>
  <c r="U119" i="77" s="1"/>
  <c r="I30" i="65" s="1"/>
  <c r="F119" i="77"/>
  <c r="V119" i="77" s="1"/>
  <c r="L30" i="65" s="1"/>
  <c r="M119" i="77"/>
  <c r="W119" i="77" s="1"/>
  <c r="K30" i="65" s="1"/>
  <c r="D119" i="77"/>
  <c r="T119" i="77" s="1"/>
  <c r="J30" i="65" s="1"/>
  <c r="R92" i="77"/>
  <c r="N70" i="77"/>
  <c r="N77" i="77"/>
  <c r="AX9" i="76"/>
  <c r="BD9" i="76" s="1"/>
  <c r="AX17" i="76"/>
  <c r="BD17" i="76" s="1"/>
  <c r="AX21" i="76"/>
  <c r="BD21" i="76" s="1"/>
  <c r="AX25" i="76"/>
  <c r="BD25" i="76" s="1"/>
  <c r="AY8" i="76"/>
  <c r="BE8" i="76" s="1"/>
  <c r="AZ9" i="76"/>
  <c r="BF9" i="76" s="1"/>
  <c r="AY10" i="76"/>
  <c r="BE10" i="76" s="1"/>
  <c r="AZ11" i="76"/>
  <c r="BF11" i="76" s="1"/>
  <c r="AV11" i="76"/>
  <c r="BB11" i="76" s="1"/>
  <c r="AV12" i="76"/>
  <c r="BB12" i="76" s="1"/>
  <c r="AZ13" i="76"/>
  <c r="BF13" i="76" s="1"/>
  <c r="AY14" i="76"/>
  <c r="BE14" i="76" s="1"/>
  <c r="AZ15" i="76"/>
  <c r="BF15" i="76" s="1"/>
  <c r="AV15" i="76"/>
  <c r="BB15" i="76" s="1"/>
  <c r="AV16" i="76"/>
  <c r="BB16" i="76" s="1"/>
  <c r="AZ17" i="76"/>
  <c r="BF17" i="76" s="1"/>
  <c r="AY18" i="76"/>
  <c r="BE18" i="76" s="1"/>
  <c r="AZ19" i="76"/>
  <c r="BF19" i="76" s="1"/>
  <c r="AV19" i="76"/>
  <c r="BB19" i="76" s="1"/>
  <c r="AV20" i="76"/>
  <c r="BB20" i="76" s="1"/>
  <c r="AZ21" i="76"/>
  <c r="BF21" i="76" s="1"/>
  <c r="AY22" i="76"/>
  <c r="BE22" i="76" s="1"/>
  <c r="AZ23" i="76"/>
  <c r="BF23" i="76" s="1"/>
  <c r="AV23" i="76"/>
  <c r="BB23" i="76" s="1"/>
  <c r="AV24" i="76"/>
  <c r="BB24" i="76" s="1"/>
  <c r="AZ25" i="76"/>
  <c r="BF25" i="76" s="1"/>
  <c r="AW26" i="76"/>
  <c r="BC26" i="76" s="1"/>
  <c r="AZ27" i="76"/>
  <c r="BF27" i="76" s="1"/>
  <c r="AV27" i="76"/>
  <c r="BB27" i="76" s="1"/>
  <c r="AV49" i="76"/>
  <c r="BB49" i="76" s="1"/>
  <c r="AZ50" i="76"/>
  <c r="BF50" i="76" s="1"/>
  <c r="AW51" i="76"/>
  <c r="BC51" i="76" s="1"/>
  <c r="AV52" i="76"/>
  <c r="BB52" i="76" s="1"/>
  <c r="AZ52" i="76"/>
  <c r="BF52" i="76" s="1"/>
  <c r="AX50" i="76"/>
  <c r="BD50" i="76" s="1"/>
  <c r="AX13" i="76"/>
  <c r="BD13" i="76" s="1"/>
  <c r="AX10" i="76"/>
  <c r="BD10" i="76" s="1"/>
  <c r="AX14" i="76"/>
  <c r="BD14" i="76" s="1"/>
  <c r="AX22" i="76"/>
  <c r="BD22" i="76" s="1"/>
  <c r="AX8" i="76"/>
  <c r="BD8" i="76" s="1"/>
  <c r="AX12" i="76"/>
  <c r="BD12" i="76" s="1"/>
  <c r="AX16" i="76"/>
  <c r="BD16" i="76" s="1"/>
  <c r="AX49" i="76"/>
  <c r="BD49" i="76" s="1"/>
  <c r="AY51" i="76"/>
  <c r="BE51" i="76" s="1"/>
  <c r="AY9" i="76"/>
  <c r="BE9" i="76" s="1"/>
  <c r="AZ10" i="76"/>
  <c r="BF10" i="76" s="1"/>
  <c r="AW11" i="76"/>
  <c r="BC11" i="76" s="1"/>
  <c r="AZ12" i="76"/>
  <c r="BF12" i="76" s="1"/>
  <c r="AY13" i="76"/>
  <c r="BE13" i="76" s="1"/>
  <c r="AZ14" i="76"/>
  <c r="BF14" i="76" s="1"/>
  <c r="AW15" i="76"/>
  <c r="BC15" i="76" s="1"/>
  <c r="AZ16" i="76"/>
  <c r="BF16" i="76" s="1"/>
  <c r="AY17" i="76"/>
  <c r="BE17" i="76" s="1"/>
  <c r="AZ18" i="76"/>
  <c r="BF18" i="76" s="1"/>
  <c r="AW19" i="76"/>
  <c r="BC19" i="76" s="1"/>
  <c r="AZ20" i="76"/>
  <c r="BF20" i="76" s="1"/>
  <c r="AY21" i="76"/>
  <c r="BE21" i="76" s="1"/>
  <c r="AZ22" i="76"/>
  <c r="BF22" i="76" s="1"/>
  <c r="AW23" i="76"/>
  <c r="BC23" i="76" s="1"/>
  <c r="AZ24" i="76"/>
  <c r="BF24" i="76" s="1"/>
  <c r="AY25" i="76"/>
  <c r="BE25" i="76" s="1"/>
  <c r="AZ26" i="76"/>
  <c r="BF26" i="76" s="1"/>
  <c r="AW27" i="76"/>
  <c r="BC27" i="76" s="1"/>
  <c r="AZ49" i="76"/>
  <c r="BF49" i="76" s="1"/>
  <c r="AY50" i="76"/>
  <c r="BE50" i="76" s="1"/>
  <c r="AX51" i="76"/>
  <c r="BD51" i="76" s="1"/>
  <c r="AX18" i="76"/>
  <c r="BD18" i="76" s="1"/>
  <c r="AX20" i="76"/>
  <c r="BD20" i="76" s="1"/>
  <c r="AX24" i="76"/>
  <c r="BD24" i="76" s="1"/>
  <c r="AX26" i="76"/>
  <c r="BD26" i="76" s="1"/>
  <c r="AZ8" i="76"/>
  <c r="BF8" i="76" s="1"/>
  <c r="AX11" i="76"/>
  <c r="BD11" i="76" s="1"/>
  <c r="AX15" i="76"/>
  <c r="BD15" i="76" s="1"/>
  <c r="AX19" i="76"/>
  <c r="BD19" i="76" s="1"/>
  <c r="AX23" i="76"/>
  <c r="BD23" i="76" s="1"/>
  <c r="AX27" i="76"/>
  <c r="BD27" i="76" s="1"/>
  <c r="AZ51" i="76"/>
  <c r="BF51" i="76" s="1"/>
  <c r="AW52" i="76"/>
  <c r="BC52" i="76" s="1"/>
  <c r="AW22" i="76"/>
  <c r="BC22" i="76" s="1"/>
  <c r="AW18" i="76"/>
  <c r="BC18" i="76" s="1"/>
  <c r="AY52" i="76"/>
  <c r="BE52" i="76" s="1"/>
  <c r="AV51" i="76"/>
  <c r="BB51" i="76" s="1"/>
  <c r="AW50" i="76"/>
  <c r="BC50" i="76" s="1"/>
  <c r="AY27" i="76"/>
  <c r="BE27" i="76" s="1"/>
  <c r="AV26" i="76"/>
  <c r="BB26" i="76" s="1"/>
  <c r="AW25" i="76"/>
  <c r="BC25" i="76" s="1"/>
  <c r="AY23" i="76"/>
  <c r="BE23" i="76" s="1"/>
  <c r="AV22" i="76"/>
  <c r="BB22" i="76" s="1"/>
  <c r="AW21" i="76"/>
  <c r="BC21" i="76" s="1"/>
  <c r="AY19" i="76"/>
  <c r="BE19" i="76" s="1"/>
  <c r="AV18" i="76"/>
  <c r="BB18" i="76" s="1"/>
  <c r="AW17" i="76"/>
  <c r="BC17" i="76" s="1"/>
  <c r="AY15" i="76"/>
  <c r="BE15" i="76" s="1"/>
  <c r="AV14" i="76"/>
  <c r="BB14" i="76" s="1"/>
  <c r="AW13" i="76"/>
  <c r="BC13" i="76" s="1"/>
  <c r="AY11" i="76"/>
  <c r="BE11" i="76" s="1"/>
  <c r="AV10" i="76"/>
  <c r="BB10" i="76" s="1"/>
  <c r="AW9" i="76"/>
  <c r="BC9" i="76" s="1"/>
  <c r="AW8" i="76"/>
  <c r="BC8" i="76" s="1"/>
  <c r="AY16" i="76"/>
  <c r="BE16" i="76" s="1"/>
  <c r="AW14" i="76"/>
  <c r="BC14" i="76" s="1"/>
  <c r="AY12" i="76"/>
  <c r="BE12" i="76" s="1"/>
  <c r="AW10" i="76"/>
  <c r="BC10" i="76" s="1"/>
  <c r="AX52" i="76"/>
  <c r="BD52" i="76" s="1"/>
  <c r="AV50" i="76"/>
  <c r="BB50" i="76" s="1"/>
  <c r="AW49" i="76"/>
  <c r="BC49" i="76" s="1"/>
  <c r="AY26" i="76"/>
  <c r="BE26" i="76" s="1"/>
  <c r="AV25" i="76"/>
  <c r="BB25" i="76" s="1"/>
  <c r="AW24" i="76"/>
  <c r="BC24" i="76" s="1"/>
  <c r="AV21" i="76"/>
  <c r="BB21" i="76" s="1"/>
  <c r="AW20" i="76"/>
  <c r="BC20" i="76" s="1"/>
  <c r="AV17" i="76"/>
  <c r="BB17" i="76" s="1"/>
  <c r="AW16" i="76"/>
  <c r="BC16" i="76" s="1"/>
  <c r="AV13" i="76"/>
  <c r="BB13" i="76" s="1"/>
  <c r="AW12" i="76"/>
  <c r="BC12" i="76" s="1"/>
  <c r="AV9" i="76"/>
  <c r="BB9" i="76" s="1"/>
  <c r="AY49" i="76"/>
  <c r="BE49" i="76" s="1"/>
  <c r="AY24" i="76"/>
  <c r="BE24" i="76" s="1"/>
  <c r="AY20" i="76"/>
  <c r="BE20" i="76" s="1"/>
  <c r="AV8" i="76"/>
  <c r="BB8" i="76" s="1"/>
  <c r="V53" i="76"/>
  <c r="D22" i="42"/>
  <c r="K22" i="42"/>
  <c r="Q13" i="42"/>
  <c r="N13" i="42"/>
  <c r="K13" i="42"/>
  <c r="D12" i="42"/>
  <c r="D13" i="42"/>
  <c r="R13" i="42" s="1"/>
  <c r="D14" i="42"/>
  <c r="L14" i="42" s="1"/>
  <c r="O14" i="42" s="1"/>
  <c r="Q14" i="42" s="1"/>
  <c r="D15" i="42"/>
  <c r="D16" i="42"/>
  <c r="D17" i="42"/>
  <c r="D18" i="42"/>
  <c r="R18" i="42" s="1"/>
  <c r="K18" i="42"/>
  <c r="D19" i="42"/>
  <c r="D20" i="42"/>
  <c r="D21" i="42"/>
  <c r="D8" i="42"/>
  <c r="D9" i="42"/>
  <c r="D10" i="42"/>
  <c r="D11" i="42"/>
  <c r="D7" i="42"/>
  <c r="R7" i="42" s="1"/>
  <c r="D6" i="42"/>
  <c r="D5" i="42"/>
  <c r="E14" i="65" l="1"/>
  <c r="G14" i="65" s="1"/>
  <c r="K10" i="42"/>
  <c r="R10" i="42"/>
  <c r="R5" i="42"/>
  <c r="I5" i="42"/>
  <c r="K8" i="42"/>
  <c r="R8" i="42"/>
  <c r="K17" i="42"/>
  <c r="R17" i="42"/>
  <c r="L18" i="42"/>
  <c r="O18" i="42" s="1"/>
  <c r="Q18" i="42" s="1"/>
  <c r="L22" i="42"/>
  <c r="N22" i="42" s="1"/>
  <c r="R22" i="42"/>
  <c r="K9" i="42"/>
  <c r="R9" i="42"/>
  <c r="K12" i="42"/>
  <c r="R12" i="42"/>
  <c r="K21" i="42"/>
  <c r="R21" i="42"/>
  <c r="K16" i="42"/>
  <c r="R16" i="42"/>
  <c r="L20" i="42"/>
  <c r="R20" i="42"/>
  <c r="K15" i="42"/>
  <c r="R15" i="42"/>
  <c r="K11" i="42"/>
  <c r="R11" i="42"/>
  <c r="K19" i="42"/>
  <c r="R19" i="42"/>
  <c r="K14" i="42"/>
  <c r="R14" i="42"/>
  <c r="L10" i="42"/>
  <c r="O10" i="42" s="1"/>
  <c r="Q10" i="42" s="1"/>
  <c r="R6" i="42"/>
  <c r="K6" i="42"/>
  <c r="L6" i="42"/>
  <c r="O6" i="42" s="1"/>
  <c r="Q6" i="42" s="1"/>
  <c r="E92" i="77"/>
  <c r="N69" i="77"/>
  <c r="N92" i="77" s="1"/>
  <c r="D30" i="65" s="1"/>
  <c r="L7" i="42"/>
  <c r="N7" i="42" s="1"/>
  <c r="L5" i="42"/>
  <c r="O5" i="42" s="1"/>
  <c r="Q5" i="42" s="1"/>
  <c r="L17" i="42"/>
  <c r="O17" i="42" s="1"/>
  <c r="Q17" i="42" s="1"/>
  <c r="K20" i="42"/>
  <c r="L13" i="42"/>
  <c r="O13" i="42" s="1"/>
  <c r="O30" i="65"/>
  <c r="Q30" i="65"/>
  <c r="N30" i="65"/>
  <c r="P30" i="65"/>
  <c r="R30" i="65"/>
  <c r="BF53" i="76"/>
  <c r="M14" i="65" s="1"/>
  <c r="BD53" i="76"/>
  <c r="L14" i="65" s="1"/>
  <c r="BB53" i="76"/>
  <c r="J14" i="65" s="1"/>
  <c r="BE53" i="76"/>
  <c r="K14" i="65" s="1"/>
  <c r="BC53" i="76"/>
  <c r="I14" i="65" s="1"/>
  <c r="O22" i="42"/>
  <c r="Q22" i="42" s="1"/>
  <c r="O20" i="42"/>
  <c r="Q20" i="42" s="1"/>
  <c r="N20" i="42"/>
  <c r="L21" i="42"/>
  <c r="L9" i="42"/>
  <c r="N18" i="42"/>
  <c r="K7" i="42"/>
  <c r="L16" i="42"/>
  <c r="L12" i="42"/>
  <c r="L8" i="42"/>
  <c r="N17" i="42"/>
  <c r="L19" i="42"/>
  <c r="L15" i="42"/>
  <c r="L11" i="42"/>
  <c r="N10" i="42"/>
  <c r="N14" i="42"/>
  <c r="F2" i="72"/>
  <c r="C3" i="72"/>
  <c r="C2" i="72"/>
  <c r="C1" i="72"/>
  <c r="B43" i="75"/>
  <c r="C31" i="65" s="1"/>
  <c r="O42" i="75"/>
  <c r="P42" i="75" s="1"/>
  <c r="K42" i="75"/>
  <c r="I42" i="75"/>
  <c r="E42" i="75"/>
  <c r="D42" i="75"/>
  <c r="O41" i="75"/>
  <c r="P41" i="75" s="1"/>
  <c r="K41" i="75"/>
  <c r="I41" i="75"/>
  <c r="E41" i="75"/>
  <c r="D41" i="75"/>
  <c r="O29" i="75"/>
  <c r="P29" i="75" s="1"/>
  <c r="K29" i="75"/>
  <c r="I29" i="75"/>
  <c r="E29" i="75"/>
  <c r="D29" i="75"/>
  <c r="O28" i="75"/>
  <c r="P28" i="75" s="1"/>
  <c r="K28" i="75"/>
  <c r="I28" i="75"/>
  <c r="E28" i="75"/>
  <c r="D28" i="75"/>
  <c r="O27" i="75"/>
  <c r="P27" i="75" s="1"/>
  <c r="K27" i="75"/>
  <c r="I27" i="75"/>
  <c r="E27" i="75"/>
  <c r="D27" i="75"/>
  <c r="O26" i="75"/>
  <c r="P26" i="75" s="1"/>
  <c r="K26" i="75"/>
  <c r="M26" i="75" s="1"/>
  <c r="N26" i="75" s="1"/>
  <c r="I26" i="75"/>
  <c r="E26" i="75"/>
  <c r="D26" i="75"/>
  <c r="O25" i="75"/>
  <c r="P25" i="75" s="1"/>
  <c r="K25" i="75"/>
  <c r="I25" i="75"/>
  <c r="E25" i="75"/>
  <c r="D25" i="75"/>
  <c r="O24" i="75"/>
  <c r="P24" i="75" s="1"/>
  <c r="K24" i="75"/>
  <c r="I24" i="75"/>
  <c r="M24" i="75" s="1"/>
  <c r="N24" i="75" s="1"/>
  <c r="E24" i="75"/>
  <c r="D24" i="75"/>
  <c r="O23" i="75"/>
  <c r="P23" i="75" s="1"/>
  <c r="K23" i="75"/>
  <c r="I23" i="75"/>
  <c r="E23" i="75"/>
  <c r="D23" i="75"/>
  <c r="O22" i="75"/>
  <c r="P22" i="75" s="1"/>
  <c r="K22" i="75"/>
  <c r="I22" i="75"/>
  <c r="E22" i="75"/>
  <c r="D22" i="75"/>
  <c r="O21" i="75"/>
  <c r="P21" i="75" s="1"/>
  <c r="K21" i="75"/>
  <c r="I21" i="75"/>
  <c r="E21" i="75"/>
  <c r="D21" i="75"/>
  <c r="O20" i="75"/>
  <c r="P20" i="75" s="1"/>
  <c r="K20" i="75"/>
  <c r="I20" i="75"/>
  <c r="E20" i="75"/>
  <c r="D20" i="75"/>
  <c r="O19" i="75"/>
  <c r="P19" i="75" s="1"/>
  <c r="K19" i="75"/>
  <c r="I19" i="75"/>
  <c r="E19" i="75"/>
  <c r="D19" i="75"/>
  <c r="O18" i="75"/>
  <c r="P18" i="75" s="1"/>
  <c r="K18" i="75"/>
  <c r="I18" i="75"/>
  <c r="M18" i="75" s="1"/>
  <c r="N18" i="75" s="1"/>
  <c r="E18" i="75"/>
  <c r="D18" i="75"/>
  <c r="O17" i="75"/>
  <c r="P17" i="75" s="1"/>
  <c r="K17" i="75"/>
  <c r="I17" i="75"/>
  <c r="E17" i="75"/>
  <c r="D17" i="75"/>
  <c r="O16" i="75"/>
  <c r="P16" i="75" s="1"/>
  <c r="K16" i="75"/>
  <c r="I16" i="75"/>
  <c r="M16" i="75" s="1"/>
  <c r="N16" i="75" s="1"/>
  <c r="E16" i="75"/>
  <c r="D16" i="75"/>
  <c r="F16" i="75" s="1"/>
  <c r="O15" i="75"/>
  <c r="P15" i="75" s="1"/>
  <c r="K15" i="75"/>
  <c r="I15" i="75"/>
  <c r="E15" i="75"/>
  <c r="D15" i="75"/>
  <c r="O14" i="75"/>
  <c r="P14" i="75" s="1"/>
  <c r="K14" i="75"/>
  <c r="I14" i="75"/>
  <c r="E14" i="75"/>
  <c r="D14" i="75"/>
  <c r="O13" i="75"/>
  <c r="P13" i="75" s="1"/>
  <c r="K13" i="75"/>
  <c r="I13" i="75"/>
  <c r="E13" i="75"/>
  <c r="D13" i="75"/>
  <c r="O12" i="75"/>
  <c r="P12" i="75" s="1"/>
  <c r="K12" i="75"/>
  <c r="I12" i="75"/>
  <c r="E12" i="75"/>
  <c r="D12" i="75"/>
  <c r="O11" i="75"/>
  <c r="P11" i="75" s="1"/>
  <c r="I11" i="75"/>
  <c r="K11" i="75" s="1"/>
  <c r="E11" i="75"/>
  <c r="D11" i="75"/>
  <c r="O10" i="75"/>
  <c r="P10" i="75" s="1"/>
  <c r="K10" i="75"/>
  <c r="I10" i="75"/>
  <c r="E10" i="75"/>
  <c r="D10" i="75"/>
  <c r="O9" i="75"/>
  <c r="P9" i="75" s="1"/>
  <c r="I9" i="75"/>
  <c r="K9" i="75" s="1"/>
  <c r="M9" i="75" s="1"/>
  <c r="N9" i="75" s="1"/>
  <c r="E9" i="75"/>
  <c r="D9" i="75"/>
  <c r="O8" i="75"/>
  <c r="P8" i="75" s="1"/>
  <c r="K8" i="75"/>
  <c r="I8" i="75"/>
  <c r="E8" i="75"/>
  <c r="D8" i="75"/>
  <c r="C3" i="75"/>
  <c r="E2" i="75"/>
  <c r="C2" i="75"/>
  <c r="E1" i="75"/>
  <c r="C1" i="75"/>
  <c r="B43" i="74"/>
  <c r="M42" i="74"/>
  <c r="K42" i="74"/>
  <c r="D42" i="74"/>
  <c r="M41" i="74"/>
  <c r="K41" i="74"/>
  <c r="D41" i="74"/>
  <c r="M29" i="74"/>
  <c r="K29" i="74"/>
  <c r="D29" i="74"/>
  <c r="M28" i="74"/>
  <c r="K28" i="74"/>
  <c r="D28" i="74"/>
  <c r="M27" i="74"/>
  <c r="K27" i="74"/>
  <c r="D27" i="74"/>
  <c r="M26" i="74"/>
  <c r="K26" i="74"/>
  <c r="D26" i="74"/>
  <c r="M25" i="74"/>
  <c r="K25" i="74"/>
  <c r="D25" i="74"/>
  <c r="M24" i="74"/>
  <c r="K24" i="74"/>
  <c r="D24" i="74"/>
  <c r="M23" i="74"/>
  <c r="K23" i="74"/>
  <c r="D23" i="74"/>
  <c r="M22" i="74"/>
  <c r="K22" i="74"/>
  <c r="D22" i="74"/>
  <c r="M21" i="74"/>
  <c r="K21" i="74"/>
  <c r="D21" i="74"/>
  <c r="M20" i="74"/>
  <c r="K20" i="74"/>
  <c r="D20" i="74"/>
  <c r="M19" i="74"/>
  <c r="K19" i="74"/>
  <c r="D19" i="74"/>
  <c r="M18" i="74"/>
  <c r="K18" i="74"/>
  <c r="D18" i="74"/>
  <c r="M17" i="74"/>
  <c r="K17" i="74"/>
  <c r="D17" i="74"/>
  <c r="M16" i="74"/>
  <c r="K16" i="74"/>
  <c r="D16" i="74"/>
  <c r="M15" i="74"/>
  <c r="K15" i="74"/>
  <c r="D15" i="74"/>
  <c r="M14" i="74"/>
  <c r="K14" i="74"/>
  <c r="D14" i="74"/>
  <c r="M13" i="74"/>
  <c r="K13" i="74"/>
  <c r="D13" i="74"/>
  <c r="M12" i="74"/>
  <c r="K12" i="74"/>
  <c r="D12" i="74"/>
  <c r="M11" i="74"/>
  <c r="K11" i="74"/>
  <c r="D11" i="74"/>
  <c r="M10" i="74"/>
  <c r="K10" i="74"/>
  <c r="D10" i="74"/>
  <c r="M9" i="74"/>
  <c r="K9" i="74"/>
  <c r="D9" i="74"/>
  <c r="M8" i="74"/>
  <c r="K8" i="74"/>
  <c r="D8" i="74"/>
  <c r="R8" i="74" s="1"/>
  <c r="C3" i="74"/>
  <c r="E2" i="74"/>
  <c r="C2" i="74"/>
  <c r="E1" i="74"/>
  <c r="C1" i="74"/>
  <c r="D61" i="73"/>
  <c r="B55" i="73"/>
  <c r="C33" i="65" s="1"/>
  <c r="BA30" i="73"/>
  <c r="Q30" i="73"/>
  <c r="I30" i="73"/>
  <c r="BB30" i="73" s="1"/>
  <c r="N30" i="73" s="1"/>
  <c r="O30" i="73" s="1"/>
  <c r="E30" i="73"/>
  <c r="BA29" i="73"/>
  <c r="L29" i="73" s="1"/>
  <c r="S29" i="73"/>
  <c r="Q29" i="73"/>
  <c r="I29" i="73"/>
  <c r="G29" i="73"/>
  <c r="E29" i="73"/>
  <c r="BA28" i="73"/>
  <c r="L28" i="73" s="1"/>
  <c r="S28" i="73"/>
  <c r="Q28" i="73"/>
  <c r="I28" i="73"/>
  <c r="G28" i="73"/>
  <c r="E28" i="73"/>
  <c r="BA27" i="73"/>
  <c r="L27" i="73" s="1"/>
  <c r="S27" i="73"/>
  <c r="Q27" i="73"/>
  <c r="I27" i="73"/>
  <c r="G27" i="73"/>
  <c r="E27" i="73"/>
  <c r="BA26" i="73"/>
  <c r="L26" i="73" s="1"/>
  <c r="S26" i="73"/>
  <c r="Q26" i="73"/>
  <c r="I26" i="73"/>
  <c r="G26" i="73"/>
  <c r="E26" i="73"/>
  <c r="BA25" i="73"/>
  <c r="S25" i="73"/>
  <c r="Q25" i="73"/>
  <c r="L25" i="73"/>
  <c r="I25" i="73"/>
  <c r="G25" i="73"/>
  <c r="E25" i="73"/>
  <c r="BA24" i="73"/>
  <c r="L24" i="73" s="1"/>
  <c r="S24" i="73"/>
  <c r="Q24" i="73"/>
  <c r="I24" i="73"/>
  <c r="G24" i="73"/>
  <c r="E24" i="73"/>
  <c r="BA23" i="73"/>
  <c r="L23" i="73" s="1"/>
  <c r="S23" i="73"/>
  <c r="Q23" i="73"/>
  <c r="I23" i="73"/>
  <c r="G23" i="73"/>
  <c r="E23" i="73"/>
  <c r="BA22" i="73"/>
  <c r="L22" i="73" s="1"/>
  <c r="S22" i="73"/>
  <c r="Q22" i="73"/>
  <c r="I22" i="73"/>
  <c r="G22" i="73"/>
  <c r="E22" i="73"/>
  <c r="BA21" i="73"/>
  <c r="L21" i="73" s="1"/>
  <c r="S21" i="73"/>
  <c r="Q21" i="73"/>
  <c r="I21" i="73"/>
  <c r="G21" i="73"/>
  <c r="E21" i="73"/>
  <c r="BA20" i="73"/>
  <c r="S20" i="73"/>
  <c r="Q20" i="73"/>
  <c r="L20" i="73"/>
  <c r="I20" i="73"/>
  <c r="G20" i="73"/>
  <c r="E20" i="73"/>
  <c r="BA19" i="73"/>
  <c r="L19" i="73" s="1"/>
  <c r="S19" i="73"/>
  <c r="Q19" i="73"/>
  <c r="I19" i="73"/>
  <c r="G19" i="73"/>
  <c r="E19" i="73"/>
  <c r="BA18" i="73"/>
  <c r="L18" i="73" s="1"/>
  <c r="S18" i="73"/>
  <c r="Q18" i="73"/>
  <c r="I18" i="73"/>
  <c r="G18" i="73"/>
  <c r="E18" i="73"/>
  <c r="BA17" i="73"/>
  <c r="L17" i="73" s="1"/>
  <c r="S17" i="73"/>
  <c r="Q17" i="73"/>
  <c r="I17" i="73"/>
  <c r="G17" i="73"/>
  <c r="E17" i="73"/>
  <c r="BA16" i="73"/>
  <c r="L16" i="73" s="1"/>
  <c r="S16" i="73"/>
  <c r="Q16" i="73"/>
  <c r="I16" i="73"/>
  <c r="G16" i="73"/>
  <c r="E16" i="73"/>
  <c r="BA15" i="73"/>
  <c r="L15" i="73" s="1"/>
  <c r="S15" i="73"/>
  <c r="Q15" i="73"/>
  <c r="I15" i="73"/>
  <c r="G15" i="73"/>
  <c r="E15" i="73"/>
  <c r="BA14" i="73"/>
  <c r="L14" i="73" s="1"/>
  <c r="S14" i="73"/>
  <c r="Q14" i="73"/>
  <c r="I14" i="73"/>
  <c r="G14" i="73"/>
  <c r="E14" i="73"/>
  <c r="BA13" i="73"/>
  <c r="L13" i="73" s="1"/>
  <c r="S13" i="73"/>
  <c r="Q13" i="73"/>
  <c r="I13" i="73"/>
  <c r="G13" i="73"/>
  <c r="E13" i="73"/>
  <c r="BA12" i="73"/>
  <c r="L12" i="73" s="1"/>
  <c r="S12" i="73"/>
  <c r="Q12" i="73"/>
  <c r="I12" i="73"/>
  <c r="G12" i="73"/>
  <c r="E12" i="73"/>
  <c r="BA11" i="73"/>
  <c r="L11" i="73" s="1"/>
  <c r="S11" i="73"/>
  <c r="Q11" i="73"/>
  <c r="I11" i="73"/>
  <c r="G11" i="73"/>
  <c r="E11" i="73"/>
  <c r="BA10" i="73"/>
  <c r="L10" i="73" s="1"/>
  <c r="S10" i="73"/>
  <c r="Q10" i="73"/>
  <c r="I10" i="73"/>
  <c r="G10" i="73"/>
  <c r="E10" i="73"/>
  <c r="D3" i="73"/>
  <c r="F2" i="73"/>
  <c r="D2" i="73"/>
  <c r="F1" i="73"/>
  <c r="D1" i="73"/>
  <c r="CD58" i="72"/>
  <c r="CD57" i="72"/>
  <c r="CD56" i="72"/>
  <c r="CD55" i="72"/>
  <c r="CD54" i="72"/>
  <c r="CD53" i="72"/>
  <c r="CD52" i="72"/>
  <c r="CD51" i="72"/>
  <c r="CD50" i="72"/>
  <c r="CD49" i="72"/>
  <c r="CD48" i="72"/>
  <c r="CD47" i="72"/>
  <c r="CD46" i="72"/>
  <c r="CD45" i="72"/>
  <c r="CD44" i="72"/>
  <c r="CD43" i="72"/>
  <c r="CD42" i="72"/>
  <c r="CD41" i="72"/>
  <c r="CD40" i="72"/>
  <c r="CD39" i="72"/>
  <c r="CD38" i="72"/>
  <c r="CD37" i="72"/>
  <c r="CD36" i="72"/>
  <c r="CD35" i="72"/>
  <c r="CD34" i="72"/>
  <c r="CD33" i="72"/>
  <c r="CD32" i="72"/>
  <c r="CD31" i="72"/>
  <c r="C26" i="65"/>
  <c r="CD30" i="72"/>
  <c r="BU52" i="72"/>
  <c r="BT52" i="72"/>
  <c r="S52" i="72"/>
  <c r="T52" i="72" s="1"/>
  <c r="O52" i="72"/>
  <c r="L52" i="72"/>
  <c r="K52" i="72"/>
  <c r="I52" i="72"/>
  <c r="E52" i="72"/>
  <c r="D52" i="72"/>
  <c r="CD29" i="72"/>
  <c r="BU51" i="72"/>
  <c r="BT51" i="72"/>
  <c r="S51" i="72"/>
  <c r="T51" i="72" s="1"/>
  <c r="O51" i="72"/>
  <c r="L51" i="72"/>
  <c r="K51" i="72"/>
  <c r="I51" i="72"/>
  <c r="E51" i="72"/>
  <c r="D51" i="72"/>
  <c r="CD28" i="72"/>
  <c r="BU50" i="72"/>
  <c r="BT50" i="72"/>
  <c r="S50" i="72"/>
  <c r="T50" i="72" s="1"/>
  <c r="O50" i="72"/>
  <c r="L50" i="72"/>
  <c r="K50" i="72"/>
  <c r="I50" i="72"/>
  <c r="E50" i="72"/>
  <c r="D50" i="72"/>
  <c r="CD27" i="72"/>
  <c r="BU49" i="72"/>
  <c r="BT49" i="72"/>
  <c r="S49" i="72"/>
  <c r="T49" i="72" s="1"/>
  <c r="O49" i="72"/>
  <c r="L49" i="72"/>
  <c r="K49" i="72"/>
  <c r="I49" i="72"/>
  <c r="E49" i="72"/>
  <c r="D49" i="72"/>
  <c r="CD26" i="72"/>
  <c r="BU48" i="72"/>
  <c r="BT48" i="72"/>
  <c r="S48" i="72"/>
  <c r="T48" i="72" s="1"/>
  <c r="O48" i="72"/>
  <c r="L48" i="72"/>
  <c r="K48" i="72"/>
  <c r="I48" i="72"/>
  <c r="E48" i="72"/>
  <c r="D48" i="72"/>
  <c r="CD25" i="72"/>
  <c r="BU26" i="72"/>
  <c r="BT26" i="72"/>
  <c r="S26" i="72"/>
  <c r="T26" i="72" s="1"/>
  <c r="O26" i="72"/>
  <c r="L26" i="72"/>
  <c r="K26" i="72"/>
  <c r="I26" i="72"/>
  <c r="E26" i="72"/>
  <c r="D26" i="72"/>
  <c r="CD24" i="72"/>
  <c r="BU25" i="72"/>
  <c r="BT25" i="72"/>
  <c r="S25" i="72"/>
  <c r="T25" i="72" s="1"/>
  <c r="O25" i="72"/>
  <c r="L25" i="72"/>
  <c r="K25" i="72"/>
  <c r="I25" i="72"/>
  <c r="E25" i="72"/>
  <c r="D25" i="72"/>
  <c r="BU24" i="72"/>
  <c r="BT24" i="72"/>
  <c r="S24" i="72"/>
  <c r="T24" i="72" s="1"/>
  <c r="O24" i="72"/>
  <c r="L24" i="72"/>
  <c r="K24" i="72"/>
  <c r="I24" i="72"/>
  <c r="E24" i="72"/>
  <c r="D24" i="72"/>
  <c r="CD23" i="72"/>
  <c r="BU23" i="72"/>
  <c r="BT23" i="72"/>
  <c r="S23" i="72"/>
  <c r="T23" i="72" s="1"/>
  <c r="O23" i="72"/>
  <c r="L23" i="72"/>
  <c r="K23" i="72"/>
  <c r="I23" i="72"/>
  <c r="E23" i="72"/>
  <c r="D23" i="72"/>
  <c r="CD22" i="72"/>
  <c r="BU22" i="72"/>
  <c r="BT22" i="72"/>
  <c r="S22" i="72"/>
  <c r="T22" i="72" s="1"/>
  <c r="O22" i="72"/>
  <c r="L22" i="72"/>
  <c r="K22" i="72"/>
  <c r="I22" i="72"/>
  <c r="E22" i="72"/>
  <c r="D22" i="72"/>
  <c r="CD21" i="72"/>
  <c r="BU21" i="72"/>
  <c r="BT21" i="72"/>
  <c r="S21" i="72"/>
  <c r="T21" i="72" s="1"/>
  <c r="O21" i="72"/>
  <c r="L21" i="72"/>
  <c r="K21" i="72"/>
  <c r="I21" i="72"/>
  <c r="E21" i="72"/>
  <c r="D21" i="72"/>
  <c r="CD20" i="72"/>
  <c r="BU20" i="72"/>
  <c r="BT20" i="72"/>
  <c r="S20" i="72"/>
  <c r="T20" i="72" s="1"/>
  <c r="O20" i="72"/>
  <c r="L20" i="72"/>
  <c r="K20" i="72"/>
  <c r="I20" i="72"/>
  <c r="E20" i="72"/>
  <c r="D20" i="72"/>
  <c r="CD19" i="72"/>
  <c r="BU19" i="72"/>
  <c r="BT19" i="72"/>
  <c r="S19" i="72"/>
  <c r="T19" i="72" s="1"/>
  <c r="O19" i="72"/>
  <c r="L19" i="72"/>
  <c r="K19" i="72"/>
  <c r="I19" i="72"/>
  <c r="E19" i="72"/>
  <c r="D19" i="72"/>
  <c r="CD18" i="72"/>
  <c r="BU18" i="72"/>
  <c r="BT18" i="72"/>
  <c r="S18" i="72"/>
  <c r="T18" i="72" s="1"/>
  <c r="O18" i="72"/>
  <c r="L18" i="72"/>
  <c r="K18" i="72"/>
  <c r="I18" i="72"/>
  <c r="E18" i="72"/>
  <c r="D18" i="72"/>
  <c r="CD17" i="72"/>
  <c r="BU17" i="72"/>
  <c r="BT17" i="72"/>
  <c r="S17" i="72"/>
  <c r="T17" i="72" s="1"/>
  <c r="O17" i="72"/>
  <c r="L17" i="72"/>
  <c r="K17" i="72"/>
  <c r="I17" i="72"/>
  <c r="E17" i="72"/>
  <c r="D17" i="72"/>
  <c r="CD16" i="72"/>
  <c r="BU16" i="72"/>
  <c r="BT16" i="72"/>
  <c r="S16" i="72"/>
  <c r="T16" i="72" s="1"/>
  <c r="O16" i="72"/>
  <c r="L16" i="72"/>
  <c r="K16" i="72"/>
  <c r="I16" i="72"/>
  <c r="E16" i="72"/>
  <c r="D16" i="72"/>
  <c r="CD15" i="72"/>
  <c r="BU15" i="72"/>
  <c r="BT15" i="72"/>
  <c r="S15" i="72"/>
  <c r="T15" i="72" s="1"/>
  <c r="O15" i="72"/>
  <c r="L15" i="72"/>
  <c r="K15" i="72"/>
  <c r="I15" i="72"/>
  <c r="E15" i="72"/>
  <c r="D15" i="72"/>
  <c r="CD14" i="72"/>
  <c r="BU14" i="72"/>
  <c r="BT14" i="72"/>
  <c r="S14" i="72"/>
  <c r="T14" i="72" s="1"/>
  <c r="O14" i="72"/>
  <c r="L14" i="72"/>
  <c r="K14" i="72"/>
  <c r="I14" i="72"/>
  <c r="E14" i="72"/>
  <c r="D14" i="72"/>
  <c r="CD13" i="72"/>
  <c r="BU13" i="72"/>
  <c r="BT13" i="72"/>
  <c r="S13" i="72"/>
  <c r="T13" i="72" s="1"/>
  <c r="O13" i="72"/>
  <c r="L13" i="72"/>
  <c r="K13" i="72"/>
  <c r="I13" i="72"/>
  <c r="E13" i="72"/>
  <c r="D13" i="72"/>
  <c r="CD12" i="72"/>
  <c r="BU12" i="72"/>
  <c r="BT12" i="72"/>
  <c r="S12" i="72"/>
  <c r="T12" i="72" s="1"/>
  <c r="O12" i="72"/>
  <c r="L12" i="72"/>
  <c r="K12" i="72"/>
  <c r="I12" i="72"/>
  <c r="E12" i="72"/>
  <c r="D12" i="72"/>
  <c r="CD11" i="72"/>
  <c r="BU11" i="72"/>
  <c r="BT11" i="72"/>
  <c r="S11" i="72"/>
  <c r="T11" i="72" s="1"/>
  <c r="O11" i="72"/>
  <c r="L11" i="72"/>
  <c r="K11" i="72"/>
  <c r="I11" i="72"/>
  <c r="E11" i="72"/>
  <c r="D11" i="72"/>
  <c r="CD10" i="72"/>
  <c r="BU10" i="72"/>
  <c r="BT10" i="72"/>
  <c r="S10" i="72"/>
  <c r="T10" i="72" s="1"/>
  <c r="O10" i="72"/>
  <c r="L10" i="72"/>
  <c r="K10" i="72"/>
  <c r="I10" i="72"/>
  <c r="E10" i="72"/>
  <c r="D10" i="72"/>
  <c r="CD9" i="72"/>
  <c r="BU9" i="72"/>
  <c r="BT9" i="72"/>
  <c r="S9" i="72"/>
  <c r="T9" i="72" s="1"/>
  <c r="O9" i="72"/>
  <c r="L9" i="72"/>
  <c r="K9" i="72"/>
  <c r="I9" i="72"/>
  <c r="E9" i="72"/>
  <c r="D9" i="72"/>
  <c r="CD8" i="72"/>
  <c r="BU8" i="72"/>
  <c r="BT8" i="72"/>
  <c r="S8" i="72"/>
  <c r="T8" i="72" s="1"/>
  <c r="O8" i="72"/>
  <c r="L8" i="72"/>
  <c r="K8" i="72"/>
  <c r="I8" i="72"/>
  <c r="E8" i="72"/>
  <c r="D8" i="72"/>
  <c r="CD7" i="72"/>
  <c r="CD6" i="72"/>
  <c r="CD5" i="72"/>
  <c r="CD4" i="72"/>
  <c r="CD3" i="72"/>
  <c r="W9" i="41"/>
  <c r="W10" i="41"/>
  <c r="W11" i="41"/>
  <c r="W12" i="41"/>
  <c r="W13" i="41"/>
  <c r="W14" i="41"/>
  <c r="W15" i="41"/>
  <c r="W16" i="41"/>
  <c r="W17" i="41"/>
  <c r="W18" i="41"/>
  <c r="W19" i="41"/>
  <c r="W20" i="41"/>
  <c r="W21" i="41"/>
  <c r="W22" i="41"/>
  <c r="W23" i="41"/>
  <c r="W24" i="41"/>
  <c r="W25" i="41"/>
  <c r="W26" i="41"/>
  <c r="W48" i="41"/>
  <c r="W49" i="41"/>
  <c r="W50" i="41"/>
  <c r="W51" i="41"/>
  <c r="W52" i="41"/>
  <c r="W8" i="41"/>
  <c r="D10" i="41"/>
  <c r="M22" i="75" l="1"/>
  <c r="N22" i="75" s="1"/>
  <c r="M15" i="75"/>
  <c r="N15" i="75" s="1"/>
  <c r="F27" i="75"/>
  <c r="N6" i="42"/>
  <c r="M14" i="75"/>
  <c r="N14" i="75" s="1"/>
  <c r="M20" i="75"/>
  <c r="N20" i="75" s="1"/>
  <c r="F24" i="75"/>
  <c r="BB19" i="73"/>
  <c r="N19" i="73" s="1"/>
  <c r="O19" i="73" s="1"/>
  <c r="Q92" i="77"/>
  <c r="F30" i="65"/>
  <c r="N5" i="42"/>
  <c r="R17" i="74"/>
  <c r="R27" i="74"/>
  <c r="I9" i="74"/>
  <c r="O9" i="74" s="1"/>
  <c r="P9" i="74" s="1"/>
  <c r="R21" i="74"/>
  <c r="R42" i="74"/>
  <c r="R11" i="74"/>
  <c r="R25" i="74"/>
  <c r="R13" i="74"/>
  <c r="R19" i="74"/>
  <c r="R23" i="74"/>
  <c r="R10" i="74"/>
  <c r="R12" i="74"/>
  <c r="R14" i="74"/>
  <c r="R16" i="74"/>
  <c r="R18" i="74"/>
  <c r="R20" i="74"/>
  <c r="R22" i="74"/>
  <c r="R24" i="74"/>
  <c r="R26" i="74"/>
  <c r="R28" i="74"/>
  <c r="R41" i="74"/>
  <c r="C32" i="65"/>
  <c r="R15" i="74"/>
  <c r="R29" i="74"/>
  <c r="O7" i="42"/>
  <c r="Q7" i="42" s="1"/>
  <c r="K5" i="42"/>
  <c r="M25" i="75"/>
  <c r="N25" i="75" s="1"/>
  <c r="G48" i="72"/>
  <c r="M13" i="75"/>
  <c r="N13" i="75" s="1"/>
  <c r="F18" i="75"/>
  <c r="T53" i="76"/>
  <c r="G19" i="72"/>
  <c r="N14" i="65"/>
  <c r="BC54" i="76"/>
  <c r="AW54" i="76" s="1"/>
  <c r="P14" i="65"/>
  <c r="BE54" i="76"/>
  <c r="AY54" i="76" s="1"/>
  <c r="R14" i="65"/>
  <c r="BF54" i="76"/>
  <c r="AZ54" i="76" s="1"/>
  <c r="O14" i="65"/>
  <c r="BB54" i="76"/>
  <c r="AV54" i="76" s="1"/>
  <c r="Q14" i="65"/>
  <c r="BD54" i="76"/>
  <c r="AX54" i="76" s="1"/>
  <c r="G52" i="72"/>
  <c r="G10" i="72"/>
  <c r="G14" i="72"/>
  <c r="G21" i="72"/>
  <c r="I12" i="74"/>
  <c r="O12" i="74" s="1"/>
  <c r="P12" i="74" s="1"/>
  <c r="BB16" i="73"/>
  <c r="N16" i="73" s="1"/>
  <c r="O16" i="73" s="1"/>
  <c r="M10" i="75"/>
  <c r="N10" i="75" s="1"/>
  <c r="M8" i="75"/>
  <c r="N8" i="75" s="1"/>
  <c r="F10" i="75"/>
  <c r="I19" i="74"/>
  <c r="O19" i="74" s="1"/>
  <c r="P19" i="74" s="1"/>
  <c r="G11" i="72"/>
  <c r="M12" i="75"/>
  <c r="N12" i="75" s="1"/>
  <c r="M17" i="75"/>
  <c r="N17" i="75" s="1"/>
  <c r="F19" i="75"/>
  <c r="M23" i="75"/>
  <c r="N23" i="75" s="1"/>
  <c r="M27" i="75"/>
  <c r="N27" i="75" s="1"/>
  <c r="F28" i="75"/>
  <c r="M29" i="75"/>
  <c r="N29" i="75" s="1"/>
  <c r="M42" i="75"/>
  <c r="N42" i="75" s="1"/>
  <c r="M11" i="75"/>
  <c r="N11" i="75" s="1"/>
  <c r="F12" i="75"/>
  <c r="F14" i="75"/>
  <c r="F17" i="75"/>
  <c r="M19" i="75"/>
  <c r="N19" i="75" s="1"/>
  <c r="M28" i="75"/>
  <c r="N28" i="75" s="1"/>
  <c r="M41" i="75"/>
  <c r="N41" i="75" s="1"/>
  <c r="BD8" i="75"/>
  <c r="BJ8" i="75" s="1"/>
  <c r="BD10" i="75"/>
  <c r="BJ10" i="75" s="1"/>
  <c r="BG28" i="75"/>
  <c r="BM28" i="75" s="1"/>
  <c r="BG12" i="75"/>
  <c r="BM12" i="75" s="1"/>
  <c r="BF12" i="75"/>
  <c r="BL12" i="75" s="1"/>
  <c r="BE17" i="75"/>
  <c r="BK17" i="75" s="1"/>
  <c r="BD24" i="75"/>
  <c r="BJ24" i="75" s="1"/>
  <c r="BG42" i="75"/>
  <c r="BM42" i="75" s="1"/>
  <c r="AS23" i="73"/>
  <c r="AY23" i="73" s="1"/>
  <c r="AQ25" i="73"/>
  <c r="AW25" i="73" s="1"/>
  <c r="AP29" i="73"/>
  <c r="AV29" i="73" s="1"/>
  <c r="O11" i="42"/>
  <c r="Q11" i="42" s="1"/>
  <c r="N11" i="42"/>
  <c r="O15" i="42"/>
  <c r="Q15" i="42" s="1"/>
  <c r="N15" i="42"/>
  <c r="O12" i="42"/>
  <c r="Q12" i="42" s="1"/>
  <c r="N12" i="42"/>
  <c r="O8" i="42"/>
  <c r="Q8" i="42" s="1"/>
  <c r="N8" i="42"/>
  <c r="O19" i="42"/>
  <c r="Q19" i="42" s="1"/>
  <c r="N19" i="42"/>
  <c r="O16" i="42"/>
  <c r="Q16" i="42" s="1"/>
  <c r="N16" i="42"/>
  <c r="O9" i="42"/>
  <c r="Q9" i="42" s="1"/>
  <c r="N9" i="42"/>
  <c r="O21" i="42"/>
  <c r="Q21" i="42" s="1"/>
  <c r="N21" i="42"/>
  <c r="AS11" i="73"/>
  <c r="AY11" i="73" s="1"/>
  <c r="AT23" i="73"/>
  <c r="AZ23" i="73" s="1"/>
  <c r="BE15" i="75"/>
  <c r="BK15" i="75" s="1"/>
  <c r="BE19" i="75"/>
  <c r="BK19" i="75" s="1"/>
  <c r="AS15" i="73"/>
  <c r="AY15" i="73" s="1"/>
  <c r="AP17" i="73"/>
  <c r="AV17" i="73" s="1"/>
  <c r="AP20" i="73"/>
  <c r="AV20" i="73" s="1"/>
  <c r="AT20" i="73"/>
  <c r="AZ20" i="73" s="1"/>
  <c r="AT22" i="73"/>
  <c r="AZ22" i="73" s="1"/>
  <c r="AR27" i="73"/>
  <c r="AX27" i="73" s="1"/>
  <c r="AS30" i="73"/>
  <c r="AY30" i="73" s="1"/>
  <c r="BD14" i="75"/>
  <c r="BJ14" i="75" s="1"/>
  <c r="BE18" i="75"/>
  <c r="BK18" i="75" s="1"/>
  <c r="BE27" i="75"/>
  <c r="BK27" i="75" s="1"/>
  <c r="BF28" i="75"/>
  <c r="BL28" i="75" s="1"/>
  <c r="BF29" i="75"/>
  <c r="BL29" i="75" s="1"/>
  <c r="AP13" i="73"/>
  <c r="AV13" i="73" s="1"/>
  <c r="AT18" i="73"/>
  <c r="AZ18" i="73" s="1"/>
  <c r="AT24" i="73"/>
  <c r="AZ24" i="73" s="1"/>
  <c r="AR25" i="73"/>
  <c r="AX25" i="73" s="1"/>
  <c r="AR26" i="73"/>
  <c r="AX26" i="73" s="1"/>
  <c r="AT26" i="73"/>
  <c r="AZ26" i="73" s="1"/>
  <c r="BF42" i="75"/>
  <c r="BL42" i="75" s="1"/>
  <c r="BE11" i="75"/>
  <c r="BK11" i="75" s="1"/>
  <c r="BE16" i="75"/>
  <c r="BK16" i="75" s="1"/>
  <c r="BG20" i="75"/>
  <c r="BM20" i="75" s="1"/>
  <c r="BG22" i="75"/>
  <c r="BM22" i="75" s="1"/>
  <c r="BF22" i="75"/>
  <c r="BL22" i="75" s="1"/>
  <c r="BF25" i="75"/>
  <c r="BL25" i="75" s="1"/>
  <c r="G12" i="72"/>
  <c r="G15" i="72"/>
  <c r="G49" i="72"/>
  <c r="AT10" i="73"/>
  <c r="AZ10" i="73" s="1"/>
  <c r="BB11" i="73"/>
  <c r="N11" i="73" s="1"/>
  <c r="O11" i="73" s="1"/>
  <c r="AT11" i="73"/>
  <c r="AZ11" i="73" s="1"/>
  <c r="AT12" i="73"/>
  <c r="AZ12" i="73" s="1"/>
  <c r="AR13" i="73"/>
  <c r="AX13" i="73" s="1"/>
  <c r="AQ13" i="73"/>
  <c r="AW13" i="73" s="1"/>
  <c r="AR15" i="73"/>
  <c r="AX15" i="73" s="1"/>
  <c r="AQ16" i="73"/>
  <c r="AW16" i="73" s="1"/>
  <c r="AR17" i="73"/>
  <c r="AX17" i="73" s="1"/>
  <c r="AS18" i="73"/>
  <c r="AY18" i="73" s="1"/>
  <c r="AR21" i="73"/>
  <c r="AX21" i="73" s="1"/>
  <c r="BB25" i="73"/>
  <c r="N25" i="73" s="1"/>
  <c r="O25" i="73" s="1"/>
  <c r="AT25" i="73"/>
  <c r="AZ25" i="73" s="1"/>
  <c r="AR29" i="73"/>
  <c r="AX29" i="73" s="1"/>
  <c r="AQ29" i="73"/>
  <c r="AW29" i="73" s="1"/>
  <c r="BG8" i="75"/>
  <c r="BM8" i="75" s="1"/>
  <c r="BF8" i="75"/>
  <c r="BL8" i="75" s="1"/>
  <c r="BE9" i="75"/>
  <c r="BK9" i="75" s="1"/>
  <c r="BG10" i="75"/>
  <c r="BM10" i="75" s="1"/>
  <c r="BF10" i="75"/>
  <c r="BL10" i="75" s="1"/>
  <c r="BD12" i="75"/>
  <c r="BJ12" i="75" s="1"/>
  <c r="BE13" i="75"/>
  <c r="BK13" i="75" s="1"/>
  <c r="BG14" i="75"/>
  <c r="BM14" i="75" s="1"/>
  <c r="BF14" i="75"/>
  <c r="BL14" i="75" s="1"/>
  <c r="BD20" i="75"/>
  <c r="BJ20" i="75" s="1"/>
  <c r="BG21" i="75"/>
  <c r="BM21" i="75" s="1"/>
  <c r="BD21" i="75"/>
  <c r="BJ21" i="75" s="1"/>
  <c r="BE23" i="75"/>
  <c r="BK23" i="75" s="1"/>
  <c r="BG24" i="75"/>
  <c r="BM24" i="75" s="1"/>
  <c r="F25" i="75"/>
  <c r="F26" i="75"/>
  <c r="BG27" i="75"/>
  <c r="BM27" i="75" s="1"/>
  <c r="BF27" i="75"/>
  <c r="BL27" i="75" s="1"/>
  <c r="BG29" i="75"/>
  <c r="BM29" i="75" s="1"/>
  <c r="BG41" i="75"/>
  <c r="BM41" i="75" s="1"/>
  <c r="BF41" i="75"/>
  <c r="BL41" i="75" s="1"/>
  <c r="AT13" i="73"/>
  <c r="AZ13" i="73" s="1"/>
  <c r="AR14" i="73"/>
  <c r="AX14" i="73" s="1"/>
  <c r="AT14" i="73"/>
  <c r="AZ14" i="73" s="1"/>
  <c r="AS16" i="73"/>
  <c r="AY16" i="73" s="1"/>
  <c r="AT17" i="73"/>
  <c r="AZ17" i="73" s="1"/>
  <c r="AQ17" i="73"/>
  <c r="AW17" i="73" s="1"/>
  <c r="AR18" i="73"/>
  <c r="AX18" i="73" s="1"/>
  <c r="AR19" i="73"/>
  <c r="AX19" i="73" s="1"/>
  <c r="AQ20" i="73"/>
  <c r="AW20" i="73" s="1"/>
  <c r="BB21" i="73"/>
  <c r="N21" i="73" s="1"/>
  <c r="O21" i="73" s="1"/>
  <c r="AT21" i="73"/>
  <c r="AZ21" i="73" s="1"/>
  <c r="AQ21" i="73"/>
  <c r="AW21" i="73" s="1"/>
  <c r="AR22" i="73"/>
  <c r="AX22" i="73" s="1"/>
  <c r="AR23" i="73"/>
  <c r="AX23" i="73" s="1"/>
  <c r="AQ24" i="73"/>
  <c r="AW24" i="73" s="1"/>
  <c r="AR24" i="73"/>
  <c r="AX24" i="73" s="1"/>
  <c r="BB27" i="73"/>
  <c r="N27" i="73" s="1"/>
  <c r="O27" i="73" s="1"/>
  <c r="AT27" i="73"/>
  <c r="AZ27" i="73" s="1"/>
  <c r="AT28" i="73"/>
  <c r="AZ28" i="73" s="1"/>
  <c r="AT29" i="73"/>
  <c r="AZ29" i="73" s="1"/>
  <c r="AR30" i="73"/>
  <c r="AX30" i="73" s="1"/>
  <c r="F9" i="75"/>
  <c r="BG9" i="75"/>
  <c r="BM9" i="75" s="1"/>
  <c r="BF9" i="75"/>
  <c r="BL9" i="75" s="1"/>
  <c r="F11" i="75"/>
  <c r="BD11" i="75"/>
  <c r="BJ11" i="75" s="1"/>
  <c r="BE12" i="75"/>
  <c r="BK12" i="75" s="1"/>
  <c r="BG13" i="75"/>
  <c r="BM13" i="75" s="1"/>
  <c r="BF13" i="75"/>
  <c r="BL13" i="75" s="1"/>
  <c r="F15" i="75"/>
  <c r="BD15" i="75"/>
  <c r="BJ15" i="75" s="1"/>
  <c r="BD16" i="75"/>
  <c r="BJ16" i="75" s="1"/>
  <c r="BD17" i="75"/>
  <c r="BJ17" i="75" s="1"/>
  <c r="BD18" i="75"/>
  <c r="BJ18" i="75" s="1"/>
  <c r="BD19" i="75"/>
  <c r="BJ19" i="75" s="1"/>
  <c r="M21" i="75"/>
  <c r="N21" i="75" s="1"/>
  <c r="BG23" i="75"/>
  <c r="BM23" i="75" s="1"/>
  <c r="BF23" i="75"/>
  <c r="BL23" i="75" s="1"/>
  <c r="BF24" i="75"/>
  <c r="BL24" i="75" s="1"/>
  <c r="BG25" i="75"/>
  <c r="BM25" i="75" s="1"/>
  <c r="BG26" i="75"/>
  <c r="BM26" i="75" s="1"/>
  <c r="BF26" i="75"/>
  <c r="BL26" i="75" s="1"/>
  <c r="BD28" i="75"/>
  <c r="BJ28" i="75" s="1"/>
  <c r="BD42" i="75"/>
  <c r="BJ42" i="75" s="1"/>
  <c r="G8" i="72"/>
  <c r="Q8" i="72" s="1"/>
  <c r="G16" i="72"/>
  <c r="G22" i="72"/>
  <c r="BK22" i="72"/>
  <c r="BQ22" i="72" s="1"/>
  <c r="BG49" i="72"/>
  <c r="BM49" i="72" s="1"/>
  <c r="BK49" i="72"/>
  <c r="BQ49" i="72" s="1"/>
  <c r="G51" i="72"/>
  <c r="AS10" i="73"/>
  <c r="AY10" i="73" s="1"/>
  <c r="AR11" i="73"/>
  <c r="AX11" i="73" s="1"/>
  <c r="AR12" i="73"/>
  <c r="AX12" i="73" s="1"/>
  <c r="BB14" i="73"/>
  <c r="N14" i="73" s="1"/>
  <c r="O14" i="73" s="1"/>
  <c r="BB15" i="73"/>
  <c r="N15" i="73" s="1"/>
  <c r="O15" i="73" s="1"/>
  <c r="AP16" i="73"/>
  <c r="AV16" i="73" s="1"/>
  <c r="AT16" i="73"/>
  <c r="AZ16" i="73" s="1"/>
  <c r="AR16" i="73"/>
  <c r="AX16" i="73" s="1"/>
  <c r="AS20" i="73"/>
  <c r="AY20" i="73" s="1"/>
  <c r="AS24" i="73"/>
  <c r="AY24" i="73" s="1"/>
  <c r="AQ28" i="73"/>
  <c r="AW28" i="73" s="1"/>
  <c r="AR28" i="73"/>
  <c r="AX28" i="73" s="1"/>
  <c r="F8" i="75"/>
  <c r="BD27" i="75"/>
  <c r="BJ27" i="75" s="1"/>
  <c r="BE28" i="75"/>
  <c r="BK28" i="75" s="1"/>
  <c r="F29" i="75"/>
  <c r="BE42" i="75"/>
  <c r="BK42" i="75" s="1"/>
  <c r="AR20" i="73"/>
  <c r="AX20" i="73" s="1"/>
  <c r="BB23" i="73"/>
  <c r="N23" i="73" s="1"/>
  <c r="O23" i="73" s="1"/>
  <c r="P43" i="75"/>
  <c r="E31" i="65" s="1"/>
  <c r="G31" i="65" s="1"/>
  <c r="BE8" i="75"/>
  <c r="BK8" i="75" s="1"/>
  <c r="BD9" i="75"/>
  <c r="BJ9" i="75" s="1"/>
  <c r="BE10" i="75"/>
  <c r="BK10" i="75" s="1"/>
  <c r="BG11" i="75"/>
  <c r="BM11" i="75" s="1"/>
  <c r="BF11" i="75"/>
  <c r="BL11" i="75" s="1"/>
  <c r="F13" i="75"/>
  <c r="BD13" i="75"/>
  <c r="BJ13" i="75" s="1"/>
  <c r="BE14" i="75"/>
  <c r="BK14" i="75" s="1"/>
  <c r="BG15" i="75"/>
  <c r="BM15" i="75" s="1"/>
  <c r="BF15" i="75"/>
  <c r="BL15" i="75" s="1"/>
  <c r="BG16" i="75"/>
  <c r="BM16" i="75" s="1"/>
  <c r="BF16" i="75"/>
  <c r="BL16" i="75" s="1"/>
  <c r="BG17" i="75"/>
  <c r="BM17" i="75" s="1"/>
  <c r="BF17" i="75"/>
  <c r="BL17" i="75" s="1"/>
  <c r="BG18" i="75"/>
  <c r="BM18" i="75" s="1"/>
  <c r="BF18" i="75"/>
  <c r="BL18" i="75" s="1"/>
  <c r="BG19" i="75"/>
  <c r="BM19" i="75" s="1"/>
  <c r="BF19" i="75"/>
  <c r="BL19" i="75" s="1"/>
  <c r="BD23" i="75"/>
  <c r="BJ23" i="75" s="1"/>
  <c r="BE24" i="75"/>
  <c r="BK24" i="75" s="1"/>
  <c r="I8" i="74"/>
  <c r="O8" i="74" s="1"/>
  <c r="P8" i="74" s="1"/>
  <c r="I14" i="74"/>
  <c r="O14" i="74" s="1"/>
  <c r="P14" i="74" s="1"/>
  <c r="I13" i="74"/>
  <c r="O13" i="74" s="1"/>
  <c r="P13" i="74" s="1"/>
  <c r="I15" i="74"/>
  <c r="O15" i="74" s="1"/>
  <c r="P15" i="74" s="1"/>
  <c r="BJ9" i="74"/>
  <c r="BK16" i="74"/>
  <c r="BN16" i="74"/>
  <c r="I24" i="74"/>
  <c r="O24" i="74" s="1"/>
  <c r="P24" i="74" s="1"/>
  <c r="BK24" i="74"/>
  <c r="I27" i="74"/>
  <c r="O27" i="74" s="1"/>
  <c r="P27" i="74" s="1"/>
  <c r="I10" i="74"/>
  <c r="O10" i="74" s="1"/>
  <c r="P10" i="74" s="1"/>
  <c r="I17" i="74"/>
  <c r="O17" i="74" s="1"/>
  <c r="P17" i="74" s="1"/>
  <c r="I23" i="74"/>
  <c r="O23" i="74" s="1"/>
  <c r="P23" i="74" s="1"/>
  <c r="I28" i="74"/>
  <c r="O28" i="74" s="1"/>
  <c r="P28" i="74" s="1"/>
  <c r="I42" i="74"/>
  <c r="O42" i="74" s="1"/>
  <c r="P42" i="74" s="1"/>
  <c r="BN11" i="74"/>
  <c r="BK26" i="74"/>
  <c r="BL10" i="74"/>
  <c r="BN12" i="74"/>
  <c r="BM13" i="74"/>
  <c r="BN13" i="74"/>
  <c r="BK21" i="74"/>
  <c r="BN21" i="74"/>
  <c r="BK22" i="74"/>
  <c r="BL23" i="74"/>
  <c r="BK29" i="74"/>
  <c r="BN29" i="74"/>
  <c r="BK41" i="74"/>
  <c r="BK20" i="74"/>
  <c r="BN20" i="74"/>
  <c r="BK28" i="74"/>
  <c r="BN28" i="74"/>
  <c r="AR10" i="73"/>
  <c r="AX10" i="73" s="1"/>
  <c r="AP10" i="73"/>
  <c r="AV10" i="73" s="1"/>
  <c r="BH11" i="72"/>
  <c r="BN11" i="72" s="1"/>
  <c r="BK12" i="72"/>
  <c r="BQ12" i="72" s="1"/>
  <c r="G20" i="72"/>
  <c r="G23" i="72"/>
  <c r="BK25" i="72"/>
  <c r="BQ25" i="72" s="1"/>
  <c r="BH10" i="72"/>
  <c r="BN10" i="72" s="1"/>
  <c r="BI15" i="72"/>
  <c r="BO15" i="72" s="1"/>
  <c r="BI52" i="72"/>
  <c r="BO52" i="72" s="1"/>
  <c r="BI10" i="72"/>
  <c r="BO10" i="72" s="1"/>
  <c r="G18" i="72"/>
  <c r="BG20" i="72"/>
  <c r="BM20" i="72" s="1"/>
  <c r="BK20" i="72"/>
  <c r="BQ20" i="72" s="1"/>
  <c r="BK21" i="72"/>
  <c r="BQ21" i="72" s="1"/>
  <c r="BJ22" i="72"/>
  <c r="BP22" i="72" s="1"/>
  <c r="G24" i="72"/>
  <c r="BJ51" i="72"/>
  <c r="BP51" i="72" s="1"/>
  <c r="BJ8" i="72"/>
  <c r="BP8" i="72" s="1"/>
  <c r="BK9" i="72"/>
  <c r="BQ9" i="72" s="1"/>
  <c r="BK10" i="72"/>
  <c r="BQ10" i="72" s="1"/>
  <c r="BG13" i="72"/>
  <c r="BM13" i="72" s="1"/>
  <c r="BG16" i="72"/>
  <c r="BM16" i="72" s="1"/>
  <c r="BG18" i="72"/>
  <c r="BM18" i="72" s="1"/>
  <c r="BI18" i="72"/>
  <c r="BO18" i="72" s="1"/>
  <c r="BG21" i="72"/>
  <c r="BM21" i="72" s="1"/>
  <c r="BJ25" i="72"/>
  <c r="BP25" i="72" s="1"/>
  <c r="BG26" i="72"/>
  <c r="BM26" i="72" s="1"/>
  <c r="BI26" i="72"/>
  <c r="BO26" i="72" s="1"/>
  <c r="BI49" i="72"/>
  <c r="BO49" i="72" s="1"/>
  <c r="BK51" i="72"/>
  <c r="BQ51" i="72" s="1"/>
  <c r="BK8" i="72"/>
  <c r="BQ8" i="72" s="1"/>
  <c r="BI8" i="72"/>
  <c r="BO8" i="72" s="1"/>
  <c r="BG9" i="72"/>
  <c r="BM9" i="72" s="1"/>
  <c r="BG10" i="72"/>
  <c r="BM10" i="72" s="1"/>
  <c r="BI11" i="72"/>
  <c r="BO11" i="72" s="1"/>
  <c r="BG12" i="72"/>
  <c r="BM12" i="72" s="1"/>
  <c r="BI21" i="72"/>
  <c r="BO21" i="72" s="1"/>
  <c r="BJ24" i="72"/>
  <c r="BP24" i="72" s="1"/>
  <c r="BH50" i="72"/>
  <c r="BN50" i="72" s="1"/>
  <c r="BJ10" i="72"/>
  <c r="BP10" i="72" s="1"/>
  <c r="BK11" i="72"/>
  <c r="BQ11" i="72" s="1"/>
  <c r="BK14" i="72"/>
  <c r="BQ14" i="72" s="1"/>
  <c r="BJ14" i="72"/>
  <c r="BP14" i="72" s="1"/>
  <c r="BG17" i="72"/>
  <c r="BM17" i="72" s="1"/>
  <c r="BK17" i="72"/>
  <c r="BQ17" i="72" s="1"/>
  <c r="BK18" i="72"/>
  <c r="BQ18" i="72" s="1"/>
  <c r="BK19" i="72"/>
  <c r="BQ19" i="72" s="1"/>
  <c r="BH19" i="72"/>
  <c r="BN19" i="72" s="1"/>
  <c r="BI23" i="72"/>
  <c r="BO23" i="72" s="1"/>
  <c r="BG25" i="72"/>
  <c r="BM25" i="72" s="1"/>
  <c r="BK48" i="72"/>
  <c r="BQ48" i="72" s="1"/>
  <c r="BH48" i="72"/>
  <c r="BN48" i="72" s="1"/>
  <c r="BK50" i="72"/>
  <c r="BQ50" i="72" s="1"/>
  <c r="BJ8" i="74"/>
  <c r="BL9" i="74"/>
  <c r="BN10" i="74"/>
  <c r="I11" i="74"/>
  <c r="O11" i="74" s="1"/>
  <c r="P11" i="74" s="1"/>
  <c r="BK15" i="74"/>
  <c r="BN15" i="74"/>
  <c r="I18" i="74"/>
  <c r="O18" i="74" s="1"/>
  <c r="P18" i="74" s="1"/>
  <c r="BK19" i="74"/>
  <c r="BN19" i="74"/>
  <c r="I25" i="74"/>
  <c r="O25" i="74" s="1"/>
  <c r="P25" i="74" s="1"/>
  <c r="I26" i="74"/>
  <c r="O26" i="74" s="1"/>
  <c r="P26" i="74" s="1"/>
  <c r="BN26" i="74"/>
  <c r="BK27" i="74"/>
  <c r="BN27" i="74"/>
  <c r="BL29" i="74"/>
  <c r="BN9" i="74"/>
  <c r="BK11" i="74"/>
  <c r="BM14" i="74"/>
  <c r="BN14" i="74"/>
  <c r="BK18" i="74"/>
  <c r="BN18" i="74"/>
  <c r="BN24" i="74"/>
  <c r="BK25" i="74"/>
  <c r="BN25" i="74"/>
  <c r="BL27" i="74"/>
  <c r="BK42" i="74"/>
  <c r="BN42" i="74"/>
  <c r="BL8" i="74"/>
  <c r="R9" i="74"/>
  <c r="BM12" i="74"/>
  <c r="BN8" i="74"/>
  <c r="BK10" i="74"/>
  <c r="BL11" i="74"/>
  <c r="I16" i="74"/>
  <c r="O16" i="74" s="1"/>
  <c r="P16" i="74" s="1"/>
  <c r="BK17" i="74"/>
  <c r="BN17" i="74"/>
  <c r="I20" i="74"/>
  <c r="O20" i="74" s="1"/>
  <c r="P20" i="74" s="1"/>
  <c r="I21" i="74"/>
  <c r="O21" i="74" s="1"/>
  <c r="P21" i="74" s="1"/>
  <c r="I22" i="74"/>
  <c r="O22" i="74" s="1"/>
  <c r="P22" i="74" s="1"/>
  <c r="BN22" i="74"/>
  <c r="BK23" i="74"/>
  <c r="BN23" i="74"/>
  <c r="BL25" i="74"/>
  <c r="I29" i="74"/>
  <c r="O29" i="74" s="1"/>
  <c r="P29" i="74" s="1"/>
  <c r="I41" i="74"/>
  <c r="O41" i="74" s="1"/>
  <c r="P41" i="74" s="1"/>
  <c r="BN41" i="74"/>
  <c r="BL42" i="74"/>
  <c r="BC8" i="75"/>
  <c r="BI8" i="75" s="1"/>
  <c r="BC9" i="75"/>
  <c r="BI9" i="75" s="1"/>
  <c r="BC10" i="75"/>
  <c r="BI10" i="75" s="1"/>
  <c r="BC11" i="75"/>
  <c r="BI11" i="75" s="1"/>
  <c r="BC12" i="75"/>
  <c r="BI12" i="75" s="1"/>
  <c r="BC13" i="75"/>
  <c r="BI13" i="75" s="1"/>
  <c r="BC14" i="75"/>
  <c r="BI14" i="75" s="1"/>
  <c r="BC15" i="75"/>
  <c r="BI15" i="75" s="1"/>
  <c r="BC16" i="75"/>
  <c r="BI16" i="75" s="1"/>
  <c r="BC17" i="75"/>
  <c r="BI17" i="75" s="1"/>
  <c r="BC18" i="75"/>
  <c r="BI18" i="75" s="1"/>
  <c r="BC19" i="75"/>
  <c r="BI19" i="75" s="1"/>
  <c r="F20" i="75"/>
  <c r="BD25" i="75"/>
  <c r="BJ25" i="75" s="1"/>
  <c r="BD29" i="75"/>
  <c r="BJ29" i="75" s="1"/>
  <c r="BC20" i="75"/>
  <c r="BI20" i="75" s="1"/>
  <c r="BF20" i="75"/>
  <c r="BL20" i="75" s="1"/>
  <c r="F21" i="75"/>
  <c r="BC21" i="75"/>
  <c r="BI21" i="75" s="1"/>
  <c r="BF21" i="75"/>
  <c r="BL21" i="75" s="1"/>
  <c r="F22" i="75"/>
  <c r="BD22" i="75"/>
  <c r="BJ22" i="75" s="1"/>
  <c r="BE25" i="75"/>
  <c r="BK25" i="75" s="1"/>
  <c r="BD26" i="75"/>
  <c r="BJ26" i="75" s="1"/>
  <c r="BE29" i="75"/>
  <c r="BK29" i="75" s="1"/>
  <c r="F41" i="75"/>
  <c r="BD41" i="75"/>
  <c r="BJ41" i="75" s="1"/>
  <c r="BE20" i="75"/>
  <c r="BK20" i="75" s="1"/>
  <c r="BE21" i="75"/>
  <c r="BK21" i="75" s="1"/>
  <c r="BE22" i="75"/>
  <c r="BK22" i="75" s="1"/>
  <c r="F23" i="75"/>
  <c r="BE26" i="75"/>
  <c r="BK26" i="75" s="1"/>
  <c r="BE41" i="75"/>
  <c r="BK41" i="75" s="1"/>
  <c r="F42" i="75"/>
  <c r="BC22" i="75"/>
  <c r="BI22" i="75" s="1"/>
  <c r="BC23" i="75"/>
  <c r="BI23" i="75" s="1"/>
  <c r="BC24" i="75"/>
  <c r="BI24" i="75" s="1"/>
  <c r="BC25" i="75"/>
  <c r="BI25" i="75" s="1"/>
  <c r="BC26" i="75"/>
  <c r="BI26" i="75" s="1"/>
  <c r="BC27" i="75"/>
  <c r="BI27" i="75" s="1"/>
  <c r="BC28" i="75"/>
  <c r="BI28" i="75" s="1"/>
  <c r="BC29" i="75"/>
  <c r="BI29" i="75" s="1"/>
  <c r="BC41" i="75"/>
  <c r="BI41" i="75" s="1"/>
  <c r="BC42" i="75"/>
  <c r="BI42" i="75" s="1"/>
  <c r="BL12" i="74"/>
  <c r="BJ13" i="74"/>
  <c r="BL14" i="74"/>
  <c r="BL15" i="74"/>
  <c r="BL17" i="74"/>
  <c r="BL19" i="74"/>
  <c r="BL21" i="74"/>
  <c r="BM9" i="74"/>
  <c r="BM10" i="74"/>
  <c r="BM11" i="74"/>
  <c r="BK13" i="74"/>
  <c r="BJ16" i="74"/>
  <c r="BM16" i="74"/>
  <c r="BJ18" i="74"/>
  <c r="BM18" i="74"/>
  <c r="BJ20" i="74"/>
  <c r="BM20" i="74"/>
  <c r="BJ22" i="74"/>
  <c r="BM22" i="74"/>
  <c r="BJ24" i="74"/>
  <c r="BM24" i="74"/>
  <c r="BJ26" i="74"/>
  <c r="BM26" i="74"/>
  <c r="BJ28" i="74"/>
  <c r="BM28" i="74"/>
  <c r="BJ41" i="74"/>
  <c r="BM41" i="74"/>
  <c r="BK8" i="74"/>
  <c r="BK9" i="74"/>
  <c r="BM8" i="74"/>
  <c r="BJ10" i="74"/>
  <c r="BJ11" i="74"/>
  <c r="BJ12" i="74"/>
  <c r="BL13" i="74"/>
  <c r="BJ14" i="74"/>
  <c r="BL16" i="74"/>
  <c r="BL18" i="74"/>
  <c r="BL20" i="74"/>
  <c r="BL22" i="74"/>
  <c r="BL24" i="74"/>
  <c r="BL26" i="74"/>
  <c r="BL28" i="74"/>
  <c r="BL41" i="74"/>
  <c r="BK12" i="74"/>
  <c r="BK14" i="74"/>
  <c r="BJ15" i="74"/>
  <c r="BM15" i="74"/>
  <c r="BJ17" i="74"/>
  <c r="BM17" i="74"/>
  <c r="BJ19" i="74"/>
  <c r="BM19" i="74"/>
  <c r="BJ21" i="74"/>
  <c r="BM21" i="74"/>
  <c r="BJ23" i="74"/>
  <c r="BM23" i="74"/>
  <c r="BJ25" i="74"/>
  <c r="BM25" i="74"/>
  <c r="BJ27" i="74"/>
  <c r="BM27" i="74"/>
  <c r="BJ29" i="74"/>
  <c r="BM29" i="74"/>
  <c r="BJ42" i="74"/>
  <c r="BM42" i="74"/>
  <c r="AQ19" i="73"/>
  <c r="AW19" i="73" s="1"/>
  <c r="AP19" i="73"/>
  <c r="AV19" i="73" s="1"/>
  <c r="BB10" i="73"/>
  <c r="N10" i="73" s="1"/>
  <c r="O10" i="73" s="1"/>
  <c r="AQ12" i="73"/>
  <c r="AW12" i="73" s="1"/>
  <c r="BB13" i="73"/>
  <c r="N13" i="73" s="1"/>
  <c r="O13" i="73" s="1"/>
  <c r="AT15" i="73"/>
  <c r="AZ15" i="73" s="1"/>
  <c r="BB18" i="73"/>
  <c r="N18" i="73" s="1"/>
  <c r="O18" i="73" s="1"/>
  <c r="AP18" i="73"/>
  <c r="AV18" i="73" s="1"/>
  <c r="AS19" i="73"/>
  <c r="AY19" i="73" s="1"/>
  <c r="BB20" i="73"/>
  <c r="N20" i="73" s="1"/>
  <c r="O20" i="73" s="1"/>
  <c r="AP21" i="73"/>
  <c r="AV21" i="73" s="1"/>
  <c r="AS22" i="73"/>
  <c r="AY22" i="73" s="1"/>
  <c r="AQ23" i="73"/>
  <c r="AW23" i="73" s="1"/>
  <c r="AP23" i="73"/>
  <c r="AV23" i="73" s="1"/>
  <c r="AP24" i="73"/>
  <c r="AV24" i="73" s="1"/>
  <c r="AS28" i="73"/>
  <c r="AY28" i="73" s="1"/>
  <c r="BB29" i="73"/>
  <c r="N29" i="73" s="1"/>
  <c r="O29" i="73" s="1"/>
  <c r="AT30" i="73"/>
  <c r="AZ30" i="73" s="1"/>
  <c r="Q55" i="73"/>
  <c r="E33" i="65" s="1"/>
  <c r="G33" i="65" s="1"/>
  <c r="AQ11" i="73"/>
  <c r="AW11" i="73" s="1"/>
  <c r="AP11" i="73"/>
  <c r="AV11" i="73" s="1"/>
  <c r="AP12" i="73"/>
  <c r="AV12" i="73" s="1"/>
  <c r="BB17" i="73"/>
  <c r="N17" i="73" s="1"/>
  <c r="O17" i="73" s="1"/>
  <c r="AT19" i="73"/>
  <c r="AZ19" i="73" s="1"/>
  <c r="BB22" i="73"/>
  <c r="N22" i="73" s="1"/>
  <c r="O22" i="73" s="1"/>
  <c r="AP22" i="73"/>
  <c r="AV22" i="73" s="1"/>
  <c r="BB24" i="73"/>
  <c r="N24" i="73" s="1"/>
  <c r="O24" i="73" s="1"/>
  <c r="AP25" i="73"/>
  <c r="AV25" i="73" s="1"/>
  <c r="AS26" i="73"/>
  <c r="AY26" i="73" s="1"/>
  <c r="AQ27" i="73"/>
  <c r="AW27" i="73" s="1"/>
  <c r="AP27" i="73"/>
  <c r="AV27" i="73" s="1"/>
  <c r="AP28" i="73"/>
  <c r="AV28" i="73" s="1"/>
  <c r="AP14" i="73"/>
  <c r="AV14" i="73" s="1"/>
  <c r="BB12" i="73"/>
  <c r="N12" i="73" s="1"/>
  <c r="O12" i="73" s="1"/>
  <c r="AS14" i="73"/>
  <c r="AY14" i="73" s="1"/>
  <c r="AQ15" i="73"/>
  <c r="AW15" i="73" s="1"/>
  <c r="AP15" i="73"/>
  <c r="AV15" i="73" s="1"/>
  <c r="BB26" i="73"/>
  <c r="N26" i="73" s="1"/>
  <c r="O26" i="73" s="1"/>
  <c r="AP26" i="73"/>
  <c r="AV26" i="73" s="1"/>
  <c r="AS27" i="73"/>
  <c r="AY27" i="73" s="1"/>
  <c r="BB28" i="73"/>
  <c r="N28" i="73" s="1"/>
  <c r="O28" i="73" s="1"/>
  <c r="AQ30" i="73"/>
  <c r="AW30" i="73" s="1"/>
  <c r="AP30" i="73"/>
  <c r="AV30" i="73" s="1"/>
  <c r="AQ10" i="73"/>
  <c r="AW10" i="73" s="1"/>
  <c r="AS12" i="73"/>
  <c r="AY12" i="73" s="1"/>
  <c r="AQ14" i="73"/>
  <c r="AW14" i="73" s="1"/>
  <c r="AQ18" i="73"/>
  <c r="AW18" i="73" s="1"/>
  <c r="AQ22" i="73"/>
  <c r="AW22" i="73" s="1"/>
  <c r="AQ26" i="73"/>
  <c r="AW26" i="73" s="1"/>
  <c r="AS13" i="73"/>
  <c r="AY13" i="73" s="1"/>
  <c r="AS17" i="73"/>
  <c r="AY17" i="73" s="1"/>
  <c r="AS21" i="73"/>
  <c r="AY21" i="73" s="1"/>
  <c r="AS25" i="73"/>
  <c r="AY25" i="73" s="1"/>
  <c r="AS29" i="73"/>
  <c r="AY29" i="73" s="1"/>
  <c r="BJ13" i="72"/>
  <c r="BP13" i="72" s="1"/>
  <c r="BH24" i="72"/>
  <c r="BN24" i="72" s="1"/>
  <c r="BJ16" i="72"/>
  <c r="BP16" i="72" s="1"/>
  <c r="BH16" i="72"/>
  <c r="BN16" i="72" s="1"/>
  <c r="BI24" i="72"/>
  <c r="BO24" i="72" s="1"/>
  <c r="BK24" i="72"/>
  <c r="BQ24" i="72" s="1"/>
  <c r="BH26" i="72"/>
  <c r="BN26" i="72" s="1"/>
  <c r="BH8" i="72"/>
  <c r="BN8" i="72" s="1"/>
  <c r="BJ9" i="72"/>
  <c r="BP9" i="72" s="1"/>
  <c r="G13" i="72"/>
  <c r="BK13" i="72"/>
  <c r="BQ13" i="72" s="1"/>
  <c r="BI16" i="72"/>
  <c r="BO16" i="72" s="1"/>
  <c r="BK16" i="72"/>
  <c r="BQ16" i="72" s="1"/>
  <c r="BH18" i="72"/>
  <c r="BN18" i="72" s="1"/>
  <c r="BI20" i="72"/>
  <c r="BO20" i="72" s="1"/>
  <c r="BH21" i="72"/>
  <c r="BN21" i="72" s="1"/>
  <c r="BI22" i="72"/>
  <c r="BO22" i="72" s="1"/>
  <c r="BG22" i="72"/>
  <c r="BM22" i="72" s="1"/>
  <c r="G26" i="72"/>
  <c r="BJ26" i="72"/>
  <c r="BP26" i="72" s="1"/>
  <c r="BI48" i="72"/>
  <c r="BO48" i="72" s="1"/>
  <c r="BG23" i="72"/>
  <c r="BM23" i="72" s="1"/>
  <c r="BH23" i="72"/>
  <c r="BN23" i="72" s="1"/>
  <c r="BJ23" i="72"/>
  <c r="BP23" i="72" s="1"/>
  <c r="BI13" i="72"/>
  <c r="BO13" i="72" s="1"/>
  <c r="BG15" i="72"/>
  <c r="BM15" i="72" s="1"/>
  <c r="BH15" i="72"/>
  <c r="BN15" i="72" s="1"/>
  <c r="BJ15" i="72"/>
  <c r="BP15" i="72" s="1"/>
  <c r="BJ17" i="72"/>
  <c r="BP17" i="72" s="1"/>
  <c r="T53" i="72"/>
  <c r="E26" i="65" s="1"/>
  <c r="G26" i="65" s="1"/>
  <c r="BG8" i="72"/>
  <c r="BM8" i="72" s="1"/>
  <c r="BI12" i="72"/>
  <c r="BO12" i="72" s="1"/>
  <c r="BH13" i="72"/>
  <c r="BN13" i="72" s="1"/>
  <c r="BI14" i="72"/>
  <c r="BO14" i="72" s="1"/>
  <c r="BG14" i="72"/>
  <c r="BM14" i="72" s="1"/>
  <c r="BJ18" i="72"/>
  <c r="BP18" i="72" s="1"/>
  <c r="BI19" i="72"/>
  <c r="BO19" i="72" s="1"/>
  <c r="BJ21" i="72"/>
  <c r="BP21" i="72" s="1"/>
  <c r="BG24" i="72"/>
  <c r="BM24" i="72" s="1"/>
  <c r="BK26" i="72"/>
  <c r="BQ26" i="72" s="1"/>
  <c r="BG50" i="72"/>
  <c r="BM50" i="72" s="1"/>
  <c r="BJ50" i="72"/>
  <c r="BP50" i="72" s="1"/>
  <c r="BI51" i="72"/>
  <c r="BO51" i="72" s="1"/>
  <c r="BG51" i="72"/>
  <c r="BM51" i="72" s="1"/>
  <c r="BG52" i="72"/>
  <c r="BM52" i="72" s="1"/>
  <c r="BH52" i="72"/>
  <c r="BN52" i="72" s="1"/>
  <c r="BJ52" i="72"/>
  <c r="BP52" i="72" s="1"/>
  <c r="BI50" i="72"/>
  <c r="BO50" i="72" s="1"/>
  <c r="BH9" i="72"/>
  <c r="BN9" i="72" s="1"/>
  <c r="BG11" i="72"/>
  <c r="BM11" i="72" s="1"/>
  <c r="BK15" i="72"/>
  <c r="BQ15" i="72" s="1"/>
  <c r="BH17" i="72"/>
  <c r="BN17" i="72" s="1"/>
  <c r="BG19" i="72"/>
  <c r="BM19" i="72" s="1"/>
  <c r="BK23" i="72"/>
  <c r="BQ23" i="72" s="1"/>
  <c r="BH25" i="72"/>
  <c r="BN25" i="72" s="1"/>
  <c r="BG48" i="72"/>
  <c r="BM48" i="72" s="1"/>
  <c r="BK52" i="72"/>
  <c r="BQ52" i="72" s="1"/>
  <c r="G50" i="72"/>
  <c r="G9" i="72"/>
  <c r="BI9" i="72"/>
  <c r="BO9" i="72" s="1"/>
  <c r="BJ11" i="72"/>
  <c r="BP11" i="72" s="1"/>
  <c r="BJ12" i="72"/>
  <c r="BP12" i="72" s="1"/>
  <c r="BH12" i="72"/>
  <c r="BN12" i="72" s="1"/>
  <c r="BH14" i="72"/>
  <c r="BN14" i="72" s="1"/>
  <c r="G17" i="72"/>
  <c r="BI17" i="72"/>
  <c r="BO17" i="72" s="1"/>
  <c r="BJ19" i="72"/>
  <c r="BP19" i="72" s="1"/>
  <c r="BJ20" i="72"/>
  <c r="BP20" i="72" s="1"/>
  <c r="BH20" i="72"/>
  <c r="BN20" i="72" s="1"/>
  <c r="BH22" i="72"/>
  <c r="BN22" i="72" s="1"/>
  <c r="G25" i="72"/>
  <c r="BI25" i="72"/>
  <c r="BO25" i="72" s="1"/>
  <c r="BJ48" i="72"/>
  <c r="BP48" i="72" s="1"/>
  <c r="BJ49" i="72"/>
  <c r="BP49" i="72" s="1"/>
  <c r="BH49" i="72"/>
  <c r="BN49" i="72" s="1"/>
  <c r="BH51" i="72"/>
  <c r="BN51" i="72" s="1"/>
  <c r="C34" i="65" l="1"/>
  <c r="K35" i="65" s="1"/>
  <c r="D14" i="65"/>
  <c r="F14" i="65" s="1"/>
  <c r="D29" i="65"/>
  <c r="F29" i="65" s="1"/>
  <c r="R8" i="72"/>
  <c r="R53" i="72" s="1"/>
  <c r="L36" i="65"/>
  <c r="AV55" i="73"/>
  <c r="AV56" i="73" s="1"/>
  <c r="BL43" i="74"/>
  <c r="BL44" i="74" s="1"/>
  <c r="BF44" i="74" s="1"/>
  <c r="BK43" i="74"/>
  <c r="BK44" i="74" s="1"/>
  <c r="BE44" i="74" s="1"/>
  <c r="BN43" i="74"/>
  <c r="BJ43" i="74"/>
  <c r="BJ44" i="74" s="1"/>
  <c r="BD44" i="74" s="1"/>
  <c r="BM43" i="74"/>
  <c r="BM44" i="74" s="1"/>
  <c r="BG44" i="74" s="1"/>
  <c r="N43" i="75"/>
  <c r="D31" i="65" s="1"/>
  <c r="F31" i="65" s="1"/>
  <c r="BM43" i="75"/>
  <c r="AX55" i="73"/>
  <c r="AZ55" i="73"/>
  <c r="BK43" i="75"/>
  <c r="AY55" i="73"/>
  <c r="BL43" i="75"/>
  <c r="R43" i="74"/>
  <c r="E32" i="65" s="1"/>
  <c r="BQ53" i="72"/>
  <c r="BO53" i="72"/>
  <c r="BP53" i="72"/>
  <c r="P43" i="74"/>
  <c r="D32" i="65" s="1"/>
  <c r="BI43" i="75"/>
  <c r="BJ43" i="75"/>
  <c r="O55" i="73"/>
  <c r="D33" i="65" s="1"/>
  <c r="F33" i="65" s="1"/>
  <c r="AW55" i="73"/>
  <c r="AW56" i="73" s="1"/>
  <c r="BN53" i="72"/>
  <c r="BM53" i="72"/>
  <c r="O12" i="45"/>
  <c r="O13" i="45"/>
  <c r="O14" i="45"/>
  <c r="O15" i="45"/>
  <c r="O16" i="45"/>
  <c r="O17" i="45"/>
  <c r="O18" i="45"/>
  <c r="O19" i="45"/>
  <c r="O20" i="45"/>
  <c r="O21" i="45"/>
  <c r="O22" i="45"/>
  <c r="O23" i="45"/>
  <c r="O24" i="45"/>
  <c r="O25" i="45"/>
  <c r="O26" i="45"/>
  <c r="O27" i="45"/>
  <c r="O28" i="45"/>
  <c r="O29" i="45"/>
  <c r="O30" i="45"/>
  <c r="O31" i="45"/>
  <c r="O32" i="45"/>
  <c r="O33" i="45"/>
  <c r="O34" i="45"/>
  <c r="O35" i="45"/>
  <c r="O36" i="45"/>
  <c r="O37" i="45"/>
  <c r="O38" i="45"/>
  <c r="O39" i="45"/>
  <c r="O40" i="45"/>
  <c r="O41" i="45"/>
  <c r="O42" i="45"/>
  <c r="O11" i="45"/>
  <c r="L12" i="45"/>
  <c r="L13" i="45"/>
  <c r="L14" i="45"/>
  <c r="L15" i="45"/>
  <c r="L16" i="45"/>
  <c r="L17" i="45"/>
  <c r="L18" i="45"/>
  <c r="L19" i="45"/>
  <c r="L20" i="45"/>
  <c r="L21" i="45"/>
  <c r="L22" i="45"/>
  <c r="L23" i="45"/>
  <c r="L24" i="45"/>
  <c r="L25" i="45"/>
  <c r="L26" i="45"/>
  <c r="L27" i="45"/>
  <c r="L28" i="45"/>
  <c r="L29" i="45"/>
  <c r="L30" i="45"/>
  <c r="L31" i="45"/>
  <c r="L32" i="45"/>
  <c r="L33" i="45"/>
  <c r="L34" i="45"/>
  <c r="L35" i="45"/>
  <c r="L36" i="45"/>
  <c r="L37" i="45"/>
  <c r="L38" i="45"/>
  <c r="L39" i="45"/>
  <c r="L40" i="45"/>
  <c r="L41" i="45"/>
  <c r="L42" i="45"/>
  <c r="L11" i="45"/>
  <c r="J36" i="65" l="1"/>
  <c r="D26" i="65"/>
  <c r="F32" i="65"/>
  <c r="BN44" i="74"/>
  <c r="BH44" i="74" s="1"/>
  <c r="M32" i="65"/>
  <c r="I32" i="65"/>
  <c r="N32" i="65" s="1"/>
  <c r="J33" i="65"/>
  <c r="O33" i="65" s="1"/>
  <c r="K32" i="65"/>
  <c r="P32" i="65" s="1"/>
  <c r="L31" i="65"/>
  <c r="Q31" i="65" s="1"/>
  <c r="BK44" i="75"/>
  <c r="BE44" i="75" s="1"/>
  <c r="M31" i="65"/>
  <c r="R31" i="65" s="1"/>
  <c r="BM44" i="75"/>
  <c r="BG44" i="75" s="1"/>
  <c r="I31" i="65"/>
  <c r="N31" i="65" s="1"/>
  <c r="BJ44" i="75"/>
  <c r="BD44" i="75" s="1"/>
  <c r="K31" i="65"/>
  <c r="P31" i="65" s="1"/>
  <c r="BL44" i="75"/>
  <c r="BF44" i="75" s="1"/>
  <c r="M33" i="65"/>
  <c r="R33" i="65" s="1"/>
  <c r="AZ56" i="73"/>
  <c r="AT56" i="73" s="1"/>
  <c r="J31" i="65"/>
  <c r="O31" i="65" s="1"/>
  <c r="BI44" i="75"/>
  <c r="BC44" i="75" s="1"/>
  <c r="AY56" i="73"/>
  <c r="AS56" i="73" s="1"/>
  <c r="AX56" i="73"/>
  <c r="AR56" i="73" s="1"/>
  <c r="L26" i="65"/>
  <c r="Q26" i="65" s="1"/>
  <c r="BO54" i="72"/>
  <c r="BI54" i="72" s="1"/>
  <c r="J26" i="65"/>
  <c r="O26" i="65" s="1"/>
  <c r="BM54" i="72"/>
  <c r="BG54" i="72" s="1"/>
  <c r="M26" i="65"/>
  <c r="R26" i="65" s="1"/>
  <c r="BQ54" i="72"/>
  <c r="BK54" i="72" s="1"/>
  <c r="I26" i="65"/>
  <c r="N26" i="65" s="1"/>
  <c r="BN54" i="72"/>
  <c r="BH54" i="72" s="1"/>
  <c r="K26" i="65"/>
  <c r="BP54" i="72"/>
  <c r="BJ54" i="72" s="1"/>
  <c r="J32" i="65"/>
  <c r="O32" i="65" s="1"/>
  <c r="L32" i="65"/>
  <c r="Q32" i="65" s="1"/>
  <c r="E34" i="65"/>
  <c r="G34" i="65" s="1"/>
  <c r="G32" i="65"/>
  <c r="L33" i="65"/>
  <c r="Q33" i="65" s="1"/>
  <c r="K33" i="65"/>
  <c r="P33" i="65" s="1"/>
  <c r="AP56" i="73"/>
  <c r="AQ56" i="73"/>
  <c r="I33" i="65"/>
  <c r="BA29" i="71"/>
  <c r="L29" i="71" s="1"/>
  <c r="F26" i="65" l="1"/>
  <c r="D34" i="65"/>
  <c r="D35" i="65" s="1"/>
  <c r="P26" i="65"/>
  <c r="J34" i="65"/>
  <c r="I34" i="65"/>
  <c r="N33" i="65"/>
  <c r="K34" i="65"/>
  <c r="P34" i="65" s="1"/>
  <c r="L34" i="65"/>
  <c r="Q34" i="65" s="1"/>
  <c r="F34" i="65" l="1"/>
  <c r="I39" i="65"/>
  <c r="O34" i="65"/>
  <c r="N34" i="65"/>
  <c r="I35" i="65"/>
  <c r="I38" i="65" s="1"/>
  <c r="I37" i="65" l="1"/>
  <c r="N35" i="65"/>
  <c r="C2" i="63"/>
  <c r="C1" i="63"/>
  <c r="C2" i="62"/>
  <c r="C1" i="62"/>
  <c r="C2" i="61"/>
  <c r="C1" i="61"/>
  <c r="C2" i="60"/>
  <c r="C1" i="60"/>
  <c r="C2" i="59"/>
  <c r="C1" i="59"/>
  <c r="C2" i="58"/>
  <c r="C1" i="58"/>
  <c r="C2" i="57"/>
  <c r="C1" i="57"/>
  <c r="C2" i="56"/>
  <c r="C1" i="56"/>
  <c r="C2" i="55"/>
  <c r="C1" i="55"/>
  <c r="C2" i="64"/>
  <c r="C1" i="64"/>
  <c r="C2" i="54"/>
  <c r="C1" i="54"/>
  <c r="C2" i="53"/>
  <c r="C1" i="53"/>
  <c r="C2" i="52"/>
  <c r="C1" i="52"/>
  <c r="C2" i="51"/>
  <c r="C1" i="51"/>
  <c r="C2" i="50"/>
  <c r="C1" i="50"/>
  <c r="C2" i="49"/>
  <c r="C1" i="49"/>
  <c r="C2" i="40"/>
  <c r="C1" i="40"/>
  <c r="E2" i="66"/>
  <c r="J6" i="65" s="1"/>
  <c r="E1" i="66"/>
  <c r="I6" i="65" s="1"/>
  <c r="E2" i="67"/>
  <c r="E1" i="67"/>
  <c r="F2" i="71"/>
  <c r="B3" i="63"/>
  <c r="B2" i="63"/>
  <c r="B1" i="63"/>
  <c r="B3" i="62"/>
  <c r="B2" i="62"/>
  <c r="B1" i="62"/>
  <c r="B3" i="61"/>
  <c r="B2" i="61"/>
  <c r="B1" i="61"/>
  <c r="B3" i="60"/>
  <c r="B2" i="60"/>
  <c r="B1" i="60"/>
  <c r="B3" i="59"/>
  <c r="B2" i="59"/>
  <c r="B1" i="59"/>
  <c r="B3" i="58"/>
  <c r="B2" i="58"/>
  <c r="B1" i="58"/>
  <c r="B3" i="57"/>
  <c r="B2" i="57"/>
  <c r="B1" i="57"/>
  <c r="B3" i="56"/>
  <c r="B2" i="56"/>
  <c r="B1" i="56"/>
  <c r="B3" i="55"/>
  <c r="B2" i="55"/>
  <c r="B1" i="55"/>
  <c r="B3" i="64"/>
  <c r="B2" i="64"/>
  <c r="B1" i="64"/>
  <c r="B3" i="54"/>
  <c r="B2" i="54"/>
  <c r="B1" i="54"/>
  <c r="B3" i="53"/>
  <c r="B2" i="53"/>
  <c r="B1" i="53"/>
  <c r="B3" i="52"/>
  <c r="B2" i="52"/>
  <c r="B1" i="52"/>
  <c r="B3" i="51"/>
  <c r="B2" i="51"/>
  <c r="B1" i="51"/>
  <c r="B3" i="50"/>
  <c r="B2" i="50"/>
  <c r="B1" i="50"/>
  <c r="B3" i="49"/>
  <c r="B2" i="49"/>
  <c r="B1" i="49"/>
  <c r="B2" i="40"/>
  <c r="B3" i="40"/>
  <c r="B1" i="40"/>
  <c r="C3" i="66"/>
  <c r="E6" i="65" s="1"/>
  <c r="C2" i="66"/>
  <c r="C6" i="65" s="1"/>
  <c r="C1" i="66"/>
  <c r="B6" i="65" s="1"/>
  <c r="C3" i="67"/>
  <c r="C2" i="67"/>
  <c r="C1" i="67"/>
  <c r="F1" i="71"/>
  <c r="C2" i="71"/>
  <c r="C3" i="71"/>
  <c r="C1" i="71"/>
  <c r="D32" i="46" l="1"/>
  <c r="E32" i="46"/>
  <c r="D33" i="46"/>
  <c r="E33" i="46"/>
  <c r="D34" i="46"/>
  <c r="E34" i="46"/>
  <c r="D35" i="46"/>
  <c r="E35" i="46"/>
  <c r="D36" i="46"/>
  <c r="E36" i="46"/>
  <c r="D37" i="46"/>
  <c r="E37" i="46"/>
  <c r="D38" i="46"/>
  <c r="E38" i="46"/>
  <c r="D39" i="46"/>
  <c r="E39" i="46"/>
  <c r="D40" i="46"/>
  <c r="E40" i="46"/>
  <c r="D41" i="46"/>
  <c r="E41" i="46"/>
  <c r="D42" i="46"/>
  <c r="E42" i="46"/>
  <c r="D43" i="46"/>
  <c r="E43" i="46"/>
  <c r="D44" i="46"/>
  <c r="E44" i="46"/>
  <c r="D45" i="46"/>
  <c r="E45" i="46"/>
  <c r="D46" i="46"/>
  <c r="E46" i="46"/>
  <c r="D47" i="46"/>
  <c r="E47" i="46"/>
  <c r="D48" i="46"/>
  <c r="E48" i="46"/>
  <c r="D49" i="46"/>
  <c r="E49" i="46"/>
  <c r="D50" i="46"/>
  <c r="E50" i="46"/>
  <c r="D51" i="46"/>
  <c r="E51" i="46"/>
  <c r="D52" i="46"/>
  <c r="E52" i="46"/>
  <c r="D53" i="46"/>
  <c r="E53" i="46"/>
  <c r="E31" i="46"/>
  <c r="D8" i="46"/>
  <c r="E8" i="46"/>
  <c r="F8" i="46"/>
  <c r="D9" i="46"/>
  <c r="E9" i="46"/>
  <c r="F9" i="46"/>
  <c r="D10" i="46"/>
  <c r="E10" i="46"/>
  <c r="F10" i="46"/>
  <c r="D11" i="46"/>
  <c r="E11" i="46"/>
  <c r="F11" i="46"/>
  <c r="D12" i="46"/>
  <c r="E12" i="46"/>
  <c r="F12" i="46"/>
  <c r="D13" i="46"/>
  <c r="E13" i="46"/>
  <c r="F13" i="46"/>
  <c r="D14" i="46"/>
  <c r="E14" i="46"/>
  <c r="F14" i="46"/>
  <c r="D15" i="46"/>
  <c r="E15" i="46"/>
  <c r="F15" i="46"/>
  <c r="D16" i="46"/>
  <c r="E16" i="46"/>
  <c r="F16" i="46"/>
  <c r="D17" i="46"/>
  <c r="E17" i="46"/>
  <c r="F17" i="46"/>
  <c r="D18" i="46"/>
  <c r="E18" i="46"/>
  <c r="F18" i="46"/>
  <c r="D19" i="46"/>
  <c r="E19" i="46"/>
  <c r="F19" i="46"/>
  <c r="D20" i="46"/>
  <c r="E20" i="46"/>
  <c r="F20" i="46"/>
  <c r="D21" i="46"/>
  <c r="E21" i="46"/>
  <c r="F21" i="46"/>
  <c r="D22" i="46"/>
  <c r="E22" i="46"/>
  <c r="F22" i="46"/>
  <c r="D23" i="46"/>
  <c r="E23" i="46"/>
  <c r="F23" i="46"/>
  <c r="D24" i="46"/>
  <c r="E24" i="46"/>
  <c r="F24" i="46"/>
  <c r="D25" i="46"/>
  <c r="E25" i="46"/>
  <c r="F25" i="46"/>
  <c r="D26" i="46"/>
  <c r="E26" i="46"/>
  <c r="F26" i="46"/>
  <c r="E7" i="46"/>
  <c r="K43" i="46"/>
  <c r="K44" i="46"/>
  <c r="K45" i="46"/>
  <c r="K46" i="46"/>
  <c r="K47" i="46"/>
  <c r="K48" i="46"/>
  <c r="K49" i="46"/>
  <c r="K50" i="46"/>
  <c r="K51" i="46"/>
  <c r="K52" i="46"/>
  <c r="K53" i="46"/>
  <c r="K32" i="46"/>
  <c r="K33" i="46"/>
  <c r="K34" i="46"/>
  <c r="K35" i="46"/>
  <c r="K36" i="46"/>
  <c r="K37" i="46"/>
  <c r="K38" i="46"/>
  <c r="K39" i="46"/>
  <c r="K40" i="46"/>
  <c r="K41" i="46"/>
  <c r="K42" i="46"/>
  <c r="K31" i="46"/>
  <c r="K8" i="46"/>
  <c r="K9" i="46"/>
  <c r="K10" i="46"/>
  <c r="K11" i="46"/>
  <c r="K12" i="46"/>
  <c r="K13" i="46"/>
  <c r="K14" i="46"/>
  <c r="K15" i="46"/>
  <c r="K16" i="46"/>
  <c r="K17" i="46"/>
  <c r="K18" i="46"/>
  <c r="K19" i="46"/>
  <c r="K20" i="46"/>
  <c r="K21" i="46"/>
  <c r="K22" i="46"/>
  <c r="K23" i="46"/>
  <c r="K24" i="46"/>
  <c r="K25" i="46"/>
  <c r="K26" i="46"/>
  <c r="K7" i="46"/>
  <c r="AB9" i="41"/>
  <c r="AB10" i="41"/>
  <c r="AB11" i="41"/>
  <c r="AB12" i="41"/>
  <c r="AB13" i="41"/>
  <c r="AB14" i="41"/>
  <c r="AB15" i="41"/>
  <c r="AB16" i="41"/>
  <c r="AB17" i="41"/>
  <c r="AB18" i="41"/>
  <c r="AB19" i="41"/>
  <c r="AB20" i="41"/>
  <c r="AB21" i="41"/>
  <c r="AB22" i="41"/>
  <c r="AB23" i="41"/>
  <c r="AB24" i="41"/>
  <c r="AB25" i="41"/>
  <c r="AB26" i="41"/>
  <c r="AB48" i="41"/>
  <c r="AB49" i="41"/>
  <c r="AB50" i="41"/>
  <c r="AB51" i="41"/>
  <c r="AB52" i="41"/>
  <c r="BG41" i="66" l="1"/>
  <c r="BM41" i="66" s="1"/>
  <c r="BE29" i="66"/>
  <c r="BK29" i="66" s="1"/>
  <c r="BG26" i="66"/>
  <c r="BM26" i="66" s="1"/>
  <c r="BE25" i="66"/>
  <c r="BK25" i="66" s="1"/>
  <c r="BG22" i="66"/>
  <c r="BM22" i="66" s="1"/>
  <c r="BE21" i="66"/>
  <c r="BK21" i="66" s="1"/>
  <c r="BG18" i="66"/>
  <c r="BM18" i="66" s="1"/>
  <c r="BE17" i="66"/>
  <c r="BK17" i="66" s="1"/>
  <c r="BG14" i="66"/>
  <c r="BM14" i="66" s="1"/>
  <c r="BE13" i="66"/>
  <c r="BK13" i="66" s="1"/>
  <c r="BG10" i="66"/>
  <c r="BM10" i="66" s="1"/>
  <c r="BE9" i="66"/>
  <c r="BK9" i="66" s="1"/>
  <c r="BG29" i="66"/>
  <c r="BM29" i="66" s="1"/>
  <c r="BE28" i="66"/>
  <c r="BK28" i="66" s="1"/>
  <c r="BG25" i="66"/>
  <c r="BM25" i="66" s="1"/>
  <c r="BE24" i="66"/>
  <c r="BK24" i="66" s="1"/>
  <c r="BG21" i="66"/>
  <c r="BM21" i="66" s="1"/>
  <c r="BE20" i="66"/>
  <c r="BK20" i="66" s="1"/>
  <c r="BG17" i="66"/>
  <c r="BM17" i="66" s="1"/>
  <c r="BE16" i="66"/>
  <c r="BK16" i="66" s="1"/>
  <c r="BG13" i="66"/>
  <c r="BM13" i="66" s="1"/>
  <c r="BE12" i="66"/>
  <c r="BK12" i="66" s="1"/>
  <c r="BG9" i="66"/>
  <c r="BM9" i="66" s="1"/>
  <c r="AT27" i="71"/>
  <c r="AZ27" i="71" s="1"/>
  <c r="AR26" i="71"/>
  <c r="AX26" i="71" s="1"/>
  <c r="AT23" i="71"/>
  <c r="AZ23" i="71" s="1"/>
  <c r="AR22" i="71"/>
  <c r="AX22" i="71" s="1"/>
  <c r="AT19" i="71"/>
  <c r="AZ19" i="71" s="1"/>
  <c r="AR18" i="71"/>
  <c r="AX18" i="71" s="1"/>
  <c r="AT15" i="71"/>
  <c r="AZ15" i="71" s="1"/>
  <c r="AR14" i="71"/>
  <c r="AX14" i="71" s="1"/>
  <c r="AT11" i="71"/>
  <c r="AZ11" i="71" s="1"/>
  <c r="BG8" i="66"/>
  <c r="BM8" i="66" s="1"/>
  <c r="BG42" i="66"/>
  <c r="BM42" i="66" s="1"/>
  <c r="BE41" i="66"/>
  <c r="BK41" i="66" s="1"/>
  <c r="BG27" i="66"/>
  <c r="BM27" i="66" s="1"/>
  <c r="BE26" i="66"/>
  <c r="BK26" i="66" s="1"/>
  <c r="BG23" i="66"/>
  <c r="BM23" i="66" s="1"/>
  <c r="BE22" i="66"/>
  <c r="BK22" i="66" s="1"/>
  <c r="BG19" i="66"/>
  <c r="BM19" i="66" s="1"/>
  <c r="BE18" i="66"/>
  <c r="BK18" i="66" s="1"/>
  <c r="BG15" i="66"/>
  <c r="BM15" i="66" s="1"/>
  <c r="BE14" i="66"/>
  <c r="BK14" i="66" s="1"/>
  <c r="BG11" i="66"/>
  <c r="BM11" i="66" s="1"/>
  <c r="BE10" i="66"/>
  <c r="BK10" i="66" s="1"/>
  <c r="AT29" i="71"/>
  <c r="AZ29" i="71" s="1"/>
  <c r="AR28" i="71"/>
  <c r="AX28" i="71" s="1"/>
  <c r="AT25" i="71"/>
  <c r="AZ25" i="71" s="1"/>
  <c r="AR24" i="71"/>
  <c r="AX24" i="71" s="1"/>
  <c r="AT21" i="71"/>
  <c r="AZ21" i="71" s="1"/>
  <c r="AR20" i="71"/>
  <c r="AX20" i="71" s="1"/>
  <c r="AT17" i="71"/>
  <c r="AZ17" i="71" s="1"/>
  <c r="AR16" i="71"/>
  <c r="AX16" i="71" s="1"/>
  <c r="AT13" i="71"/>
  <c r="AZ13" i="71" s="1"/>
  <c r="AR12" i="71"/>
  <c r="AX12" i="71" s="1"/>
  <c r="BE42" i="66"/>
  <c r="BK42" i="66" s="1"/>
  <c r="BG28" i="66"/>
  <c r="BM28" i="66" s="1"/>
  <c r="BE27" i="66"/>
  <c r="BK27" i="66" s="1"/>
  <c r="BG24" i="66"/>
  <c r="BM24" i="66" s="1"/>
  <c r="BE23" i="66"/>
  <c r="BK23" i="66" s="1"/>
  <c r="BG20" i="66"/>
  <c r="BM20" i="66" s="1"/>
  <c r="BE19" i="66"/>
  <c r="BK19" i="66" s="1"/>
  <c r="BG16" i="66"/>
  <c r="BM16" i="66" s="1"/>
  <c r="BE15" i="66"/>
  <c r="BK15" i="66" s="1"/>
  <c r="BG12" i="66"/>
  <c r="BM12" i="66" s="1"/>
  <c r="BE11" i="66"/>
  <c r="BK11" i="66" s="1"/>
  <c r="AT10" i="71"/>
  <c r="AZ10" i="71" s="1"/>
  <c r="AR29" i="71"/>
  <c r="AX29" i="71" s="1"/>
  <c r="AT26" i="71"/>
  <c r="AZ26" i="71" s="1"/>
  <c r="AR25" i="71"/>
  <c r="AX25" i="71" s="1"/>
  <c r="AT22" i="71"/>
  <c r="AZ22" i="71" s="1"/>
  <c r="AR21" i="71"/>
  <c r="AX21" i="71" s="1"/>
  <c r="AT18" i="71"/>
  <c r="AZ18" i="71" s="1"/>
  <c r="AR17" i="71"/>
  <c r="AX17" i="71" s="1"/>
  <c r="AT14" i="71"/>
  <c r="AZ14" i="71" s="1"/>
  <c r="AR13" i="71"/>
  <c r="AX13" i="71" s="1"/>
  <c r="BG49" i="41"/>
  <c r="BM49" i="41" s="1"/>
  <c r="BG24" i="41"/>
  <c r="BM24" i="41" s="1"/>
  <c r="BG20" i="41"/>
  <c r="BM20" i="41" s="1"/>
  <c r="BG16" i="41"/>
  <c r="BM16" i="41" s="1"/>
  <c r="BG12" i="41"/>
  <c r="BM12" i="41" s="1"/>
  <c r="AS29" i="71"/>
  <c r="AY29" i="71" s="1"/>
  <c r="AP29" i="71"/>
  <c r="AV29" i="71" s="1"/>
  <c r="AQ29" i="71"/>
  <c r="AW29" i="71" s="1"/>
  <c r="AS25" i="71"/>
  <c r="AY25" i="71" s="1"/>
  <c r="AP25" i="71"/>
  <c r="AV25" i="71" s="1"/>
  <c r="AQ25" i="71"/>
  <c r="AW25" i="71" s="1"/>
  <c r="AS21" i="71"/>
  <c r="AY21" i="71" s="1"/>
  <c r="AP21" i="71"/>
  <c r="AV21" i="71" s="1"/>
  <c r="AQ21" i="71"/>
  <c r="AW21" i="71" s="1"/>
  <c r="AS17" i="71"/>
  <c r="AY17" i="71" s="1"/>
  <c r="AP17" i="71"/>
  <c r="AV17" i="71" s="1"/>
  <c r="AQ17" i="71"/>
  <c r="AW17" i="71" s="1"/>
  <c r="AS13" i="71"/>
  <c r="AY13" i="71" s="1"/>
  <c r="AP13" i="71"/>
  <c r="AV13" i="71" s="1"/>
  <c r="AQ13" i="71"/>
  <c r="AW13" i="71" s="1"/>
  <c r="BK8" i="67"/>
  <c r="BK41" i="67"/>
  <c r="BK26" i="67"/>
  <c r="BK22" i="67"/>
  <c r="BK18" i="67"/>
  <c r="BK14" i="67"/>
  <c r="BK10" i="67"/>
  <c r="BD8" i="66"/>
  <c r="BJ8" i="66" s="1"/>
  <c r="BC28" i="66"/>
  <c r="BI28" i="66" s="1"/>
  <c r="BF28" i="66"/>
  <c r="BL28" i="66" s="1"/>
  <c r="BD28" i="66"/>
  <c r="BJ28" i="66" s="1"/>
  <c r="BC24" i="66"/>
  <c r="BI24" i="66" s="1"/>
  <c r="BD24" i="66"/>
  <c r="BJ24" i="66" s="1"/>
  <c r="BF24" i="66"/>
  <c r="BL24" i="66" s="1"/>
  <c r="BD20" i="66"/>
  <c r="BJ20" i="66" s="1"/>
  <c r="BF20" i="66"/>
  <c r="BL20" i="66" s="1"/>
  <c r="BC20" i="66"/>
  <c r="BI20" i="66" s="1"/>
  <c r="BF16" i="66"/>
  <c r="BL16" i="66" s="1"/>
  <c r="BD16" i="66"/>
  <c r="BJ16" i="66" s="1"/>
  <c r="BC16" i="66"/>
  <c r="BI16" i="66" s="1"/>
  <c r="BF12" i="66"/>
  <c r="BL12" i="66" s="1"/>
  <c r="BD12" i="66"/>
  <c r="BJ12" i="66" s="1"/>
  <c r="BC12" i="66"/>
  <c r="BI12" i="66" s="1"/>
  <c r="AT28" i="71"/>
  <c r="AZ28" i="71" s="1"/>
  <c r="AR27" i="71"/>
  <c r="AX27" i="71" s="1"/>
  <c r="AS26" i="71"/>
  <c r="AY26" i="71" s="1"/>
  <c r="AP26" i="71"/>
  <c r="AV26" i="71" s="1"/>
  <c r="AQ26" i="71"/>
  <c r="AW26" i="71" s="1"/>
  <c r="AT24" i="71"/>
  <c r="AZ24" i="71" s="1"/>
  <c r="AR23" i="71"/>
  <c r="AX23" i="71" s="1"/>
  <c r="AS22" i="71"/>
  <c r="AY22" i="71" s="1"/>
  <c r="AP22" i="71"/>
  <c r="AV22" i="71" s="1"/>
  <c r="AQ22" i="71"/>
  <c r="AW22" i="71" s="1"/>
  <c r="AT20" i="71"/>
  <c r="AZ20" i="71" s="1"/>
  <c r="AR19" i="71"/>
  <c r="AX19" i="71" s="1"/>
  <c r="AS18" i="71"/>
  <c r="AY18" i="71" s="1"/>
  <c r="AP18" i="71"/>
  <c r="AV18" i="71" s="1"/>
  <c r="AQ18" i="71"/>
  <c r="AW18" i="71" s="1"/>
  <c r="AT16" i="71"/>
  <c r="AZ16" i="71" s="1"/>
  <c r="AR15" i="71"/>
  <c r="AX15" i="71" s="1"/>
  <c r="AS14" i="71"/>
  <c r="AY14" i="71" s="1"/>
  <c r="AP14" i="71"/>
  <c r="AV14" i="71" s="1"/>
  <c r="AQ14" i="71"/>
  <c r="AW14" i="71" s="1"/>
  <c r="AT12" i="71"/>
  <c r="AZ12" i="71" s="1"/>
  <c r="AR11" i="71"/>
  <c r="AX11" i="71" s="1"/>
  <c r="BK42" i="67"/>
  <c r="BK27" i="67"/>
  <c r="BK23" i="67"/>
  <c r="BK19" i="67"/>
  <c r="BK15" i="67"/>
  <c r="BK11" i="67"/>
  <c r="BD29" i="66"/>
  <c r="BJ29" i="66" s="1"/>
  <c r="BC29" i="66"/>
  <c r="BI29" i="66" s="1"/>
  <c r="BF29" i="66"/>
  <c r="BL29" i="66" s="1"/>
  <c r="BD25" i="66"/>
  <c r="BJ25" i="66" s="1"/>
  <c r="BF25" i="66"/>
  <c r="BL25" i="66" s="1"/>
  <c r="BC25" i="66"/>
  <c r="BI25" i="66" s="1"/>
  <c r="BD21" i="66"/>
  <c r="BJ21" i="66" s="1"/>
  <c r="BF21" i="66"/>
  <c r="BL21" i="66" s="1"/>
  <c r="BC21" i="66"/>
  <c r="BI21" i="66" s="1"/>
  <c r="BC17" i="66"/>
  <c r="BI17" i="66" s="1"/>
  <c r="BF17" i="66"/>
  <c r="BL17" i="66" s="1"/>
  <c r="BD17" i="66"/>
  <c r="BJ17" i="66" s="1"/>
  <c r="BC13" i="66"/>
  <c r="BI13" i="66" s="1"/>
  <c r="BF13" i="66"/>
  <c r="BL13" i="66" s="1"/>
  <c r="BD13" i="66"/>
  <c r="BJ13" i="66" s="1"/>
  <c r="BC9" i="66"/>
  <c r="BI9" i="66" s="1"/>
  <c r="BF9" i="66"/>
  <c r="BL9" i="66" s="1"/>
  <c r="BD9" i="66"/>
  <c r="BJ9" i="66" s="1"/>
  <c r="AQ10" i="71"/>
  <c r="AW10" i="71" s="1"/>
  <c r="AQ27" i="71"/>
  <c r="AW27" i="71" s="1"/>
  <c r="AS27" i="71"/>
  <c r="AY27" i="71" s="1"/>
  <c r="AP27" i="71"/>
  <c r="AV27" i="71" s="1"/>
  <c r="AQ23" i="71"/>
  <c r="AW23" i="71" s="1"/>
  <c r="AS23" i="71"/>
  <c r="AY23" i="71" s="1"/>
  <c r="AP23" i="71"/>
  <c r="AV23" i="71" s="1"/>
  <c r="AQ19" i="71"/>
  <c r="AW19" i="71" s="1"/>
  <c r="AS19" i="71"/>
  <c r="AY19" i="71" s="1"/>
  <c r="AP19" i="71"/>
  <c r="AV19" i="71" s="1"/>
  <c r="AQ15" i="71"/>
  <c r="AW15" i="71" s="1"/>
  <c r="AS15" i="71"/>
  <c r="AY15" i="71" s="1"/>
  <c r="AP15" i="71"/>
  <c r="AV15" i="71" s="1"/>
  <c r="AQ11" i="71"/>
  <c r="AW11" i="71" s="1"/>
  <c r="AS11" i="71"/>
  <c r="AY11" i="71" s="1"/>
  <c r="AP11" i="71"/>
  <c r="AV11" i="71" s="1"/>
  <c r="BK39" i="67"/>
  <c r="BK24" i="67"/>
  <c r="BK20" i="67"/>
  <c r="BK16" i="67"/>
  <c r="BK12" i="67"/>
  <c r="BD41" i="66"/>
  <c r="BJ41" i="66" s="1"/>
  <c r="BC41" i="66"/>
  <c r="BI41" i="66" s="1"/>
  <c r="BF41" i="66"/>
  <c r="BL41" i="66" s="1"/>
  <c r="BD26" i="66"/>
  <c r="BJ26" i="66" s="1"/>
  <c r="BC26" i="66"/>
  <c r="BI26" i="66" s="1"/>
  <c r="BF26" i="66"/>
  <c r="BL26" i="66" s="1"/>
  <c r="BF22" i="66"/>
  <c r="BL22" i="66" s="1"/>
  <c r="BC22" i="66"/>
  <c r="BI22" i="66" s="1"/>
  <c r="BD22" i="66"/>
  <c r="BJ22" i="66" s="1"/>
  <c r="BD18" i="66"/>
  <c r="BJ18" i="66" s="1"/>
  <c r="BC18" i="66"/>
  <c r="BI18" i="66" s="1"/>
  <c r="BF18" i="66"/>
  <c r="BL18" i="66" s="1"/>
  <c r="BD14" i="66"/>
  <c r="BJ14" i="66" s="1"/>
  <c r="BC14" i="66"/>
  <c r="BI14" i="66" s="1"/>
  <c r="BF14" i="66"/>
  <c r="BL14" i="66" s="1"/>
  <c r="BD10" i="66"/>
  <c r="BJ10" i="66" s="1"/>
  <c r="BC10" i="66"/>
  <c r="BI10" i="66" s="1"/>
  <c r="BF10" i="66"/>
  <c r="BL10" i="66" s="1"/>
  <c r="AP28" i="71"/>
  <c r="AV28" i="71" s="1"/>
  <c r="AQ28" i="71"/>
  <c r="AW28" i="71" s="1"/>
  <c r="AS28" i="71"/>
  <c r="AY28" i="71" s="1"/>
  <c r="AP24" i="71"/>
  <c r="AV24" i="71" s="1"/>
  <c r="AQ24" i="71"/>
  <c r="AW24" i="71" s="1"/>
  <c r="AS24" i="71"/>
  <c r="AY24" i="71" s="1"/>
  <c r="AP20" i="71"/>
  <c r="AV20" i="71" s="1"/>
  <c r="AQ20" i="71"/>
  <c r="AW20" i="71" s="1"/>
  <c r="AS20" i="71"/>
  <c r="AY20" i="71" s="1"/>
  <c r="AP16" i="71"/>
  <c r="AV16" i="71" s="1"/>
  <c r="AQ16" i="71"/>
  <c r="AW16" i="71" s="1"/>
  <c r="AS16" i="71"/>
  <c r="AY16" i="71" s="1"/>
  <c r="AP12" i="71"/>
  <c r="AV12" i="71" s="1"/>
  <c r="AQ12" i="71"/>
  <c r="AW12" i="71" s="1"/>
  <c r="AS12" i="71"/>
  <c r="AY12" i="71" s="1"/>
  <c r="BK40" i="67"/>
  <c r="BK25" i="67"/>
  <c r="BK21" i="67"/>
  <c r="BK17" i="67"/>
  <c r="BK13" i="67"/>
  <c r="BK9" i="67"/>
  <c r="BF42" i="66"/>
  <c r="BL42" i="66" s="1"/>
  <c r="BD42" i="66"/>
  <c r="BJ42" i="66" s="1"/>
  <c r="BC42" i="66"/>
  <c r="BI42" i="66" s="1"/>
  <c r="BF27" i="66"/>
  <c r="BL27" i="66" s="1"/>
  <c r="BD27" i="66"/>
  <c r="BJ27" i="66" s="1"/>
  <c r="BC27" i="66"/>
  <c r="BI27" i="66" s="1"/>
  <c r="BF23" i="66"/>
  <c r="BL23" i="66" s="1"/>
  <c r="BC23" i="66"/>
  <c r="BI23" i="66" s="1"/>
  <c r="BD23" i="66"/>
  <c r="BJ23" i="66" s="1"/>
  <c r="BD19" i="66"/>
  <c r="BJ19" i="66" s="1"/>
  <c r="BC19" i="66"/>
  <c r="BI19" i="66" s="1"/>
  <c r="BF19" i="66"/>
  <c r="BL19" i="66" s="1"/>
  <c r="BD15" i="66"/>
  <c r="BJ15" i="66" s="1"/>
  <c r="BC15" i="66"/>
  <c r="BI15" i="66" s="1"/>
  <c r="BF15" i="66"/>
  <c r="BL15" i="66" s="1"/>
  <c r="BD11" i="66"/>
  <c r="BJ11" i="66" s="1"/>
  <c r="BC11" i="66"/>
  <c r="BI11" i="66" s="1"/>
  <c r="BF11" i="66"/>
  <c r="BL11" i="66" s="1"/>
  <c r="BG50" i="41"/>
  <c r="BM50" i="41" s="1"/>
  <c r="BG25" i="41"/>
  <c r="BM25" i="41" s="1"/>
  <c r="BG21" i="41"/>
  <c r="BM21" i="41" s="1"/>
  <c r="BG17" i="41"/>
  <c r="BM17" i="41" s="1"/>
  <c r="BG9" i="41"/>
  <c r="BM9" i="41" s="1"/>
  <c r="BG13" i="41"/>
  <c r="BM13" i="41" s="1"/>
  <c r="BG51" i="41"/>
  <c r="BM51" i="41" s="1"/>
  <c r="BG26" i="41"/>
  <c r="BM26" i="41" s="1"/>
  <c r="BG22" i="41"/>
  <c r="BM22" i="41" s="1"/>
  <c r="BG18" i="41"/>
  <c r="BM18" i="41" s="1"/>
  <c r="BG14" i="41"/>
  <c r="BM14" i="41" s="1"/>
  <c r="BG10" i="41"/>
  <c r="BM10" i="41" s="1"/>
  <c r="BG52" i="41"/>
  <c r="BM52" i="41" s="1"/>
  <c r="BG48" i="41"/>
  <c r="BM48" i="41" s="1"/>
  <c r="BG23" i="41"/>
  <c r="BM23" i="41" s="1"/>
  <c r="BG19" i="41"/>
  <c r="BM19" i="41" s="1"/>
  <c r="BG15" i="41"/>
  <c r="BM15" i="41" s="1"/>
  <c r="BG11" i="41"/>
  <c r="BM11" i="41" s="1"/>
  <c r="BN18" i="67"/>
  <c r="BL18" i="67"/>
  <c r="BO17" i="67"/>
  <c r="BO41" i="67"/>
  <c r="BN39" i="67"/>
  <c r="BL39" i="67"/>
  <c r="BM25" i="67"/>
  <c r="BO22" i="67"/>
  <c r="BN20" i="67"/>
  <c r="BL20" i="67"/>
  <c r="BM17" i="67"/>
  <c r="BO14" i="67"/>
  <c r="BN12" i="67"/>
  <c r="BL12" i="67"/>
  <c r="BN8" i="67"/>
  <c r="BL23" i="67"/>
  <c r="BN23" i="67"/>
  <c r="BM20" i="67"/>
  <c r="BM41" i="67"/>
  <c r="BO27" i="67"/>
  <c r="BL25" i="67"/>
  <c r="BN25" i="67"/>
  <c r="BM22" i="67"/>
  <c r="BO19" i="67"/>
  <c r="BL17" i="67"/>
  <c r="BN17" i="67"/>
  <c r="BM14" i="67"/>
  <c r="BO11" i="67"/>
  <c r="BO39" i="67"/>
  <c r="BM23" i="67"/>
  <c r="BM15" i="67"/>
  <c r="BO8" i="67"/>
  <c r="BM39" i="67"/>
  <c r="BN41" i="67"/>
  <c r="BL41" i="67"/>
  <c r="BM27" i="67"/>
  <c r="BO24" i="67"/>
  <c r="BN22" i="67"/>
  <c r="BL22" i="67"/>
  <c r="BM19" i="67"/>
  <c r="BO16" i="67"/>
  <c r="BL14" i="67"/>
  <c r="BN14" i="67"/>
  <c r="BM11" i="67"/>
  <c r="BO20" i="67"/>
  <c r="BO25" i="67"/>
  <c r="BO40" i="67"/>
  <c r="BL27" i="67"/>
  <c r="BN27" i="67"/>
  <c r="BM24" i="67"/>
  <c r="BO21" i="67"/>
  <c r="BL19" i="67"/>
  <c r="BN19" i="67"/>
  <c r="BM16" i="67"/>
  <c r="BO13" i="67"/>
  <c r="BL11" i="67"/>
  <c r="BN11" i="67"/>
  <c r="BM42" i="67"/>
  <c r="BN10" i="67"/>
  <c r="BL10" i="67"/>
  <c r="BL15" i="67"/>
  <c r="BN15" i="67"/>
  <c r="BM40" i="67"/>
  <c r="BO26" i="67"/>
  <c r="BN24" i="67"/>
  <c r="BL24" i="67"/>
  <c r="BM21" i="67"/>
  <c r="BO18" i="67"/>
  <c r="BN16" i="67"/>
  <c r="BL16" i="67"/>
  <c r="BM13" i="67"/>
  <c r="BO10" i="67"/>
  <c r="BN26" i="67"/>
  <c r="BL26" i="67"/>
  <c r="BO12" i="67"/>
  <c r="BL42" i="67"/>
  <c r="BN42" i="67"/>
  <c r="BM12" i="67"/>
  <c r="BO42" i="67"/>
  <c r="BL40" i="67"/>
  <c r="BN40" i="67"/>
  <c r="BM26" i="67"/>
  <c r="BO23" i="67"/>
  <c r="BL21" i="67"/>
  <c r="BN21" i="67"/>
  <c r="BM18" i="67"/>
  <c r="BO15" i="67"/>
  <c r="BL13" i="67"/>
  <c r="BN13" i="67"/>
  <c r="BM10" i="67"/>
  <c r="BO9" i="67"/>
  <c r="BM9" i="67"/>
  <c r="BN9" i="67"/>
  <c r="BL9" i="67"/>
  <c r="BM8" i="67"/>
  <c r="BL8" i="67"/>
  <c r="F7" i="46"/>
  <c r="F32" i="46"/>
  <c r="F33" i="46"/>
  <c r="F34" i="46"/>
  <c r="F35" i="46"/>
  <c r="F36" i="46"/>
  <c r="F37" i="46"/>
  <c r="F38" i="46"/>
  <c r="F39" i="46"/>
  <c r="F40" i="46"/>
  <c r="F41" i="46"/>
  <c r="F42" i="46"/>
  <c r="F43" i="46"/>
  <c r="F44" i="46"/>
  <c r="F45" i="46"/>
  <c r="F46" i="46"/>
  <c r="F47" i="46"/>
  <c r="F48" i="46"/>
  <c r="F49" i="46"/>
  <c r="F50" i="46"/>
  <c r="F51" i="46"/>
  <c r="F52" i="46"/>
  <c r="F53" i="46"/>
  <c r="F31" i="46"/>
  <c r="D31" i="46"/>
  <c r="D7" i="46"/>
  <c r="H7" i="46" s="1"/>
  <c r="AB8" i="41"/>
  <c r="BJ8" i="41" s="1"/>
  <c r="BN43" i="67" l="1"/>
  <c r="BJ43" i="66"/>
  <c r="BM43" i="66"/>
  <c r="BM43" i="67"/>
  <c r="BO43" i="67"/>
  <c r="BK43" i="67"/>
  <c r="BL43" i="67"/>
  <c r="AR10" i="71"/>
  <c r="AX10" i="71" s="1"/>
  <c r="BC8" i="66"/>
  <c r="BI8" i="66" s="1"/>
  <c r="BI43" i="66" s="1"/>
  <c r="AS10" i="71"/>
  <c r="AY10" i="71" s="1"/>
  <c r="BE8" i="66"/>
  <c r="BK8" i="66" s="1"/>
  <c r="BK43" i="66" s="1"/>
  <c r="AP10" i="71"/>
  <c r="BF8" i="66"/>
  <c r="BL8" i="66" s="1"/>
  <c r="BL43" i="66" s="1"/>
  <c r="BP8" i="41"/>
  <c r="BG8" i="41"/>
  <c r="BM8" i="41" s="1"/>
  <c r="I15" i="65" l="1"/>
  <c r="AV10" i="71"/>
  <c r="AV55" i="71" s="1"/>
  <c r="M15" i="65"/>
  <c r="R15" i="65" s="1"/>
  <c r="J16" i="65"/>
  <c r="J15" i="65"/>
  <c r="K15" i="65"/>
  <c r="P15" i="65" s="1"/>
  <c r="L15" i="65"/>
  <c r="BM53" i="41"/>
  <c r="J17" i="65" l="1"/>
  <c r="O17" i="65" s="1"/>
  <c r="J11" i="65"/>
  <c r="G7" i="46"/>
  <c r="J18" i="65" l="1"/>
  <c r="J43" i="65" s="1"/>
  <c r="E10" i="71"/>
  <c r="G10" i="71"/>
  <c r="I10" i="71"/>
  <c r="Q10" i="71"/>
  <c r="S10" i="71"/>
  <c r="BA10" i="71"/>
  <c r="L10" i="71" s="1"/>
  <c r="E11" i="71"/>
  <c r="G11" i="71"/>
  <c r="I11" i="71"/>
  <c r="Q11" i="71"/>
  <c r="S11" i="71"/>
  <c r="BA11" i="71"/>
  <c r="L11" i="71" s="1"/>
  <c r="E12" i="71"/>
  <c r="G12" i="71"/>
  <c r="I12" i="71"/>
  <c r="Q12" i="71"/>
  <c r="S12" i="71"/>
  <c r="BA12" i="71"/>
  <c r="L12" i="71" s="1"/>
  <c r="E13" i="71"/>
  <c r="G13" i="71"/>
  <c r="I13" i="71"/>
  <c r="Q13" i="71"/>
  <c r="S13" i="71"/>
  <c r="BA13" i="71"/>
  <c r="L13" i="71" s="1"/>
  <c r="E14" i="71"/>
  <c r="G14" i="71"/>
  <c r="I14" i="71"/>
  <c r="Q14" i="71"/>
  <c r="S14" i="71"/>
  <c r="BA14" i="71"/>
  <c r="L14" i="71" s="1"/>
  <c r="E15" i="71"/>
  <c r="G15" i="71"/>
  <c r="I15" i="71"/>
  <c r="Q15" i="71"/>
  <c r="S15" i="71"/>
  <c r="BA15" i="71"/>
  <c r="L15" i="71" s="1"/>
  <c r="E16" i="71"/>
  <c r="G16" i="71"/>
  <c r="I16" i="71"/>
  <c r="Q16" i="71"/>
  <c r="S16" i="71"/>
  <c r="BA16" i="71"/>
  <c r="L16" i="71" s="1"/>
  <c r="E17" i="71"/>
  <c r="G17" i="71"/>
  <c r="I17" i="71"/>
  <c r="Q17" i="71"/>
  <c r="S17" i="71"/>
  <c r="BA17" i="71"/>
  <c r="L17" i="71" s="1"/>
  <c r="E18" i="71"/>
  <c r="G18" i="71"/>
  <c r="I18" i="71"/>
  <c r="Q18" i="71"/>
  <c r="S18" i="71"/>
  <c r="BA18" i="71"/>
  <c r="L18" i="71" s="1"/>
  <c r="E19" i="71"/>
  <c r="G19" i="71"/>
  <c r="I19" i="71"/>
  <c r="Q19" i="71"/>
  <c r="S19" i="71"/>
  <c r="BA19" i="71"/>
  <c r="L19" i="71" s="1"/>
  <c r="E20" i="71"/>
  <c r="G20" i="71"/>
  <c r="I20" i="71"/>
  <c r="Q20" i="71"/>
  <c r="S20" i="71"/>
  <c r="BA20" i="71"/>
  <c r="L20" i="71" s="1"/>
  <c r="E21" i="71"/>
  <c r="G21" i="71"/>
  <c r="I21" i="71"/>
  <c r="Q21" i="71"/>
  <c r="S21" i="71"/>
  <c r="BA21" i="71"/>
  <c r="L21" i="71" s="1"/>
  <c r="E22" i="71"/>
  <c r="G22" i="71"/>
  <c r="I22" i="71"/>
  <c r="Q22" i="71"/>
  <c r="S22" i="71"/>
  <c r="BA22" i="71"/>
  <c r="L22" i="71" s="1"/>
  <c r="E23" i="71"/>
  <c r="G23" i="71"/>
  <c r="I23" i="71"/>
  <c r="Q23" i="71"/>
  <c r="S23" i="71"/>
  <c r="BA23" i="71"/>
  <c r="L23" i="71" s="1"/>
  <c r="E24" i="71"/>
  <c r="G24" i="71"/>
  <c r="I24" i="71"/>
  <c r="Q24" i="71"/>
  <c r="S24" i="71"/>
  <c r="BA24" i="71"/>
  <c r="L24" i="71" s="1"/>
  <c r="E25" i="71"/>
  <c r="G25" i="71"/>
  <c r="I25" i="71"/>
  <c r="Q25" i="71"/>
  <c r="S25" i="71"/>
  <c r="BA25" i="71"/>
  <c r="L25" i="71" s="1"/>
  <c r="E26" i="71"/>
  <c r="G26" i="71"/>
  <c r="I26" i="71"/>
  <c r="Q26" i="71"/>
  <c r="S26" i="71"/>
  <c r="BA26" i="71"/>
  <c r="L26" i="71" s="1"/>
  <c r="E27" i="71"/>
  <c r="G27" i="71"/>
  <c r="I27" i="71"/>
  <c r="Q27" i="71"/>
  <c r="S27" i="71"/>
  <c r="BA27" i="71"/>
  <c r="L27" i="71" s="1"/>
  <c r="E28" i="71"/>
  <c r="G28" i="71"/>
  <c r="I28" i="71"/>
  <c r="Q28" i="71"/>
  <c r="S28" i="71"/>
  <c r="BA28" i="71"/>
  <c r="L28" i="71" s="1"/>
  <c r="E29" i="71"/>
  <c r="G29" i="71"/>
  <c r="I29" i="71"/>
  <c r="Q29" i="71"/>
  <c r="S29" i="71"/>
  <c r="B55" i="71"/>
  <c r="AV56" i="71" s="1"/>
  <c r="D61" i="71"/>
  <c r="AP56" i="71" l="1"/>
  <c r="C17" i="65"/>
  <c r="BB29" i="71"/>
  <c r="N29" i="71" s="1"/>
  <c r="O29" i="71" s="1"/>
  <c r="BJ12" i="41"/>
  <c r="BP12" i="41" s="1"/>
  <c r="BJ48" i="41"/>
  <c r="BP48" i="41" s="1"/>
  <c r="BJ23" i="41"/>
  <c r="BP23" i="41" s="1"/>
  <c r="BJ19" i="41"/>
  <c r="BP19" i="41" s="1"/>
  <c r="BJ15" i="41"/>
  <c r="BP15" i="41" s="1"/>
  <c r="BJ10" i="41"/>
  <c r="BP10" i="41" s="1"/>
  <c r="BJ50" i="41"/>
  <c r="BP50" i="41" s="1"/>
  <c r="BJ25" i="41"/>
  <c r="BP25" i="41" s="1"/>
  <c r="BJ21" i="41"/>
  <c r="BP21" i="41" s="1"/>
  <c r="BJ17" i="41"/>
  <c r="BP17" i="41" s="1"/>
  <c r="BJ13" i="41"/>
  <c r="BP13" i="41" s="1"/>
  <c r="BJ11" i="41"/>
  <c r="BP11" i="41" s="1"/>
  <c r="BJ9" i="41"/>
  <c r="BP9" i="41" s="1"/>
  <c r="BJ51" i="41"/>
  <c r="BP51" i="41" s="1"/>
  <c r="BJ49" i="41"/>
  <c r="BP49" i="41" s="1"/>
  <c r="BJ26" i="41"/>
  <c r="BP26" i="41" s="1"/>
  <c r="BJ24" i="41"/>
  <c r="BP24" i="41" s="1"/>
  <c r="BJ22" i="41"/>
  <c r="BP22" i="41" s="1"/>
  <c r="BJ20" i="41"/>
  <c r="BP20" i="41" s="1"/>
  <c r="BJ18" i="41"/>
  <c r="BP18" i="41" s="1"/>
  <c r="BJ16" i="41"/>
  <c r="BP16" i="41" s="1"/>
  <c r="BJ14" i="41"/>
  <c r="BP14" i="41" s="1"/>
  <c r="BJ52" i="41"/>
  <c r="BP52" i="41" s="1"/>
  <c r="BK10" i="41"/>
  <c r="BQ10" i="41" s="1"/>
  <c r="BB27" i="71"/>
  <c r="N27" i="71" s="1"/>
  <c r="O27" i="71" s="1"/>
  <c r="BB24" i="71"/>
  <c r="N24" i="71" s="1"/>
  <c r="O24" i="71" s="1"/>
  <c r="BB20" i="71"/>
  <c r="N20" i="71" s="1"/>
  <c r="O20" i="71" s="1"/>
  <c r="BB16" i="71"/>
  <c r="N16" i="71" s="1"/>
  <c r="O16" i="71" s="1"/>
  <c r="BB12" i="71"/>
  <c r="N12" i="71" s="1"/>
  <c r="O12" i="71" s="1"/>
  <c r="BB10" i="71"/>
  <c r="N10" i="71" s="1"/>
  <c r="O10" i="71" s="1"/>
  <c r="BB26" i="71"/>
  <c r="N26" i="71" s="1"/>
  <c r="O26" i="71" s="1"/>
  <c r="BB22" i="71"/>
  <c r="N22" i="71" s="1"/>
  <c r="O22" i="71" s="1"/>
  <c r="BB18" i="71"/>
  <c r="N18" i="71" s="1"/>
  <c r="O18" i="71" s="1"/>
  <c r="BB14" i="71"/>
  <c r="N14" i="71" s="1"/>
  <c r="O14" i="71" s="1"/>
  <c r="Q55" i="71"/>
  <c r="BB28" i="71"/>
  <c r="N28" i="71" s="1"/>
  <c r="O28" i="71" s="1"/>
  <c r="BB25" i="71"/>
  <c r="N25" i="71" s="1"/>
  <c r="O25" i="71" s="1"/>
  <c r="BB23" i="71"/>
  <c r="N23" i="71" s="1"/>
  <c r="O23" i="71" s="1"/>
  <c r="BB21" i="71"/>
  <c r="N21" i="71" s="1"/>
  <c r="O21" i="71" s="1"/>
  <c r="BB19" i="71"/>
  <c r="N19" i="71" s="1"/>
  <c r="O19" i="71" s="1"/>
  <c r="BB17" i="71"/>
  <c r="N17" i="71" s="1"/>
  <c r="O17" i="71" s="1"/>
  <c r="BB15" i="71"/>
  <c r="N15" i="71" s="1"/>
  <c r="O15" i="71" s="1"/>
  <c r="BB13" i="71"/>
  <c r="N13" i="71" s="1"/>
  <c r="O13" i="71" s="1"/>
  <c r="BB11" i="71"/>
  <c r="N11" i="71" s="1"/>
  <c r="O11" i="71" s="1"/>
  <c r="BP53" i="41" l="1"/>
  <c r="O55" i="71"/>
  <c r="D17" i="65" s="1"/>
  <c r="F17" i="65" s="1"/>
  <c r="AZ55" i="71"/>
  <c r="AZ56" i="71" s="1"/>
  <c r="AX55" i="71"/>
  <c r="AX56" i="71" s="1"/>
  <c r="O8" i="66"/>
  <c r="K11" i="65" l="1"/>
  <c r="AR56" i="71"/>
  <c r="L17" i="65"/>
  <c r="Q17" i="65" s="1"/>
  <c r="AT56" i="71"/>
  <c r="M17" i="65"/>
  <c r="R17" i="65" s="1"/>
  <c r="AW55" i="71"/>
  <c r="AW56" i="71" s="1"/>
  <c r="AY55" i="71"/>
  <c r="K17" i="65" l="1"/>
  <c r="P17" i="65" s="1"/>
  <c r="AY56" i="71"/>
  <c r="AS56" i="71" s="1"/>
  <c r="AQ56" i="71"/>
  <c r="I17" i="65"/>
  <c r="N17" i="65" s="1"/>
  <c r="M42" i="67" l="1"/>
  <c r="K42" i="67"/>
  <c r="D42" i="67"/>
  <c r="I42" i="67" s="1"/>
  <c r="B43" i="67"/>
  <c r="C16" i="65" l="1"/>
  <c r="O16" i="65" s="1"/>
  <c r="BN44" i="67"/>
  <c r="BH44" i="67" s="1"/>
  <c r="BM44" i="67"/>
  <c r="BG44" i="67" s="1"/>
  <c r="BO44" i="67"/>
  <c r="BI44" i="67" s="1"/>
  <c r="BK44" i="67"/>
  <c r="BE44" i="67" s="1"/>
  <c r="BL44" i="67"/>
  <c r="BF44" i="67" s="1"/>
  <c r="O42" i="67"/>
  <c r="P42" i="67" s="1"/>
  <c r="R42" i="67"/>
  <c r="M40" i="67"/>
  <c r="K40" i="67"/>
  <c r="D40" i="67"/>
  <c r="I40" i="67" s="1"/>
  <c r="M39" i="67"/>
  <c r="K39" i="67"/>
  <c r="D39" i="67"/>
  <c r="I39" i="67" s="1"/>
  <c r="M27" i="67"/>
  <c r="K27" i="67"/>
  <c r="D27" i="67"/>
  <c r="R27" i="67" s="1"/>
  <c r="M22" i="67"/>
  <c r="K22" i="67"/>
  <c r="D22" i="67"/>
  <c r="I22" i="67" s="1"/>
  <c r="M21" i="67"/>
  <c r="K21" i="67"/>
  <c r="D21" i="67"/>
  <c r="I21" i="67" s="1"/>
  <c r="M20" i="67"/>
  <c r="K20" i="67"/>
  <c r="D20" i="67"/>
  <c r="I20" i="67" s="1"/>
  <c r="M19" i="67"/>
  <c r="K19" i="67"/>
  <c r="D19" i="67"/>
  <c r="I19" i="67" s="1"/>
  <c r="M18" i="67"/>
  <c r="K18" i="67"/>
  <c r="D18" i="67"/>
  <c r="I18" i="67" s="1"/>
  <c r="M17" i="67"/>
  <c r="K17" i="67"/>
  <c r="D17" i="67"/>
  <c r="I17" i="67" s="1"/>
  <c r="M14" i="67"/>
  <c r="K14" i="67"/>
  <c r="D14" i="67"/>
  <c r="I14" i="67" s="1"/>
  <c r="M13" i="67"/>
  <c r="K13" i="67"/>
  <c r="D13" i="67"/>
  <c r="I13" i="67" s="1"/>
  <c r="M12" i="67"/>
  <c r="K12" i="67"/>
  <c r="D12" i="67"/>
  <c r="I12" i="67" s="1"/>
  <c r="M11" i="67"/>
  <c r="K11" i="67"/>
  <c r="D11" i="67"/>
  <c r="I11" i="67" s="1"/>
  <c r="M41" i="67"/>
  <c r="K41" i="67"/>
  <c r="D41" i="67"/>
  <c r="I41" i="67" s="1"/>
  <c r="M26" i="67"/>
  <c r="K26" i="67"/>
  <c r="D26" i="67"/>
  <c r="I26" i="67" s="1"/>
  <c r="M25" i="67"/>
  <c r="K25" i="67"/>
  <c r="D25" i="67"/>
  <c r="I25" i="67" s="1"/>
  <c r="M24" i="67"/>
  <c r="K24" i="67"/>
  <c r="D24" i="67"/>
  <c r="I24" i="67" s="1"/>
  <c r="M23" i="67"/>
  <c r="K23" i="67"/>
  <c r="D23" i="67"/>
  <c r="I23" i="67" s="1"/>
  <c r="M16" i="67"/>
  <c r="K16" i="67"/>
  <c r="D16" i="67"/>
  <c r="I16" i="67" s="1"/>
  <c r="M15" i="67"/>
  <c r="K15" i="67"/>
  <c r="D15" i="67"/>
  <c r="I15" i="67" s="1"/>
  <c r="M10" i="67"/>
  <c r="K10" i="67"/>
  <c r="D10" i="67"/>
  <c r="M9" i="67"/>
  <c r="K9" i="67"/>
  <c r="D9" i="67"/>
  <c r="I9" i="67" s="1"/>
  <c r="M8" i="67"/>
  <c r="K8" i="67"/>
  <c r="D8" i="67"/>
  <c r="I8" i="67" s="1"/>
  <c r="V8" i="41"/>
  <c r="O42" i="66"/>
  <c r="P42" i="66" s="1"/>
  <c r="K42" i="66"/>
  <c r="I42" i="66"/>
  <c r="E42" i="66"/>
  <c r="D42" i="66"/>
  <c r="O41" i="66"/>
  <c r="P41" i="66" s="1"/>
  <c r="K41" i="66"/>
  <c r="I41" i="66"/>
  <c r="E41" i="66"/>
  <c r="D41" i="66"/>
  <c r="O29" i="66"/>
  <c r="P29" i="66" s="1"/>
  <c r="K29" i="66"/>
  <c r="I29" i="66"/>
  <c r="E29" i="66"/>
  <c r="D29" i="66"/>
  <c r="O28" i="66"/>
  <c r="P28" i="66" s="1"/>
  <c r="K28" i="66"/>
  <c r="I28" i="66"/>
  <c r="E28" i="66"/>
  <c r="D28" i="66"/>
  <c r="O27" i="66"/>
  <c r="P27" i="66" s="1"/>
  <c r="K27" i="66"/>
  <c r="I27" i="66"/>
  <c r="E27" i="66"/>
  <c r="D27" i="66"/>
  <c r="O26" i="66"/>
  <c r="P26" i="66" s="1"/>
  <c r="K26" i="66"/>
  <c r="I26" i="66"/>
  <c r="E26" i="66"/>
  <c r="D26" i="66"/>
  <c r="O25" i="66"/>
  <c r="P25" i="66" s="1"/>
  <c r="K25" i="66"/>
  <c r="I25" i="66"/>
  <c r="E25" i="66"/>
  <c r="D25" i="66"/>
  <c r="O24" i="66"/>
  <c r="P24" i="66" s="1"/>
  <c r="K24" i="66"/>
  <c r="I24" i="66"/>
  <c r="E24" i="66"/>
  <c r="D24" i="66"/>
  <c r="O23" i="66"/>
  <c r="P23" i="66" s="1"/>
  <c r="K23" i="66"/>
  <c r="I23" i="66"/>
  <c r="E23" i="66"/>
  <c r="D23" i="66"/>
  <c r="O40" i="67" l="1"/>
  <c r="P40" i="67" s="1"/>
  <c r="O39" i="67"/>
  <c r="P39" i="67" s="1"/>
  <c r="O15" i="67"/>
  <c r="P15" i="67" s="1"/>
  <c r="O23" i="67"/>
  <c r="P23" i="67" s="1"/>
  <c r="O25" i="67"/>
  <c r="P25" i="67" s="1"/>
  <c r="O41" i="67"/>
  <c r="P41" i="67" s="1"/>
  <c r="O11" i="67"/>
  <c r="P11" i="67" s="1"/>
  <c r="O13" i="67"/>
  <c r="P13" i="67" s="1"/>
  <c r="O17" i="67"/>
  <c r="P17" i="67" s="1"/>
  <c r="O19" i="67"/>
  <c r="P19" i="67" s="1"/>
  <c r="O21" i="67"/>
  <c r="P21" i="67" s="1"/>
  <c r="O18" i="67"/>
  <c r="P18" i="67" s="1"/>
  <c r="O20" i="67"/>
  <c r="P20" i="67" s="1"/>
  <c r="O22" i="67"/>
  <c r="P22" i="67" s="1"/>
  <c r="I27" i="67"/>
  <c r="O27" i="67" s="1"/>
  <c r="P27" i="67" s="1"/>
  <c r="O12" i="67"/>
  <c r="P12" i="67" s="1"/>
  <c r="O14" i="67"/>
  <c r="P14" i="67" s="1"/>
  <c r="O8" i="67"/>
  <c r="P8" i="67" s="1"/>
  <c r="O9" i="67"/>
  <c r="P9" i="67" s="1"/>
  <c r="O16" i="67"/>
  <c r="P16" i="67" s="1"/>
  <c r="O24" i="67"/>
  <c r="P24" i="67" s="1"/>
  <c r="O26" i="67"/>
  <c r="P26" i="67" s="1"/>
  <c r="R8" i="67"/>
  <c r="I10" i="67"/>
  <c r="O10" i="67" s="1"/>
  <c r="P10" i="67" s="1"/>
  <c r="R10" i="67"/>
  <c r="R9" i="67"/>
  <c r="F28" i="66"/>
  <c r="M28" i="66"/>
  <c r="N28" i="66" s="1"/>
  <c r="F24" i="66"/>
  <c r="M24" i="66"/>
  <c r="N24" i="66" s="1"/>
  <c r="F29" i="66"/>
  <c r="M29" i="66"/>
  <c r="N29" i="66" s="1"/>
  <c r="F25" i="66"/>
  <c r="M25" i="66"/>
  <c r="N25" i="66" s="1"/>
  <c r="F41" i="66"/>
  <c r="M41" i="66"/>
  <c r="N41" i="66" s="1"/>
  <c r="F42" i="66"/>
  <c r="M42" i="66"/>
  <c r="N42" i="66" s="1"/>
  <c r="F23" i="66"/>
  <c r="M23" i="66"/>
  <c r="N23" i="66" s="1"/>
  <c r="F26" i="66"/>
  <c r="M26" i="66"/>
  <c r="N26" i="66" s="1"/>
  <c r="F27" i="66"/>
  <c r="M27" i="66"/>
  <c r="N27" i="66" s="1"/>
  <c r="O17" i="66"/>
  <c r="P17" i="66" s="1"/>
  <c r="K17" i="66"/>
  <c r="I17" i="66"/>
  <c r="E17" i="66"/>
  <c r="D17" i="66"/>
  <c r="O16" i="66"/>
  <c r="P16" i="66" s="1"/>
  <c r="K16" i="66"/>
  <c r="I16" i="66"/>
  <c r="E16" i="66"/>
  <c r="D16" i="66"/>
  <c r="O15" i="66"/>
  <c r="P15" i="66" s="1"/>
  <c r="K15" i="66"/>
  <c r="I15" i="66"/>
  <c r="E15" i="66"/>
  <c r="D15" i="66"/>
  <c r="O14" i="66"/>
  <c r="P14" i="66" s="1"/>
  <c r="K14" i="66"/>
  <c r="I14" i="66"/>
  <c r="E14" i="66"/>
  <c r="D14" i="66"/>
  <c r="O13" i="66"/>
  <c r="P13" i="66" s="1"/>
  <c r="K13" i="66"/>
  <c r="I13" i="66"/>
  <c r="E13" i="66"/>
  <c r="D13" i="66"/>
  <c r="O22" i="66"/>
  <c r="P22" i="66" s="1"/>
  <c r="K22" i="66"/>
  <c r="I22" i="66"/>
  <c r="E22" i="66"/>
  <c r="D22" i="66"/>
  <c r="O21" i="66"/>
  <c r="P21" i="66" s="1"/>
  <c r="K21" i="66"/>
  <c r="I21" i="66"/>
  <c r="E21" i="66"/>
  <c r="D21" i="66"/>
  <c r="O20" i="66"/>
  <c r="P20" i="66" s="1"/>
  <c r="K20" i="66"/>
  <c r="I20" i="66"/>
  <c r="E20" i="66"/>
  <c r="D20" i="66"/>
  <c r="B43" i="66"/>
  <c r="O19" i="66"/>
  <c r="P19" i="66" s="1"/>
  <c r="K19" i="66"/>
  <c r="I19" i="66"/>
  <c r="E19" i="66"/>
  <c r="D19" i="66"/>
  <c r="O18" i="66"/>
  <c r="P18" i="66" s="1"/>
  <c r="K18" i="66"/>
  <c r="I18" i="66"/>
  <c r="E18" i="66"/>
  <c r="D18" i="66"/>
  <c r="O12" i="66"/>
  <c r="P12" i="66" s="1"/>
  <c r="K12" i="66"/>
  <c r="I12" i="66"/>
  <c r="E12" i="66"/>
  <c r="D12" i="66"/>
  <c r="O11" i="66"/>
  <c r="P11" i="66" s="1"/>
  <c r="I11" i="66"/>
  <c r="K11" i="66" s="1"/>
  <c r="E11" i="66"/>
  <c r="D11" i="66"/>
  <c r="O10" i="66"/>
  <c r="P10" i="66" s="1"/>
  <c r="K10" i="66"/>
  <c r="I10" i="66"/>
  <c r="E10" i="66"/>
  <c r="D10" i="66"/>
  <c r="O9" i="66"/>
  <c r="P9" i="66" s="1"/>
  <c r="K9" i="66"/>
  <c r="I9" i="66"/>
  <c r="E9" i="66"/>
  <c r="D9" i="66"/>
  <c r="P8" i="66"/>
  <c r="K8" i="66"/>
  <c r="I8" i="66"/>
  <c r="E8" i="66"/>
  <c r="D8" i="66"/>
  <c r="C15" i="65" l="1"/>
  <c r="BL44" i="66"/>
  <c r="BF44" i="66" s="1"/>
  <c r="BI44" i="66"/>
  <c r="BC44" i="66" s="1"/>
  <c r="BK44" i="66"/>
  <c r="BE44" i="66" s="1"/>
  <c r="BM44" i="66"/>
  <c r="BG44" i="66" s="1"/>
  <c r="BJ44" i="66"/>
  <c r="BD44" i="66" s="1"/>
  <c r="I16" i="65"/>
  <c r="N16" i="65" s="1"/>
  <c r="R26" i="67"/>
  <c r="R24" i="67"/>
  <c r="R16" i="67"/>
  <c r="R13" i="67"/>
  <c r="R11" i="67"/>
  <c r="R21" i="67"/>
  <c r="R19" i="67"/>
  <c r="R17" i="67"/>
  <c r="R40" i="67"/>
  <c r="R41" i="67"/>
  <c r="R25" i="67"/>
  <c r="R23" i="67"/>
  <c r="R15" i="67"/>
  <c r="R14" i="67"/>
  <c r="R12" i="67"/>
  <c r="R22" i="67"/>
  <c r="R20" i="67"/>
  <c r="R18" i="67"/>
  <c r="R39" i="67"/>
  <c r="F15" i="66"/>
  <c r="M15" i="66"/>
  <c r="N15" i="66" s="1"/>
  <c r="M12" i="66"/>
  <c r="N12" i="66" s="1"/>
  <c r="M20" i="66"/>
  <c r="N20" i="66" s="1"/>
  <c r="F22" i="66"/>
  <c r="M22" i="66"/>
  <c r="N22" i="66" s="1"/>
  <c r="F14" i="66"/>
  <c r="M14" i="66"/>
  <c r="N14" i="66" s="1"/>
  <c r="M8" i="66"/>
  <c r="N8" i="66" s="1"/>
  <c r="M21" i="66"/>
  <c r="N21" i="66" s="1"/>
  <c r="F13" i="66"/>
  <c r="M13" i="66"/>
  <c r="N13" i="66" s="1"/>
  <c r="F16" i="66"/>
  <c r="M16" i="66"/>
  <c r="N16" i="66" s="1"/>
  <c r="F17" i="66"/>
  <c r="M17" i="66"/>
  <c r="N17" i="66" s="1"/>
  <c r="F8" i="66"/>
  <c r="F11" i="66"/>
  <c r="F12" i="66"/>
  <c r="F21" i="66"/>
  <c r="F20" i="66"/>
  <c r="P43" i="66"/>
  <c r="E15" i="65" s="1"/>
  <c r="F9" i="66"/>
  <c r="F10" i="66"/>
  <c r="M10" i="66"/>
  <c r="N10" i="66" s="1"/>
  <c r="F18" i="66"/>
  <c r="F19" i="66"/>
  <c r="M19" i="66"/>
  <c r="N19" i="66" s="1"/>
  <c r="M9" i="66"/>
  <c r="N9" i="66" s="1"/>
  <c r="M11" i="66"/>
  <c r="N11" i="66" s="1"/>
  <c r="M18" i="66"/>
  <c r="N18" i="66" s="1"/>
  <c r="G15" i="65" l="1"/>
  <c r="Q15" i="65"/>
  <c r="O15" i="65"/>
  <c r="N15" i="65"/>
  <c r="R43" i="67"/>
  <c r="P43" i="67"/>
  <c r="D16" i="65" s="1"/>
  <c r="F16" i="65" s="1"/>
  <c r="N43" i="66"/>
  <c r="D15" i="65" s="1"/>
  <c r="F15" i="65" s="1"/>
  <c r="M16" i="65" l="1"/>
  <c r="R16" i="65" s="1"/>
  <c r="E16" i="65"/>
  <c r="G16" i="65" s="1"/>
  <c r="K16" i="65"/>
  <c r="L16" i="65"/>
  <c r="Q16" i="65" s="1"/>
  <c r="K18" i="65" l="1"/>
  <c r="K43" i="65" s="1"/>
  <c r="P16" i="65"/>
  <c r="M34" i="65"/>
  <c r="R34" i="65" s="1"/>
  <c r="R32" i="65"/>
  <c r="CD16" i="41"/>
  <c r="C17" i="61"/>
  <c r="E17" i="61"/>
  <c r="E40" i="64" l="1"/>
  <c r="C40" i="64"/>
  <c r="G74" i="64"/>
  <c r="G73" i="64"/>
  <c r="G72" i="64"/>
  <c r="G71" i="64"/>
  <c r="G70" i="64"/>
  <c r="G69" i="64"/>
  <c r="E45" i="64"/>
  <c r="C45" i="64"/>
  <c r="E28" i="64"/>
  <c r="C28" i="64"/>
  <c r="G27" i="64"/>
  <c r="B27" i="64"/>
  <c r="E25" i="64"/>
  <c r="E26" i="64" s="1"/>
  <c r="C25" i="64"/>
  <c r="C26" i="64" s="1"/>
  <c r="E24" i="64"/>
  <c r="C24" i="64"/>
  <c r="E23" i="64"/>
  <c r="C23" i="64"/>
  <c r="E18" i="64"/>
  <c r="C18" i="64"/>
  <c r="H17" i="64"/>
  <c r="E16" i="64"/>
  <c r="C16" i="64"/>
  <c r="E15" i="64"/>
  <c r="C15" i="64"/>
  <c r="E10" i="64"/>
  <c r="C10" i="64"/>
  <c r="E32" i="63"/>
  <c r="G32" i="63"/>
  <c r="I32" i="63"/>
  <c r="C32" i="63"/>
  <c r="E33" i="62"/>
  <c r="G33" i="62"/>
  <c r="I33" i="62"/>
  <c r="K33" i="62"/>
  <c r="C33" i="62"/>
  <c r="E33" i="61"/>
  <c r="G33" i="61"/>
  <c r="I33" i="61"/>
  <c r="K33" i="61"/>
  <c r="C33" i="61"/>
  <c r="E32" i="60"/>
  <c r="G32" i="60"/>
  <c r="I32" i="60"/>
  <c r="K32" i="60"/>
  <c r="M32" i="60"/>
  <c r="C32" i="60"/>
  <c r="J47" i="63"/>
  <c r="I47" i="63"/>
  <c r="H47" i="63"/>
  <c r="G47" i="63"/>
  <c r="F47" i="63"/>
  <c r="E47" i="63"/>
  <c r="D47" i="63"/>
  <c r="C47" i="63"/>
  <c r="J40" i="63"/>
  <c r="H40" i="63"/>
  <c r="F40" i="63"/>
  <c r="D40" i="63"/>
  <c r="H18" i="63"/>
  <c r="F18" i="63"/>
  <c r="D18" i="63"/>
  <c r="I16" i="63"/>
  <c r="G16" i="63"/>
  <c r="G20" i="63" s="1"/>
  <c r="G23" i="63" s="1"/>
  <c r="E16" i="63"/>
  <c r="C16" i="63"/>
  <c r="L41" i="62"/>
  <c r="K41" i="62"/>
  <c r="J41" i="62"/>
  <c r="I41" i="62"/>
  <c r="H41" i="62"/>
  <c r="G41" i="62"/>
  <c r="E41" i="62"/>
  <c r="D41" i="62"/>
  <c r="L19" i="62"/>
  <c r="J19" i="62"/>
  <c r="H19" i="62"/>
  <c r="F19" i="62"/>
  <c r="D19" i="62"/>
  <c r="L18" i="62"/>
  <c r="J18" i="62"/>
  <c r="H18" i="62"/>
  <c r="F18" i="62"/>
  <c r="D18" i="62"/>
  <c r="K17" i="62"/>
  <c r="I17" i="62"/>
  <c r="G17" i="62"/>
  <c r="E17" i="62"/>
  <c r="C17" i="62"/>
  <c r="H43" i="61"/>
  <c r="G43" i="61"/>
  <c r="E43" i="61"/>
  <c r="D43" i="61"/>
  <c r="L19" i="61"/>
  <c r="J19" i="61"/>
  <c r="H19" i="61"/>
  <c r="F19" i="61"/>
  <c r="D19" i="61"/>
  <c r="L18" i="61"/>
  <c r="J18" i="61"/>
  <c r="H18" i="61"/>
  <c r="F18" i="61"/>
  <c r="D18" i="61"/>
  <c r="K17" i="61"/>
  <c r="I17" i="61"/>
  <c r="G17" i="61"/>
  <c r="N51" i="60"/>
  <c r="M51" i="60"/>
  <c r="L51" i="60"/>
  <c r="H51" i="60"/>
  <c r="G51" i="60"/>
  <c r="F51" i="60"/>
  <c r="E51" i="60"/>
  <c r="D51" i="60"/>
  <c r="I45" i="60"/>
  <c r="H45" i="60"/>
  <c r="G45" i="60"/>
  <c r="F45" i="60"/>
  <c r="E45" i="60"/>
  <c r="D45" i="60"/>
  <c r="N18" i="60"/>
  <c r="L18" i="60"/>
  <c r="J18" i="60"/>
  <c r="H18" i="60"/>
  <c r="F18" i="60"/>
  <c r="D18" i="60"/>
  <c r="N17" i="60"/>
  <c r="L17" i="60"/>
  <c r="J17" i="60"/>
  <c r="H17" i="60"/>
  <c r="F17" i="60"/>
  <c r="D17" i="60"/>
  <c r="M16" i="60"/>
  <c r="M20" i="60" s="1"/>
  <c r="M23" i="60" s="1"/>
  <c r="K16" i="60"/>
  <c r="I16" i="60"/>
  <c r="G16" i="60"/>
  <c r="E16" i="60"/>
  <c r="C16" i="60"/>
  <c r="C37" i="59"/>
  <c r="C69" i="59"/>
  <c r="C68" i="59"/>
  <c r="C67" i="59"/>
  <c r="C66" i="59"/>
  <c r="C65" i="59"/>
  <c r="C42" i="59"/>
  <c r="C25" i="59"/>
  <c r="B24" i="59"/>
  <c r="C22" i="59"/>
  <c r="C23" i="59" s="1"/>
  <c r="C21" i="59"/>
  <c r="C20" i="59"/>
  <c r="C16" i="59"/>
  <c r="E15" i="59"/>
  <c r="C14" i="59"/>
  <c r="C13" i="59"/>
  <c r="C10" i="59"/>
  <c r="C37" i="58"/>
  <c r="C72" i="58"/>
  <c r="C71" i="58"/>
  <c r="C70" i="58"/>
  <c r="C69" i="58"/>
  <c r="C68" i="58"/>
  <c r="C67" i="58"/>
  <c r="C42" i="58"/>
  <c r="C25" i="58"/>
  <c r="B24" i="58"/>
  <c r="C22" i="58"/>
  <c r="C23" i="58" s="1"/>
  <c r="C21" i="58"/>
  <c r="C20" i="58"/>
  <c r="C16" i="58"/>
  <c r="E15" i="58"/>
  <c r="C14" i="58"/>
  <c r="C13" i="58"/>
  <c r="C10" i="58"/>
  <c r="C41" i="57"/>
  <c r="C79" i="57"/>
  <c r="C78" i="57"/>
  <c r="C77" i="57"/>
  <c r="C76" i="57"/>
  <c r="C75" i="57"/>
  <c r="C74" i="57"/>
  <c r="C73" i="57"/>
  <c r="C72" i="57"/>
  <c r="C71" i="57"/>
  <c r="C46" i="57"/>
  <c r="B26" i="57"/>
  <c r="C24" i="57"/>
  <c r="C25" i="57" s="1"/>
  <c r="C23" i="57"/>
  <c r="C22" i="57"/>
  <c r="E21" i="57"/>
  <c r="C55" i="57" s="1"/>
  <c r="C18" i="57"/>
  <c r="F17" i="57"/>
  <c r="C16" i="57"/>
  <c r="C15" i="57"/>
  <c r="C11" i="57"/>
  <c r="C9" i="57"/>
  <c r="C38" i="56"/>
  <c r="C44" i="56"/>
  <c r="C45" i="56" s="1"/>
  <c r="C43" i="56"/>
  <c r="D43" i="56" s="1"/>
  <c r="B25" i="56"/>
  <c r="C23" i="56"/>
  <c r="C24" i="56" s="1"/>
  <c r="C22" i="56"/>
  <c r="C21" i="56"/>
  <c r="C17" i="56"/>
  <c r="E16" i="56"/>
  <c r="C15" i="56"/>
  <c r="C14" i="56"/>
  <c r="C10" i="56"/>
  <c r="C8" i="56"/>
  <c r="C40" i="55"/>
  <c r="C46" i="55"/>
  <c r="C47" i="55" s="1"/>
  <c r="C45" i="55"/>
  <c r="D45" i="55" s="1"/>
  <c r="B30" i="55"/>
  <c r="C26" i="55"/>
  <c r="B25" i="55"/>
  <c r="C23" i="55"/>
  <c r="C24" i="55" s="1"/>
  <c r="C22" i="55"/>
  <c r="C21" i="55"/>
  <c r="C17" i="55"/>
  <c r="E16" i="55"/>
  <c r="C15" i="55"/>
  <c r="C14" i="55"/>
  <c r="C10" i="55"/>
  <c r="C8" i="55"/>
  <c r="C44" i="54"/>
  <c r="C45" i="54" s="1"/>
  <c r="C43" i="54"/>
  <c r="D43" i="54" s="1"/>
  <c r="B24" i="54"/>
  <c r="C22" i="54"/>
  <c r="C23" i="54" s="1"/>
  <c r="C21" i="54"/>
  <c r="C20" i="54"/>
  <c r="C16" i="54"/>
  <c r="E15" i="54"/>
  <c r="C14" i="54"/>
  <c r="C13" i="54"/>
  <c r="C10" i="54"/>
  <c r="C8" i="54"/>
  <c r="C40" i="53"/>
  <c r="C46" i="53"/>
  <c r="C47" i="53" s="1"/>
  <c r="C45" i="53"/>
  <c r="D45" i="53" s="1"/>
  <c r="C16" i="53"/>
  <c r="E15" i="53"/>
  <c r="C14" i="53"/>
  <c r="C13" i="53"/>
  <c r="C10" i="53"/>
  <c r="C8" i="53"/>
  <c r="C42" i="52"/>
  <c r="C48" i="52"/>
  <c r="C49" i="52" s="1"/>
  <c r="C47" i="52"/>
  <c r="D47" i="52" s="1"/>
  <c r="C28" i="52"/>
  <c r="B27" i="52"/>
  <c r="C25" i="52"/>
  <c r="C26" i="52" s="1"/>
  <c r="C24" i="52"/>
  <c r="B31" i="52" s="1"/>
  <c r="C23" i="52"/>
  <c r="C17" i="52"/>
  <c r="E16" i="52"/>
  <c r="C15" i="52"/>
  <c r="C14" i="52"/>
  <c r="C10" i="52"/>
  <c r="C8" i="52"/>
  <c r="C56" i="57" l="1"/>
  <c r="C54" i="57"/>
  <c r="C53" i="57"/>
  <c r="C20" i="63"/>
  <c r="C23" i="63" s="1"/>
  <c r="E20" i="63"/>
  <c r="E23" i="63" s="1"/>
  <c r="E21" i="62"/>
  <c r="E24" i="62" s="1"/>
  <c r="E34" i="62" s="1"/>
  <c r="C28" i="57"/>
  <c r="C29" i="57" s="1"/>
  <c r="D55" i="56"/>
  <c r="D57" i="55"/>
  <c r="C29" i="53"/>
  <c r="C48" i="53" s="1"/>
  <c r="D48" i="53" s="1"/>
  <c r="D59" i="52"/>
  <c r="C29" i="64"/>
  <c r="C46" i="64" s="1"/>
  <c r="G46" i="64" s="1"/>
  <c r="C26" i="59"/>
  <c r="C44" i="59" s="1"/>
  <c r="D44" i="59" s="1"/>
  <c r="E29" i="64"/>
  <c r="E46" i="64" s="1"/>
  <c r="C26" i="58"/>
  <c r="E33" i="63"/>
  <c r="C21" i="61"/>
  <c r="C24" i="61" s="1"/>
  <c r="C34" i="61" s="1"/>
  <c r="C26" i="56"/>
  <c r="C27" i="56" s="1"/>
  <c r="G21" i="61"/>
  <c r="G24" i="61" s="1"/>
  <c r="G34" i="61" s="1"/>
  <c r="C18" i="56"/>
  <c r="C49" i="56" s="1"/>
  <c r="E20" i="60"/>
  <c r="E23" i="60" s="1"/>
  <c r="E33" i="60" s="1"/>
  <c r="B29" i="54"/>
  <c r="B28" i="54" s="1"/>
  <c r="C28" i="54" s="1"/>
  <c r="G20" i="60"/>
  <c r="G23" i="60" s="1"/>
  <c r="G33" i="60" s="1"/>
  <c r="E19" i="64"/>
  <c r="E33" i="64" s="1"/>
  <c r="E41" i="64" s="1"/>
  <c r="C20" i="60"/>
  <c r="C23" i="60" s="1"/>
  <c r="C33" i="60" s="1"/>
  <c r="K20" i="60"/>
  <c r="K23" i="60" s="1"/>
  <c r="K33" i="60" s="1"/>
  <c r="C21" i="62"/>
  <c r="C24" i="62" s="1"/>
  <c r="C34" i="62" s="1"/>
  <c r="K21" i="62"/>
  <c r="K24" i="62" s="1"/>
  <c r="K34" i="62" s="1"/>
  <c r="C19" i="64"/>
  <c r="G33" i="63"/>
  <c r="C33" i="63"/>
  <c r="J18" i="63"/>
  <c r="I20" i="63" s="1"/>
  <c r="I23" i="63" s="1"/>
  <c r="I33" i="63" s="1"/>
  <c r="G21" i="62"/>
  <c r="G24" i="62" s="1"/>
  <c r="G34" i="62" s="1"/>
  <c r="I21" i="62"/>
  <c r="I24" i="62" s="1"/>
  <c r="I34" i="62" s="1"/>
  <c r="I21" i="61"/>
  <c r="I24" i="61" s="1"/>
  <c r="I34" i="61" s="1"/>
  <c r="K21" i="61"/>
  <c r="K24" i="61" s="1"/>
  <c r="K34" i="61" s="1"/>
  <c r="E21" i="61"/>
  <c r="E24" i="61" s="1"/>
  <c r="E34" i="61" s="1"/>
  <c r="M33" i="60"/>
  <c r="I20" i="60"/>
  <c r="I23" i="60" s="1"/>
  <c r="I33" i="60" s="1"/>
  <c r="C17" i="59"/>
  <c r="C30" i="59" s="1"/>
  <c r="C38" i="59" s="1"/>
  <c r="C17" i="58"/>
  <c r="C30" i="58" s="1"/>
  <c r="C38" i="58" s="1"/>
  <c r="C19" i="57"/>
  <c r="B29" i="55"/>
  <c r="C29" i="55" s="1"/>
  <c r="C18" i="55"/>
  <c r="C50" i="55" s="1"/>
  <c r="D50" i="55" s="1"/>
  <c r="B28" i="55"/>
  <c r="C28" i="55" s="1"/>
  <c r="C17" i="54"/>
  <c r="C32" i="54" s="1"/>
  <c r="C40" i="54" s="1"/>
  <c r="C31" i="52"/>
  <c r="C18" i="52"/>
  <c r="C35" i="52" s="1"/>
  <c r="C43" i="52" s="1"/>
  <c r="C17" i="53"/>
  <c r="C51" i="53" s="1"/>
  <c r="B30" i="52"/>
  <c r="C30" i="52" s="1"/>
  <c r="C42" i="51"/>
  <c r="C47" i="51"/>
  <c r="C48" i="51" s="1"/>
  <c r="C46" i="51"/>
  <c r="C27" i="51"/>
  <c r="B26" i="51"/>
  <c r="C24" i="51"/>
  <c r="C25" i="51" s="1"/>
  <c r="C23" i="51"/>
  <c r="C22" i="51"/>
  <c r="C17" i="51"/>
  <c r="E16" i="51"/>
  <c r="C15" i="51"/>
  <c r="C14" i="51"/>
  <c r="C10" i="51"/>
  <c r="C8" i="51"/>
  <c r="C43" i="50"/>
  <c r="C48" i="50"/>
  <c r="C49" i="50" s="1"/>
  <c r="C47" i="50"/>
  <c r="D47" i="50" s="1"/>
  <c r="C27" i="50"/>
  <c r="B26" i="50"/>
  <c r="C24" i="50"/>
  <c r="C25" i="50" s="1"/>
  <c r="C23" i="50"/>
  <c r="C22" i="50"/>
  <c r="C17" i="50"/>
  <c r="E16" i="50"/>
  <c r="C15" i="50"/>
  <c r="C14" i="50"/>
  <c r="C10" i="50"/>
  <c r="C8" i="50"/>
  <c r="C43" i="49"/>
  <c r="C48" i="49"/>
  <c r="C49" i="49" s="1"/>
  <c r="C47" i="49"/>
  <c r="D47" i="49" s="1"/>
  <c r="C27" i="49"/>
  <c r="B26" i="49"/>
  <c r="C24" i="49"/>
  <c r="C25" i="49" s="1"/>
  <c r="C23" i="49"/>
  <c r="C22" i="49"/>
  <c r="C17" i="49"/>
  <c r="E16" i="49"/>
  <c r="C15" i="49"/>
  <c r="C14" i="49"/>
  <c r="C10" i="49"/>
  <c r="C8" i="49"/>
  <c r="D11" i="41"/>
  <c r="D9" i="41"/>
  <c r="C54" i="56" l="1"/>
  <c r="C53" i="56"/>
  <c r="C56" i="56"/>
  <c r="D56" i="56"/>
  <c r="D54" i="56"/>
  <c r="D53" i="56"/>
  <c r="C56" i="55"/>
  <c r="C55" i="55"/>
  <c r="C58" i="55"/>
  <c r="D58" i="55"/>
  <c r="D56" i="55"/>
  <c r="D55" i="55"/>
  <c r="E47" i="64"/>
  <c r="C49" i="53"/>
  <c r="D60" i="52"/>
  <c r="D58" i="52"/>
  <c r="D57" i="52"/>
  <c r="C58" i="52"/>
  <c r="C57" i="52"/>
  <c r="C60" i="52"/>
  <c r="C52" i="52"/>
  <c r="D52" i="52" s="1"/>
  <c r="C48" i="56"/>
  <c r="D48" i="56" s="1"/>
  <c r="B27" i="54"/>
  <c r="C27" i="54" s="1"/>
  <c r="C46" i="54" s="1"/>
  <c r="D46" i="54" s="1"/>
  <c r="C30" i="56"/>
  <c r="C39" i="56" s="1"/>
  <c r="D27" i="56"/>
  <c r="C53" i="52"/>
  <c r="C48" i="57"/>
  <c r="C33" i="57"/>
  <c r="C42" i="57" s="1"/>
  <c r="C27" i="58"/>
  <c r="B33" i="50"/>
  <c r="B31" i="50" s="1"/>
  <c r="C31" i="50" s="1"/>
  <c r="C50" i="53"/>
  <c r="D50" i="53" s="1"/>
  <c r="C33" i="53"/>
  <c r="C41" i="53" s="1"/>
  <c r="C49" i="54"/>
  <c r="C30" i="55"/>
  <c r="C49" i="55" s="1"/>
  <c r="B33" i="49"/>
  <c r="B31" i="49" s="1"/>
  <c r="C31" i="49" s="1"/>
  <c r="C51" i="55"/>
  <c r="C33" i="55"/>
  <c r="C41" i="55" s="1"/>
  <c r="C44" i="58"/>
  <c r="D44" i="58" s="1"/>
  <c r="C47" i="64"/>
  <c r="G47" i="64" s="1"/>
  <c r="C33" i="64"/>
  <c r="C41" i="64" s="1"/>
  <c r="C45" i="59"/>
  <c r="D45" i="59" s="1"/>
  <c r="C27" i="59"/>
  <c r="C43" i="58"/>
  <c r="D43" i="58" s="1"/>
  <c r="C47" i="57"/>
  <c r="C30" i="57"/>
  <c r="C46" i="56"/>
  <c r="D46" i="56" s="1"/>
  <c r="C47" i="56"/>
  <c r="C48" i="54"/>
  <c r="D48" i="54" s="1"/>
  <c r="C32" i="52"/>
  <c r="C50" i="52" s="1"/>
  <c r="D50" i="52" s="1"/>
  <c r="C18" i="51"/>
  <c r="B32" i="51"/>
  <c r="D46" i="51"/>
  <c r="C18" i="50"/>
  <c r="C36" i="50" s="1"/>
  <c r="C44" i="50" s="1"/>
  <c r="C18" i="49"/>
  <c r="C36" i="49" s="1"/>
  <c r="C44" i="49" s="1"/>
  <c r="C47" i="54" l="1"/>
  <c r="C29" i="54"/>
  <c r="D29" i="54" s="1"/>
  <c r="D57" i="53"/>
  <c r="D30" i="55"/>
  <c r="C48" i="55"/>
  <c r="D48" i="55" s="1"/>
  <c r="B30" i="49"/>
  <c r="C30" i="49" s="1"/>
  <c r="B32" i="49"/>
  <c r="B32" i="50"/>
  <c r="C32" i="50" s="1"/>
  <c r="B30" i="50"/>
  <c r="C30" i="50" s="1"/>
  <c r="C52" i="51"/>
  <c r="C35" i="51"/>
  <c r="C43" i="51" s="1"/>
  <c r="C51" i="52"/>
  <c r="C51" i="51"/>
  <c r="B30" i="51"/>
  <c r="C30" i="51" s="1"/>
  <c r="B31" i="51"/>
  <c r="C31" i="51" s="1"/>
  <c r="C52" i="50"/>
  <c r="C53" i="50"/>
  <c r="C52" i="49"/>
  <c r="C53" i="49"/>
  <c r="BI9" i="41"/>
  <c r="BO9" i="41" s="1"/>
  <c r="BI10" i="41"/>
  <c r="BO10" i="41" s="1"/>
  <c r="BI11" i="41"/>
  <c r="BO11" i="41" s="1"/>
  <c r="BI12" i="41"/>
  <c r="BO12" i="41" s="1"/>
  <c r="BI13" i="41"/>
  <c r="BO13" i="41" s="1"/>
  <c r="BI14" i="41"/>
  <c r="BO14" i="41" s="1"/>
  <c r="BI15" i="41"/>
  <c r="BO15" i="41" s="1"/>
  <c r="BI16" i="41"/>
  <c r="BO16" i="41" s="1"/>
  <c r="BI17" i="41"/>
  <c r="BO17" i="41" s="1"/>
  <c r="BI18" i="41"/>
  <c r="BO18" i="41" s="1"/>
  <c r="BI19" i="41"/>
  <c r="BO19" i="41" s="1"/>
  <c r="BI20" i="41"/>
  <c r="BO20" i="41" s="1"/>
  <c r="BI21" i="41"/>
  <c r="BO21" i="41" s="1"/>
  <c r="BI22" i="41"/>
  <c r="BO22" i="41" s="1"/>
  <c r="BI23" i="41"/>
  <c r="BO23" i="41" s="1"/>
  <c r="BI24" i="41"/>
  <c r="BO24" i="41" s="1"/>
  <c r="BI25" i="41"/>
  <c r="BO25" i="41" s="1"/>
  <c r="BI26" i="41"/>
  <c r="BO26" i="41" s="1"/>
  <c r="BI48" i="41"/>
  <c r="BO48" i="41" s="1"/>
  <c r="BI49" i="41"/>
  <c r="BO49" i="41" s="1"/>
  <c r="BI50" i="41"/>
  <c r="BO50" i="41" s="1"/>
  <c r="BI51" i="41"/>
  <c r="BO51" i="41" s="1"/>
  <c r="BI52" i="41"/>
  <c r="BO52" i="41" s="1"/>
  <c r="BI8" i="41"/>
  <c r="BO8" i="41" s="1"/>
  <c r="I9" i="46"/>
  <c r="G10" i="46"/>
  <c r="G11" i="46"/>
  <c r="G12" i="46"/>
  <c r="G13" i="46"/>
  <c r="G14" i="46"/>
  <c r="I14" i="46"/>
  <c r="G15" i="46"/>
  <c r="G16" i="46"/>
  <c r="G17" i="46"/>
  <c r="G18" i="46"/>
  <c r="G19" i="46"/>
  <c r="I19" i="46"/>
  <c r="G20" i="46"/>
  <c r="G21" i="46"/>
  <c r="G22" i="46"/>
  <c r="G23" i="46"/>
  <c r="G24" i="46"/>
  <c r="I24" i="46"/>
  <c r="G26" i="46"/>
  <c r="I7" i="46"/>
  <c r="G53" i="46"/>
  <c r="G52" i="46"/>
  <c r="J51" i="46"/>
  <c r="G51" i="46"/>
  <c r="G49" i="46"/>
  <c r="G48" i="46"/>
  <c r="J47" i="46"/>
  <c r="G47" i="46"/>
  <c r="I46" i="46"/>
  <c r="G45" i="46"/>
  <c r="G44" i="46"/>
  <c r="G43" i="46"/>
  <c r="I42" i="46"/>
  <c r="G41" i="46"/>
  <c r="G40" i="46"/>
  <c r="G39" i="46"/>
  <c r="I38" i="46"/>
  <c r="G37" i="46"/>
  <c r="G36" i="46"/>
  <c r="J35" i="46"/>
  <c r="G35" i="46"/>
  <c r="I34" i="46"/>
  <c r="G33" i="46"/>
  <c r="G32" i="46"/>
  <c r="H31" i="46"/>
  <c r="J31" i="46"/>
  <c r="G31" i="46"/>
  <c r="J26" i="46"/>
  <c r="I26" i="46"/>
  <c r="I25" i="46"/>
  <c r="J24" i="46"/>
  <c r="I23" i="46"/>
  <c r="J22" i="46"/>
  <c r="I17" i="46"/>
  <c r="I11" i="46"/>
  <c r="D56" i="53" l="1"/>
  <c r="D55" i="53"/>
  <c r="D58" i="53"/>
  <c r="C56" i="53"/>
  <c r="C55" i="53"/>
  <c r="C58" i="53"/>
  <c r="C32" i="49"/>
  <c r="C33" i="49" s="1"/>
  <c r="C33" i="50"/>
  <c r="C51" i="50" s="1"/>
  <c r="H8" i="46"/>
  <c r="G8" i="46"/>
  <c r="H10" i="46"/>
  <c r="H45" i="46"/>
  <c r="C32" i="51"/>
  <c r="BO53" i="41"/>
  <c r="G25" i="46"/>
  <c r="G9" i="46"/>
  <c r="H9" i="46"/>
  <c r="I22" i="46"/>
  <c r="I8" i="46"/>
  <c r="I10" i="46"/>
  <c r="J8" i="46"/>
  <c r="J9" i="46"/>
  <c r="J10" i="46"/>
  <c r="H11" i="46"/>
  <c r="J23" i="46"/>
  <c r="H33" i="46"/>
  <c r="H37" i="46"/>
  <c r="H41" i="46"/>
  <c r="J43" i="46"/>
  <c r="I50" i="46"/>
  <c r="J7" i="46"/>
  <c r="I12" i="46"/>
  <c r="I13" i="46"/>
  <c r="I16" i="46"/>
  <c r="I21" i="46"/>
  <c r="J39" i="46"/>
  <c r="I15" i="46"/>
  <c r="I18" i="46"/>
  <c r="I20" i="46"/>
  <c r="J11" i="46"/>
  <c r="J12" i="46"/>
  <c r="J13" i="46"/>
  <c r="J14" i="46"/>
  <c r="J15" i="46"/>
  <c r="J16" i="46"/>
  <c r="J17" i="46"/>
  <c r="J18" i="46"/>
  <c r="J19" i="46"/>
  <c r="J20" i="46"/>
  <c r="J21" i="46"/>
  <c r="J25" i="46"/>
  <c r="H49" i="46"/>
  <c r="H53" i="46"/>
  <c r="H12" i="46"/>
  <c r="H13" i="46"/>
  <c r="H14" i="46"/>
  <c r="H15" i="46"/>
  <c r="H16" i="46"/>
  <c r="H17" i="46"/>
  <c r="H18" i="46"/>
  <c r="H19" i="46"/>
  <c r="H20" i="46"/>
  <c r="H21" i="46"/>
  <c r="H22" i="46"/>
  <c r="H23" i="46"/>
  <c r="H24" i="46"/>
  <c r="H25" i="46"/>
  <c r="H26" i="46"/>
  <c r="I32" i="46"/>
  <c r="J33" i="46"/>
  <c r="G34" i="46"/>
  <c r="H35" i="46"/>
  <c r="I36" i="46"/>
  <c r="J37" i="46"/>
  <c r="G38" i="46"/>
  <c r="H39" i="46"/>
  <c r="I40" i="46"/>
  <c r="J41" i="46"/>
  <c r="G42" i="46"/>
  <c r="H43" i="46"/>
  <c r="I44" i="46"/>
  <c r="J45" i="46"/>
  <c r="G46" i="46"/>
  <c r="H47" i="46"/>
  <c r="I48" i="46"/>
  <c r="J49" i="46"/>
  <c r="G50" i="46"/>
  <c r="H51" i="46"/>
  <c r="I52" i="46"/>
  <c r="J53" i="46"/>
  <c r="I31" i="46"/>
  <c r="J32" i="46"/>
  <c r="H34" i="46"/>
  <c r="I35" i="46"/>
  <c r="J36" i="46"/>
  <c r="H38" i="46"/>
  <c r="I39" i="46"/>
  <c r="J40" i="46"/>
  <c r="H42" i="46"/>
  <c r="I43" i="46"/>
  <c r="J44" i="46"/>
  <c r="H46" i="46"/>
  <c r="I47" i="46"/>
  <c r="J48" i="46"/>
  <c r="H50" i="46"/>
  <c r="I51" i="46"/>
  <c r="J52" i="46"/>
  <c r="H32" i="46"/>
  <c r="I33" i="46"/>
  <c r="J34" i="46"/>
  <c r="H36" i="46"/>
  <c r="I37" i="46"/>
  <c r="J38" i="46"/>
  <c r="H40" i="46"/>
  <c r="I41" i="46"/>
  <c r="J42" i="46"/>
  <c r="H44" i="46"/>
  <c r="I45" i="46"/>
  <c r="J46" i="46"/>
  <c r="H48" i="46"/>
  <c r="I49" i="46"/>
  <c r="J50" i="46"/>
  <c r="H52" i="46"/>
  <c r="I53" i="46"/>
  <c r="C51" i="49" l="1"/>
  <c r="C50" i="49"/>
  <c r="D33" i="49"/>
  <c r="C50" i="50"/>
  <c r="D33" i="50"/>
  <c r="L11" i="65"/>
  <c r="G27" i="46"/>
  <c r="C49" i="51"/>
  <c r="D32" i="51"/>
  <c r="C50" i="51"/>
  <c r="J54" i="46"/>
  <c r="G54" i="46"/>
  <c r="H27" i="46"/>
  <c r="I48" i="65" s="1"/>
  <c r="I27" i="46"/>
  <c r="M48" i="65" s="1"/>
  <c r="I54" i="46"/>
  <c r="M49" i="65" s="1"/>
  <c r="H54" i="46"/>
  <c r="I49" i="65" s="1"/>
  <c r="J27" i="46"/>
  <c r="G61" i="46" l="1"/>
  <c r="K48" i="65"/>
  <c r="G62" i="46"/>
  <c r="K49" i="65"/>
  <c r="L18" i="65"/>
  <c r="L43" i="65" s="1"/>
  <c r="A12" i="45"/>
  <c r="A13" i="45"/>
  <c r="K13" i="45" s="1"/>
  <c r="A14" i="45"/>
  <c r="K14" i="45" s="1"/>
  <c r="A15" i="45"/>
  <c r="K15" i="45" s="1"/>
  <c r="A16" i="45"/>
  <c r="K16" i="45" s="1"/>
  <c r="A17" i="45"/>
  <c r="K17" i="45" s="1"/>
  <c r="A18" i="45"/>
  <c r="K18" i="45" s="1"/>
  <c r="A19" i="45"/>
  <c r="K19" i="45" s="1"/>
  <c r="A20" i="45"/>
  <c r="A21" i="45"/>
  <c r="K21" i="45" s="1"/>
  <c r="A22" i="45"/>
  <c r="K22" i="45" s="1"/>
  <c r="A23" i="45"/>
  <c r="K23" i="45" s="1"/>
  <c r="A24" i="45"/>
  <c r="K24" i="45" s="1"/>
  <c r="A25" i="45"/>
  <c r="K25" i="45" s="1"/>
  <c r="A26" i="45"/>
  <c r="K26" i="45" s="1"/>
  <c r="A27" i="45"/>
  <c r="K27" i="45" s="1"/>
  <c r="A28" i="45"/>
  <c r="K28" i="45" s="1"/>
  <c r="A29" i="45"/>
  <c r="K29" i="45" s="1"/>
  <c r="A30" i="45"/>
  <c r="K30" i="45" s="1"/>
  <c r="A31" i="45"/>
  <c r="K31" i="45" s="1"/>
  <c r="A32" i="45"/>
  <c r="K32" i="45" s="1"/>
  <c r="A33" i="45"/>
  <c r="K33" i="45" s="1"/>
  <c r="A34" i="45"/>
  <c r="K34" i="45" s="1"/>
  <c r="A35" i="45"/>
  <c r="K35" i="45" s="1"/>
  <c r="A36" i="45"/>
  <c r="K36" i="45" s="1"/>
  <c r="A37" i="45"/>
  <c r="K37" i="45" s="1"/>
  <c r="A38" i="45"/>
  <c r="K38" i="45" s="1"/>
  <c r="A39" i="45"/>
  <c r="K39" i="45" s="1"/>
  <c r="A40" i="45"/>
  <c r="K40" i="45" s="1"/>
  <c r="A41" i="45"/>
  <c r="K41" i="45" s="1"/>
  <c r="A42" i="45"/>
  <c r="K42" i="45" s="1"/>
  <c r="A11" i="45"/>
  <c r="K20" i="45" l="1"/>
  <c r="F20" i="45"/>
  <c r="I37" i="45"/>
  <c r="I29" i="45"/>
  <c r="I21" i="45"/>
  <c r="I13" i="45"/>
  <c r="N13" i="45" s="1"/>
  <c r="J35" i="45"/>
  <c r="J27" i="45"/>
  <c r="J19" i="45"/>
  <c r="I35" i="45"/>
  <c r="I27" i="45"/>
  <c r="I19" i="45"/>
  <c r="J41" i="45"/>
  <c r="J33" i="45"/>
  <c r="J25" i="45"/>
  <c r="J17" i="45"/>
  <c r="I41" i="45"/>
  <c r="I33" i="45"/>
  <c r="I25" i="45"/>
  <c r="I17" i="45"/>
  <c r="J39" i="45"/>
  <c r="J31" i="45"/>
  <c r="J23" i="45"/>
  <c r="J15" i="45"/>
  <c r="I39" i="45"/>
  <c r="I31" i="45"/>
  <c r="I23" i="45"/>
  <c r="I15" i="45"/>
  <c r="N15" i="45" s="1"/>
  <c r="J37" i="45"/>
  <c r="J29" i="45"/>
  <c r="J21" i="45"/>
  <c r="J13" i="45"/>
  <c r="I42" i="45"/>
  <c r="I38" i="45"/>
  <c r="I34" i="45"/>
  <c r="I30" i="45"/>
  <c r="I26" i="45"/>
  <c r="I22" i="45"/>
  <c r="I18" i="45"/>
  <c r="I14" i="45"/>
  <c r="N14" i="45" s="1"/>
  <c r="J40" i="45"/>
  <c r="J36" i="45"/>
  <c r="J32" i="45"/>
  <c r="J28" i="45"/>
  <c r="J24" i="45"/>
  <c r="J20" i="45"/>
  <c r="J16" i="45"/>
  <c r="I40" i="45"/>
  <c r="I36" i="45"/>
  <c r="I32" i="45"/>
  <c r="I28" i="45"/>
  <c r="I24" i="45"/>
  <c r="I20" i="45"/>
  <c r="N20" i="45" s="1"/>
  <c r="I16" i="45"/>
  <c r="J42" i="45"/>
  <c r="J38" i="45"/>
  <c r="J34" i="45"/>
  <c r="J30" i="45"/>
  <c r="J26" i="45"/>
  <c r="J22" i="45"/>
  <c r="J18" i="45"/>
  <c r="J14" i="45"/>
  <c r="J12" i="45"/>
  <c r="I11" i="45"/>
  <c r="N11" i="45" s="1"/>
  <c r="K11" i="45"/>
  <c r="J11" i="45"/>
  <c r="I12" i="45"/>
  <c r="N12" i="45" s="1"/>
  <c r="N32" i="45" l="1"/>
  <c r="N38" i="45"/>
  <c r="N36" i="45"/>
  <c r="N42" i="45"/>
  <c r="N39" i="45"/>
  <c r="N41" i="45"/>
  <c r="N21" i="45"/>
  <c r="N24" i="45"/>
  <c r="N40" i="45"/>
  <c r="N30" i="45"/>
  <c r="N17" i="45"/>
  <c r="N19" i="45"/>
  <c r="N29" i="45"/>
  <c r="N16" i="45"/>
  <c r="N22" i="45"/>
  <c r="N31" i="45"/>
  <c r="N33" i="45"/>
  <c r="N35" i="45"/>
  <c r="N26" i="45"/>
  <c r="N28" i="45"/>
  <c r="N18" i="45"/>
  <c r="N34" i="45"/>
  <c r="N23" i="45"/>
  <c r="N25" i="45"/>
  <c r="N27" i="45"/>
  <c r="N37" i="45"/>
  <c r="F41" i="45"/>
  <c r="R41" i="45" s="1"/>
  <c r="F35" i="45"/>
  <c r="R35" i="45" s="1"/>
  <c r="F33" i="45"/>
  <c r="R33" i="45" s="1"/>
  <c r="F31" i="45"/>
  <c r="R31" i="45" s="1"/>
  <c r="F29" i="45"/>
  <c r="R29" i="45" s="1"/>
  <c r="F27" i="45"/>
  <c r="R27" i="45" s="1"/>
  <c r="F26" i="45"/>
  <c r="R26" i="45" s="1"/>
  <c r="F22" i="45"/>
  <c r="R22" i="45" s="1"/>
  <c r="F19" i="45"/>
  <c r="R19" i="45" s="1"/>
  <c r="F18" i="45"/>
  <c r="R18" i="45" s="1"/>
  <c r="F16" i="45"/>
  <c r="R16" i="45" s="1"/>
  <c r="F12" i="45"/>
  <c r="L6" i="45"/>
  <c r="L5" i="45"/>
  <c r="L4" i="45"/>
  <c r="G11" i="44"/>
  <c r="G10" i="44"/>
  <c r="G9" i="44"/>
  <c r="G8" i="44"/>
  <c r="K12" i="45" s="1"/>
  <c r="Q19" i="45" l="1"/>
  <c r="M29" i="45"/>
  <c r="P35" i="45"/>
  <c r="Q29" i="45"/>
  <c r="Q26" i="45"/>
  <c r="P18" i="45"/>
  <c r="Q27" i="45"/>
  <c r="M41" i="45"/>
  <c r="M27" i="45"/>
  <c r="M35" i="45"/>
  <c r="M33" i="45"/>
  <c r="M22" i="45"/>
  <c r="P33" i="45"/>
  <c r="M16" i="45"/>
  <c r="P27" i="45"/>
  <c r="M26" i="45"/>
  <c r="M31" i="45"/>
  <c r="P22" i="45"/>
  <c r="P19" i="45"/>
  <c r="P41" i="45"/>
  <c r="Q18" i="45"/>
  <c r="P31" i="45"/>
  <c r="Q31" i="45"/>
  <c r="P26" i="45"/>
  <c r="Q35" i="45"/>
  <c r="M18" i="45"/>
  <c r="Q16" i="45"/>
  <c r="P16" i="45"/>
  <c r="P29" i="45"/>
  <c r="M19" i="45"/>
  <c r="Q22" i="45"/>
  <c r="Q41" i="45"/>
  <c r="Q33" i="45"/>
  <c r="Q20" i="45"/>
  <c r="M20" i="45"/>
  <c r="P20" i="45"/>
  <c r="R20" i="45"/>
  <c r="P12" i="45"/>
  <c r="Q12" i="45"/>
  <c r="R12" i="45"/>
  <c r="M12" i="45"/>
  <c r="F13" i="45"/>
  <c r="F30" i="45"/>
  <c r="L43" i="45"/>
  <c r="F15" i="45"/>
  <c r="F17" i="45"/>
  <c r="F24" i="45"/>
  <c r="F34" i="45"/>
  <c r="L7" i="45"/>
  <c r="F11" i="45"/>
  <c r="F14" i="45"/>
  <c r="F23" i="45"/>
  <c r="F21" i="45"/>
  <c r="F28" i="45"/>
  <c r="F37" i="45"/>
  <c r="F25" i="45"/>
  <c r="F40" i="45"/>
  <c r="F32" i="45"/>
  <c r="F38" i="45"/>
  <c r="F36" i="45"/>
  <c r="F39" i="45"/>
  <c r="F42" i="45"/>
  <c r="R37" i="45" l="1"/>
  <c r="Q37" i="45"/>
  <c r="P37" i="45"/>
  <c r="M37" i="45"/>
  <c r="R24" i="45"/>
  <c r="Q24" i="45"/>
  <c r="P24" i="45"/>
  <c r="M24" i="45"/>
  <c r="R32" i="45"/>
  <c r="M32" i="45"/>
  <c r="P32" i="45"/>
  <c r="Q32" i="45"/>
  <c r="R39" i="45"/>
  <c r="M39" i="45"/>
  <c r="Q39" i="45"/>
  <c r="P39" i="45"/>
  <c r="R40" i="45"/>
  <c r="Q40" i="45"/>
  <c r="P40" i="45"/>
  <c r="M40" i="45"/>
  <c r="R21" i="45"/>
  <c r="Q21" i="45"/>
  <c r="P21" i="45"/>
  <c r="M21" i="45"/>
  <c r="R38" i="45"/>
  <c r="M38" i="45"/>
  <c r="P38" i="45"/>
  <c r="Q38" i="45"/>
  <c r="R30" i="45"/>
  <c r="P30" i="45"/>
  <c r="M30" i="45"/>
  <c r="Q30" i="45"/>
  <c r="R42" i="45"/>
  <c r="P42" i="45"/>
  <c r="Q42" i="45"/>
  <c r="M42" i="45"/>
  <c r="R28" i="45"/>
  <c r="Q28" i="45"/>
  <c r="P28" i="45"/>
  <c r="M28" i="45"/>
  <c r="R17" i="45"/>
  <c r="M17" i="45"/>
  <c r="Q17" i="45"/>
  <c r="P17" i="45"/>
  <c r="R36" i="45"/>
  <c r="P36" i="45"/>
  <c r="Q36" i="45"/>
  <c r="M36" i="45"/>
  <c r="R25" i="45"/>
  <c r="Q25" i="45"/>
  <c r="P25" i="45"/>
  <c r="M25" i="45"/>
  <c r="R23" i="45"/>
  <c r="Q23" i="45"/>
  <c r="M23" i="45"/>
  <c r="P23" i="45"/>
  <c r="R34" i="45"/>
  <c r="M34" i="45"/>
  <c r="Q34" i="45"/>
  <c r="P34" i="45"/>
  <c r="Q15" i="45"/>
  <c r="R15" i="45"/>
  <c r="M15" i="45"/>
  <c r="P15" i="45"/>
  <c r="R11" i="45"/>
  <c r="M11" i="45"/>
  <c r="Q11" i="45"/>
  <c r="P11" i="45"/>
  <c r="P13" i="45"/>
  <c r="Q13" i="45"/>
  <c r="R13" i="45"/>
  <c r="M13" i="45"/>
  <c r="R14" i="45"/>
  <c r="P14" i="45"/>
  <c r="Q14" i="45"/>
  <c r="M14" i="45"/>
  <c r="O43" i="45"/>
  <c r="R43" i="45" l="1"/>
  <c r="Q43" i="45"/>
  <c r="P43" i="45"/>
  <c r="I47" i="65" s="1"/>
  <c r="I50" i="65" s="1"/>
  <c r="I45" i="65" s="1"/>
  <c r="N43" i="45"/>
  <c r="G60" i="46" s="1"/>
  <c r="M43" i="45"/>
  <c r="G59" i="46" l="1"/>
  <c r="G64" i="46" s="1"/>
  <c r="G68" i="46" s="1"/>
  <c r="K47" i="65"/>
  <c r="K50" i="65" s="1"/>
  <c r="K45" i="65" s="1"/>
  <c r="M47" i="65"/>
  <c r="M50" i="65" s="1"/>
  <c r="M45" i="65" s="1"/>
  <c r="BK12" i="41"/>
  <c r="BQ12" i="41" s="1"/>
  <c r="BH8" i="41"/>
  <c r="BN8" i="41" s="1"/>
  <c r="V9" i="41"/>
  <c r="V10" i="41"/>
  <c r="V11" i="41"/>
  <c r="V12" i="41"/>
  <c r="V13" i="41"/>
  <c r="V14" i="41"/>
  <c r="V15" i="41"/>
  <c r="V16" i="41"/>
  <c r="V17" i="41"/>
  <c r="V18" i="41"/>
  <c r="V19" i="41"/>
  <c r="V20" i="41"/>
  <c r="V21" i="41"/>
  <c r="V22" i="41"/>
  <c r="V23" i="41"/>
  <c r="V24" i="41"/>
  <c r="V25" i="41"/>
  <c r="V26" i="41"/>
  <c r="V48" i="41"/>
  <c r="V49" i="41"/>
  <c r="V50" i="41"/>
  <c r="V51" i="41"/>
  <c r="V52" i="41"/>
  <c r="CD58" i="41"/>
  <c r="CD57" i="41"/>
  <c r="CD56" i="41"/>
  <c r="CD55" i="41"/>
  <c r="CD54" i="41"/>
  <c r="CD53" i="41"/>
  <c r="CD52" i="41"/>
  <c r="CD51" i="41"/>
  <c r="CD50" i="41"/>
  <c r="CD49" i="41"/>
  <c r="CD48" i="41"/>
  <c r="CD47" i="41"/>
  <c r="CD46" i="41"/>
  <c r="CD45" i="41"/>
  <c r="CD44" i="41"/>
  <c r="CD43" i="41"/>
  <c r="CD42" i="41"/>
  <c r="CD41" i="41"/>
  <c r="CD40" i="41"/>
  <c r="CD39" i="41"/>
  <c r="CD38" i="41"/>
  <c r="CD37" i="41"/>
  <c r="CD36" i="41"/>
  <c r="CD35" i="41"/>
  <c r="CD34" i="41"/>
  <c r="CD33" i="41"/>
  <c r="CD32" i="41"/>
  <c r="CD31" i="41"/>
  <c r="B53" i="41"/>
  <c r="CD30" i="41"/>
  <c r="BU52" i="41"/>
  <c r="BT52" i="41"/>
  <c r="S52" i="41"/>
  <c r="T52" i="41" s="1"/>
  <c r="O52" i="41"/>
  <c r="L52" i="41"/>
  <c r="K52" i="41"/>
  <c r="I52" i="41"/>
  <c r="E52" i="41"/>
  <c r="D52" i="41"/>
  <c r="CD29" i="41"/>
  <c r="BU51" i="41"/>
  <c r="BT51" i="41"/>
  <c r="S51" i="41"/>
  <c r="T51" i="41" s="1"/>
  <c r="O51" i="41"/>
  <c r="L51" i="41"/>
  <c r="K51" i="41"/>
  <c r="I51" i="41"/>
  <c r="E51" i="41"/>
  <c r="D51" i="41"/>
  <c r="CD28" i="41"/>
  <c r="BU50" i="41"/>
  <c r="BT50" i="41"/>
  <c r="S50" i="41"/>
  <c r="T50" i="41" s="1"/>
  <c r="O50" i="41"/>
  <c r="L50" i="41"/>
  <c r="K50" i="41"/>
  <c r="I50" i="41"/>
  <c r="E50" i="41"/>
  <c r="D50" i="41"/>
  <c r="CD27" i="41"/>
  <c r="BU49" i="41"/>
  <c r="BT49" i="41"/>
  <c r="S49" i="41"/>
  <c r="T49" i="41" s="1"/>
  <c r="O49" i="41"/>
  <c r="L49" i="41"/>
  <c r="K49" i="41"/>
  <c r="I49" i="41"/>
  <c r="E49" i="41"/>
  <c r="D49" i="41"/>
  <c r="CD26" i="41"/>
  <c r="BU48" i="41"/>
  <c r="BT48" i="41"/>
  <c r="S48" i="41"/>
  <c r="T48" i="41" s="1"/>
  <c r="O48" i="41"/>
  <c r="L48" i="41"/>
  <c r="K48" i="41"/>
  <c r="I48" i="41"/>
  <c r="E48" i="41"/>
  <c r="D48" i="41"/>
  <c r="CD25" i="41"/>
  <c r="BU26" i="41"/>
  <c r="BT26" i="41"/>
  <c r="S26" i="41"/>
  <c r="T26" i="41" s="1"/>
  <c r="O26" i="41"/>
  <c r="L26" i="41"/>
  <c r="K26" i="41"/>
  <c r="I26" i="41"/>
  <c r="E26" i="41"/>
  <c r="D26" i="41"/>
  <c r="CD24" i="41"/>
  <c r="BU25" i="41"/>
  <c r="BT25" i="41"/>
  <c r="S25" i="41"/>
  <c r="T25" i="41" s="1"/>
  <c r="O25" i="41"/>
  <c r="L25" i="41"/>
  <c r="K25" i="41"/>
  <c r="I25" i="41"/>
  <c r="E25" i="41"/>
  <c r="D25" i="41"/>
  <c r="BU24" i="41"/>
  <c r="BT24" i="41"/>
  <c r="S24" i="41"/>
  <c r="T24" i="41" s="1"/>
  <c r="O24" i="41"/>
  <c r="L24" i="41"/>
  <c r="K24" i="41"/>
  <c r="I24" i="41"/>
  <c r="E24" i="41"/>
  <c r="D24" i="41"/>
  <c r="CD23" i="41"/>
  <c r="BU23" i="41"/>
  <c r="BT23" i="41"/>
  <c r="S23" i="41"/>
  <c r="T23" i="41" s="1"/>
  <c r="O23" i="41"/>
  <c r="L23" i="41"/>
  <c r="K23" i="41"/>
  <c r="I23" i="41"/>
  <c r="E23" i="41"/>
  <c r="D23" i="41"/>
  <c r="CD22" i="41"/>
  <c r="BU22" i="41"/>
  <c r="BT22" i="41"/>
  <c r="S22" i="41"/>
  <c r="T22" i="41" s="1"/>
  <c r="O22" i="41"/>
  <c r="L22" i="41"/>
  <c r="K22" i="41"/>
  <c r="I22" i="41"/>
  <c r="E22" i="41"/>
  <c r="D22" i="41"/>
  <c r="CD21" i="41"/>
  <c r="BU21" i="41"/>
  <c r="BT21" i="41"/>
  <c r="S21" i="41"/>
  <c r="T21" i="41" s="1"/>
  <c r="O21" i="41"/>
  <c r="L21" i="41"/>
  <c r="K21" i="41"/>
  <c r="I21" i="41"/>
  <c r="E21" i="41"/>
  <c r="D21" i="41"/>
  <c r="CD20" i="41"/>
  <c r="BU20" i="41"/>
  <c r="BT20" i="41"/>
  <c r="S20" i="41"/>
  <c r="T20" i="41" s="1"/>
  <c r="O20" i="41"/>
  <c r="L20" i="41"/>
  <c r="K20" i="41"/>
  <c r="I20" i="41"/>
  <c r="E20" i="41"/>
  <c r="D20" i="41"/>
  <c r="CD19" i="41"/>
  <c r="BU19" i="41"/>
  <c r="BT19" i="41"/>
  <c r="S19" i="41"/>
  <c r="T19" i="41" s="1"/>
  <c r="O19" i="41"/>
  <c r="L19" i="41"/>
  <c r="K19" i="41"/>
  <c r="I19" i="41"/>
  <c r="E19" i="41"/>
  <c r="D19" i="41"/>
  <c r="CD18" i="41"/>
  <c r="BU18" i="41"/>
  <c r="BT18" i="41"/>
  <c r="S18" i="41"/>
  <c r="T18" i="41" s="1"/>
  <c r="O18" i="41"/>
  <c r="L18" i="41"/>
  <c r="K18" i="41"/>
  <c r="I18" i="41"/>
  <c r="E18" i="41"/>
  <c r="D18" i="41"/>
  <c r="CD17" i="41"/>
  <c r="BU17" i="41"/>
  <c r="BT17" i="41"/>
  <c r="S17" i="41"/>
  <c r="T17" i="41" s="1"/>
  <c r="O17" i="41"/>
  <c r="L17" i="41"/>
  <c r="K17" i="41"/>
  <c r="I17" i="41"/>
  <c r="E17" i="41"/>
  <c r="D17" i="41"/>
  <c r="BU16" i="41"/>
  <c r="BT16" i="41"/>
  <c r="S16" i="41"/>
  <c r="T16" i="41" s="1"/>
  <c r="O16" i="41"/>
  <c r="L16" i="41"/>
  <c r="K16" i="41"/>
  <c r="I16" i="41"/>
  <c r="E16" i="41"/>
  <c r="D16" i="41"/>
  <c r="CD15" i="41"/>
  <c r="BU15" i="41"/>
  <c r="BT15" i="41"/>
  <c r="S15" i="41"/>
  <c r="T15" i="41" s="1"/>
  <c r="O15" i="41"/>
  <c r="L15" i="41"/>
  <c r="K15" i="41"/>
  <c r="I15" i="41"/>
  <c r="E15" i="41"/>
  <c r="D15" i="41"/>
  <c r="CD14" i="41"/>
  <c r="BU14" i="41"/>
  <c r="BT14" i="41"/>
  <c r="S14" i="41"/>
  <c r="T14" i="41" s="1"/>
  <c r="O14" i="41"/>
  <c r="L14" i="41"/>
  <c r="K14" i="41"/>
  <c r="I14" i="41"/>
  <c r="E14" i="41"/>
  <c r="D14" i="41"/>
  <c r="CD13" i="41"/>
  <c r="BU13" i="41"/>
  <c r="BT13" i="41"/>
  <c r="S13" i="41"/>
  <c r="T13" i="41" s="1"/>
  <c r="O13" i="41"/>
  <c r="L13" i="41"/>
  <c r="K13" i="41"/>
  <c r="I13" i="41"/>
  <c r="E13" i="41"/>
  <c r="D13" i="41"/>
  <c r="CD12" i="41"/>
  <c r="BU12" i="41"/>
  <c r="BT12" i="41"/>
  <c r="S12" i="41"/>
  <c r="T12" i="41" s="1"/>
  <c r="O12" i="41"/>
  <c r="L12" i="41"/>
  <c r="K12" i="41"/>
  <c r="I12" i="41"/>
  <c r="E12" i="41"/>
  <c r="D12" i="41"/>
  <c r="CD11" i="41"/>
  <c r="BU11" i="41"/>
  <c r="BT11" i="41"/>
  <c r="S11" i="41"/>
  <c r="T11" i="41" s="1"/>
  <c r="O11" i="41"/>
  <c r="L11" i="41"/>
  <c r="K11" i="41"/>
  <c r="I11" i="41"/>
  <c r="E11" i="41"/>
  <c r="CD10" i="41"/>
  <c r="BU10" i="41"/>
  <c r="BT10" i="41"/>
  <c r="S10" i="41"/>
  <c r="T10" i="41" s="1"/>
  <c r="O10" i="41"/>
  <c r="L10" i="41"/>
  <c r="K10" i="41"/>
  <c r="I10" i="41"/>
  <c r="E10" i="41"/>
  <c r="CD9" i="41"/>
  <c r="BU9" i="41"/>
  <c r="BT9" i="41"/>
  <c r="S9" i="41"/>
  <c r="T9" i="41" s="1"/>
  <c r="O9" i="41"/>
  <c r="L9" i="41"/>
  <c r="K9" i="41"/>
  <c r="I9" i="41"/>
  <c r="E9" i="41"/>
  <c r="CD8" i="41"/>
  <c r="BU8" i="41"/>
  <c r="BT8" i="41"/>
  <c r="S8" i="41"/>
  <c r="T8" i="41" s="1"/>
  <c r="O8" i="41"/>
  <c r="L8" i="41"/>
  <c r="K8" i="41"/>
  <c r="I8" i="41"/>
  <c r="E8" i="41"/>
  <c r="D8" i="41"/>
  <c r="CD7" i="41"/>
  <c r="CD6" i="41"/>
  <c r="CD5" i="41"/>
  <c r="CD4" i="41"/>
  <c r="CD3" i="41"/>
  <c r="BM54" i="41" l="1"/>
  <c r="BG54" i="41" s="1"/>
  <c r="BP54" i="41"/>
  <c r="BJ54" i="41" s="1"/>
  <c r="BO54" i="41"/>
  <c r="BI54" i="41" s="1"/>
  <c r="C11" i="65"/>
  <c r="BK49" i="41"/>
  <c r="BQ49" i="41" s="1"/>
  <c r="BK24" i="41"/>
  <c r="BQ24" i="41" s="1"/>
  <c r="BK20" i="41"/>
  <c r="BQ20" i="41" s="1"/>
  <c r="BK16" i="41"/>
  <c r="BQ16" i="41" s="1"/>
  <c r="BH49" i="41"/>
  <c r="BN49" i="41" s="1"/>
  <c r="BH24" i="41"/>
  <c r="BN24" i="41" s="1"/>
  <c r="BH20" i="41"/>
  <c r="BN20" i="41" s="1"/>
  <c r="BH16" i="41"/>
  <c r="BN16" i="41" s="1"/>
  <c r="BH12" i="41"/>
  <c r="BN12" i="41" s="1"/>
  <c r="BK8" i="41"/>
  <c r="BQ8" i="41" s="1"/>
  <c r="BH50" i="41"/>
  <c r="BN50" i="41" s="1"/>
  <c r="BH25" i="41"/>
  <c r="BN25" i="41" s="1"/>
  <c r="BH21" i="41"/>
  <c r="BN21" i="41" s="1"/>
  <c r="BH17" i="41"/>
  <c r="BN17" i="41" s="1"/>
  <c r="BH13" i="41"/>
  <c r="BN13" i="41" s="1"/>
  <c r="BH9" i="41"/>
  <c r="BN9" i="41" s="1"/>
  <c r="BK52" i="41"/>
  <c r="BQ52" i="41" s="1"/>
  <c r="BK48" i="41"/>
  <c r="BQ48" i="41" s="1"/>
  <c r="BK23" i="41"/>
  <c r="BQ23" i="41" s="1"/>
  <c r="BK15" i="41"/>
  <c r="BQ15" i="41" s="1"/>
  <c r="BK11" i="41"/>
  <c r="BQ11" i="41" s="1"/>
  <c r="BK50" i="41"/>
  <c r="BQ50" i="41" s="1"/>
  <c r="BK25" i="41"/>
  <c r="BQ25" i="41" s="1"/>
  <c r="BK21" i="41"/>
  <c r="BQ21" i="41" s="1"/>
  <c r="BK17" i="41"/>
  <c r="BQ17" i="41" s="1"/>
  <c r="BK13" i="41"/>
  <c r="BQ13" i="41" s="1"/>
  <c r="BK9" i="41"/>
  <c r="BQ9" i="41" s="1"/>
  <c r="BH52" i="41"/>
  <c r="BN52" i="41" s="1"/>
  <c r="BH48" i="41"/>
  <c r="BN48" i="41" s="1"/>
  <c r="BH23" i="41"/>
  <c r="BN23" i="41" s="1"/>
  <c r="BH19" i="41"/>
  <c r="BN19" i="41" s="1"/>
  <c r="BH15" i="41"/>
  <c r="BN15" i="41" s="1"/>
  <c r="BH11" i="41"/>
  <c r="BN11" i="41" s="1"/>
  <c r="BK51" i="41"/>
  <c r="BQ51" i="41" s="1"/>
  <c r="BK26" i="41"/>
  <c r="BQ26" i="41" s="1"/>
  <c r="BK22" i="41"/>
  <c r="BQ22" i="41" s="1"/>
  <c r="BK18" i="41"/>
  <c r="BQ18" i="41" s="1"/>
  <c r="BK14" i="41"/>
  <c r="BQ14" i="41" s="1"/>
  <c r="BH51" i="41"/>
  <c r="BN51" i="41" s="1"/>
  <c r="BH26" i="41"/>
  <c r="BN26" i="41" s="1"/>
  <c r="BH22" i="41"/>
  <c r="BN22" i="41" s="1"/>
  <c r="BH18" i="41"/>
  <c r="BN18" i="41" s="1"/>
  <c r="BH14" i="41"/>
  <c r="BN14" i="41" s="1"/>
  <c r="BH10" i="41"/>
  <c r="BN10" i="41" s="1"/>
  <c r="G24" i="41"/>
  <c r="BK19" i="41"/>
  <c r="BQ19" i="41" s="1"/>
  <c r="G14" i="41"/>
  <c r="G16" i="41"/>
  <c r="G26" i="41"/>
  <c r="G50" i="41"/>
  <c r="G20" i="41"/>
  <c r="G22" i="41"/>
  <c r="G51" i="41"/>
  <c r="G9" i="41"/>
  <c r="G11" i="41"/>
  <c r="G19" i="41"/>
  <c r="G48" i="41"/>
  <c r="G8" i="41"/>
  <c r="Q8" i="41" s="1"/>
  <c r="G12" i="41"/>
  <c r="G18" i="41"/>
  <c r="G23" i="41"/>
  <c r="G49" i="41"/>
  <c r="G52" i="41"/>
  <c r="G10" i="41"/>
  <c r="G15" i="41"/>
  <c r="G17" i="41"/>
  <c r="G25" i="41"/>
  <c r="G13" i="41"/>
  <c r="G21" i="41"/>
  <c r="T53" i="41"/>
  <c r="C44" i="40"/>
  <c r="C49" i="40"/>
  <c r="C50" i="40" s="1"/>
  <c r="C48" i="40"/>
  <c r="D48" i="40" s="1"/>
  <c r="C28" i="40"/>
  <c r="B27" i="40"/>
  <c r="C25" i="40"/>
  <c r="C26" i="40" s="1"/>
  <c r="C24" i="40"/>
  <c r="C23" i="40"/>
  <c r="C18" i="40"/>
  <c r="E17" i="40"/>
  <c r="C16" i="40"/>
  <c r="C15" i="40"/>
  <c r="C11" i="40"/>
  <c r="C10" i="40"/>
  <c r="C8" i="40"/>
  <c r="O11" i="65" l="1"/>
  <c r="C18" i="65"/>
  <c r="K19" i="65" s="1"/>
  <c r="R9" i="41"/>
  <c r="R8" i="41"/>
  <c r="R52" i="41"/>
  <c r="P11" i="65"/>
  <c r="Q11" i="65"/>
  <c r="E11" i="65"/>
  <c r="G11" i="65" s="1"/>
  <c r="BQ53" i="41"/>
  <c r="C19" i="40"/>
  <c r="C54" i="40" s="1"/>
  <c r="B34" i="40"/>
  <c r="B32" i="40" s="1"/>
  <c r="C32" i="40" s="1"/>
  <c r="R53" i="41" l="1"/>
  <c r="D11" i="65" s="1"/>
  <c r="D18" i="65" s="1"/>
  <c r="I66" i="46"/>
  <c r="G66" i="46" s="1"/>
  <c r="C42" i="65"/>
  <c r="O18" i="65"/>
  <c r="M11" i="65"/>
  <c r="R11" i="65" s="1"/>
  <c r="BQ54" i="41"/>
  <c r="BK54" i="41" s="1"/>
  <c r="P18" i="65"/>
  <c r="Q18" i="65"/>
  <c r="BN53" i="41"/>
  <c r="B31" i="40"/>
  <c r="C31" i="40" s="1"/>
  <c r="B33" i="40"/>
  <c r="C33" i="40" s="1"/>
  <c r="C37" i="40"/>
  <c r="C45" i="40" s="1"/>
  <c r="C53" i="40"/>
  <c r="R45" i="65" l="1"/>
  <c r="P45" i="65"/>
  <c r="N45" i="65"/>
  <c r="M18" i="65"/>
  <c r="I11" i="65"/>
  <c r="N11" i="65" s="1"/>
  <c r="BN54" i="41"/>
  <c r="BH54" i="41" s="1"/>
  <c r="F11" i="65"/>
  <c r="C34" i="40"/>
  <c r="C51" i="40" s="1"/>
  <c r="N19" i="65" l="1"/>
  <c r="D43" i="65"/>
  <c r="D46" i="65" s="1"/>
  <c r="R18" i="65"/>
  <c r="M43" i="65"/>
  <c r="I18" i="65"/>
  <c r="F18" i="65"/>
  <c r="C52" i="40"/>
  <c r="D34" i="40"/>
  <c r="N18" i="65" l="1"/>
  <c r="I43" i="65"/>
  <c r="N39" i="36"/>
  <c r="O39" i="36"/>
  <c r="P39" i="36"/>
  <c r="N40" i="36"/>
  <c r="O40" i="36"/>
  <c r="P40" i="36"/>
  <c r="N41" i="36"/>
  <c r="O41" i="36"/>
  <c r="P41" i="36"/>
  <c r="N42" i="36"/>
  <c r="O42" i="36"/>
  <c r="P42" i="36"/>
  <c r="N43" i="36"/>
  <c r="O43" i="36"/>
  <c r="P43" i="36"/>
  <c r="P38" i="36"/>
  <c r="O38" i="36"/>
  <c r="N38" i="36"/>
  <c r="N27" i="36"/>
  <c r="O27" i="36"/>
  <c r="P27" i="36"/>
  <c r="N28" i="36"/>
  <c r="O28" i="36"/>
  <c r="P28" i="36"/>
  <c r="N29" i="36"/>
  <c r="O29" i="36"/>
  <c r="P29" i="36"/>
  <c r="N30" i="36"/>
  <c r="O30" i="36"/>
  <c r="P30" i="36"/>
  <c r="P26" i="36"/>
  <c r="O26" i="36"/>
  <c r="N26" i="36"/>
  <c r="N16" i="36"/>
  <c r="O16" i="36"/>
  <c r="P16" i="36"/>
  <c r="N17" i="36"/>
  <c r="O17" i="36"/>
  <c r="P17" i="36"/>
  <c r="N18" i="36"/>
  <c r="O18" i="36"/>
  <c r="P18" i="36"/>
  <c r="P15" i="36"/>
  <c r="O15" i="36"/>
  <c r="N15" i="36"/>
  <c r="N6" i="36"/>
  <c r="O6" i="36"/>
  <c r="P6" i="36"/>
  <c r="N7" i="36"/>
  <c r="O7" i="36"/>
  <c r="P7" i="36"/>
  <c r="P5" i="36"/>
  <c r="O5" i="36"/>
  <c r="N5" i="36"/>
  <c r="P33" i="36"/>
  <c r="N10" i="36"/>
  <c r="G33" i="36"/>
  <c r="E10" i="36"/>
  <c r="E43" i="36"/>
  <c r="F43" i="36"/>
  <c r="G43" i="36"/>
  <c r="G42" i="36"/>
  <c r="F42" i="36"/>
  <c r="E42" i="36"/>
  <c r="G41" i="36"/>
  <c r="F41" i="36"/>
  <c r="E41" i="36"/>
  <c r="G40" i="36"/>
  <c r="F40" i="36"/>
  <c r="E40" i="36"/>
  <c r="G39" i="36"/>
  <c r="F39" i="36"/>
  <c r="E39" i="36"/>
  <c r="G38" i="36"/>
  <c r="F38" i="36"/>
  <c r="E38" i="36"/>
  <c r="E30" i="36"/>
  <c r="F30" i="36"/>
  <c r="G30" i="36"/>
  <c r="G29" i="36"/>
  <c r="F29" i="36"/>
  <c r="E29" i="36"/>
  <c r="G28" i="36"/>
  <c r="F28" i="36"/>
  <c r="E28" i="36"/>
  <c r="G27" i="36"/>
  <c r="F27" i="36"/>
  <c r="E27" i="36"/>
  <c r="G26" i="36"/>
  <c r="F26" i="36"/>
  <c r="E26" i="36"/>
  <c r="E18" i="36"/>
  <c r="F18" i="36"/>
  <c r="G18" i="36"/>
  <c r="F6" i="36"/>
  <c r="G6" i="36"/>
  <c r="F7" i="36"/>
  <c r="G7" i="36"/>
  <c r="F15" i="36"/>
  <c r="G15" i="36"/>
  <c r="F16" i="36"/>
  <c r="G16" i="36"/>
  <c r="F17" i="36"/>
  <c r="G17" i="36"/>
  <c r="G5" i="36"/>
  <c r="F5" i="36"/>
  <c r="E6" i="36"/>
  <c r="E7" i="36"/>
  <c r="E15" i="36"/>
  <c r="E16" i="36"/>
  <c r="E17" i="36"/>
  <c r="E5" i="36"/>
  <c r="N44" i="36" l="1"/>
  <c r="N46" i="36" s="1"/>
  <c r="O44" i="36"/>
  <c r="O46" i="36" s="1"/>
  <c r="P44" i="36"/>
  <c r="P46" i="36" s="1"/>
  <c r="N31" i="36"/>
  <c r="N33" i="36" s="1"/>
  <c r="O31" i="36"/>
  <c r="O33" i="36" s="1"/>
  <c r="P31" i="36"/>
  <c r="N19" i="36"/>
  <c r="N21" i="36" s="1"/>
  <c r="O19" i="36"/>
  <c r="O21" i="36" s="1"/>
  <c r="P19" i="36"/>
  <c r="P21" i="36" s="1"/>
  <c r="O8" i="36"/>
  <c r="O10" i="36" s="1"/>
  <c r="N8" i="36"/>
  <c r="P8" i="36"/>
  <c r="P10" i="36" s="1"/>
  <c r="E8" i="36"/>
  <c r="E44" i="36"/>
  <c r="E46" i="36" s="1"/>
  <c r="G8" i="36"/>
  <c r="G10" i="36" s="1"/>
  <c r="E19" i="36"/>
  <c r="E21" i="36" s="1"/>
  <c r="F19" i="36"/>
  <c r="F21" i="36" s="1"/>
  <c r="F8" i="36"/>
  <c r="F10" i="36" s="1"/>
  <c r="E31" i="36"/>
  <c r="E33" i="36" s="1"/>
  <c r="G31" i="36"/>
  <c r="F44" i="36"/>
  <c r="F46" i="36" s="1"/>
  <c r="G44" i="36"/>
  <c r="G46" i="36" s="1"/>
  <c r="F31" i="36"/>
  <c r="F33" i="36" s="1"/>
  <c r="G19" i="36"/>
  <c r="G21" i="36" s="1"/>
  <c r="E17" i="65" l="1"/>
  <c r="E18" i="65" l="1"/>
  <c r="E46" i="65" s="1"/>
  <c r="G17" i="65"/>
  <c r="E43" i="65" l="1"/>
  <c r="G18" i="65"/>
  <c r="I19" i="65"/>
  <c r="I20" i="65" s="1"/>
</calcChain>
</file>

<file path=xl/comments1.xml><?xml version="1.0" encoding="utf-8"?>
<comments xmlns="http://schemas.openxmlformats.org/spreadsheetml/2006/main">
  <authors>
    <author>Ann-Chrisin Alzer</author>
  </authors>
  <commentList>
    <comment ref="D7" authorId="0" shapeId="0">
      <text>
        <r>
          <rPr>
            <b/>
            <sz val="9"/>
            <color indexed="81"/>
            <rFont val="Segoe UI"/>
            <charset val="1"/>
          </rPr>
          <t>TM für Ackerbaukulturen und FM bei Heil- und Gewürzpflanzen</t>
        </r>
      </text>
    </comment>
    <comment ref="M7" authorId="0" shapeId="0">
      <text>
        <r>
          <rPr>
            <b/>
            <sz val="9"/>
            <color indexed="81"/>
            <rFont val="Segoe UI"/>
            <charset val="1"/>
          </rPr>
          <t>TM für Ackerbaukulturen und FM bei Heil- und Gewürzpflanzen</t>
        </r>
      </text>
    </comment>
  </commentList>
</comments>
</file>

<file path=xl/comments2.xml><?xml version="1.0" encoding="utf-8"?>
<comments xmlns="http://schemas.openxmlformats.org/spreadsheetml/2006/main">
  <authors>
    <author>mahler_k</author>
  </authors>
  <commentList>
    <comment ref="CM63" authorId="0" shapeId="0">
      <text>
        <r>
          <rPr>
            <sz val="10"/>
            <color indexed="81"/>
            <rFont val="Segoe UI"/>
            <family val="2"/>
          </rPr>
          <t xml:space="preserve">Werte der Stachelbeere Nährstoffvergleich 2018
</t>
        </r>
      </text>
    </comment>
  </commentList>
</comments>
</file>

<file path=xl/comments3.xml><?xml version="1.0" encoding="utf-8"?>
<comments xmlns="http://schemas.openxmlformats.org/spreadsheetml/2006/main">
  <authors>
    <author>mahler_k</author>
  </authors>
  <commentList>
    <comment ref="CT62" authorId="0" shapeId="0">
      <text>
        <r>
          <rPr>
            <sz val="10"/>
            <color indexed="81"/>
            <rFont val="Segoe UI"/>
            <family val="2"/>
          </rPr>
          <t xml:space="preserve">Werte der Stachelbeere Nährstoffvergleich 2018
</t>
        </r>
      </text>
    </comment>
    <comment ref="CP63" authorId="0" shapeId="0">
      <text>
        <r>
          <rPr>
            <sz val="10"/>
            <color indexed="81"/>
            <rFont val="Segoe UI"/>
            <family val="2"/>
          </rPr>
          <t xml:space="preserve">Werte der Stachelbeere Nährstoffvergleich 2018
</t>
        </r>
      </text>
    </comment>
  </commentList>
</comments>
</file>

<file path=xl/comments4.xml><?xml version="1.0" encoding="utf-8"?>
<comments xmlns="http://schemas.openxmlformats.org/spreadsheetml/2006/main">
  <authors>
    <author>mahler_k</author>
  </authors>
  <commentList>
    <comment ref="BU64" authorId="0" shapeId="0">
      <text>
        <r>
          <rPr>
            <sz val="10"/>
            <color indexed="81"/>
            <rFont val="Segoe UI"/>
            <family val="2"/>
          </rPr>
          <t xml:space="preserve">Werte der Stachelbeere Nährstoffvergleich 2018
</t>
        </r>
      </text>
    </comment>
  </commentList>
</comments>
</file>

<file path=xl/comments5.xml><?xml version="1.0" encoding="utf-8"?>
<comments xmlns="http://schemas.openxmlformats.org/spreadsheetml/2006/main">
  <authors>
    <author>mahler_k</author>
  </authors>
  <commentList>
    <comment ref="BU64" authorId="0" shapeId="0">
      <text>
        <r>
          <rPr>
            <sz val="10"/>
            <color indexed="81"/>
            <rFont val="Segoe UI"/>
            <family val="2"/>
          </rPr>
          <t xml:space="preserve">Werte der Stachelbeere Nährstoffvergleich 2018
</t>
        </r>
      </text>
    </comment>
  </commentList>
</comments>
</file>

<file path=xl/sharedStrings.xml><?xml version="1.0" encoding="utf-8"?>
<sst xmlns="http://schemas.openxmlformats.org/spreadsheetml/2006/main" count="12694" uniqueCount="1768">
  <si>
    <t>Winterweizen</t>
  </si>
  <si>
    <t>Sortentyp</t>
  </si>
  <si>
    <t>C</t>
  </si>
  <si>
    <t>E</t>
  </si>
  <si>
    <t>kg N/ha</t>
  </si>
  <si>
    <t>Abschlag in kg N/ha</t>
  </si>
  <si>
    <t>Vorfrucht</t>
  </si>
  <si>
    <t>Feldgras</t>
  </si>
  <si>
    <t>Zwischenfrucht</t>
  </si>
  <si>
    <t>Futter-Nichtleguminose</t>
  </si>
  <si>
    <t>Futterleguminose</t>
  </si>
  <si>
    <t>% RP</t>
  </si>
  <si>
    <t>kg Korn-N/ha</t>
  </si>
  <si>
    <t>kg Stroh-N/ha</t>
  </si>
  <si>
    <t>Korn:Stroh = 1:</t>
  </si>
  <si>
    <t>A oder B</t>
  </si>
  <si>
    <t>Hafer</t>
  </si>
  <si>
    <t>Luzerne, Klee, Kleegras</t>
  </si>
  <si>
    <t>Grünland, Dauerbrache</t>
  </si>
  <si>
    <t>Rot.brache ohne Legumin.</t>
  </si>
  <si>
    <t>Rot.brache mit Legumin.</t>
  </si>
  <si>
    <t>Kohlgemüse</t>
  </si>
  <si>
    <t>Raps, Körnerlegumin.</t>
  </si>
  <si>
    <t>Kartoffeln, Nicht-Kohl-Gemüse</t>
  </si>
  <si>
    <t>10 % vom aufgebrachten Ges.-N</t>
  </si>
  <si>
    <t>abgefrorene Nichtleguminose</t>
  </si>
  <si>
    <t>Herbst-eingearbeit. Nichtlegumin.</t>
  </si>
  <si>
    <t>Frühjahr-eingearbeit. Nichtlegumin.</t>
  </si>
  <si>
    <t>abgefrorene Leguminose</t>
  </si>
  <si>
    <t>Herbst-eingearbeit. Leguminose</t>
  </si>
  <si>
    <t>Frühjahr-eingearbeit. Leguminose</t>
  </si>
  <si>
    <t>keine</t>
  </si>
  <si>
    <t>Qualität</t>
  </si>
  <si>
    <t>dt/ha</t>
  </si>
  <si>
    <t>Eingabefelder</t>
  </si>
  <si>
    <t>Ackerzahl</t>
  </si>
  <si>
    <t>dropdown-Auswahl</t>
  </si>
  <si>
    <t>ertragsabhängiger Bedarfswert</t>
  </si>
  <si>
    <r>
      <t>N</t>
    </r>
    <r>
      <rPr>
        <b/>
        <vertAlign val="subscript"/>
        <sz val="11"/>
        <color theme="1"/>
        <rFont val="Calibri"/>
        <family val="2"/>
        <scheme val="minor"/>
      </rPr>
      <t xml:space="preserve">min </t>
    </r>
    <r>
      <rPr>
        <b/>
        <sz val="11"/>
        <color theme="1"/>
        <rFont val="Calibri"/>
        <family val="2"/>
        <scheme val="minor"/>
      </rPr>
      <t xml:space="preserve">   0 - 30 cm</t>
    </r>
  </si>
  <si>
    <r>
      <t>N</t>
    </r>
    <r>
      <rPr>
        <b/>
        <vertAlign val="subscript"/>
        <sz val="11"/>
        <color theme="1"/>
        <rFont val="Calibri"/>
        <family val="2"/>
        <scheme val="minor"/>
      </rPr>
      <t>min</t>
    </r>
    <r>
      <rPr>
        <b/>
        <sz val="11"/>
        <color theme="1"/>
        <rFont val="Calibri"/>
        <family val="2"/>
        <scheme val="minor"/>
      </rPr>
      <t xml:space="preserve"> 30 - 60 cm</t>
    </r>
  </si>
  <si>
    <r>
      <t>N</t>
    </r>
    <r>
      <rPr>
        <b/>
        <vertAlign val="subscript"/>
        <sz val="11"/>
        <color theme="1"/>
        <rFont val="Calibri"/>
        <family val="2"/>
        <scheme val="minor"/>
      </rPr>
      <t>min</t>
    </r>
    <r>
      <rPr>
        <b/>
        <sz val="11"/>
        <color theme="1"/>
        <rFont val="Calibri"/>
        <family val="2"/>
        <scheme val="minor"/>
      </rPr>
      <t xml:space="preserve"> 60 - 90 cm</t>
    </r>
  </si>
  <si>
    <t>Sommergerste</t>
  </si>
  <si>
    <t>Obergrenze gemäß Düngeverordnung</t>
  </si>
  <si>
    <t>N-Nachlieferung bzw.</t>
  </si>
  <si>
    <t>bessere N-Verwertung</t>
  </si>
  <si>
    <t>AZ</t>
  </si>
  <si>
    <t>langj. organ. Düngung in GV/ha</t>
  </si>
  <si>
    <t>(1 GV = 80 - 100 kg Gesamt-N)</t>
  </si>
  <si>
    <t>HTK</t>
  </si>
  <si>
    <t>vorwiegende Form langjähriger organischer Düngung</t>
  </si>
  <si>
    <t>Faktor</t>
  </si>
  <si>
    <t>vorw. Form langj. organ. Düngung</t>
  </si>
  <si>
    <t>N-Düngeempfehlung</t>
  </si>
  <si>
    <t>Frühsommerhitze, hohe RP-Gehalte</t>
  </si>
  <si>
    <t>normal</t>
  </si>
  <si>
    <t>kühl-feuchte Abreife; niedrige RP-Gehalte</t>
  </si>
  <si>
    <t>Abreife und RP-Gehalt</t>
  </si>
  <si>
    <t>Ertragsabhängige N-Sollwerte</t>
  </si>
  <si>
    <t xml:space="preserve">auf Sandböden ggf. aufteilen </t>
  </si>
  <si>
    <r>
      <t>in einer N-Gabe</t>
    </r>
    <r>
      <rPr>
        <vertAlign val="subscript"/>
        <sz val="11"/>
        <color theme="1"/>
        <rFont val="Calibri"/>
        <family val="2"/>
        <scheme val="minor"/>
      </rPr>
      <t xml:space="preserve"> (zur Saat)</t>
    </r>
  </si>
  <si>
    <t>N-Verwertung</t>
  </si>
  <si>
    <r>
      <t>1. N-Gabe</t>
    </r>
    <r>
      <rPr>
        <b/>
        <vertAlign val="subscript"/>
        <sz val="12"/>
        <rFont val="Calibri"/>
        <family val="2"/>
        <scheme val="minor"/>
      </rPr>
      <t xml:space="preserve"> (Veg.beginn)</t>
    </r>
  </si>
  <si>
    <r>
      <t>2. N-Gabe</t>
    </r>
    <r>
      <rPr>
        <b/>
        <vertAlign val="subscript"/>
        <sz val="12"/>
        <rFont val="Calibri"/>
        <family val="2"/>
        <scheme val="minor"/>
      </rPr>
      <t xml:space="preserve"> (Schossbeginn)</t>
    </r>
  </si>
  <si>
    <r>
      <t>3. N-Gabe</t>
    </r>
    <r>
      <rPr>
        <b/>
        <vertAlign val="subscript"/>
        <sz val="12"/>
        <rFont val="Calibri"/>
        <family val="2"/>
        <scheme val="minor"/>
      </rPr>
      <t xml:space="preserve"> (Fahnenblatt)</t>
    </r>
  </si>
  <si>
    <t>weitere berücksichtigte Faktoren</t>
  </si>
  <si>
    <t>kg N-Saldo/ha (Kornernte)</t>
  </si>
  <si>
    <t>kg N-Saldo/ha (Korn- + Strohernte)</t>
  </si>
  <si>
    <t>bezogen auf die N-Obergrenze</t>
  </si>
  <si>
    <t>bezogen auf die Empfehlung</t>
  </si>
  <si>
    <t>Witterung</t>
  </si>
  <si>
    <t>kg N/ha verschieben von N2 auf N1</t>
  </si>
  <si>
    <t>Silomais</t>
  </si>
  <si>
    <t>kg N-Saldo/ha</t>
  </si>
  <si>
    <t>% RP in TM</t>
  </si>
  <si>
    <t>kg Erntegut-N/ha</t>
  </si>
  <si>
    <t>Zielertrag FM dt/ha</t>
  </si>
  <si>
    <t>= N-Abfuhr</t>
  </si>
  <si>
    <t>Bezug: TM-Ertrag</t>
  </si>
  <si>
    <t>Standard = 7,4</t>
  </si>
  <si>
    <t>Nachlieferung Boden</t>
  </si>
  <si>
    <t>Hochmoor</t>
  </si>
  <si>
    <t>Niedermoor</t>
  </si>
  <si>
    <t>Nachlieferung aus Bodenvorrat</t>
  </si>
  <si>
    <t>N-Bindung Leguminosen</t>
  </si>
  <si>
    <t>N-Bindung der Leguminosen</t>
  </si>
  <si>
    <t>dt TM/ha</t>
  </si>
  <si>
    <t>bis 8 % Humus</t>
  </si>
  <si>
    <t>8 bis 15 % Humus</t>
  </si>
  <si>
    <t>5 bis 10 % Legum.</t>
  </si>
  <si>
    <t>10 bis 20 % Legum.</t>
  </si>
  <si>
    <t>keine Legum.</t>
  </si>
  <si>
    <t>organ. Dgg im Vorjahr: 10 % vom aufgebr. Ges.-N</t>
  </si>
  <si>
    <t>Wintergerste</t>
  </si>
  <si>
    <t>Nutzungsform</t>
  </si>
  <si>
    <t>Extensivweide</t>
  </si>
  <si>
    <t>Intensivweide</t>
  </si>
  <si>
    <t>Roggen</t>
  </si>
  <si>
    <t>Anrechnung der Faktoren</t>
  </si>
  <si>
    <t>WiGerste</t>
  </si>
  <si>
    <t>1. N</t>
  </si>
  <si>
    <t>2. N</t>
  </si>
  <si>
    <t>3. N</t>
  </si>
  <si>
    <t>WiRoggen</t>
  </si>
  <si>
    <t>WiTriticale</t>
  </si>
  <si>
    <t>WiWeizen</t>
  </si>
  <si>
    <t>Nmin</t>
  </si>
  <si>
    <t>0 bis 30 cm</t>
  </si>
  <si>
    <t>30 bis 60 cm</t>
  </si>
  <si>
    <t>60 bis 90 cm</t>
  </si>
  <si>
    <t xml:space="preserve">Organ. Dgg </t>
  </si>
  <si>
    <t>im System RP</t>
  </si>
  <si>
    <t>Triticale</t>
  </si>
  <si>
    <t>Vor- u. Zw.frucht</t>
  </si>
  <si>
    <t>Raps</t>
  </si>
  <si>
    <t>0,5 kg FM/m²</t>
  </si>
  <si>
    <t>Aufwuchs im Spätherbst</t>
  </si>
  <si>
    <t>0,8 kg FM/m²</t>
  </si>
  <si>
    <t>1,1 kg FM/m²</t>
  </si>
  <si>
    <t>1,5 kg FM/m²</t>
  </si>
  <si>
    <t>2 kg FM/m²</t>
  </si>
  <si>
    <t>3 kg FM/m²</t>
  </si>
  <si>
    <t>2,5 kg FM/m²</t>
  </si>
  <si>
    <t>Raps dt/ha</t>
  </si>
  <si>
    <t>N-Sollwert</t>
  </si>
  <si>
    <t>N-Bed DüV</t>
  </si>
  <si>
    <r>
      <t>1. N-Gabe</t>
    </r>
    <r>
      <rPr>
        <b/>
        <vertAlign val="subscript"/>
        <sz val="12"/>
        <rFont val="Calibri"/>
        <family val="2"/>
        <scheme val="minor"/>
      </rPr>
      <t xml:space="preserve"> (zur Saat)</t>
    </r>
  </si>
  <si>
    <t>Zuckerrüben</t>
  </si>
  <si>
    <t>% N im Erntegut</t>
  </si>
  <si>
    <t>dt ZRüben/ha</t>
  </si>
  <si>
    <t>DüV-N-Obergr.</t>
  </si>
  <si>
    <t>Rübe+Blatt-N</t>
  </si>
  <si>
    <t>0,17 bis 0,12 % N Rübe</t>
  </si>
  <si>
    <t>Aufn. kg N/ha</t>
  </si>
  <si>
    <t>siehe auch EUF-Methode</t>
  </si>
  <si>
    <t>gemäß DüV = 0,18 (bei hohen Erträgen deutlich geinger: 0,15 bis 0,12)</t>
  </si>
  <si>
    <t>vorwiegende Form langjähriger organ. Düngung</t>
  </si>
  <si>
    <t>Restbedarf</t>
  </si>
  <si>
    <t>Kartoffeln</t>
  </si>
  <si>
    <t>gemäß DüV = 0,35</t>
  </si>
  <si>
    <t>Knolle+Blatt-N</t>
  </si>
  <si>
    <t>Düngeempfehlung</t>
  </si>
  <si>
    <t>N-Saldo (Kornernte)</t>
  </si>
  <si>
    <t>N-Saldo (Korn- + Strohernte)</t>
  </si>
  <si>
    <t>Summen kg N/ha</t>
  </si>
  <si>
    <t>N-Saldo</t>
  </si>
  <si>
    <t>Frühkartoffeln</t>
  </si>
  <si>
    <t>dt Knollen/ha</t>
  </si>
  <si>
    <t>dt/ha A-Weizen</t>
  </si>
  <si>
    <t>DüV</t>
  </si>
  <si>
    <t>N-Bed.wert</t>
  </si>
  <si>
    <t>Opp</t>
  </si>
  <si>
    <t>Sim</t>
  </si>
  <si>
    <t>Versuche 2010-16</t>
  </si>
  <si>
    <t>LUFA</t>
  </si>
  <si>
    <t>Körnermais</t>
  </si>
  <si>
    <t>Gesamt</t>
  </si>
  <si>
    <t>Wintertriticale</t>
  </si>
  <si>
    <t>Winterroggen</t>
  </si>
  <si>
    <t>dt TM-Ertrag/ha bei angeg. TM-Gehalt</t>
  </si>
  <si>
    <t>Humusgehalt</t>
  </si>
  <si>
    <t>bis 4 %</t>
  </si>
  <si>
    <t>größer 4 %</t>
  </si>
  <si>
    <t>Höhenlage m über NN</t>
  </si>
  <si>
    <t>Abzug</t>
  </si>
  <si>
    <t>Zuschlag</t>
  </si>
  <si>
    <r>
      <t>0,75*N</t>
    </r>
    <r>
      <rPr>
        <vertAlign val="subscript"/>
        <sz val="7"/>
        <color theme="1"/>
        <rFont val="Calibri"/>
        <family val="2"/>
        <scheme val="minor"/>
      </rPr>
      <t>min</t>
    </r>
    <r>
      <rPr>
        <sz val="7"/>
        <color theme="1"/>
        <rFont val="Calibri"/>
        <family val="2"/>
        <scheme val="minor"/>
      </rPr>
      <t>30-60, 0,5*N</t>
    </r>
    <r>
      <rPr>
        <vertAlign val="subscript"/>
        <sz val="7"/>
        <color theme="1"/>
        <rFont val="Calibri"/>
        <family val="2"/>
        <scheme val="minor"/>
      </rPr>
      <t>min</t>
    </r>
    <r>
      <rPr>
        <sz val="7"/>
        <color theme="1"/>
        <rFont val="Calibri"/>
        <family val="2"/>
        <scheme val="minor"/>
      </rPr>
      <t>60-90cm, organDgg, Vorfr, Zwfr, Ackerzahl</t>
    </r>
  </si>
  <si>
    <t>organDgg, Vorfr, Zwfr, Ackerzahl</t>
  </si>
  <si>
    <t>Funktionen</t>
  </si>
  <si>
    <t>Sollwert 1. Gabe</t>
  </si>
  <si>
    <t>Sollwert 2. Gabe</t>
  </si>
  <si>
    <t>Sollwert 3. Gabe</t>
  </si>
  <si>
    <t>Nmin 0-30, 25 % Nmin 30-60</t>
  </si>
  <si>
    <t>Sollwert = kg N in ges. Pflanze</t>
  </si>
  <si>
    <t xml:space="preserve"> kg N/ha</t>
  </si>
  <si>
    <t xml:space="preserve">Düngeempfehlung </t>
  </si>
  <si>
    <t>Nmin 0-30, 33 % Nmin 30-60</t>
  </si>
  <si>
    <t>= 25 % vom Ges.-Sollwert</t>
  </si>
  <si>
    <t>N</t>
  </si>
  <si>
    <t>vorwieg. Form langjähriger organ. Düngung</t>
  </si>
  <si>
    <t>Jauche</t>
  </si>
  <si>
    <t>Klärschlamm-fest</t>
  </si>
  <si>
    <t>Pilzsubstrat</t>
  </si>
  <si>
    <t>Grünschnittkompost</t>
  </si>
  <si>
    <t>Organische Dünger</t>
  </si>
  <si>
    <t>Rindergülle</t>
  </si>
  <si>
    <t>Schweinegülle</t>
  </si>
  <si>
    <t>% N-Anrechnung (Mineraldünger-Äquivalent)</t>
  </si>
  <si>
    <t>Klärschlamm-flüssig</t>
  </si>
  <si>
    <t>Bioabfallkompost</t>
  </si>
  <si>
    <t>von</t>
  </si>
  <si>
    <t>oder</t>
  </si>
  <si>
    <t>Grünland mit alleiniger Schnittnutzung (Wiesen)</t>
  </si>
  <si>
    <t>Grünland mit alleiniger Weidenutzung (Weiden)</t>
  </si>
  <si>
    <t>Grünland mit Schnitt- und Weidenutzung (Mähweiden)</t>
  </si>
  <si>
    <t>Vorgaben der DüV</t>
  </si>
  <si>
    <t>Anzahl Schnitte</t>
  </si>
  <si>
    <t>% RP i.d.TM.</t>
  </si>
  <si>
    <t>Kritik: Mit zunehmender Schnitthäufigkeit steigt der Ertrag unregelmäßig an.</t>
  </si>
  <si>
    <t>Mit zunehmender Schnitthäufigkeit steigt der Ertrag mit abnehmendem Zuwachs an.</t>
  </si>
  <si>
    <t>Bedarfswert in kg N/ha</t>
  </si>
  <si>
    <t>Ertragsschätzung: 1 cm durchschnittliche Wuchshöhe oberhalb der Schnitthöhe entspricht ca. 1 dt TM/ha</t>
  </si>
  <si>
    <t>intensiv</t>
  </si>
  <si>
    <t>extensiv</t>
  </si>
  <si>
    <t>Weidenutzung</t>
  </si>
  <si>
    <t>Ertragsschätzung: 1 cm durchschnittliche Wuchshöhe oberhalb der Fraßhöhe entspricht ca. 1 dt TM/ha</t>
  </si>
  <si>
    <t>Bezeichnung eingeben</t>
  </si>
  <si>
    <t>Weideanteil am Ertrag in %</t>
  </si>
  <si>
    <t>andere Beispiele</t>
  </si>
  <si>
    <t>Jungviehweide</t>
  </si>
  <si>
    <t>Silage</t>
  </si>
  <si>
    <t>Heu</t>
  </si>
  <si>
    <t>kg N/ha eingeben</t>
  </si>
  <si>
    <t>Gras                               3-4 Schnitte</t>
  </si>
  <si>
    <t>Rotklee                  Luzerne</t>
  </si>
  <si>
    <t>Gras                                  5 Schnitte</t>
  </si>
  <si>
    <t>Klee-/Luz.gras                                  3-4 Schnitte</t>
  </si>
  <si>
    <t>Winterweizen A,B</t>
  </si>
  <si>
    <t>Winterweizen E</t>
  </si>
  <si>
    <t>Kartoffel</t>
  </si>
  <si>
    <t>Frühkartoffel</t>
  </si>
  <si>
    <t>N-Bedarfswert</t>
  </si>
  <si>
    <t>1 dt mehr</t>
  </si>
  <si>
    <t>1 dt weniger</t>
  </si>
  <si>
    <t>kg Nmin</t>
  </si>
  <si>
    <t>ab 4 %</t>
  </si>
  <si>
    <t>plus 1 dt/ha</t>
  </si>
  <si>
    <t>minus 1 dt/ha</t>
  </si>
  <si>
    <t>mehr als 20 % Legum.</t>
  </si>
  <si>
    <t>Betrieb</t>
  </si>
  <si>
    <t>Erntejahr</t>
  </si>
  <si>
    <t>Straße und Hausnr.</t>
  </si>
  <si>
    <t>Ackerbau-Kulturen</t>
  </si>
  <si>
    <t xml:space="preserve"> 15 bis 30 % Humus</t>
  </si>
  <si>
    <t>Zielertrag dt TM/ha</t>
  </si>
  <si>
    <t>bis 8 %</t>
  </si>
  <si>
    <t>8 bis 15 %</t>
  </si>
  <si>
    <t xml:space="preserve"> 15 bis 30 %</t>
  </si>
  <si>
    <t>10 % des Ges.-N der organ. Dgg. im Vorjahr in kg N/ha</t>
  </si>
  <si>
    <t>Buchweizen</t>
  </si>
  <si>
    <t>Ackergras, 5 Schnitte</t>
  </si>
  <si>
    <t>Ackergras, 3-4 Schnitte</t>
  </si>
  <si>
    <t>Klee-/Luzerne</t>
  </si>
  <si>
    <t>Ackerfutterbau-Kulturen</t>
  </si>
  <si>
    <t>Klee-/Luz.gras, 3-4 Schn.</t>
  </si>
  <si>
    <t>% Ertragsanteil Leguminosen</t>
  </si>
  <si>
    <t>PLZ und Ort</t>
  </si>
  <si>
    <t>Sorghum/Sudangras-Ganzpfl. (28 % TM)</t>
  </si>
  <si>
    <t xml:space="preserve">Der N-Bedarfswert errechnet sich bei reiner Schnittnutzung durch Multiplikation des Ertrages (dt TM/ha) mit dem Rohproteingehalt (% der TM) und Division durch 6,25. Die Anzahl der Schnittnutzungen spielt für die Art der Berechnung keine Rolle. </t>
  </si>
  <si>
    <t xml:space="preserve">Der N-Bedarfswert errechnet sich bei reiner Weidenutzung durch Multiplikation des Ertrages (dt TM/ha) mit 0,5 sowie mit dem Rohproteingehalt (% der TM) und Division durch 6,25. Die Intensität der Nutzung spielt für die Art der Berechnung keine Rolle. </t>
  </si>
  <si>
    <t xml:space="preserve">Der N-Bedarfswert errechnet sich bei reiner Schnittnutzung durch Multiplikation des Ertrages (dt TM/ha) mit dem Rohproteingehalt (% der TM) und Division durch 6,25. Die Berechnung ist unabhängig von der Anzahl der Schnittnutzungen. </t>
  </si>
  <si>
    <t>trockener März/April (1. N-Gabe betont)</t>
  </si>
  <si>
    <t>Menge</t>
  </si>
  <si>
    <t>Gesamt-N-Gehalt</t>
  </si>
  <si>
    <t>N-Anrechnung</t>
  </si>
  <si>
    <t>% vom Gesamt-N</t>
  </si>
  <si>
    <t>anrechenbar aus dem organ. Dünger</t>
  </si>
  <si>
    <t>Humus-        gehalt</t>
  </si>
  <si>
    <t>Bedarfswert kg N/ha</t>
  </si>
  <si>
    <t>Kurzrasenweide</t>
  </si>
  <si>
    <t>Dienstleistungszentrum Ländlicher Raum Rheinhessen-Nahe-Hunsrück, 55545 Bad Kreuznach</t>
  </si>
  <si>
    <t>Kategorie</t>
  </si>
  <si>
    <t>belegter Platz/erzeugtes Tier</t>
  </si>
  <si>
    <t>kg N</t>
  </si>
  <si>
    <r>
      <t>kg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</si>
  <si>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kg K</t>
    </r>
    <r>
      <rPr>
        <b/>
        <vertAlign val="subscript"/>
        <sz val="12"/>
        <color theme="1"/>
        <rFont val="Calibri"/>
        <family val="2"/>
        <scheme val="minor"/>
      </rPr>
      <t>2</t>
    </r>
    <r>
      <rPr>
        <b/>
        <sz val="12"/>
        <color theme="1"/>
        <rFont val="Calibri"/>
        <family val="2"/>
        <scheme val="minor"/>
      </rPr>
      <t>O</t>
    </r>
  </si>
  <si>
    <t>belegter Platz</t>
  </si>
  <si>
    <t>erzeugtes Tier</t>
  </si>
  <si>
    <t>Tierart/Verfahren</t>
  </si>
  <si>
    <t xml:space="preserve">Rinder </t>
  </si>
  <si>
    <t xml:space="preserve">Schweine </t>
  </si>
  <si>
    <t xml:space="preserve">Geflügel </t>
  </si>
  <si>
    <t>Pferde, Schafe, Ziegen</t>
  </si>
  <si>
    <t>Eberhaltung bP</t>
  </si>
  <si>
    <t>Junghennenaufz. 3,5 kg Zuw. N-P-red. bP</t>
  </si>
  <si>
    <t>Hähnchenmast 39 Tage N-P-red. bP</t>
  </si>
  <si>
    <t>Hähnchenmast bis 29 Tage N-P-red. bP</t>
  </si>
  <si>
    <t>Putenmast gem. geschlechtl. N-P-red.  eT</t>
  </si>
  <si>
    <t>Pekingenten 6,5 Durchg. bP</t>
  </si>
  <si>
    <t>Flugenten 4 Durchg. bP</t>
  </si>
  <si>
    <t>Gänse Schnellmast  eT</t>
  </si>
  <si>
    <t>Gänse Mittelmast  eT</t>
  </si>
  <si>
    <t>Gänse Spät-/Weidemast  eT</t>
  </si>
  <si>
    <t>Mist</t>
  </si>
  <si>
    <t>Weide</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</si>
  <si>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</si>
  <si>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</si>
  <si>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Summe</t>
  </si>
  <si>
    <t>Kalksalpeter</t>
  </si>
  <si>
    <t>Stickstoffmagnesia</t>
  </si>
  <si>
    <t>Harnstoff (Urea)</t>
  </si>
  <si>
    <t>Ammonsulfatlösung ASL</t>
  </si>
  <si>
    <t>Kalkstickstoff</t>
  </si>
  <si>
    <t>Superphosphat</t>
  </si>
  <si>
    <t>mittel</t>
  </si>
  <si>
    <t>Schnitt-nutzung</t>
  </si>
  <si>
    <t>Basiswert DüV</t>
  </si>
  <si>
    <t>Ziel</t>
  </si>
  <si>
    <t>Bedarf         kg N/ha</t>
  </si>
  <si>
    <t>ertragsabh. Bedarf                 kg N/ha</t>
  </si>
  <si>
    <t>ertragsabh. Bedarf                   kg N/ha</t>
  </si>
  <si>
    <t>Ackerbau                                      Kultur auswählen</t>
  </si>
  <si>
    <t>% RP in der TM</t>
  </si>
  <si>
    <t>% TM (Standard = 30)</t>
  </si>
  <si>
    <t>Korrektur</t>
  </si>
  <si>
    <t>Sau + 22 Ferkel 8 kg U-Futter bP</t>
  </si>
  <si>
    <t>Sau + 22 Ferkel 8 kg N-P-red. bP</t>
  </si>
  <si>
    <t>Sau + 22 Ferkel 8 kg stark N-P-red. bP</t>
  </si>
  <si>
    <t>Sau + 25 Ferkel 8 kg U-Futter bP</t>
  </si>
  <si>
    <t>Sau + 25 Ferkel 8 kg stark N-P-red. bP</t>
  </si>
  <si>
    <t>Sau + 25 Ferkel 8 kg N-P-red. bP</t>
  </si>
  <si>
    <t>Sau + 28 Ferkel 8 kg U-Futter bP</t>
  </si>
  <si>
    <t>Sau + 28 Ferkel 8 kg N-P-red. bP</t>
  </si>
  <si>
    <t>Sau + 28 Ferkel 8 kg stark N-P-red. bP</t>
  </si>
  <si>
    <t>Sau + 22 Ferkel 28 kg U-Futter bP</t>
  </si>
  <si>
    <t>Sau + 22 Ferkel 28 kg N-P-red. bP</t>
  </si>
  <si>
    <t>Sau + 22 Ferkel 28 kg stark N-P-red. bP</t>
  </si>
  <si>
    <t>Sau + 25 Ferkel 28 kg U-Futter bP</t>
  </si>
  <si>
    <t>Sau + 25 Ferkel 28 kg N-P-red. bP</t>
  </si>
  <si>
    <t>Sau + 25 Ferkel 28 kg stark N-P-red. bP</t>
  </si>
  <si>
    <t>Sau + 28 Ferkel 28 kg U-Futter bP</t>
  </si>
  <si>
    <t>Sau + 28 Ferkel 28 kg N-P-red. bP</t>
  </si>
  <si>
    <t>Sau + 28 Ferkel 28 kg stark N-P-red. bP</t>
  </si>
  <si>
    <t>kg/ha</t>
  </si>
  <si>
    <t>max. Nmin-Probentiefe cm</t>
  </si>
  <si>
    <t xml:space="preserve">Das bedeutet: </t>
  </si>
  <si>
    <t>= 30 % vom Ges.-Sollwert + 60 % des Höhenlagenzuschlags</t>
  </si>
  <si>
    <t>= 40 % vom Ges.-Sollwert + 40 % des Höhenlagenzuschlags</t>
  </si>
  <si>
    <t>= 30 % vom Ges.-Sollwert</t>
  </si>
  <si>
    <t>Ges.-Sollwert (kg N in ges. Pflanze):</t>
  </si>
  <si>
    <t>Es werden N-Sollwerte für eine dreigeteilte N-Düngung angegeben.</t>
  </si>
  <si>
    <t>Abzüge vom Sollwert</t>
  </si>
  <si>
    <t>2,5 kg N/100 m Höhenunterschied beginnend ab 40 m über NN</t>
  </si>
  <si>
    <r>
      <t>Die N</t>
    </r>
    <r>
      <rPr>
        <vertAlign val="subscript"/>
        <sz val="10"/>
        <color theme="1"/>
        <rFont val="Calibri"/>
        <family val="2"/>
        <scheme val="minor"/>
      </rPr>
      <t>min-</t>
    </r>
    <r>
      <rPr>
        <sz val="10"/>
        <color theme="1"/>
        <rFont val="Calibri"/>
        <family val="2"/>
        <scheme val="minor"/>
      </rPr>
      <t>Gehalte werden zu N1 und N2 unterschiedlich berücksichtigt. 15 kg N/ha können witterungsbedingt von N2 auf N1 verschoben werden.</t>
    </r>
  </si>
  <si>
    <t>Die Ackerzahl, Vor- und Zwischenfrüchte, die letzt- und langjährige organische Düngung werden zu N2 und N3 berücksichtigt.</t>
  </si>
  <si>
    <t>1 GV Festmist hat dabei eine höhere N-Nachlieferung als 1 GV Schweinegülle oder HTK.</t>
  </si>
  <si>
    <t xml:space="preserve">Die langjährige organ. Düngung wird abhängig von deren Form (bzw. Anteil organ. gebund. N) berücksichtigt. </t>
  </si>
  <si>
    <t>Erläuterung der Berechnung siehe unten (Funktionen).</t>
  </si>
  <si>
    <t>= 35 % vom Ges.-Sollwert + 60 % des Höhenlagenzuschlags</t>
  </si>
  <si>
    <t>ertragsabhängig errechnet</t>
  </si>
  <si>
    <t xml:space="preserve">Die Verwertung des N in Abhängigkeit von der Ackerzahl wird nach einer quadratischen Funktion ermittelt. </t>
  </si>
  <si>
    <t>Zuschlag für Höhe über NN:</t>
  </si>
  <si>
    <t>Strohfaktor = (115 - 0,5*Kornertrag)/100</t>
  </si>
  <si>
    <t>Bsp: (115 - 0,5*80)/100 = 0,75</t>
  </si>
  <si>
    <t>Stroh-N = % RP im Korn/25</t>
  </si>
  <si>
    <t>Bsp: 12,5 : 25 = 0,5</t>
  </si>
  <si>
    <t>24-Std.-Weiden</t>
  </si>
  <si>
    <t>12-Std.-Weiden</t>
  </si>
  <si>
    <t>Korn-N (dt/ha * % TM/100 * % RP/ 5,7) + Stroh-N (dt/ha * Strohfaktor * %-Stroh-N) + Zuschlag Restpfl. (14 % vom Korn-N + Stroh-N)</t>
  </si>
  <si>
    <t>realisierbarer Rohproteingehalt                                    % RP i.d. TM</t>
  </si>
  <si>
    <r>
      <t>kg N in gesamter Pflanze/ha</t>
    </r>
    <r>
      <rPr>
        <b/>
        <sz val="9"/>
        <color theme="1"/>
        <rFont val="Calibri"/>
        <family val="2"/>
        <scheme val="minor"/>
      </rPr>
      <t xml:space="preserve">                              (Korn-N + Stroh-N) * 1,24</t>
    </r>
  </si>
  <si>
    <t>Futtergetreide 12 % ausreichend</t>
  </si>
  <si>
    <t>Korn-N (dt/ha * % TM/100 * % RP/ 6,25) + Stroh-N (dt/ha * Strohfaktor * %-Stroh-N) + Zuschlag Restpfl. (24 % vom Korn-N + Stroh-N)</t>
  </si>
  <si>
    <t>Strohfaktor = (130 - 0,5*Kornertrag)/100</t>
  </si>
  <si>
    <t>Bsp: (130 - 0,5*70)/100 = 0,95</t>
  </si>
  <si>
    <t>Stroh-N = % RP im Korn/24</t>
  </si>
  <si>
    <t>Bsp: 12 : 24 = 0,5</t>
  </si>
  <si>
    <t>Die Korn-N-Menge errechnet sich aus dem dt-Korn-TM/ha-Ertrag und dem Rohproteingehalt (% in der Trockenmasse). Bei Triticale wird mit dem Faktor 6,25 aus dem N-Gehalt der RP-Gehalt ermittelt. Der N-Gehalt im Stroh wird vom %-RP-Gehalt im Korn abgeleitet. Das Korn:Stroh-Verhältnis sinkt mit steigendem Kornertrag. Die Restpflanze (nicht erntbare Teile: Streu, Stoppeln, Wurzeln) wird gemessen am N in Korn und Stroh mit weiteren 24 % angenommen (womit aber auch das artspezifische N-Aneigungsvermögen beim "Gesamtsollwert" berücksichtigt wird).</t>
  </si>
  <si>
    <t>Die Korn-N-Menge errechnet sich aus dem dt-Korn-TM/ha-Ertrag und dem Rohproteingehalt (% in der Trockenmasse). Bei Weizen wird mit dem Faktor 5,7 aus dem N-Gehalt der RP-Gehalt ermittelt. Der N-Gehalt im Stroh wird vom %-RP-Gehalt im Korn abgeleitet. Das Korn:Stroh-Verhältnis sinkt mit steigendem Kornertrag. Die Restpflanze (nicht erntbare Teile: Streu, Stoppeln, Wurzeln) wird gemessen am N in Korn und Stroh mit weiteren 14 % angenommen (womit aber auch das artspezifische N-Aneigungsvermögen beim "Gesamtsollwert" berücksichtigt wird).</t>
  </si>
  <si>
    <t>= 45 % vom Ges.-Sollwert + 40 % des Höhenlagenzuschlags</t>
  </si>
  <si>
    <t>= 20 % vom Ges.-Sollwert</t>
  </si>
  <si>
    <t>Nmin 0-30, 50 % Nmin 30-60</t>
  </si>
  <si>
    <t>75 % Nmin 30-60, 50 % Nmin 60-90, je 40 % Vor- und Zwischenfrucht, 25 % (von 10 % des aufgebr. N) organ. Dgg Vorjahr, 50 % Ackerzahlkorrektur, 40 % langj. organ. Dgg</t>
  </si>
  <si>
    <t>je 60 % Vor- und Zwischenfrucht, 25 % (von 10 % des aufgebr. N) organ. Dgg Vorjahr, 50 % Ackerzahlkorrektur, 60 % langj. organ. Dgg</t>
  </si>
  <si>
    <t>67 % Nmin 30-60, 50 % Nmin 60-90, je 40 % Vor- und Zwischenfrucht, 25 % (von 10 % des aufgebr. N) organ. Dgg Vorjahr, 50 % Ackerzahlkorrektur, 40 % langj. organ. Dgg</t>
  </si>
  <si>
    <r>
      <t>Die N</t>
    </r>
    <r>
      <rPr>
        <vertAlign val="subscript"/>
        <sz val="10"/>
        <color theme="1"/>
        <rFont val="Calibri"/>
        <family val="2"/>
        <scheme val="minor"/>
      </rPr>
      <t>min-</t>
    </r>
    <r>
      <rPr>
        <sz val="10"/>
        <color theme="1"/>
        <rFont val="Calibri"/>
        <family val="2"/>
        <scheme val="minor"/>
      </rPr>
      <t>Gehalte werden zu N1 und N2 unterschiedlich berücksichtigt. 10 kg N/ha können witterungsbedingt von N2 auf N1 verschoben werden.</t>
    </r>
  </si>
  <si>
    <t>Brotroggen 11 % und                            Futterroggen 12 % ausreichend</t>
  </si>
  <si>
    <t>Zu 60 % bei erster und zu 40 % bei zweiter N-Gabe berücksichtigt.</t>
  </si>
  <si>
    <r>
      <t>kg N in gesamter Pflanze/ha</t>
    </r>
    <r>
      <rPr>
        <b/>
        <sz val="9"/>
        <color theme="1"/>
        <rFont val="Calibri"/>
        <family val="2"/>
        <scheme val="minor"/>
      </rPr>
      <t xml:space="preserve">                              (Korn-N + Stroh-N) * 1,2</t>
    </r>
  </si>
  <si>
    <t>Korn-N (dt/ha * % TM/100 * % RP/ 6,25) + Stroh-N (dt/ha * Strohfaktor * %-Stroh-N) + Zuschlag Restpfl. (20 % vom Korn-N + Stroh-N)</t>
  </si>
  <si>
    <t>Strohfaktor = (125 - 0,5*Kornertrag)/100</t>
  </si>
  <si>
    <t>Bsp: (125 - 0,5*70)/100 = 0,9</t>
  </si>
  <si>
    <t>Stroh-N = % RP im Korn/22</t>
  </si>
  <si>
    <t>Bsp: 11 : 22 = 0,5</t>
  </si>
  <si>
    <t>Die Korn-N-Menge errechnet sich aus dem dt-Korn-TM/ha-Ertrag und dem Rohproteingehalt (% in der Trockenmasse). Bei Roggen wird mit dem Faktor 6,25 aus dem N-Gehalt der RP-Gehalt ermittelt. Der N-Gehalt im Stroh wird vom %-RP-Gehalt im Korn abgeleitet. Das Korn:Stroh-Verhältnis sinkt mit steigendem Kornertrag. Die Restpflanze (nicht erntbare Teile: Streu, Stoppeln, Wurzeln) wird gemessen am N in Korn und Stroh mit weiteren 20 % angenommen (womit aber auch das artspezifische N-Aneigungsvermögen beim "Gesamtsollwert" berücksichtigt wird).</t>
  </si>
  <si>
    <t>Bei Roggen werden von AZ 90 bis AZ 25 ca. 12 kg N/ha aufgeschlagen.</t>
  </si>
  <si>
    <t>Bei Triticale werden von AZ 90 bis AZ 25 ca. 12 kg N/ha aufgeschlagen.</t>
  </si>
  <si>
    <t>Bei Weizen werden von AZ 90 bis AZ 25 ca. 12 kg N/ha aufgeschlagen.</t>
  </si>
  <si>
    <t>Futtergerste 12 % ausreichend</t>
  </si>
  <si>
    <t>Strohfaktor = (105 - 0,5*Kornertrag)/100</t>
  </si>
  <si>
    <t>Bsp: (105 - 0,5*70)/100 = 0,7</t>
  </si>
  <si>
    <r>
      <t>kg N in gesamter Pflanze/ha</t>
    </r>
    <r>
      <rPr>
        <b/>
        <sz val="9"/>
        <color theme="1"/>
        <rFont val="Calibri"/>
        <family val="2"/>
        <scheme val="minor"/>
      </rPr>
      <t xml:space="preserve">                              (Korn-N + Stroh-N) * 1,22</t>
    </r>
  </si>
  <si>
    <t>Korn-N (dt/ha * % TM/100 * % RP/ 6,25) + Stroh-N (dt/ha * Strohfaktor * %-Stroh-N) + Zuschlag Restpfl. (22 % vom Korn-N + Stroh-N)</t>
  </si>
  <si>
    <t>Die Korn-N-Menge errechnet sich aus dem dt-Korn-TM/ha-Ertrag und dem Rohproteingehalt (% in der Trockenmasse). Bei Gerste wird mit dem Faktor 6,25 aus dem N-Gehalt der RP-Gehalt ermittelt. Der N-Gehalt im Stroh wird vom %-RP-Gehalt im Korn abgeleitet. Das Korn:Stroh-Verhältnis sinkt mit steigendem Kornertrag. Die Restpflanze (nicht erntbare Teile: Streu, Stoppeln, Wurzeln) wird gemessen am N in Korn und Stroh mit weiteren 22 % angenommen (womit aber auch das artspezifische N-Aneigungsvermögen beim "Gesamtsollwert" berücksichtigt wird).</t>
  </si>
  <si>
    <t>Nmin 0-30, 75 % Nmin 30-60</t>
  </si>
  <si>
    <t>Bei Gerste werden von AZ 90 bis AZ 25 ca. 12 kg N/ha aufgeschlagen.</t>
  </si>
  <si>
    <t>Düngeempfehlung            kg N/ha</t>
  </si>
  <si>
    <t>Futterhafer 11 % ausreichend</t>
  </si>
  <si>
    <r>
      <t>N</t>
    </r>
    <r>
      <rPr>
        <vertAlign val="subscript"/>
        <sz val="7"/>
        <color theme="1"/>
        <rFont val="Calibri"/>
        <family val="2"/>
        <scheme val="minor"/>
      </rPr>
      <t>min</t>
    </r>
    <r>
      <rPr>
        <sz val="7"/>
        <color theme="1"/>
        <rFont val="Calibri"/>
        <family val="2"/>
        <scheme val="minor"/>
      </rPr>
      <t>0-30, 0,75*N</t>
    </r>
    <r>
      <rPr>
        <vertAlign val="subscript"/>
        <sz val="7"/>
        <color theme="1"/>
        <rFont val="Calibri"/>
        <family val="2"/>
        <scheme val="minor"/>
      </rPr>
      <t>min</t>
    </r>
    <r>
      <rPr>
        <sz val="7"/>
        <color theme="1"/>
        <rFont val="Calibri"/>
        <family val="2"/>
        <scheme val="minor"/>
      </rPr>
      <t>30-60</t>
    </r>
  </si>
  <si>
    <r>
      <t>kg N in gesamter Pflanze/ha</t>
    </r>
    <r>
      <rPr>
        <b/>
        <sz val="9"/>
        <color theme="1"/>
        <rFont val="Calibri"/>
        <family val="2"/>
        <scheme val="minor"/>
      </rPr>
      <t xml:space="preserve">                              (Korn-N + Stroh-N) * 1,15</t>
    </r>
  </si>
  <si>
    <t>kg N/ha; Standortanpassung</t>
  </si>
  <si>
    <t>www.pflanzenbau.rlp.de</t>
  </si>
  <si>
    <t>www.wasserschutzberatung.rlp.de</t>
  </si>
  <si>
    <t>Rubrik: Düngung &gt; Stickstoff und Schwefel</t>
  </si>
  <si>
    <t>ertragsabhängiger Sollwert:</t>
  </si>
  <si>
    <t>Bsp: (95 - 0,5*60)/100 = 0,65</t>
  </si>
  <si>
    <r>
      <t xml:space="preserve">Strohfaktor = (95 - 0,5*Kornertrag)/100;                                          </t>
    </r>
    <r>
      <rPr>
        <sz val="10"/>
        <color theme="1"/>
        <rFont val="Calibri"/>
        <family val="2"/>
        <scheme val="minor"/>
      </rPr>
      <t>(spielt nur für die N-Bilanz eine Rolle)</t>
    </r>
  </si>
  <si>
    <t>Für die N-Bilanz:</t>
  </si>
  <si>
    <t xml:space="preserve">Die Korn-N-Menge errechnet sich aus dem dt-Korn-TM/ha-Ertrag und dem Rohproteingehalt (% in der Trockenmasse). Bei Gerste wird mit dem Faktor 6,25 aus dem N-Gehalt der RP-Gehalt ermittelt. Der N-Gehalt im Stroh wird mit 0,5 % N angesetzt. Das Korn:Stroh-Verhältnis sinkt mit steigendem Kornertrag. </t>
  </si>
  <si>
    <t>Abzüge vom Sollwert:</t>
  </si>
  <si>
    <r>
      <t>N</t>
    </r>
    <r>
      <rPr>
        <b/>
        <vertAlign val="subscript"/>
        <sz val="11"/>
        <color theme="1"/>
        <rFont val="Calibri"/>
        <family val="2"/>
        <scheme val="minor"/>
      </rPr>
      <t>min</t>
    </r>
    <r>
      <rPr>
        <b/>
        <sz val="11"/>
        <color theme="1"/>
        <rFont val="Calibri"/>
        <family val="2"/>
        <scheme val="minor"/>
      </rPr>
      <t>-Gehalte in 0 bis 60 cm, Abschläge für Vor- und Zwischenfrucht, letztjährige organische Düngung (10 % vom Ges.-N), langjährige organische Düngung (10 kg N/GV), Ackerzahl, Höhenlage, Korrektur für Abreife und RP-Gehalt (alle in der Höhe wie angezeigt). Zwischen Ackerzahl 25 und 90 wird die N-Düngempfehlung um 18 kg/ha differenziert (und damit stärker als beim übrigen Getreide).</t>
    </r>
  </si>
  <si>
    <t>Korn-N (dt/ha * % TM/100 * % RP/ 6,25) + Stroh-N (dt/ha * Strohfaktor * %-Stroh-N) + Zuschlag Restpfl. (15 % vom Korn-N + Stroh-N)</t>
  </si>
  <si>
    <t>Strohfaktor = (135 - 0,5*Kornertrag)/100</t>
  </si>
  <si>
    <t>Bsp: (135 - 0,5*60)/100 = 1,05</t>
  </si>
  <si>
    <t>Die Korn-N-Menge errechnet sich aus dem dt-Korn-TM/ha-Ertrag und dem Rohproteingehalt (% in der Trockenmasse). Bei Hafer wird mit dem Faktor 6,25 aus dem N-Gehalt der RP-Gehalt ermittelt. Der N-Gehalt im Stroh wird vom %-RP-Gehalt im Korn abgeleitet. Das Korn:Stroh-Verhältnis sinkt mit steigendem Kornertrag. Die Restpflanze (nicht erntbare Teile: Streu, Stoppeln, Wurzeln) wird gemessen am N in Korn und Stroh mit weiteren 15 % angenommen (womit aber auch das artspezifische N-Aneigungsvermögen beim "Gesamtsollwert" berücksichtigt wird).</t>
  </si>
  <si>
    <t>Es werden N-Sollwerte für eine zweigeteilte N-Düngung angegeben.</t>
  </si>
  <si>
    <t>= 67 % vom Ges.-Sollwert + 60 % des Höhenlagenzuschlags</t>
  </si>
  <si>
    <t>= 33 % vom Ges.-Sollwert + 40 % des Höhenlagenzuschlags</t>
  </si>
  <si>
    <t>25 % Nmin 30-60, je 25 % Vor- und Zwischenfrucht, 50 % (von 10 % des aufgebr. N) organ. Dgg Vorjahr, 100 % Ackerzahlkorrektur, 100 % langj. organ. Dgg</t>
  </si>
  <si>
    <t>Bei Hafer werden von AZ 90 bis AZ 25 ca. 12 kg N/ha aufgeschlagen.</t>
  </si>
  <si>
    <t>langjährige organ. Düngung:</t>
  </si>
  <si>
    <t>Ackerzahl:</t>
  </si>
  <si>
    <t>Bei Raps werden von AZ 90 bis AZ 25 ca. 15 kg N/ha aufgeschlagen.</t>
  </si>
  <si>
    <t>Strohfaktor = (190 - Kornertrag)/100</t>
  </si>
  <si>
    <t>Bsp: (190 - 40)/100 = 1,5</t>
  </si>
  <si>
    <t xml:space="preserve">Für die N-Bilanz: </t>
  </si>
  <si>
    <t>Anders als bei den Getreidearten wird der ertragsabhängige Sollwert für Raps nicht über die Summe von Korn-N, Stroh-N und Restpflanzen-N gebildet, sondern nach einer quadratische Funktion berechnet. Zu den N-Gehalten im Korn und insbesondere in Blättern und Stängeln liegen nämlich keine eindeutigen Angaben vor. Der DüV-Tabellenwert von 3,35 % N im Rapskorn erscheint bei Ölgehalten über 40 % unrealistisch hoch.</t>
  </si>
  <si>
    <t xml:space="preserve">Die Korn-N-Menge errechnet sich aus dem dt-Korn-TM/ha-Ertrag und dem Rohproteingehalt (% in der Trockenmasse). Bei Raps wird mit dem Faktor 6,25 aus dem N-Gehalt der RP-Gehalt ermittelt. Der N-Gehalt im Stroh wird vom %-RP-Gehalt im Korn abgeleitet. Das Korn:Stroh-Verhältnis sinkt mit steigendem Kornertrag. </t>
  </si>
  <si>
    <t>= 50 % vom Ges.-Sollwert + 60 % des Höhenlagenzuschlags</t>
  </si>
  <si>
    <t>= 50 % vom Ges.-Sollwert + 40 % des Höhenlagenzuschlags</t>
  </si>
  <si>
    <t>Nmin 0-30, 67 % Nmin 30-60; 33 % der Frischmasse-Aufwuchs-Korrektur</t>
  </si>
  <si>
    <t>33 % Nmin 30-60, 75 % Nmin 60-90; 67 % der Frischmasse-Aufwuchs-Korrektur, Vor- und Zwischenfrucht, 50 % (von 10 % des aufgebr. N) organ. Dgg Vorjahr, Ackerzahlkorrektur, 100 % langj. organ. Dgg</t>
  </si>
  <si>
    <t>Vorjahr</t>
  </si>
  <si>
    <t>langjährig</t>
  </si>
  <si>
    <t>Und so funktioniert es:</t>
  </si>
  <si>
    <t>Hier müssen Sie etwas eintragen, damit die Anwendung rechnen kann!</t>
  </si>
  <si>
    <t>Hier treffen Sie eine Auswahl aus den vorgegebenen Möglichkeiten.</t>
  </si>
  <si>
    <t>Ertragsabhängige N-Sollwerte in kg N/ha</t>
  </si>
  <si>
    <t>90 bis 100 kg N im Blatt</t>
  </si>
  <si>
    <t>Auch beim Körnermais wird der N-Sollwert vom Ertrag sowie vom Rohproteingehalt im Korn bestimmt. Dieser liegt (wahrscheinlich) um 10,5 %, gemessen in der Trockenmasse. Die N-Menge in Korn und Stroh alleine liegt bereits über dem Bedarfswert gemäß DüV. Das bedeutet, dass der Mais ein sehr guter N-Verwerter sein muss!</t>
  </si>
  <si>
    <t xml:space="preserve">Die Korn-N-Menge errechnet sich aus dem dt-Korn-TM/ha-Ertrag und dem Rohproteingehalt (% in der Trockenmasse). Bei Mais wird mit dem Faktor 6,25 aus dem N-Gehalt der RP-Gehalt ermittelt. Der N-Gehalt im Stroh hängt vom %-RP-Gehalt im Korn ab (Divisor 11,6). Das Korn:Stroh-Verhältnis sinkt mit steigendem Kornertrag. </t>
  </si>
  <si>
    <t>Bsp: (190 - 90)/100 = 1,0</t>
  </si>
  <si>
    <t>ertragsabhängiger N-Sollwert</t>
  </si>
  <si>
    <r>
      <t>0,67*N</t>
    </r>
    <r>
      <rPr>
        <vertAlign val="subscript"/>
        <sz val="7"/>
        <rFont val="Calibri"/>
        <family val="2"/>
        <scheme val="minor"/>
      </rPr>
      <t>min</t>
    </r>
    <r>
      <rPr>
        <sz val="7"/>
        <rFont val="Calibri"/>
        <family val="2"/>
        <scheme val="minor"/>
      </rPr>
      <t>30-60, 0,5*N</t>
    </r>
    <r>
      <rPr>
        <vertAlign val="subscript"/>
        <sz val="7"/>
        <rFont val="Calibri"/>
        <family val="2"/>
        <scheme val="minor"/>
      </rPr>
      <t>min</t>
    </r>
    <r>
      <rPr>
        <sz val="7"/>
        <rFont val="Calibri"/>
        <family val="2"/>
        <scheme val="minor"/>
      </rPr>
      <t>60-90cm, organDgg, Vorfr, Zwfr, Ackerzahl</t>
    </r>
  </si>
  <si>
    <r>
      <t>0,5*N</t>
    </r>
    <r>
      <rPr>
        <vertAlign val="subscript"/>
        <sz val="7"/>
        <rFont val="Calibri"/>
        <family val="2"/>
        <scheme val="minor"/>
      </rPr>
      <t>min</t>
    </r>
    <r>
      <rPr>
        <sz val="7"/>
        <rFont val="Calibri"/>
        <family val="2"/>
        <scheme val="minor"/>
      </rPr>
      <t>30-60, 0,67*N</t>
    </r>
    <r>
      <rPr>
        <vertAlign val="subscript"/>
        <sz val="7"/>
        <rFont val="Calibri"/>
        <family val="2"/>
        <scheme val="minor"/>
      </rPr>
      <t>min</t>
    </r>
    <r>
      <rPr>
        <sz val="7"/>
        <rFont val="Calibri"/>
        <family val="2"/>
        <scheme val="minor"/>
      </rPr>
      <t>60-90cm, organDgg, Vorfr, Zwfr, Ackerzahl</t>
    </r>
  </si>
  <si>
    <r>
      <t>N</t>
    </r>
    <r>
      <rPr>
        <vertAlign val="subscript"/>
        <sz val="7"/>
        <color theme="1"/>
        <rFont val="Calibri"/>
        <family val="2"/>
        <scheme val="minor"/>
      </rPr>
      <t>min</t>
    </r>
    <r>
      <rPr>
        <sz val="7"/>
        <color theme="1"/>
        <rFont val="Calibri"/>
        <family val="2"/>
        <scheme val="minor"/>
      </rPr>
      <t>0-30, 0,67*N</t>
    </r>
    <r>
      <rPr>
        <vertAlign val="subscript"/>
        <sz val="7"/>
        <color theme="1"/>
        <rFont val="Calibri"/>
        <family val="2"/>
        <scheme val="minor"/>
      </rPr>
      <t>min</t>
    </r>
    <r>
      <rPr>
        <sz val="7"/>
        <color theme="1"/>
        <rFont val="Calibri"/>
        <family val="2"/>
        <scheme val="minor"/>
      </rPr>
      <t>30-60, 33% Aufwuchs</t>
    </r>
  </si>
  <si>
    <r>
      <t>0,33*Nmin0-30, 0,75*N</t>
    </r>
    <r>
      <rPr>
        <vertAlign val="subscript"/>
        <sz val="7"/>
        <color theme="1"/>
        <rFont val="Calibri"/>
        <family val="2"/>
        <scheme val="minor"/>
      </rPr>
      <t>min</t>
    </r>
    <r>
      <rPr>
        <sz val="7"/>
        <color theme="1"/>
        <rFont val="Calibri"/>
        <family val="2"/>
        <scheme val="minor"/>
      </rPr>
      <t>60-90, 67% Aufwuchs, organDgg, Vorfr, Zwfr, Ackerzahl</t>
    </r>
  </si>
  <si>
    <t xml:space="preserve">Die N-Menge im Erntegut errechnet sich aus dem TM-Ertrag und dem Rohproteingehalt (% in der Trockenmasse). Bei Mais wird mit dem Faktor 6,25 aus dem N-Gehalt der RP-Gehalt ermittelt. </t>
  </si>
  <si>
    <t>Erläuterung der Berechnung                          siehe unten (Funktionen).</t>
  </si>
  <si>
    <t>N-Obergrenze DüV</t>
  </si>
  <si>
    <t>Problem: DüV gibt keinen TM-Gehalt vor!</t>
  </si>
  <si>
    <t>Die DüV nennt bei Silomais zwar einen N-Bedarfswert, aber ohne Bezug zum TM-Gehalt.</t>
  </si>
  <si>
    <t>Im Vergleich zum Körnermais weist die DüV beim Silomais höhere N-Bedarfswerte aus!</t>
  </si>
  <si>
    <t>Bsp. 90 dt/ha K-Mais, N-Bedarfswert 200; Korn:Stroh-Verhältnis gemäß DüV 1:1, 180 dt FM-Ertrag * 0,86 = 155 dt TM-Ertrag</t>
  </si>
  <si>
    <t>Bsp. 450 dt/ha FM Silomais, N-Bedarfswert 200; 32 % TM = 144 dt/ha TM-Ertrag; 30 % TM = 135 dt/ha TM-Ertrag</t>
  </si>
  <si>
    <t>DüV-Bedarfswerte:</t>
  </si>
  <si>
    <t>Die DüV weist bei jeweils 80 dt/ha Kornertrag E-Weizen einen N-Bedarfswert von 260 zu, A-und B-Weizen einen von 230 und C-Weizen einen von 210.</t>
  </si>
  <si>
    <t>Die N-Bedarfswerte entsprechend der DüV für diese Erträge lägen bei 260 für E-, 235 für A- und B- und bei 220 kg N/ha für C-Weizen.</t>
  </si>
  <si>
    <t>Bei gleichen N-Abfuhren würde der E-Weizen damit einen um 40 kg/ha schlechteren N-Saldo aufweisen.</t>
  </si>
  <si>
    <t>In Sortenversuchen erreichen bei gleicher N-Düngung E-Weizen z.B. 80 dt/ha, A- und B-Weizen 85 dt/ha und C-Weizen 90 dt/ha, die Rohproteingehalte fallen in dieser Reihenfolge.</t>
  </si>
  <si>
    <t>Nmin 0-60 (in DüV: i.d.R. 0-90 cm)</t>
  </si>
  <si>
    <t>Abb.:  Lage der der 3 mehrjährigen WiWz-N-Düngungs-Versuchsstandorte in RP im Vergleich zur N-Obergrenze nach DüV</t>
  </si>
  <si>
    <t>Auch bei den Zuckerrüben wird der N-Sollwert vom Ertrag sowie vom Rohproteingehalt der Knollen und Blätter bestimmt. Diese sind jedoch nicht bekannt und die N-Gehalte der DüV sind nicht gerade aktuell. Daher wurde eine Sollwertfunktion aus Erträgen und angenommenen N-Gehalten abgeleitet (s. unten, multipliziert mit 0,93; d.h. die Zuckerrübe hat eine sehr hohe N-Effizienz).</t>
  </si>
  <si>
    <t>Aufn. * 0,9 in kg N/ha</t>
  </si>
  <si>
    <t>Tagesweide</t>
  </si>
  <si>
    <t>Weidezeit/Tag</t>
  </si>
  <si>
    <t>12 Std.</t>
  </si>
  <si>
    <t>24 Std.</t>
  </si>
  <si>
    <t>Anm.: Die DüV geht bei Beweidung von einer Ganztagsweide aus und rechnet (wg. des Verbleibs von Kot und Harn auf der Fläche) mit 50 % des N-Bedarfs im Vergleich zur Schnittnutzung (bei gleichem Bruttoertrag). In dieser Anwendung (Zeile 10) wurde auch die Möglichkeit der Tagesweide vorgesehen, wie z.B. für Milchkühe zwischen den Melkzeiten. Der N-Bedarf beträgt dann 75 % des Bedarfs einer Schnittnutzung bei gleichem Bruttoertrag.</t>
  </si>
  <si>
    <r>
      <rPr>
        <b/>
        <sz val="12"/>
        <rFont val="Calibri"/>
        <family val="2"/>
        <scheme val="minor"/>
      </rPr>
      <t xml:space="preserve">Sollwerte   </t>
    </r>
    <r>
      <rPr>
        <b/>
        <sz val="8"/>
        <rFont val="Calibri"/>
        <family val="2"/>
        <scheme val="minor"/>
      </rPr>
      <t xml:space="preserve">                                                         abh. von Ertrag und Höhe üNN</t>
    </r>
  </si>
  <si>
    <r>
      <rPr>
        <b/>
        <sz val="12"/>
        <rFont val="Calibri"/>
        <family val="2"/>
        <scheme val="minor"/>
      </rPr>
      <t xml:space="preserve">Sollwerte   </t>
    </r>
    <r>
      <rPr>
        <b/>
        <sz val="8"/>
        <rFont val="Calibri"/>
        <family val="2"/>
        <scheme val="minor"/>
      </rPr>
      <t xml:space="preserve">                                                                                      abh. von Ertrag und Höhe üNN</t>
    </r>
  </si>
  <si>
    <t xml:space="preserve">Der N-Bedarfswert errechnet sich bei Mähweidenutzung durch Multiplikation des Weideanteils am Ertrag (dt TM/ha) mit 0,5 (24-Std.-Beweidung) bzw. 0,75 (12-Std.-Beweidung) und Addition des Schnittanteils am Ertrag (dt TM/ha); anschließend durch Multiplikation der Summe mit dem Rohproteingehalt (% der TM, einheitlich für den gesamten Ertrag) und Division durch 6,25. Die Berechnung ist abhängig von den jeweiligen Weide- und Schnittanteilen, jedoch unabhängig von der Intensität der Nutzung. </t>
  </si>
  <si>
    <t>Anm.: Die DüV geht bei Beweidung von einer Ganztagsweide aus und rechnet (wg. des Verbleibs von Kot und Harn auf der Fläche) mit 50 % des N-Bedarfs im Vergleich zur Schnittnutzung (bei gleichem Bruttoertrag). In dieser Anwendung (Zeile 9) wurde auch die Möglichkeit der Tagesweide vorgesehen, wie z.B. für Milchkühe zwischen den Melkzeiten. Der N-Bedarf beträgt dann 75 % des Bedarfs einer Schnittnutzung bei gleichem Bruttoertrag.</t>
  </si>
  <si>
    <r>
      <t xml:space="preserve">Weidedauer/Tag                                                           </t>
    </r>
    <r>
      <rPr>
        <sz val="12"/>
        <color theme="1"/>
        <rFont val="Calibri"/>
        <family val="2"/>
        <scheme val="minor"/>
      </rPr>
      <t>(s. Erläuterung unten)</t>
    </r>
  </si>
  <si>
    <t>A</t>
  </si>
  <si>
    <t>B</t>
  </si>
  <si>
    <t>X</t>
  </si>
  <si>
    <t>Y</t>
  </si>
  <si>
    <t>%-Zahl 0 bis 100      eingeben</t>
  </si>
  <si>
    <r>
      <rPr>
        <b/>
        <sz val="12"/>
        <color rgb="FFFF0000"/>
        <rFont val="Calibri"/>
        <family val="2"/>
        <scheme val="minor"/>
      </rPr>
      <t>Obergrenze</t>
    </r>
    <r>
      <rPr>
        <b/>
        <sz val="12"/>
        <color rgb="FF0070C0"/>
        <rFont val="Calibri"/>
        <family val="2"/>
        <scheme val="minor"/>
      </rPr>
      <t xml:space="preserve"> gemäß Düngeverordnung kg N/ha</t>
    </r>
  </si>
  <si>
    <t>Die Sortengruppen weisen in Sortenversuchen unterschiedliche Erträge und Rohproteingehalte auf, aber letztlich die gleichen Korn-N-Erträge.</t>
  </si>
  <si>
    <t>mineralisch und organisch</t>
  </si>
  <si>
    <t>Anders als bei den Getreidearten, die als Back- oder Futtergetreide angebaut werden, gibt es für Braugersten keinen großen Spielraum beim  Rohproteingehalt. Dieser sollte bei 10,5 % liegen, gemessen in der Trockenmasse. Der ertragsabhängige Sollwert wird daher nicht über die Summe von Korn-N, Stroh-N und Restpflanzen-N gebildet, sondern nach einer quadratische Funktion berechnet (s. Abb. unten).</t>
  </si>
  <si>
    <t>Kürbis</t>
  </si>
  <si>
    <r>
      <t>N</t>
    </r>
    <r>
      <rPr>
        <b/>
        <vertAlign val="subscript"/>
        <sz val="11"/>
        <color theme="1"/>
        <rFont val="Calibri"/>
        <family val="2"/>
        <scheme val="minor"/>
      </rPr>
      <t>min</t>
    </r>
    <r>
      <rPr>
        <b/>
        <sz val="11"/>
        <color theme="1"/>
        <rFont val="Calibri"/>
        <family val="2"/>
        <scheme val="minor"/>
      </rPr>
      <t>-Gehalte in 0-90 cm zu 100%; Abschläge für Vor- und Zwischenfrucht, letztjährige organische Düngung (10 % vom Ges.-N), langjährige organische Düngung (10 kg N/GV), (wg. der Vegetationszeit alle stärker gewichtet als bei Getreide).                                                                                                      Zwischen Ackerzahl 25 und 90 wird die N-Düngempfehlung um 21 kg/ha differenziert.</t>
    </r>
  </si>
  <si>
    <t xml:space="preserve">Die N-Menge im Erntegut errechnet sich aus dem FM-Ertrag und dem N-Gehalt. In der DüV ist für Z-Rüben ein N-Gehalt von 0,18 kg/dt anegeben. Jüngere Untersuchungen zeigen jedoch, dass bei hohen Erträgen nur etwa 0,15 bs 0,12 kg N/dt erreicht werden. </t>
  </si>
  <si>
    <t>zweiter Rodetermin</t>
  </si>
  <si>
    <r>
      <t xml:space="preserve">erster Rodetermin                 </t>
    </r>
    <r>
      <rPr>
        <sz val="8"/>
        <color theme="1"/>
        <rFont val="Calibri"/>
        <family val="2"/>
        <scheme val="minor"/>
      </rPr>
      <t xml:space="preserve"> (bei nur einem Rodetermin diese Spalte benutzen)</t>
    </r>
  </si>
  <si>
    <t xml:space="preserve">Zielertrag FM dt/ha                </t>
  </si>
  <si>
    <t>ertragsabhängiger N-Bedarfswert</t>
  </si>
  <si>
    <r>
      <rPr>
        <b/>
        <sz val="12"/>
        <color rgb="FFFF0000"/>
        <rFont val="Calibri"/>
        <family val="2"/>
        <scheme val="minor"/>
      </rPr>
      <t xml:space="preserve">Obergrenze </t>
    </r>
    <r>
      <rPr>
        <b/>
        <sz val="12"/>
        <color rgb="FF0070C0"/>
        <rFont val="Calibri"/>
        <family val="2"/>
        <scheme val="minor"/>
      </rPr>
      <t>gemäß Düngeverordnung kg N/ha</t>
    </r>
  </si>
  <si>
    <t>Düngeempfehlung in kg N/ha</t>
  </si>
  <si>
    <t>Abzüge für ersten Rodungstermin</t>
  </si>
  <si>
    <t>Abzüge für zweiten Rodungstermin</t>
  </si>
  <si>
    <t>erster Rodetermin</t>
  </si>
  <si>
    <t xml:space="preserve"> t/ha bzw. bei Gülle m³/ha</t>
  </si>
  <si>
    <t>kg/t bzw. bei Gülle kg/m³</t>
  </si>
  <si>
    <t xml:space="preserve"> Winter-Futtergerste kg N/ha</t>
  </si>
  <si>
    <t>Düngeempfehlung            Sommer-Braugerste kg N/ha</t>
  </si>
  <si>
    <t>Ziel: 10,5 % RP i.d. Korn-TM</t>
  </si>
  <si>
    <t>Bsp: (100 - 0,5*70)/100 = 0,65</t>
  </si>
  <si>
    <r>
      <t xml:space="preserve">Strohfaktor = (100 - 0,5*Kornertrag)/100;                                          </t>
    </r>
    <r>
      <rPr>
        <sz val="10"/>
        <rFont val="Calibri"/>
        <family val="2"/>
        <scheme val="minor"/>
      </rPr>
      <t>(spielt nur für die N-Bilanz eine Rolle)</t>
    </r>
  </si>
  <si>
    <t>Diese N-Düngeempfehlung kann eine teilflächenspezifische N-Düngung abhängig von Höhenlage, Ackerzahl und Ertragsniveau unterstützen.</t>
  </si>
  <si>
    <t>DüV-N-Obergr. Kart.</t>
  </si>
  <si>
    <r>
      <t>N</t>
    </r>
    <r>
      <rPr>
        <b/>
        <vertAlign val="subscript"/>
        <sz val="11"/>
        <color theme="1"/>
        <rFont val="Calibri"/>
        <family val="2"/>
        <scheme val="minor"/>
      </rPr>
      <t>min</t>
    </r>
    <r>
      <rPr>
        <b/>
        <sz val="11"/>
        <color theme="1"/>
        <rFont val="Calibri"/>
        <family val="2"/>
        <scheme val="minor"/>
      </rPr>
      <t>-Gehalte in 0-30cm zu 100%, in 30-60cm zu 87,5% und in 60-90cm zu 75%; Abschläge für Vor- und Zwischenfrucht, letztjährige organische Düngung (10 % vom Ges.-N), langjährige organische Düngung (10 kg N/GV), (wg. der Vegetationszeit alle stärker gewichtet als bei Getreide). Berücksichtigung von Höhenlage und Ackerzahl. Zwischen Ackerzahl 25 und 90 wird die N-Düngempfehlung um 12 kg/ha differenziert.</t>
    </r>
  </si>
  <si>
    <r>
      <t>N</t>
    </r>
    <r>
      <rPr>
        <b/>
        <vertAlign val="subscript"/>
        <sz val="11"/>
        <rFont val="Calibri"/>
        <family val="2"/>
        <scheme val="minor"/>
      </rPr>
      <t>min</t>
    </r>
    <r>
      <rPr>
        <b/>
        <sz val="11"/>
        <rFont val="Calibri"/>
        <family val="2"/>
        <scheme val="minor"/>
      </rPr>
      <t>-Gehalte in 0-60 cm zu 100%; Abschläge für Vor- und Zwischenfrucht, letztjährige organische Düngung (10 % vom Ges.-N), langjährige organische Düngung (10 kg N/GV)), sowie Berücksichtigung von Höhenlage und Ackerzahl. Zwischen Ackerzahl 25 und 90 wird die N-Düngempfehlung um 12 kg/ha differenziert.</t>
    </r>
  </si>
  <si>
    <t>Auch bei den Kartoffeln wird der N-Sollwert vom Ertrag sowie vom N-Gehalt der Knollen und Blätter bestimmt. Dabei sinken mit zunehmendem Ertrag die N-Gehalte in den Knollen ab.</t>
  </si>
  <si>
    <t>0,265 bis 0,39 % N Knolle</t>
  </si>
  <si>
    <t>Die N-Menge im Erntegut errechnet sich aus dem FM-Ertrag und dem N-Gehalt. In der DüV ist für Kartoffeln ein N-Gehalt von 0,35 kg/dt angegeben.</t>
  </si>
  <si>
    <t>0,265 bis 0,425 % N Knolle</t>
  </si>
  <si>
    <t xml:space="preserve"> plus 35 kg  N (Blatt, Pfl.reste, N-Aufn.potemtial)</t>
  </si>
  <si>
    <t>Auch bei Frühkartoffeln wird der N-Sollwert vom Ertrag sowie vom N-Gehalt der Knollen und Blätter bestimmt. Dabei sinken mit zunehmendem Ertrag die N-Gehalte in den Knollen ab.</t>
  </si>
  <si>
    <r>
      <t>N</t>
    </r>
    <r>
      <rPr>
        <b/>
        <vertAlign val="subscript"/>
        <sz val="11"/>
        <rFont val="Calibri"/>
        <family val="2"/>
        <scheme val="minor"/>
      </rPr>
      <t>min</t>
    </r>
    <r>
      <rPr>
        <b/>
        <sz val="11"/>
        <rFont val="Calibri"/>
        <family val="2"/>
        <scheme val="minor"/>
      </rPr>
      <t>-Gehalte in 0-30 cm zu 100% und 30-60 cm zu 75 %; Abschläge für Vor- und Zwischenfrucht, letztjährige organische Düngung (10 % vom Ges.-N), langjährige organische Düngung (10 kg N/GV)), alles geringer bewertet als bei Kartoffeln oder Getreide, sowie Berücksichtigung von Höhenlage und Ackerzahl. Zwischen Ackerzahl 25 und 90 wird die N-Düngempfehlung um 12 kg/ha differenziert.</t>
    </r>
  </si>
  <si>
    <t xml:space="preserve"> plus 98 - 100 kg  N (Blatt, Pfl.reste, N-Aufn.potemtial)</t>
  </si>
  <si>
    <t>Getreide, Mais</t>
  </si>
  <si>
    <t>Achtung: Die Funktion der "N-Düngeempfehlung" ist theoretisch abgeleitet, so dass sie die nach DüV "flankiert". Sie kann jedoch eine teilflächenspezifische N-Düngung, basierend auf unterschiedlichen Etragspotenzialen etc. unterstützen.</t>
  </si>
  <si>
    <t>Wintergerste (DüV)</t>
  </si>
  <si>
    <t>Winter-Braugerste (Empfehlung)</t>
  </si>
  <si>
    <t>Sommergerste (DüV)</t>
  </si>
  <si>
    <t>mehr als 10,5 % RP anzustreben birgt ein hohes Riskio</t>
  </si>
  <si>
    <t>Wintergerste (DüV) = Winter-Futtergerste</t>
  </si>
  <si>
    <t>evtl. auch beide Gaben zu Vegetationsbeginn zusammenfassen</t>
  </si>
  <si>
    <r>
      <t>N</t>
    </r>
    <r>
      <rPr>
        <b/>
        <vertAlign val="subscript"/>
        <sz val="11"/>
        <color theme="1"/>
        <rFont val="Calibri"/>
        <family val="2"/>
        <scheme val="minor"/>
      </rPr>
      <t>min</t>
    </r>
    <r>
      <rPr>
        <b/>
        <sz val="11"/>
        <color theme="1"/>
        <rFont val="Calibri"/>
        <family val="2"/>
        <scheme val="minor"/>
      </rPr>
      <t xml:space="preserve">-Gehalte in 0 bis 60 cm, Abschläge für Vor- und Zwischenfrucht, letztjährige organische Düngung (10 % vom Ges.-N), langjährige organische Düngung (10 kg N/GV), Ackerzahl, Höhenlage, Korrektur für Abreife und RP-Gehalt (alle in der Höhe wie angezeigt). Zwischen Ackerzahl 25 und 90 wird die N-Düngempfehlung um 18 kg/ha differenziert (und damit stärker als beim übrigen Getreide).                                                                                                                                       </t>
    </r>
  </si>
  <si>
    <t>Mindest-N-Angebot zur Bestockung:</t>
  </si>
  <si>
    <t>Bei Braugerste kann es zu einer unzureichenden N-Versorgung bzw. zu einer unzureichenden Bestockung kommen, wenn im Oberboden zu wenig Nitrat vorhanden ist. Deswegen beinhaltet die Berechnung der N-Düngeempfehlung immer die Auffüllung der obersten Bodenschicht auf den "kleinen" Sollwert von 60 kg N/ha.</t>
  </si>
  <si>
    <t>dt TM*%RP/6,25*1,x+5</t>
  </si>
  <si>
    <t>= -0,00328 * dt TM/ha² + 1,775 * dt TM/ha + 13</t>
  </si>
  <si>
    <t>Annahme: 7,4 % RP bei 160 dt TM/ha (plus 10 dt TM = minus 0,125 % RP, und umgekehrt)</t>
  </si>
  <si>
    <t>Faktor 1,x = ertragsabhängig;  wg. Stoppeln, Wurzeln</t>
  </si>
  <si>
    <t>DüV mit Annahme: 32 % TM</t>
  </si>
  <si>
    <t>DüV mit Annahme: 28 % TM</t>
  </si>
  <si>
    <t>Auch beim Silomais wird der N-Sollwert vom Ertrag sowie vom Rohproteingehalt der Ganzpflanze bestimmt. Dieser liegt um 7,4 %, gemessen in der Trockenmasse (RP-Gehalte über 8 % sind für Höchsterträge nicht erforderlich).  Beim hier errechneten Sollwert werden ertragsabhängige Rohproteingehalte sowie Zuschläge für nicht erntbare Pflanzenteile berücksichtigt.</t>
  </si>
  <si>
    <t>entspricht: dt TM/ha * % RP/6,25 * Faktor 1 bis 1,2 plus 5</t>
  </si>
  <si>
    <t>Bitte lesen Sie diese Einführung, bevor Sie sie mit der Anwendung arbeiten.</t>
  </si>
  <si>
    <t>N-Düngeplaner RLP</t>
  </si>
  <si>
    <t>N-Sollw. Im Düngungsoptimum</t>
  </si>
  <si>
    <t>andere Beispiele (mit 24-Std.-Beweidung)</t>
  </si>
  <si>
    <t>Bewirtschaftungs-                            einheiten oder Schläge</t>
  </si>
  <si>
    <t>Bewirtschaftungseinheiten oder Schläge</t>
  </si>
  <si>
    <t>Z´Rüben ohne Blatternte</t>
  </si>
  <si>
    <t>Z´rüben mit Blatternte</t>
  </si>
  <si>
    <t>Frühjahr-eingearb. Nichtlegumin.</t>
  </si>
  <si>
    <t>Herbst-eingearb. Nichtlegumin.</t>
  </si>
  <si>
    <t>Frühjahr-eingearb. Leguminose</t>
  </si>
  <si>
    <t>Herbst-eingearb. Leguminose</t>
  </si>
  <si>
    <r>
      <t>max. N</t>
    </r>
    <r>
      <rPr>
        <b/>
        <sz val="9"/>
        <color theme="1"/>
        <rFont val="Calibri"/>
        <family val="2"/>
        <scheme val="minor"/>
      </rPr>
      <t>min</t>
    </r>
    <r>
      <rPr>
        <b/>
        <sz val="11"/>
        <color theme="1"/>
        <rFont val="Calibri"/>
        <family val="2"/>
        <scheme val="minor"/>
      </rPr>
      <t>-Tiefe in cm</t>
    </r>
  </si>
  <si>
    <t>Sommer-Braugerste (Empfehlung)</t>
  </si>
  <si>
    <t>Summe Marktfrüchte/Ackerbau</t>
  </si>
  <si>
    <t>Reinbestand</t>
  </si>
  <si>
    <t>mineral. Unterfußdüngung</t>
  </si>
  <si>
    <t>23 % ist Standard</t>
  </si>
  <si>
    <t>Ackergras                                      3-4 Schntte</t>
  </si>
  <si>
    <t>Durum (Hartweizen)</t>
  </si>
  <si>
    <r>
      <rPr>
        <b/>
        <sz val="12"/>
        <rFont val="Calibri"/>
        <family val="2"/>
        <scheme val="minor"/>
      </rPr>
      <t xml:space="preserve">Sollwerte </t>
    </r>
    <r>
      <rPr>
        <b/>
        <sz val="8"/>
        <rFont val="Calibri"/>
        <family val="2"/>
        <scheme val="minor"/>
      </rPr>
      <t>abh. von Ertrag und Höhe üNN</t>
    </r>
  </si>
  <si>
    <r>
      <t xml:space="preserve">Düngeempfehlung          </t>
    </r>
    <r>
      <rPr>
        <b/>
        <sz val="12"/>
        <color theme="3"/>
        <rFont val="Calibri"/>
        <family val="2"/>
        <scheme val="minor"/>
      </rPr>
      <t>Winter-Braugerste kg N/ha</t>
    </r>
  </si>
  <si>
    <t>Summe Weinbau</t>
  </si>
  <si>
    <t>Bodenart und Humusgehalt</t>
  </si>
  <si>
    <t>Rebenwachstum</t>
  </si>
  <si>
    <t>schwach</t>
  </si>
  <si>
    <t>stark</t>
  </si>
  <si>
    <t>Bodenpflege</t>
  </si>
  <si>
    <t>Offenhalten über Sommer</t>
  </si>
  <si>
    <t>andere</t>
  </si>
  <si>
    <t>Gassen</t>
  </si>
  <si>
    <t>jede</t>
  </si>
  <si>
    <t>jede zweite</t>
  </si>
  <si>
    <t>leicht, unter 1,5 % Humus</t>
  </si>
  <si>
    <t>leicht, 1,5 bis 2,5  % Humus</t>
  </si>
  <si>
    <t>leicht, über 2,5  % Humus</t>
  </si>
  <si>
    <t>mittel-schwer, unter 1,8 % Humus</t>
  </si>
  <si>
    <t>mittel-schwer, 1,8 bis 3 % Humus</t>
  </si>
  <si>
    <t>mittel-schwer, über 3 % Humus</t>
  </si>
  <si>
    <t>steinhaltig, unter 4 % Humus</t>
  </si>
  <si>
    <t>ha Fläche</t>
  </si>
  <si>
    <t>Nummer 2</t>
  </si>
  <si>
    <t>Fläche 3</t>
  </si>
  <si>
    <t>Schlag 4</t>
  </si>
  <si>
    <t>Basisbedarf         kg N/ha</t>
  </si>
  <si>
    <t>Schlag 2</t>
  </si>
  <si>
    <t>Fläche 2</t>
  </si>
  <si>
    <t>Acker 3</t>
  </si>
  <si>
    <t xml:space="preserve"> auf Basis der Düngeverordnung erstellt vom Arbeitskreis Bodenkunde und Pflanzenernährung im Forschungsring des Deutschen Weinbaus.</t>
  </si>
  <si>
    <t>Grundlage dieser Berechnungen ist der Schätzrahmen "Stickstoff-Düngebedarfsermittlung für Ertragsanlagen" des Weinbaus,</t>
  </si>
  <si>
    <t>bis 14 t/ha</t>
  </si>
  <si>
    <t>Standortbezogene N-Obergrenze gemäß Düngeverordnung</t>
  </si>
  <si>
    <t xml:space="preserve">Berechnung des N-Düngebedarfs gemäß Düngeverordnung vom Mai 2017. </t>
  </si>
  <si>
    <t>Berechnung des N-Düngebedarfs gemäß Düngeverordnung vom Mai 2017. Die DüV differenziert nicht nach der Verwertungsrichtung der Wintergerste.</t>
  </si>
  <si>
    <t>Berechnung des N-Düngebedarfs gemäß Düngeverordnung vom Mai 2017. Die DüV differenziert nicht nach der Verwertungsrichtung. Die N-Obergrenze kann aber als Empfehlung für Sommer-Futtergerste betrachtet werden.</t>
  </si>
  <si>
    <t>Diese N-Düngeempfehlung kann eine teilflächenspezifische N-Düngung abhängig von Höhenlage, Ackerzahl, Ertragsniveau und Pflanzenaufwuchs unterstützen.</t>
  </si>
  <si>
    <t>Berechnung des Phosphat-Düngebedarfs gemäß Düngeverordnung vom Mai 2017</t>
  </si>
  <si>
    <t>Erntegut</t>
  </si>
  <si>
    <t>Korn</t>
  </si>
  <si>
    <t>Korn + anteiliges Stroh</t>
  </si>
  <si>
    <t>Berechnung des N-Düngebedarfs gemäß Düngeverordnung vom Mai 2017. E-Weizen haben einen deutlich höheren Bedarfswert als C-Weizen. Der RP-Gehalt im Korn wird hierbei nur indirekt berücksichtigt.</t>
  </si>
  <si>
    <t>Phosphat-Gehaltsklasse A (sehr niedrig)</t>
  </si>
  <si>
    <t>Phosphat-Gehaltsklasse B (niedrig)</t>
  </si>
  <si>
    <t>Phosphat-Gehaltsklasse C (mittel = anzustreben)</t>
  </si>
  <si>
    <t>Phosphat-Gehaltsklasse D (hoch)</t>
  </si>
  <si>
    <r>
      <t>kg P</t>
    </r>
    <r>
      <rPr>
        <vertAlign val="subscript"/>
        <sz val="11"/>
        <rFont val="Calibri"/>
        <family val="2"/>
        <scheme val="minor"/>
      </rPr>
      <t>2</t>
    </r>
    <r>
      <rPr>
        <sz val="11"/>
        <rFont val="Calibri"/>
        <family val="2"/>
        <scheme val="minor"/>
      </rPr>
      <t>O</t>
    </r>
    <r>
      <rPr>
        <vertAlign val="subscript"/>
        <sz val="11"/>
        <rFont val="Calibri"/>
        <family val="2"/>
        <scheme val="minor"/>
      </rPr>
      <t>5</t>
    </r>
    <r>
      <rPr>
        <sz val="11"/>
        <rFont val="Calibri"/>
        <family val="2"/>
        <scheme val="minor"/>
      </rPr>
      <t>/ha</t>
    </r>
  </si>
  <si>
    <t>Die Phosphat-Gehaltsklassen entnehmen Sie bitte Ihren Bodenuntersuchungsbefunden. In Gehaltsklasse E wird keine Düngung empfohlen.</t>
  </si>
  <si>
    <t>Es liegt daher nahe, dass die N-Bedarfswerte für E-Weizen deutlich großzügiger bemessen wurden als für C-Weizen.</t>
  </si>
  <si>
    <r>
      <t>Gemäß DüV dürfen Schläge mit Gehalten über 20 mg CAL- o. 3,6 mg EUF-löslichem P</t>
    </r>
    <r>
      <rPr>
        <vertAlign val="subscript"/>
        <sz val="9"/>
        <rFont val="Calibri"/>
        <family val="2"/>
        <scheme val="minor"/>
      </rPr>
      <t>2</t>
    </r>
    <r>
      <rPr>
        <sz val="9"/>
        <rFont val="Calibri"/>
        <family val="2"/>
        <scheme val="minor"/>
      </rPr>
      <t>O</t>
    </r>
    <r>
      <rPr>
        <vertAlign val="subscript"/>
        <sz val="9"/>
        <rFont val="Calibri"/>
        <family val="2"/>
        <scheme val="minor"/>
      </rPr>
      <t>5</t>
    </r>
    <r>
      <rPr>
        <sz val="9"/>
        <rFont val="Calibri"/>
        <family val="2"/>
        <scheme val="minor"/>
      </rPr>
      <t xml:space="preserve">/100 g Boden maximal bis zur voraussichtlichen P-Abfuhr mit dem Erntegut gedüngt werden. </t>
    </r>
    <r>
      <rPr>
        <b/>
        <sz val="9"/>
        <color rgb="FF0070C0"/>
        <rFont val="Calibri"/>
        <family val="2"/>
        <scheme val="minor"/>
      </rPr>
      <t>Dies entspricht der Empfehlung in Gehaltsklasse C</t>
    </r>
    <r>
      <rPr>
        <sz val="9"/>
        <rFont val="Calibri"/>
        <family val="2"/>
        <scheme val="minor"/>
      </rPr>
      <t>. Im Rahmen der Fruchtfolge kann dies als Vorratsdüngung für jeweils 3 Jahre im Voraus erfolgen.</t>
    </r>
  </si>
  <si>
    <t>Der hier kulturspezifisch ermittelte P-Bedarf sollte innerhalb der Fruchtfolge insbes. zu Kulturen wie Kart., Mais, Z-Rüben oder Gerste auf Vorrat gegeben werden. Nur bei geringer P-Versorgung empfiehlt sich eine jährliche Phosphatdüngung.</t>
  </si>
  <si>
    <r>
      <t>kg P</t>
    </r>
    <r>
      <rPr>
        <vertAlign val="subscript"/>
        <sz val="11"/>
        <color theme="1" tint="0.499984740745262"/>
        <rFont val="Calibri"/>
        <family val="2"/>
        <scheme val="minor"/>
      </rPr>
      <t>2</t>
    </r>
    <r>
      <rPr>
        <sz val="11"/>
        <color theme="1" tint="0.499984740745262"/>
        <rFont val="Calibri"/>
        <family val="2"/>
        <scheme val="minor"/>
      </rPr>
      <t>O</t>
    </r>
    <r>
      <rPr>
        <vertAlign val="subscript"/>
        <sz val="11"/>
        <color theme="1" tint="0.499984740745262"/>
        <rFont val="Calibri"/>
        <family val="2"/>
        <scheme val="minor"/>
      </rPr>
      <t>5</t>
    </r>
    <r>
      <rPr>
        <sz val="11"/>
        <color theme="1" tint="0.499984740745262"/>
        <rFont val="Calibri"/>
        <family val="2"/>
        <scheme val="minor"/>
      </rPr>
      <t>/ha</t>
    </r>
  </si>
  <si>
    <t>Knollen</t>
  </si>
  <si>
    <t>Knollen + anteiliges Kraut</t>
  </si>
  <si>
    <t>Rüben</t>
  </si>
  <si>
    <t>Rb. + Blatt</t>
  </si>
  <si>
    <t>Ertrag dt/ha</t>
  </si>
  <si>
    <t>Corn-Cob-Mix (60 % TM)</t>
  </si>
  <si>
    <r>
      <t>kg</t>
    </r>
    <r>
      <rPr>
        <b/>
        <sz val="14"/>
        <color theme="1"/>
        <rFont val="Calibri"/>
        <family val="2"/>
        <scheme val="minor"/>
      </rPr>
      <t>/ha</t>
    </r>
  </si>
  <si>
    <r>
      <t>kg P</t>
    </r>
    <r>
      <rPr>
        <vertAlign val="subscript"/>
        <sz val="11"/>
        <color theme="1" tint="0.499984740745262"/>
        <rFont val="Calibri"/>
        <family val="2"/>
        <scheme val="minor"/>
      </rPr>
      <t>2</t>
    </r>
    <r>
      <rPr>
        <sz val="11"/>
        <color theme="1" tint="0.499984740745262"/>
        <rFont val="Calibri"/>
        <family val="2"/>
        <scheme val="minor"/>
      </rPr>
      <t>O</t>
    </r>
    <r>
      <rPr>
        <vertAlign val="subscript"/>
        <sz val="11"/>
        <color theme="1" tint="0.499984740745262"/>
        <rFont val="Calibri"/>
        <family val="2"/>
        <scheme val="minor"/>
      </rPr>
      <t>5</t>
    </r>
    <r>
      <rPr>
        <sz val="11"/>
        <color theme="1" tint="0.499984740745262"/>
        <rFont val="Calibri"/>
        <family val="2"/>
        <scheme val="minor"/>
      </rPr>
      <t>/dt</t>
    </r>
  </si>
  <si>
    <t>Humus-gehalt</t>
  </si>
  <si>
    <r>
      <t xml:space="preserve">kg                  </t>
    </r>
    <r>
      <rPr>
        <b/>
        <sz val="12"/>
        <color theme="1"/>
        <rFont val="Calibri"/>
        <family val="2"/>
        <scheme val="minor"/>
      </rPr>
      <t>gesamte Fläche</t>
    </r>
  </si>
  <si>
    <r>
      <rPr>
        <b/>
        <sz val="14"/>
        <color theme="1"/>
        <rFont val="Calibri"/>
        <family val="2"/>
        <scheme val="minor"/>
      </rPr>
      <t xml:space="preserve">kg </t>
    </r>
    <r>
      <rPr>
        <b/>
        <sz val="12"/>
        <color theme="1"/>
        <rFont val="Calibri"/>
        <family val="2"/>
        <scheme val="minor"/>
      </rPr>
      <t xml:space="preserve">                 </t>
    </r>
    <r>
      <rPr>
        <b/>
        <sz val="10"/>
        <color theme="1"/>
        <rFont val="Calibri"/>
        <family val="2"/>
        <scheme val="minor"/>
      </rPr>
      <t>gesamte Fläche</t>
    </r>
  </si>
  <si>
    <r>
      <rPr>
        <b/>
        <sz val="14"/>
        <color theme="1"/>
        <rFont val="Calibri"/>
        <family val="2"/>
        <scheme val="minor"/>
      </rPr>
      <t>kg</t>
    </r>
    <r>
      <rPr>
        <b/>
        <sz val="12"/>
        <color theme="1"/>
        <rFont val="Calibri"/>
        <family val="2"/>
        <scheme val="minor"/>
      </rPr>
      <t xml:space="preserve">                  </t>
    </r>
    <r>
      <rPr>
        <b/>
        <sz val="10"/>
        <color theme="1"/>
        <rFont val="Calibri"/>
        <family val="2"/>
        <scheme val="minor"/>
      </rPr>
      <t>gesamte Fläche</t>
    </r>
  </si>
  <si>
    <t>Ermittlung des N-Düngebedarfs als standortspezifische N-Obergrenze sowie der Phosphatabfuhr als Grundlage der P-Düngebedarfsermittlung</t>
  </si>
  <si>
    <r>
      <rPr>
        <b/>
        <sz val="12"/>
        <rFont val="Calibri"/>
        <family val="2"/>
        <scheme val="minor"/>
      </rPr>
      <t xml:space="preserve">Sollwerte   </t>
    </r>
    <r>
      <rPr>
        <b/>
        <sz val="8"/>
        <rFont val="Calibri"/>
        <family val="2"/>
        <scheme val="minor"/>
      </rPr>
      <t>abh. von Ertrag und Höhe üNN</t>
    </r>
  </si>
  <si>
    <r>
      <t>ertragsabh. N-Sollwert</t>
    </r>
    <r>
      <rPr>
        <b/>
        <sz val="9"/>
        <color theme="1"/>
        <rFont val="Calibri"/>
        <family val="2"/>
        <scheme val="minor"/>
      </rPr>
      <t xml:space="preserve">  (Korn-N + Stroh-N) * 0,94</t>
    </r>
  </si>
  <si>
    <t xml:space="preserve">Hier können Sie die "standortbezogenen N-Obergrenzen" für Ihre Rebflächen planen sowie die Phosphat-Abfuhr mit den Trauben als Grundlage der P-Düngebedarfsermittlung (s. Erläuterung unten) berechnen.                                                                                                                                                                                    </t>
  </si>
  <si>
    <t>Wie wird die zulässige Phosphatdüngung ermittelt?</t>
  </si>
  <si>
    <t>MgO</t>
  </si>
  <si>
    <r>
      <t>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</si>
  <si>
    <r>
      <t>K</t>
    </r>
    <r>
      <rPr>
        <vertAlign val="subscript"/>
        <sz val="11"/>
        <color theme="1"/>
        <rFont val="Calibri"/>
        <family val="2"/>
        <scheme val="minor"/>
      </rPr>
      <t>2</t>
    </r>
    <r>
      <rPr>
        <sz val="11"/>
        <color theme="1"/>
        <rFont val="Calibri"/>
        <family val="2"/>
        <scheme val="minor"/>
      </rPr>
      <t>O</t>
    </r>
  </si>
  <si>
    <t>Nährstoffgehalte kg/dt</t>
  </si>
  <si>
    <t>Raps-Korn</t>
  </si>
  <si>
    <t>Raps-Korn + anteil. Stroh</t>
  </si>
  <si>
    <t>Sonnenblumen-Korn</t>
  </si>
  <si>
    <t>Zuckerrüben + anteil. Blatt</t>
  </si>
  <si>
    <t>Silomais (TM)</t>
  </si>
  <si>
    <t>Klee/Luzerne/-gras (TM)</t>
  </si>
  <si>
    <t>Feldgras (TM)</t>
  </si>
  <si>
    <t>Fruchtfolgen-Grunddüngungsplaner</t>
  </si>
  <si>
    <t>Anbaujahr</t>
  </si>
  <si>
    <t>Kultur</t>
  </si>
  <si>
    <t>freie Eingabe</t>
  </si>
  <si>
    <t>Nährstoffabfuhr kg/ha</t>
  </si>
  <si>
    <t>3-jährige Fruchtfolge</t>
  </si>
  <si>
    <t>4-jährige Fruchtfolge</t>
  </si>
  <si>
    <t>5-jährige Fruchtfolge</t>
  </si>
  <si>
    <t>6-jährige Fruchtfolge</t>
  </si>
  <si>
    <t>Summen</t>
  </si>
  <si>
    <t>Gehalts-klassen</t>
  </si>
  <si>
    <t>D</t>
  </si>
  <si>
    <t>Düngeempfehlung für 3 Jahre</t>
  </si>
  <si>
    <t>Düngeempfehlung für 4 Jahre</t>
  </si>
  <si>
    <t>Düngeempfehlung für 5 Jahre</t>
  </si>
  <si>
    <t>Düngeempfehlung für 6 Jahre</t>
  </si>
  <si>
    <r>
      <t>P</t>
    </r>
    <r>
      <rPr>
        <b/>
        <vertAlign val="subscript"/>
        <sz val="12"/>
        <color rgb="FFFF0000"/>
        <rFont val="Calibri"/>
        <family val="2"/>
        <scheme val="minor"/>
      </rPr>
      <t>2</t>
    </r>
    <r>
      <rPr>
        <b/>
        <sz val="12"/>
        <color rgb="FFFF0000"/>
        <rFont val="Calibri"/>
        <family val="2"/>
        <scheme val="minor"/>
      </rPr>
      <t>O</t>
    </r>
    <r>
      <rPr>
        <b/>
        <vertAlign val="subscript"/>
        <sz val="12"/>
        <color rgb="FFFF0000"/>
        <rFont val="Calibri"/>
        <family val="2"/>
        <scheme val="minor"/>
      </rPr>
      <t>5</t>
    </r>
  </si>
  <si>
    <r>
      <t>K</t>
    </r>
    <r>
      <rPr>
        <b/>
        <vertAlign val="subscript"/>
        <sz val="12"/>
        <color rgb="FF0070C0"/>
        <rFont val="Calibri"/>
        <family val="2"/>
        <scheme val="minor"/>
      </rPr>
      <t>2</t>
    </r>
    <r>
      <rPr>
        <b/>
        <sz val="12"/>
        <color rgb="FF0070C0"/>
        <rFont val="Calibri"/>
        <family val="2"/>
        <scheme val="minor"/>
      </rPr>
      <t>O</t>
    </r>
  </si>
  <si>
    <r>
      <t>Erntegut-Abfuhr kg P</t>
    </r>
    <r>
      <rPr>
        <b/>
        <vertAlign val="subscript"/>
        <sz val="12"/>
        <color theme="6" tint="-0.249977111117893"/>
        <rFont val="Calibri"/>
        <family val="2"/>
        <scheme val="minor"/>
      </rPr>
      <t>2</t>
    </r>
    <r>
      <rPr>
        <b/>
        <sz val="12"/>
        <color theme="6" tint="-0.249977111117893"/>
        <rFont val="Calibri"/>
        <family val="2"/>
        <scheme val="minor"/>
      </rPr>
      <t>O</t>
    </r>
    <r>
      <rPr>
        <b/>
        <vertAlign val="subscript"/>
        <sz val="12"/>
        <color theme="6" tint="-0.249977111117893"/>
        <rFont val="Calibri"/>
        <family val="2"/>
        <scheme val="minor"/>
      </rPr>
      <t>5</t>
    </r>
    <r>
      <rPr>
        <b/>
        <sz val="12"/>
        <color theme="6" tint="-0.249977111117893"/>
        <rFont val="Calibri"/>
        <family val="2"/>
        <scheme val="minor"/>
      </rPr>
      <t xml:space="preserve">/ha </t>
    </r>
    <r>
      <rPr>
        <b/>
        <sz val="10"/>
        <color theme="6" tint="-0.249977111117893"/>
        <rFont val="Calibri"/>
        <family val="2"/>
        <scheme val="minor"/>
      </rPr>
      <t>(Düngeempfehlung in Gehaltsklasse C)</t>
    </r>
  </si>
  <si>
    <r>
      <t>Erntegut-Abfuhr kg P</t>
    </r>
    <r>
      <rPr>
        <b/>
        <vertAlign val="subscript"/>
        <sz val="12"/>
        <color theme="6" tint="-0.249977111117893"/>
        <rFont val="Calibri"/>
        <family val="2"/>
        <scheme val="minor"/>
      </rPr>
      <t>2</t>
    </r>
    <r>
      <rPr>
        <b/>
        <sz val="12"/>
        <color theme="6" tint="-0.249977111117893"/>
        <rFont val="Calibri"/>
        <family val="2"/>
        <scheme val="minor"/>
      </rPr>
      <t>O</t>
    </r>
    <r>
      <rPr>
        <b/>
        <vertAlign val="subscript"/>
        <sz val="12"/>
        <color theme="6" tint="-0.249977111117893"/>
        <rFont val="Calibri"/>
        <family val="2"/>
        <scheme val="minor"/>
      </rPr>
      <t>5</t>
    </r>
    <r>
      <rPr>
        <b/>
        <sz val="12"/>
        <color theme="6" tint="-0.249977111117893"/>
        <rFont val="Calibri"/>
        <family val="2"/>
        <scheme val="minor"/>
      </rPr>
      <t xml:space="preserve">/ha                             </t>
    </r>
    <r>
      <rPr>
        <b/>
        <sz val="10"/>
        <color theme="6" tint="-0.249977111117893"/>
        <rFont val="Calibri"/>
        <family val="2"/>
        <scheme val="minor"/>
      </rPr>
      <t>(Düngeempfehlung in Gehaltsklasse C)</t>
    </r>
  </si>
  <si>
    <t>In Gehaltskl. A und B erhöhte, in D reduzierte und in E keine P-Düngung empfohlen</t>
  </si>
  <si>
    <r>
      <t>Erntegut-Abfuhr kg P</t>
    </r>
    <r>
      <rPr>
        <b/>
        <vertAlign val="subscript"/>
        <sz val="12"/>
        <color theme="6" tint="-0.249977111117893"/>
        <rFont val="Calibri"/>
        <family val="2"/>
        <scheme val="minor"/>
      </rPr>
      <t>2</t>
    </r>
    <r>
      <rPr>
        <b/>
        <sz val="12"/>
        <color theme="6" tint="-0.249977111117893"/>
        <rFont val="Calibri"/>
        <family val="2"/>
        <scheme val="minor"/>
      </rPr>
      <t>O</t>
    </r>
    <r>
      <rPr>
        <b/>
        <vertAlign val="subscript"/>
        <sz val="12"/>
        <color theme="6" tint="-0.249977111117893"/>
        <rFont val="Calibri"/>
        <family val="2"/>
        <scheme val="minor"/>
      </rPr>
      <t>5</t>
    </r>
    <r>
      <rPr>
        <b/>
        <sz val="12"/>
        <color theme="6" tint="-0.249977111117893"/>
        <rFont val="Calibri"/>
        <family val="2"/>
        <scheme val="minor"/>
      </rPr>
      <t xml:space="preserve">/ha, </t>
    </r>
    <r>
      <rPr>
        <b/>
        <sz val="10"/>
        <color theme="6" tint="-0.249977111117893"/>
        <rFont val="Calibri"/>
        <family val="2"/>
        <scheme val="minor"/>
      </rPr>
      <t>korrigiert um Rückfuhr mit Exkrementen der Weidetiere (Düngeempfehlung in Gehaltsklasse C)</t>
    </r>
  </si>
  <si>
    <t>Fehlende Kulturen hier eintragen</t>
  </si>
  <si>
    <t>Hier können Sie für verschiedene Fruchtfolgen den Bedarf an P, K und Mg planen. Die Gehaltsklassen entnehmen Sie bitte Ihren Bodenuntersuchungs-Ergebnissen.</t>
  </si>
  <si>
    <t>Weizen + anteil. Stroh</t>
  </si>
  <si>
    <t>Roggen + anteil. Stroh</t>
  </si>
  <si>
    <t>Triticale + anteil. Stroh</t>
  </si>
  <si>
    <t>Gerste + anteil. Stroh</t>
  </si>
  <si>
    <t>Hafer + anteil. Stroh</t>
  </si>
  <si>
    <t>Dinkel + anteil. Stroh</t>
  </si>
  <si>
    <t>Weizen-Korn</t>
  </si>
  <si>
    <t>Roggen-Korn</t>
  </si>
  <si>
    <t>Triticale-Korn</t>
  </si>
  <si>
    <t>Gerste-Korn</t>
  </si>
  <si>
    <t>Hafer-Korn</t>
  </si>
  <si>
    <r>
      <t xml:space="preserve">GPS-Getreide </t>
    </r>
    <r>
      <rPr>
        <sz val="11"/>
        <color rgb="FFFF0000"/>
        <rFont val="Calibri"/>
        <family val="2"/>
        <scheme val="minor"/>
      </rPr>
      <t>35 % TM</t>
    </r>
  </si>
  <si>
    <t>Dinkel-Korn (ohne Spelzen)</t>
  </si>
  <si>
    <t>Ackerbohnen-Korn</t>
  </si>
  <si>
    <t>Erbsen-Korn</t>
  </si>
  <si>
    <t>Erbsen + anteil. Stroh</t>
  </si>
  <si>
    <t>Sojabohnen-Korn</t>
  </si>
  <si>
    <t>Öllein-Korn</t>
  </si>
  <si>
    <t>Reitponys 300 kg Stall bP</t>
  </si>
  <si>
    <t>Reitponys 300 kg Stall/Weide bP</t>
  </si>
  <si>
    <t>Zuchtstuten Großpferd 600 kg bP</t>
  </si>
  <si>
    <t>Zuchtstuten Pony 350 kg bP</t>
  </si>
  <si>
    <t>Aufzuchtpferde Großpferd bP</t>
  </si>
  <si>
    <t>Aufzuchtpferde Pony bP</t>
  </si>
  <si>
    <t>Zielertrag dt/ha (bei 86 % TM)</t>
  </si>
  <si>
    <t>Zielertrag dt/ha (bei 91 % TM)</t>
  </si>
  <si>
    <t>Frühjahr-eingearb. 50%-Leguminose</t>
  </si>
  <si>
    <t>= Trockenmasse-Ertrag in dt/ha</t>
  </si>
  <si>
    <t>Frühjahr-eingearbeit. 50%-Leguminose</t>
  </si>
  <si>
    <t>Zweitfrucht (z.B. Mais/Hirse)</t>
  </si>
  <si>
    <t>Ackergras                               5 Schnitte</t>
  </si>
  <si>
    <t>Klee-/Luzernegras                  3-4 Schntte</t>
  </si>
  <si>
    <t>Sommerweizen</t>
  </si>
  <si>
    <t>Winterweizen C</t>
  </si>
  <si>
    <t>Sommerroggen</t>
  </si>
  <si>
    <t>Sommertriticale</t>
  </si>
  <si>
    <t>Kenaf-Ganzpfl., 28 % TM</t>
  </si>
  <si>
    <t>Flachs = Faserlein-Ganzpfl., 86 % TM</t>
  </si>
  <si>
    <t>Futterraps/-rübsen-Ganzpfl., 35 % TM</t>
  </si>
  <si>
    <t>Ganzpfl.-Gemenge 50 % Legum., 15 % TM</t>
  </si>
  <si>
    <t>Ganzpfl.-Gemenge ohne Legum., 15 % TM</t>
  </si>
  <si>
    <t>Sonnenblumen, 91 % TM</t>
  </si>
  <si>
    <t>Körnermais, 86 % TM</t>
  </si>
  <si>
    <r>
      <t xml:space="preserve">Silomais, </t>
    </r>
    <r>
      <rPr>
        <sz val="12"/>
        <color rgb="FF7030A0"/>
        <rFont val="Calibri"/>
        <family val="2"/>
        <scheme val="minor"/>
      </rPr>
      <t>28-30 % TM</t>
    </r>
  </si>
  <si>
    <t>Senf-Körner, 91 % TM</t>
  </si>
  <si>
    <t>Topinambur-Ganzpfl., 22 % TM</t>
  </si>
  <si>
    <t>Szarvasi-Riesenweizengras, 28 % TM</t>
  </si>
  <si>
    <t>Gehalts-Futterrüben (15 % TM)</t>
  </si>
  <si>
    <t>Öllein, 91 % TM</t>
  </si>
  <si>
    <t>Winterraps, 91 % TM</t>
  </si>
  <si>
    <t>Körnerlegum. -Start-N (ertragsunabhängig)</t>
  </si>
  <si>
    <t>Leindotter, 91 % TM</t>
  </si>
  <si>
    <t>steinhaltig, ab 4 % Humus</t>
  </si>
  <si>
    <r>
      <t xml:space="preserve">Die in den Tabellenblättern für die einzelnen Ackerbaukulturen vorgenommenen Berechnungen können zudem eine </t>
    </r>
    <r>
      <rPr>
        <b/>
        <sz val="12"/>
        <color theme="1"/>
        <rFont val="Calibri"/>
        <family val="2"/>
        <scheme val="minor"/>
      </rPr>
      <t xml:space="preserve">flächen- und sogar teilflächenspezifische N-Düngung </t>
    </r>
    <r>
      <rPr>
        <sz val="12"/>
        <color theme="1"/>
        <rFont val="Calibri"/>
        <family val="2"/>
        <scheme val="minor"/>
      </rPr>
      <t>unterstützen, die sich an Ertragspotentialen und Bodenunterschieden orientiert. Im unteren Teil der Tabellenblätter finden Sie Erläuterungen zu den kulturspezifischen Rechengängen.</t>
    </r>
  </si>
  <si>
    <t>Sommergetreide-GPS (35 % TM)</t>
  </si>
  <si>
    <t>Die Anwendung läuft unter Excel ab Version 2010, mit Einschränkungen an die Formatierungen und Zeilenumbrüche auch unter kostenlosen Programmen wie Open Office oder Libre Office. Von Feld zu Feld kommen Sie mit `Tab` oder mit einer der Pfeil-Tasten! Sie können aber auch mit dem Cursor direkt auf ein Feld zum Eintragen oder Auswählen gehen.</t>
  </si>
  <si>
    <t>1. Gabe: Menge</t>
  </si>
  <si>
    <t>ersten organischen Dünger hier eintragen, z.B. Rinder-Festmist</t>
  </si>
  <si>
    <t>zweiten organischen Dünger hier eintragen, z.B. Rinder-Gülle</t>
  </si>
  <si>
    <t>1. Gabe: Gesamt-N-Gehalt</t>
  </si>
  <si>
    <t>1. Gabe: N-Anrechnung</t>
  </si>
  <si>
    <t>2. Gabe: Menge</t>
  </si>
  <si>
    <t>2. Gabe: Gesamt-N-Gehalt</t>
  </si>
  <si>
    <t>2. Gabe: N-Anrechnung</t>
  </si>
  <si>
    <t>Ziel:                                                                  E-Wz 14,5, A-Wz 13,5, B-Wz 12,5,                                                  Sorteneigenschaften beachten!</t>
  </si>
  <si>
    <r>
      <t>N</t>
    </r>
    <r>
      <rPr>
        <vertAlign val="subscript"/>
        <sz val="7"/>
        <color theme="1"/>
        <rFont val="Calibri"/>
        <family val="2"/>
        <scheme val="minor"/>
      </rPr>
      <t>min</t>
    </r>
    <r>
      <rPr>
        <sz val="7"/>
        <color theme="1"/>
        <rFont val="Calibri"/>
        <family val="2"/>
        <scheme val="minor"/>
      </rPr>
      <t>0-30, 0,33*N</t>
    </r>
    <r>
      <rPr>
        <vertAlign val="subscript"/>
        <sz val="7"/>
        <color theme="1"/>
        <rFont val="Calibri"/>
        <family val="2"/>
        <scheme val="minor"/>
      </rPr>
      <t>min</t>
    </r>
    <r>
      <rPr>
        <sz val="7"/>
        <color theme="1"/>
        <rFont val="Calibri"/>
        <family val="2"/>
        <scheme val="minor"/>
      </rPr>
      <t>30-60cm</t>
    </r>
  </si>
  <si>
    <r>
      <t>N</t>
    </r>
    <r>
      <rPr>
        <vertAlign val="subscript"/>
        <sz val="7"/>
        <color theme="1"/>
        <rFont val="Calibri"/>
        <family val="2"/>
        <scheme val="minor"/>
      </rPr>
      <t>min</t>
    </r>
    <r>
      <rPr>
        <sz val="7"/>
        <color theme="1"/>
        <rFont val="Calibri"/>
        <family val="2"/>
        <scheme val="minor"/>
      </rPr>
      <t>0-30, 0,5*N</t>
    </r>
    <r>
      <rPr>
        <vertAlign val="subscript"/>
        <sz val="7"/>
        <color theme="1"/>
        <rFont val="Calibri"/>
        <family val="2"/>
        <scheme val="minor"/>
      </rPr>
      <t>min</t>
    </r>
    <r>
      <rPr>
        <sz val="7"/>
        <color theme="1"/>
        <rFont val="Calibri"/>
        <family val="2"/>
        <scheme val="minor"/>
      </rPr>
      <t>30-60cm</t>
    </r>
  </si>
  <si>
    <r>
      <t>N</t>
    </r>
    <r>
      <rPr>
        <vertAlign val="subscript"/>
        <sz val="7"/>
        <color theme="1"/>
        <rFont val="Calibri"/>
        <family val="2"/>
        <scheme val="minor"/>
      </rPr>
      <t>min</t>
    </r>
    <r>
      <rPr>
        <sz val="7"/>
        <color theme="1"/>
        <rFont val="Calibri"/>
        <family val="2"/>
        <scheme val="minor"/>
      </rPr>
      <t>0-30, 0,67*N</t>
    </r>
    <r>
      <rPr>
        <vertAlign val="subscript"/>
        <sz val="7"/>
        <color theme="1"/>
        <rFont val="Calibri"/>
        <family val="2"/>
        <scheme val="minor"/>
      </rPr>
      <t>min</t>
    </r>
    <r>
      <rPr>
        <sz val="7"/>
        <color theme="1"/>
        <rFont val="Calibri"/>
        <family val="2"/>
        <scheme val="minor"/>
      </rPr>
      <t>30-60cm</t>
    </r>
  </si>
  <si>
    <r>
      <t>0,25*N</t>
    </r>
    <r>
      <rPr>
        <vertAlign val="subscript"/>
        <sz val="7"/>
        <color theme="1"/>
        <rFont val="Calibri"/>
        <family val="2"/>
        <scheme val="minor"/>
      </rPr>
      <t>min</t>
    </r>
    <r>
      <rPr>
        <sz val="7"/>
        <color theme="1"/>
        <rFont val="Calibri"/>
        <family val="2"/>
        <scheme val="minor"/>
      </rPr>
      <t>30-60, organDgg, Vorfr, Zwfr, Ackerzahl</t>
    </r>
  </si>
  <si>
    <t>Heuwiese</t>
  </si>
  <si>
    <t>je 60 % Vor- und Zwischenfrucht, 25 % (von 10 % des aufgebr. N) organ. Dgg Vorjahr, 50 % Ackerzahlkorrektur, 60 %langj. organ. Dgg</t>
  </si>
  <si>
    <t>WiGetreide mit 25% Legum.-GPS (35 % TM)</t>
  </si>
  <si>
    <t>SoGetreide mit 25% Legum.-GPS (35 % TM)</t>
  </si>
  <si>
    <r>
      <t>kg N in gesamter Pflanze/ha</t>
    </r>
    <r>
      <rPr>
        <b/>
        <sz val="9"/>
        <color theme="1"/>
        <rFont val="Calibri"/>
        <family val="2"/>
        <scheme val="minor"/>
      </rPr>
      <t xml:space="preserve">                                              (Korn-N + Stroh-N) * 1,14</t>
    </r>
  </si>
  <si>
    <t>Organische Düngung zur Kultur</t>
  </si>
  <si>
    <r>
      <rPr>
        <b/>
        <sz val="12"/>
        <color rgb="FFFF0000"/>
        <rFont val="Calibri"/>
        <family val="2"/>
        <scheme val="minor"/>
      </rPr>
      <t xml:space="preserve">UFD </t>
    </r>
    <r>
      <rPr>
        <b/>
        <sz val="12"/>
        <color theme="1"/>
        <rFont val="Calibri"/>
        <family val="2"/>
        <scheme val="minor"/>
      </rPr>
      <t>und organische Düngung zur Kultur</t>
    </r>
  </si>
  <si>
    <t>zweiten Dünger hier eintragen, z.B. R-Gülle</t>
  </si>
  <si>
    <t>ersten Dünger hier eintragen, z.B. Festmist</t>
  </si>
  <si>
    <t>Gülle</t>
  </si>
  <si>
    <t>Bezeichnung oder Nutzungsform</t>
  </si>
  <si>
    <t>Bezeichnung oder Nutzungsform, z.B. Anzahl Schnitte/Jahr</t>
  </si>
  <si>
    <t>anrechenbar aus der organischenDüngung</t>
  </si>
  <si>
    <t>Festmist</t>
  </si>
  <si>
    <t>Rotklee/Luzerne                                                                      in Reinkultur</t>
  </si>
  <si>
    <t>hier ohne Berücksichtigung organischer Düngung</t>
  </si>
  <si>
    <t>SoGetreide mit 50% Legum.-GPS (35 % TM)</t>
  </si>
  <si>
    <t>WiGetreide mit 50% Legum.-GPS (35 % TM)</t>
  </si>
  <si>
    <t>Grassamen + mind. 2 Aufwüchse</t>
  </si>
  <si>
    <t>Ackergras/Grassamen/Klee/Luzerne</t>
  </si>
  <si>
    <t>Grassamen + 1 Aufwuchs (65dt TM/16,2% RP)</t>
  </si>
  <si>
    <t>Grünland                                                                             Kultur eintragen</t>
  </si>
  <si>
    <t>Grassamen (Welsch.Weidel) + 1 Aufwuchs (75dt TM/16,2% RP)</t>
  </si>
  <si>
    <t>Ackergras</t>
  </si>
  <si>
    <t>Kleegras</t>
  </si>
  <si>
    <t>Grassamen</t>
  </si>
  <si>
    <t>plus 3 Schn.</t>
  </si>
  <si>
    <t>plus 1 Schn.</t>
  </si>
  <si>
    <t>als Zweitfrucht</t>
  </si>
  <si>
    <r>
      <rPr>
        <b/>
        <sz val="11"/>
        <color rgb="FFFF0000"/>
        <rFont val="Calibri"/>
        <family val="2"/>
        <scheme val="minor"/>
      </rPr>
      <t>Grassamenernte und mind. zwei weitere Aufwüchse</t>
    </r>
    <r>
      <rPr>
        <sz val="11"/>
        <color rgb="FFFF0000"/>
        <rFont val="Calibri"/>
        <family val="2"/>
        <scheme val="minor"/>
      </rPr>
      <t xml:space="preserve"> </t>
    </r>
    <r>
      <rPr>
        <sz val="11"/>
        <color theme="1"/>
        <rFont val="Calibri"/>
        <family val="2"/>
        <scheme val="minor"/>
      </rPr>
      <t xml:space="preserve">werden wie Ackergras mit 3-4 Schnitten betrachtet, also z.B. 120 dt TM-Ertrag. Bei </t>
    </r>
    <r>
      <rPr>
        <b/>
        <sz val="11"/>
        <color rgb="FFFF0000"/>
        <rFont val="Calibri"/>
        <family val="2"/>
        <scheme val="minor"/>
      </rPr>
      <t xml:space="preserve">Grassamenernte mit einem weiteren Schnitt </t>
    </r>
    <r>
      <rPr>
        <sz val="11"/>
        <color theme="1"/>
        <rFont val="Calibri"/>
        <family val="2"/>
        <scheme val="minor"/>
      </rPr>
      <t xml:space="preserve">sind z.B. 65 dt TM/ha mit 16,2 % RP anzusetzen, bei Welschem oder Einjährigem Weidelgras auch 75 dt TM/ha mit 16,2 % RP. Bei </t>
    </r>
    <r>
      <rPr>
        <b/>
        <sz val="11"/>
        <color rgb="FFFF0000"/>
        <rFont val="Calibri"/>
        <family val="2"/>
        <scheme val="minor"/>
      </rPr>
      <t xml:space="preserve">Grassamenernte im Ansaatjahr in Zweitfruchtstellung </t>
    </r>
    <r>
      <rPr>
        <sz val="11"/>
        <color theme="1"/>
        <rFont val="Calibri"/>
        <family val="2"/>
        <scheme val="minor"/>
      </rPr>
      <t>(Einjähr. Weidelgras) sind z.B. 45 dt TM/ha mit 15 % RP anzusetzen.</t>
    </r>
  </si>
  <si>
    <t>Grassamen-Zweitfrucht (Einj. W-gras, 45dt TM/15% RP)</t>
  </si>
  <si>
    <t>Werte für Grassamen in Anlehnung an LULG Sachsen</t>
  </si>
  <si>
    <t>Werte ergänzt</t>
  </si>
  <si>
    <r>
      <t xml:space="preserve">Düngeempfehlung kg N/ha                                                  </t>
    </r>
    <r>
      <rPr>
        <sz val="10"/>
        <rFont val="Calibri"/>
        <family val="2"/>
        <scheme val="minor"/>
      </rPr>
      <t>auf Sandböden ggf. aufteilen</t>
    </r>
  </si>
  <si>
    <t>Winterbrauweizen</t>
  </si>
  <si>
    <t>Dinkel (mit Spelzen)</t>
  </si>
  <si>
    <t>Emmer (Einkorn)</t>
  </si>
  <si>
    <t>Körnerhirse</t>
  </si>
  <si>
    <t>Sommerraps o. Rübsen, 91 % TM</t>
  </si>
  <si>
    <t>Massen-Futterrrüben, 12 % TM</t>
  </si>
  <si>
    <t>Faserhanf-Ganzpfl., 40 % TM</t>
  </si>
  <si>
    <t>Winterweizen-GPS (35 % TM)</t>
  </si>
  <si>
    <t>Sonnenblumen-GPS (35 % TM)</t>
  </si>
  <si>
    <t>Wintertriticale o. -roggen-GPS (35 % TM)</t>
  </si>
  <si>
    <r>
      <t>kg P</t>
    </r>
    <r>
      <rPr>
        <vertAlign val="subscript"/>
        <sz val="12"/>
        <rFont val="Calibri"/>
        <family val="2"/>
        <scheme val="minor"/>
      </rPr>
      <t>2</t>
    </r>
    <r>
      <rPr>
        <sz val="12"/>
        <rFont val="Calibri"/>
        <family val="2"/>
        <scheme val="minor"/>
      </rPr>
      <t>O</t>
    </r>
    <r>
      <rPr>
        <vertAlign val="subscript"/>
        <sz val="12"/>
        <rFont val="Calibri"/>
        <family val="2"/>
        <scheme val="minor"/>
      </rPr>
      <t>5</t>
    </r>
    <r>
      <rPr>
        <sz val="12"/>
        <rFont val="Calibri"/>
        <family val="2"/>
        <scheme val="minor"/>
      </rPr>
      <t>/dt</t>
    </r>
  </si>
  <si>
    <t>Igniscum, 28 % TM</t>
  </si>
  <si>
    <t>Silphium = Durchwachsene Silphie, 28 % TM</t>
  </si>
  <si>
    <r>
      <t>kg P</t>
    </r>
    <r>
      <rPr>
        <vertAlign val="subscript"/>
        <sz val="12"/>
        <color theme="0" tint="-0.249977111117893"/>
        <rFont val="Calibri"/>
        <family val="2"/>
        <scheme val="minor"/>
      </rPr>
      <t>2</t>
    </r>
    <r>
      <rPr>
        <sz val="12"/>
        <color theme="0" tint="-0.249977111117893"/>
        <rFont val="Calibri"/>
        <family val="2"/>
        <scheme val="minor"/>
      </rPr>
      <t>O</t>
    </r>
    <r>
      <rPr>
        <vertAlign val="subscript"/>
        <sz val="12"/>
        <color theme="0" tint="-0.249977111117893"/>
        <rFont val="Calibri"/>
        <family val="2"/>
        <scheme val="minor"/>
      </rPr>
      <t>5</t>
    </r>
    <r>
      <rPr>
        <sz val="12"/>
        <color theme="0" tint="-0.249977111117893"/>
        <rFont val="Calibri"/>
        <family val="2"/>
        <scheme val="minor"/>
      </rPr>
      <t>/ha</t>
    </r>
  </si>
  <si>
    <t>Miscanthus Chinaschilf Ganzpfl., 80 % TM</t>
  </si>
  <si>
    <t>Tabak, Virgin lufttr., 86 % TM</t>
  </si>
  <si>
    <r>
      <rPr>
        <sz val="12"/>
        <rFont val="Calibri"/>
        <family val="2"/>
        <scheme val="minor"/>
      </rPr>
      <t>schwarz: DüV</t>
    </r>
    <r>
      <rPr>
        <sz val="12"/>
        <color rgb="FFFF0000"/>
        <rFont val="Calibri"/>
        <family val="2"/>
        <scheme val="minor"/>
      </rPr>
      <t xml:space="preserve">; rot: ST; </t>
    </r>
    <r>
      <rPr>
        <sz val="12"/>
        <color rgb="FF0070C0"/>
        <rFont val="Calibri"/>
        <family val="2"/>
        <scheme val="minor"/>
      </rPr>
      <t xml:space="preserve">blau: BY; </t>
    </r>
    <r>
      <rPr>
        <sz val="12"/>
        <color theme="6" tint="-0.499984740745262"/>
        <rFont val="Calibri"/>
        <family val="2"/>
        <scheme val="minor"/>
      </rPr>
      <t>grün=BW,</t>
    </r>
    <r>
      <rPr>
        <sz val="12"/>
        <color rgb="FF0070C0"/>
        <rFont val="Calibri"/>
        <family val="2"/>
        <scheme val="minor"/>
      </rPr>
      <t xml:space="preserve"> </t>
    </r>
    <r>
      <rPr>
        <sz val="12"/>
        <color theme="7"/>
        <rFont val="Calibri"/>
        <family val="2"/>
        <scheme val="minor"/>
      </rPr>
      <t>lila: RP</t>
    </r>
  </si>
  <si>
    <t>Tabak, Geudertheimer lufttr., 78 % TM</t>
  </si>
  <si>
    <r>
      <t>N</t>
    </r>
    <r>
      <rPr>
        <vertAlign val="subscript"/>
        <sz val="7"/>
        <color theme="1"/>
        <rFont val="Calibri"/>
        <family val="2"/>
        <scheme val="minor"/>
      </rPr>
      <t>min</t>
    </r>
    <r>
      <rPr>
        <sz val="7"/>
        <color theme="1"/>
        <rFont val="Calibri"/>
        <family val="2"/>
        <scheme val="minor"/>
      </rPr>
      <t>0-30, 0,25*N</t>
    </r>
    <r>
      <rPr>
        <vertAlign val="subscript"/>
        <sz val="7"/>
        <color theme="1"/>
        <rFont val="Calibri"/>
        <family val="2"/>
        <scheme val="minor"/>
      </rPr>
      <t>min</t>
    </r>
    <r>
      <rPr>
        <sz val="7"/>
        <color theme="1"/>
        <rFont val="Calibri"/>
        <family val="2"/>
        <scheme val="minor"/>
      </rPr>
      <t>30-60cm</t>
    </r>
  </si>
  <si>
    <t>Traubenertrag</t>
  </si>
  <si>
    <t>skelettreich, unter 7 % Humus</t>
  </si>
  <si>
    <t>skelettreich, ab 7 % Humus</t>
  </si>
  <si>
    <r>
      <t xml:space="preserve">Bodenart und Humusgehalt                      </t>
    </r>
    <r>
      <rPr>
        <b/>
        <sz val="10"/>
        <color theme="1"/>
        <rFont val="Calibri"/>
        <family val="2"/>
        <scheme val="minor"/>
      </rPr>
      <t>leicht = S und l`S;                                        mittel-schwer = sL bis T;                                                                                           steinhaltig = ab 20 % Steine;                                                                     skelettreich = ab 50 % Steine</t>
    </r>
  </si>
  <si>
    <t>Einsaat Dauerbegrünung (Gräser, Nichtlegum.) auf offengehaltenen Boden</t>
  </si>
  <si>
    <t>Einsaat Dauerbegrünung (Gräser, Nichtlegum.) nach Begrünungsumbruch</t>
  </si>
  <si>
    <t>etablierte Dauerbegrünung (Gräser, Nichtlegum.)</t>
  </si>
  <si>
    <t>Stören einer Dauerbegrünung (Gräser, Nichtlegum.)</t>
  </si>
  <si>
    <t>Umbruch einer Dauerbegrünung (Gräser, Nichtlegum.)  nach 5 Jahren</t>
  </si>
  <si>
    <t>Umbruch einer Dauerbegrünung (Gräser, Nichtlegum.)  nach 10 Jahren</t>
  </si>
  <si>
    <t xml:space="preserve">Walzen/Mulchen einer Dauerbegrünung ab 50 % Legum. </t>
  </si>
  <si>
    <t xml:space="preserve">Umbruch einer Dauerbegrünung ab 50 % Legum. </t>
  </si>
  <si>
    <t xml:space="preserve">Umbruch einer Dauerbegrünung bis 50 % Legum. </t>
  </si>
  <si>
    <t>Abdeckung mit Rinde, Stroh, Holzhäcksel etc. (Schonung des Bodenwassers)</t>
  </si>
  <si>
    <t>t/ha</t>
  </si>
  <si>
    <t>kg N/t</t>
  </si>
  <si>
    <t>Wert in Spalte M übernehmen</t>
  </si>
  <si>
    <t>Anrechnung von N aus organischer Düngung der Vorjahre</t>
  </si>
  <si>
    <t>Hilfsberechnung zum Ausfüllen der Spalte M</t>
  </si>
  <si>
    <t>kg N/ha aus organischer Düngung der Vorjahre</t>
  </si>
  <si>
    <t>% N-Anrechnung                (s. Tab. rechts)</t>
  </si>
  <si>
    <r>
      <t>2. N-Gabe</t>
    </r>
    <r>
      <rPr>
        <b/>
        <vertAlign val="subscript"/>
        <sz val="12"/>
        <rFont val="Calibri"/>
        <family val="2"/>
        <scheme val="minor"/>
      </rPr>
      <t xml:space="preserve"> (ab Schossbeginn)</t>
    </r>
  </si>
  <si>
    <r>
      <t>0,33*N</t>
    </r>
    <r>
      <rPr>
        <vertAlign val="subscript"/>
        <sz val="7"/>
        <rFont val="Calibri"/>
        <family val="2"/>
        <scheme val="minor"/>
      </rPr>
      <t>min</t>
    </r>
    <r>
      <rPr>
        <sz val="7"/>
        <rFont val="Calibri"/>
        <family val="2"/>
        <scheme val="minor"/>
      </rPr>
      <t>30-60, 0,5*N</t>
    </r>
    <r>
      <rPr>
        <vertAlign val="subscript"/>
        <sz val="7"/>
        <rFont val="Calibri"/>
        <family val="2"/>
        <scheme val="minor"/>
      </rPr>
      <t>min</t>
    </r>
    <r>
      <rPr>
        <sz val="7"/>
        <rFont val="Calibri"/>
        <family val="2"/>
        <scheme val="minor"/>
      </rPr>
      <t>60-90cm, organ Dgg, Vorfr, Zwfr, Ackerzahl</t>
    </r>
  </si>
  <si>
    <t>Nmin 0-30, 67 % Nmin 30-60</t>
  </si>
  <si>
    <t>33 % Nmin 30-60, 50 % Nmin 60-90, je 75 % Vor- und Zwischenfrucht, 40 % (von 10 % des aufgebr. N) organ. Dgg Vorjahr, Ackerzahlkorrektur, 75 % langj. organ. Dgg</t>
  </si>
  <si>
    <t>Raps-Aufwuchs im Spätherbst</t>
  </si>
  <si>
    <r>
      <rPr>
        <b/>
        <sz val="14"/>
        <color theme="1"/>
        <rFont val="Calibri"/>
        <family val="2"/>
        <scheme val="minor"/>
      </rPr>
      <t>kg</t>
    </r>
    <r>
      <rPr>
        <b/>
        <sz val="12"/>
        <color theme="1"/>
        <rFont val="Calibri"/>
        <family val="2"/>
        <scheme val="minor"/>
      </rPr>
      <t xml:space="preserve">                  </t>
    </r>
    <r>
      <rPr>
        <b/>
        <sz val="10"/>
        <color theme="1"/>
        <rFont val="Calibri"/>
        <family val="2"/>
        <scheme val="minor"/>
      </rPr>
      <t>ges. Fläche</t>
    </r>
  </si>
  <si>
    <r>
      <rPr>
        <b/>
        <sz val="14"/>
        <color theme="1"/>
        <rFont val="Calibri"/>
        <family val="2"/>
        <scheme val="minor"/>
      </rPr>
      <t xml:space="preserve">kg </t>
    </r>
    <r>
      <rPr>
        <b/>
        <sz val="12"/>
        <color theme="1"/>
        <rFont val="Calibri"/>
        <family val="2"/>
        <scheme val="minor"/>
      </rPr>
      <t xml:space="preserve">                 </t>
    </r>
    <r>
      <rPr>
        <b/>
        <sz val="10"/>
        <color theme="1"/>
        <rFont val="Calibri"/>
        <family val="2"/>
        <scheme val="minor"/>
      </rPr>
      <t>ges. Fläche</t>
    </r>
  </si>
  <si>
    <t>leer</t>
  </si>
  <si>
    <t>AHL 28</t>
  </si>
  <si>
    <t>AHL 30</t>
  </si>
  <si>
    <t>NP 20/20</t>
  </si>
  <si>
    <t>NP-Lösung 10/34</t>
  </si>
  <si>
    <t>NPK 15+15+15</t>
  </si>
  <si>
    <t>NPK 13+13+21</t>
  </si>
  <si>
    <t>NPK 20+8+8</t>
  </si>
  <si>
    <t>% N-Anrechnung</t>
  </si>
  <si>
    <t>Dünger aus Horn, Haar, Federn</t>
  </si>
  <si>
    <t>Dünger aus Fleisch und Knochen</t>
  </si>
  <si>
    <t>Schweine-Festmist, Gärreste-fest</t>
  </si>
  <si>
    <t>Rinder-Festmist</t>
  </si>
  <si>
    <t>Pferde-, Schaf-, Ziegen-Festmist</t>
  </si>
  <si>
    <t>Schweinegülle, flüssig</t>
  </si>
  <si>
    <t>Rindergülle, flüssige Gärreste</t>
  </si>
  <si>
    <t>Feststoff-Separat aus Schweinegülle</t>
  </si>
  <si>
    <t>Geflügel- und Kaninchen-Fesmist</t>
  </si>
  <si>
    <t>Leguminosentransfermulch</t>
  </si>
  <si>
    <t>Leguminosen- u.a. Körnerschrote</t>
  </si>
  <si>
    <t>Schlempe</t>
  </si>
  <si>
    <t>Traubentrester</t>
  </si>
  <si>
    <t>Nutzen Sie die Tabelle rechts außen</t>
  </si>
  <si>
    <t>Bewirtschaftungs-                            einheit oder Schlag</t>
  </si>
  <si>
    <t>Düngemittel</t>
  </si>
  <si>
    <t>Die Liste der Düngemittel kann ergänzt und überschrieben werden!</t>
  </si>
  <si>
    <t>Nährstoffgehalt kg/dt</t>
  </si>
  <si>
    <t>% N-Wirkung</t>
  </si>
  <si>
    <t>Schweine-Festmist</t>
  </si>
  <si>
    <t>Pferde-Festmist</t>
  </si>
  <si>
    <t>andere organische Dünger 1</t>
  </si>
  <si>
    <t>andere organische Dünger 2</t>
  </si>
  <si>
    <t>andere organische Dünger 3</t>
  </si>
  <si>
    <t>Rinder-Jauche</t>
  </si>
  <si>
    <t>Bewirtsch.einh. 1</t>
  </si>
  <si>
    <t>KAS</t>
  </si>
  <si>
    <t>ASS</t>
  </si>
  <si>
    <t>AS-Harnstoff 33</t>
  </si>
  <si>
    <t>AS-Harnstoff 38</t>
  </si>
  <si>
    <t>Amm.nitrat m. Schwefel 24</t>
  </si>
  <si>
    <t>Ammoniumsulfat AS</t>
  </si>
  <si>
    <t xml:space="preserve">N-Düngerlösung </t>
  </si>
  <si>
    <t>DAP</t>
  </si>
  <si>
    <t>Triplephosphat</t>
  </si>
  <si>
    <t>Datum der Düngung</t>
  </si>
  <si>
    <t>Nährstoffausscheidungen pro Jahr und Tier</t>
  </si>
  <si>
    <t>Code</t>
  </si>
  <si>
    <t>Festmist, Jauche, Weidehaltung</t>
  </si>
  <si>
    <t>Rinderaufz. GL konv. 0 - 27 Monate bP</t>
  </si>
  <si>
    <t>Rinderaufz. GL ext. 0 - 27 Monate bP</t>
  </si>
  <si>
    <t>Rinderaufz. AL Weide 0 - 27 Monate bP</t>
  </si>
  <si>
    <t>Rinderaufz. AL Stall 0 - 27 Monate bP</t>
  </si>
  <si>
    <t xml:space="preserve">Milchkuh GL mit Weide </t>
  </si>
  <si>
    <t>Milchkuh GL ohne Weide , mit Heu</t>
  </si>
  <si>
    <t>Milchkuh AL mit Weide</t>
  </si>
  <si>
    <t>Milchkuh AL ohne Weide, mit Heu</t>
  </si>
  <si>
    <t>Milchkuh leichte Rasse</t>
  </si>
  <si>
    <t>Kälberaufz. 16 Wochen bP</t>
  </si>
  <si>
    <t>Rosa-Kalbfleisch 50 - 350 kg bP</t>
  </si>
  <si>
    <t>Kälbermast 50  - 250 kg bP</t>
  </si>
  <si>
    <t>Formeln (x = jährliche Milchleistung pro Kuh in kg)</t>
  </si>
  <si>
    <t>Kälbermast 50 - 260 kg bP</t>
  </si>
  <si>
    <t xml:space="preserve">Ausscheidung </t>
  </si>
  <si>
    <t>Lagerbedarf</t>
  </si>
  <si>
    <t>Fresseraufz. 80 - 210 kg U-Futter bP</t>
  </si>
  <si>
    <t>Haltungsform</t>
  </si>
  <si>
    <t>kg N bis 8000 kg</t>
  </si>
  <si>
    <t>kg N ab 8000 kg</t>
  </si>
  <si>
    <t>t Festmist 6M bis 8000 kg Leistung</t>
  </si>
  <si>
    <t>t Festmist 6M ab 8000 kg Leistung</t>
  </si>
  <si>
    <t>m³ Gülle 6M</t>
  </si>
  <si>
    <t>m³ Jauche 6M</t>
  </si>
  <si>
    <t>Fresseraufz. 80 - 210 kg N-/P-red. bP</t>
  </si>
  <si>
    <t>Milchkuh GL mit Weide</t>
  </si>
  <si>
    <t>0,0075x + 69</t>
  </si>
  <si>
    <t>0,007x + 73</t>
  </si>
  <si>
    <t>0,0035x + 15</t>
  </si>
  <si>
    <t>0,002x + 27</t>
  </si>
  <si>
    <t>0,004x + 110</t>
  </si>
  <si>
    <t>(0,15x + 6300)/1000</t>
  </si>
  <si>
    <t>(0,25x + 5500)/1000</t>
  </si>
  <si>
    <t>(0,25x + 8000)/1000</t>
  </si>
  <si>
    <t>(0,1x + 2400)/1000</t>
  </si>
  <si>
    <t>Bullenmast 45 - 675 kg bP</t>
  </si>
  <si>
    <t>Milchkuh GL ohne Weide mit Heu</t>
  </si>
  <si>
    <t>0,0075x + 64</t>
  </si>
  <si>
    <t>0,0085x + 56</t>
  </si>
  <si>
    <t>0,003x + 19</t>
  </si>
  <si>
    <t>0,0025x + 23</t>
  </si>
  <si>
    <t>0,0025x + 114</t>
  </si>
  <si>
    <t>0,0045x + 98</t>
  </si>
  <si>
    <t>Bullenmast 45 -750 kg bP</t>
  </si>
  <si>
    <t>0,007x + 61</t>
  </si>
  <si>
    <t>0,009x + 44,667</t>
  </si>
  <si>
    <t>0,0025x + 22</t>
  </si>
  <si>
    <t>0,007x + 67</t>
  </si>
  <si>
    <t>0,004x + 91</t>
  </si>
  <si>
    <t>Bullenmast 80 - 750 kg bP</t>
  </si>
  <si>
    <t>Milchkuh AL ohne Weide mit Heu</t>
  </si>
  <si>
    <t>0,0075x + 55</t>
  </si>
  <si>
    <t>0,0093x + 40,833</t>
  </si>
  <si>
    <t>0,003x + 18</t>
  </si>
  <si>
    <t>0,006x + 68</t>
  </si>
  <si>
    <t>0,0045x + 80</t>
  </si>
  <si>
    <t>Bullenmast 210 - 750 kg bP</t>
  </si>
  <si>
    <t>Milchkuh Ackerfutter (leichte Rassen)</t>
  </si>
  <si>
    <t>0,0075x + 38,5</t>
  </si>
  <si>
    <t>0,01x + 21</t>
  </si>
  <si>
    <t>0,003x + 12</t>
  </si>
  <si>
    <t>0,0045x + 1,5</t>
  </si>
  <si>
    <t>0,006x + 54</t>
  </si>
  <si>
    <t>(0,25x + 5650)/1000</t>
  </si>
  <si>
    <t>Mutterkuh 500 kg 6 Monate Säugez. bP</t>
  </si>
  <si>
    <t>Ausscheidung pro Mastplatz und Jahr in kg</t>
  </si>
  <si>
    <t>Mutterkuh 700 kg 6 Monate Säugez. bP</t>
  </si>
  <si>
    <t>Art der Fütterung</t>
  </si>
  <si>
    <r>
      <t>kg P</t>
    </r>
    <r>
      <rPr>
        <vertAlign val="subscript"/>
        <sz val="12"/>
        <rFont val="Calibri"/>
        <family val="2"/>
        <scheme val="minor"/>
      </rPr>
      <t>2</t>
    </r>
    <r>
      <rPr>
        <sz val="12"/>
        <rFont val="Calibri"/>
        <family val="2"/>
        <scheme val="minor"/>
      </rPr>
      <t>O</t>
    </r>
    <r>
      <rPr>
        <vertAlign val="subscript"/>
        <sz val="12"/>
        <rFont val="Calibri"/>
        <family val="2"/>
        <scheme val="minor"/>
      </rPr>
      <t>5</t>
    </r>
  </si>
  <si>
    <r>
      <t>kg K</t>
    </r>
    <r>
      <rPr>
        <vertAlign val="subscript"/>
        <sz val="12"/>
        <rFont val="Calibri"/>
        <family val="2"/>
        <scheme val="minor"/>
      </rPr>
      <t>2</t>
    </r>
    <r>
      <rPr>
        <sz val="12"/>
        <rFont val="Calibri"/>
        <family val="2"/>
        <scheme val="minor"/>
      </rPr>
      <t>O</t>
    </r>
  </si>
  <si>
    <t>Mutterkuh 700 kg 9 Monate Säugez. bP</t>
  </si>
  <si>
    <t>Universalfutter</t>
  </si>
  <si>
    <t>0,0058x + 7,0627</t>
  </si>
  <si>
    <t>0,0009x + 4,1288</t>
  </si>
  <si>
    <t>0,0023x + 3,9271</t>
  </si>
  <si>
    <t>N.P. red</t>
  </si>
  <si>
    <t>0,0055x + 6,8356</t>
  </si>
  <si>
    <t>0,0014x + 3,0932</t>
  </si>
  <si>
    <t>0,0028x + 3,3915</t>
  </si>
  <si>
    <t>Stark N.P. red</t>
  </si>
  <si>
    <t>0,0052x + 6,0136</t>
  </si>
  <si>
    <t>0,0006x + 3,3542</t>
  </si>
  <si>
    <t>0,0024x + 3,522</t>
  </si>
  <si>
    <t>Spez. Ferkelaufz. 7 Durchg. U-Futter bP</t>
  </si>
  <si>
    <t>Spez. Ferkelaufz. 7 Durchg. N-P-red. bP</t>
  </si>
  <si>
    <t>Spez. Ferkelaufz. 7 Durchg. stark N-P-red. bP</t>
  </si>
  <si>
    <t>Spezl. Ferkelaufz. 8 Durchg. U-Futter bP</t>
  </si>
  <si>
    <t>Spez. Ferkelaufz. 8 Durchg. N-P-red. bP</t>
  </si>
  <si>
    <t>Spez. Ferkelaufz. 8 Durchg. stark N-P-red. bP</t>
  </si>
  <si>
    <t>Jungsauenaufz. 28 - 115 kg U-Futter bP</t>
  </si>
  <si>
    <t>Jungsauenaufz. 28 - 115 kg N-P-red. bP</t>
  </si>
  <si>
    <t>Jungsaueneingl. 95 - 135 kg U-Futter bP</t>
  </si>
  <si>
    <t>Jungsaueneingl. 95 -135 kg N-P-red. bP</t>
  </si>
  <si>
    <t>Mastschwein U-Futter bP</t>
  </si>
  <si>
    <t>Mastschwein N-P-red. bP</t>
  </si>
  <si>
    <t>Mastschwein stark N-P-red. bP</t>
  </si>
  <si>
    <t>Jungebermast 2,7 Durchg. U-Futter bP</t>
  </si>
  <si>
    <t>Jungebermast 2,7 Durchg. N-P-red. bP</t>
  </si>
  <si>
    <t>Junghennenaufz. 3,5 kg Zuw. U-Futter bP</t>
  </si>
  <si>
    <t>Legehennenhalt. 17,6 kg Eimasse U-Futter bP</t>
  </si>
  <si>
    <t>Legehennenhalt. 17,6 kg Eimasse N-P-red. bP</t>
  </si>
  <si>
    <t>Hähnchenmast 39 Tage U-Futter bP</t>
  </si>
  <si>
    <t xml:space="preserve">Hähnchenmast 34 - 38 Tage U-Futter bP </t>
  </si>
  <si>
    <t>Hähnchenmast 34 - 38 Tage N-P-red. bP</t>
  </si>
  <si>
    <t>Hähnchenmast 30 - 33 Tage U-Futter bP</t>
  </si>
  <si>
    <t>Hähnchenmast 30 - 33 Tage N-P-red. bP</t>
  </si>
  <si>
    <t>Hähnchenmast bis 29 Tage U-Futter bP</t>
  </si>
  <si>
    <t>Putenmast Hahn 21 Wochen U.Futter eT</t>
  </si>
  <si>
    <t>Putenmast Hahn 21 Wochen N-P-red.  eT</t>
  </si>
  <si>
    <t>Putenmast Henne 16 Wochen U-Futter  eT</t>
  </si>
  <si>
    <t>Putenmast Henne 16 Wochen N-P-red.  eT</t>
  </si>
  <si>
    <t>Putenmast Hahn 6. - 21. Woche U-Futter  eT</t>
  </si>
  <si>
    <t xml:space="preserve">Putenmast Hahn 6. - 21. Woche N-P-red.  eT </t>
  </si>
  <si>
    <t>Putenmast Henne 6. - 16. Woche U-Futter  eT</t>
  </si>
  <si>
    <t>Putenmast Henne 6. - 16. Woche N-P-red.  eT</t>
  </si>
  <si>
    <t>Putenmast gem. geschlechtl. U-Futter  eT</t>
  </si>
  <si>
    <t>Putenaufz. bis 5. Woche U-Futter  eT</t>
  </si>
  <si>
    <t>Reitpferde 500 - 600 kg Stall bP</t>
  </si>
  <si>
    <t>Reitpferde 500 - 600 kg Stall/Weide bP</t>
  </si>
  <si>
    <t>Kaninchen + 52 Jungtiere bis 0,6 kg bP</t>
  </si>
  <si>
    <t>Kaninchen + 52 Jungtiere bis 3 kg bP</t>
  </si>
  <si>
    <t>Kaninchenmast 0,6 - 3 kg bP</t>
  </si>
  <si>
    <t>Mutterschaf + 1,5 Lämmer/Schaf konv. bP</t>
  </si>
  <si>
    <t>Mutterschaf + 1,1 Lämmer/Schaf ext. bP</t>
  </si>
  <si>
    <t>Milchziege 800 kg + 1,5 Lämmer/Jahr bP</t>
  </si>
  <si>
    <t>Damtiere + 0,85 Kalb/Jahr) bP</t>
  </si>
  <si>
    <t>eigene Angaben</t>
  </si>
  <si>
    <t>Ermittlung der Großvieheinheiten</t>
  </si>
  <si>
    <t>Bezeichnung</t>
  </si>
  <si>
    <t>GV</t>
  </si>
  <si>
    <t>Ponys und Kleinpferde</t>
  </si>
  <si>
    <t>Andere Pferde unter 3 Jahren</t>
  </si>
  <si>
    <t>Andere Pferde 3 Jahre alt und älter</t>
  </si>
  <si>
    <t>Kälber und Jungrinder unter 1 Jahr</t>
  </si>
  <si>
    <t>Jungrinder 1 bis unter 2 Jahre</t>
  </si>
  <si>
    <t>Färsen, Milchkühe, Mutterkühe, Masttiere</t>
  </si>
  <si>
    <t xml:space="preserve">Schafe unter 1 Jahr einschl. Lämmer </t>
  </si>
  <si>
    <t>Schafe 1 Jahr alt und älter</t>
  </si>
  <si>
    <t>Ferkel</t>
  </si>
  <si>
    <t>Schweine unter 50 kg LG</t>
  </si>
  <si>
    <t>Mastschweine über 50 kg LG</t>
  </si>
  <si>
    <t>Zuchtschweine, Eber über 50 kg LG</t>
  </si>
  <si>
    <t>Legehennen 0,5 Jahr und älter</t>
  </si>
  <si>
    <t>Küken und Legehennen &lt; halbes Jahr</t>
  </si>
  <si>
    <t>Schlacht- und Masthähne und -hühner</t>
  </si>
  <si>
    <t>Gänse</t>
  </si>
  <si>
    <t>Enten</t>
  </si>
  <si>
    <t>Truthühner</t>
  </si>
  <si>
    <t>Für Geflügel (eine Ausnahme bei Putenmast), Pferde, Schafe, Ziegen und Damwild gibt es keine bzw. keine Daten für Gülle! Tragen Sie dort die Mist- bzw. Weidetage ein</t>
  </si>
  <si>
    <t>Weidetag-Rechner</t>
  </si>
  <si>
    <t>Abkürzungen:
bP = belegter Platz/ eT = erzeugtes Tier
GL = Grünland/ AL = Ackerland
U-Futter = Universal- o. Standardfutter
N-P-red. = N-P-reduziertes Futter</t>
  </si>
  <si>
    <t xml:space="preserve">Bei "Abgabe an andere Betriebe" muss der Wirtschaftsdünger der hier eingegebenen Anzahl von Tieren vollständig zuzuordnen sein! Ist diese Zuordnung nicht möglich bzw. wird eine bestimmte Menge Wirtschaftsdünger (ohne Bezug zu einer konkreten Anzahl Tiere) abgegeben, so wird dies im Tabellenblatt "Organ. Dünger" eingegeben. In diesem Fall wählen Sie hier bei Verwertung "auf selbst bewirtschaft. Flächen" aus! </t>
  </si>
  <si>
    <t>Tage</t>
  </si>
  <si>
    <t>Stunden pro Tag</t>
  </si>
  <si>
    <t>Weidetage</t>
  </si>
  <si>
    <t>zur Übernahme in Spalte I</t>
  </si>
  <si>
    <t>Tierhaltungsform</t>
  </si>
  <si>
    <r>
      <t>Verwertung der Wirtschaftsdünger</t>
    </r>
    <r>
      <rPr>
        <sz val="11"/>
        <color theme="1"/>
        <rFont val="Calibri"/>
        <family val="2"/>
        <scheme val="minor"/>
      </rPr>
      <t xml:space="preserve"> (ausgenommen sind die Tage mit Weidegang)</t>
    </r>
  </si>
  <si>
    <t>kg Milchleistung bei Kühen bzw.                                        g Tageszunahmen bei Mastschweinen</t>
  </si>
  <si>
    <t>Anzahl Tiere bzw. belegte Plätze</t>
  </si>
  <si>
    <t xml:space="preserve">      Tage/Jahr  (1 Jahr = 365 Tage)</t>
  </si>
  <si>
    <t>kg Nährstoffausscheidung pro Einheit</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</si>
  <si>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</si>
  <si>
    <r>
      <t>K</t>
    </r>
    <r>
      <rPr>
        <b/>
        <vertAlign val="subscript"/>
        <sz val="11"/>
        <color theme="1"/>
        <rFont val="Calibri"/>
        <family val="2"/>
        <scheme val="minor"/>
      </rPr>
      <t>2</t>
    </r>
    <r>
      <rPr>
        <b/>
        <sz val="11"/>
        <color theme="1"/>
        <rFont val="Calibri"/>
        <family val="2"/>
        <scheme val="minor"/>
      </rPr>
      <t>O</t>
    </r>
  </si>
  <si>
    <t>Abgabe Gülle, Mist, Jauche an andere Betriebe</t>
  </si>
  <si>
    <t>mit Gülle, Festmist, Jauche im eigenen Betrieb</t>
  </si>
  <si>
    <t>mit Weide-         haltung</t>
  </si>
  <si>
    <t>mit                         Gär-         resten der eigenen BGA</t>
  </si>
  <si>
    <t>auf selbst bewirtschaft. Flächen</t>
  </si>
  <si>
    <t>kg/dt FM</t>
  </si>
  <si>
    <t>N-Obergrenze</t>
  </si>
  <si>
    <r>
      <t xml:space="preserve">dt FM                         </t>
    </r>
    <r>
      <rPr>
        <sz val="11"/>
        <color theme="1"/>
        <rFont val="Calibri"/>
        <family val="2"/>
        <scheme val="minor"/>
      </rPr>
      <t xml:space="preserve">    (1 m³ Gülle etc. = 10 dt)</t>
    </r>
  </si>
  <si>
    <t>Menge x Gehalt</t>
  </si>
  <si>
    <t>Rapsextraktionsschrot</t>
  </si>
  <si>
    <t>Mosttrub flüssig (1 hl = 1 dt)</t>
  </si>
  <si>
    <t>Es wird empfohlen, nicht benötigte Spalten, wie z.B. die einer 4. oder 5. Düngergabe, zu verschmälern, um die Seitenansicht und den Ausdruck zu vereinfachen!</t>
  </si>
  <si>
    <t>Geflügel- und Kaninchen-Festmist</t>
  </si>
  <si>
    <t>Bsp. Eins</t>
  </si>
  <si>
    <t>Summe Grünland</t>
  </si>
  <si>
    <t>Summe Feldfutter</t>
  </si>
  <si>
    <t>Anzahl Tage</t>
  </si>
  <si>
    <t>Anzahl Tiere</t>
  </si>
  <si>
    <t>Tierart</t>
  </si>
  <si>
    <t>Weide-tage</t>
  </si>
  <si>
    <t>Stunden je Tag</t>
  </si>
  <si>
    <t>Weidetagebuch</t>
  </si>
  <si>
    <t>Rinder-Festmist 25% TM</t>
  </si>
  <si>
    <t>Rinder-Jauche 2% TM</t>
  </si>
  <si>
    <t>Schweinegülle 5% TM</t>
  </si>
  <si>
    <t>Schweine-Festmist 25% TM</t>
  </si>
  <si>
    <t>Pferde-Festmist 30% TM</t>
  </si>
  <si>
    <t>Hühnertrockenkot 40% TM</t>
  </si>
  <si>
    <t>Hühnertrockenkot 70% TM</t>
  </si>
  <si>
    <t>Hühnertrockenkot 55% TM</t>
  </si>
  <si>
    <t>Geflügelmist 50% TM</t>
  </si>
  <si>
    <t>Rindergülle 7,5% TM</t>
  </si>
  <si>
    <t>Trester frisch 40% TM, 1 m³ = 5 dt</t>
  </si>
  <si>
    <t>Trester kompostiert 40% TM</t>
  </si>
  <si>
    <t>Weinhefe flüssig 20% TM (1 hl = 1 dt)</t>
  </si>
  <si>
    <t>Weinhefe filtriert 40% TM (1 hl = 0,7 dt)</t>
  </si>
  <si>
    <t>Haarmehlpellets 94% TM</t>
  </si>
  <si>
    <t>Hornspäne 88% TM</t>
  </si>
  <si>
    <t>Fleischknochenmehl 92% TM</t>
  </si>
  <si>
    <t>Kartoffelschlempe 5% TM</t>
  </si>
  <si>
    <t>Ackerbohnenschrot 88% TM</t>
  </si>
  <si>
    <t>Vinasse 66% TM</t>
  </si>
  <si>
    <t>Bioabfall-Kompost 61% TM</t>
  </si>
  <si>
    <t>Grüngut-Kompost 59% TM</t>
  </si>
  <si>
    <t>Champignonerde 33% TM</t>
  </si>
  <si>
    <t>Schaf-, Ziegenmist 30% TM</t>
  </si>
  <si>
    <t>Sicherungskopie</t>
  </si>
  <si>
    <t>Mineralische und organische Dünger</t>
  </si>
  <si>
    <t>10 % des Ges.-N der organ. Dgg. zu Vorkulturen im Vorjahr in kg N/ha</t>
  </si>
  <si>
    <t>Die Angaben werden in die folg. Tab.blätter übernommen.</t>
  </si>
  <si>
    <t>organ. Dgg. zu Vorkulturen des Vorjahres</t>
  </si>
  <si>
    <t>organ. Dgg. Zu Vorkulturen des Vorjahres: 10 % vom aufgebr. Ges.-N</t>
  </si>
  <si>
    <r>
      <t>N</t>
    </r>
    <r>
      <rPr>
        <vertAlign val="subscript"/>
        <sz val="9"/>
        <color theme="1"/>
        <rFont val="Calibri"/>
        <family val="2"/>
        <scheme val="minor"/>
      </rPr>
      <t>min</t>
    </r>
    <r>
      <rPr>
        <sz val="9"/>
        <color theme="1"/>
        <rFont val="Calibri"/>
        <family val="2"/>
        <scheme val="minor"/>
      </rPr>
      <t>-Beprobungstiefe, sofern ausreichend tiefgründig: Wintergetr., Mais, etc.: bis 90 cm                                               Sommerget., Kart., etc.: bis 60 cm</t>
    </r>
  </si>
  <si>
    <t>kg im Durchschnitt pro ha</t>
  </si>
  <si>
    <t>ha Ackerfrüchte</t>
  </si>
  <si>
    <r>
      <t>N</t>
    </r>
    <r>
      <rPr>
        <b/>
        <vertAlign val="subscript"/>
        <sz val="12"/>
        <color theme="1"/>
        <rFont val="Calibri"/>
        <family val="2"/>
        <scheme val="minor"/>
      </rPr>
      <t>verf</t>
    </r>
    <r>
      <rPr>
        <b/>
        <sz val="12"/>
        <color theme="1"/>
        <rFont val="Calibri"/>
        <family val="2"/>
        <scheme val="minor"/>
      </rPr>
      <t xml:space="preserve"> </t>
    </r>
    <r>
      <rPr>
        <b/>
        <sz val="11"/>
        <color theme="1"/>
        <rFont val="Calibri"/>
        <family val="2"/>
        <scheme val="minor"/>
      </rPr>
      <t>kg/ha</t>
    </r>
  </si>
  <si>
    <r>
      <rPr>
        <b/>
        <sz val="12"/>
        <color theme="1"/>
        <rFont val="Calibri"/>
        <family val="2"/>
        <scheme val="minor"/>
      </rPr>
      <t>N</t>
    </r>
    <r>
      <rPr>
        <b/>
        <vertAlign val="subscript"/>
        <sz val="12"/>
        <color theme="1"/>
        <rFont val="Calibri"/>
        <family val="2"/>
        <scheme val="minor"/>
      </rPr>
      <t>ges</t>
    </r>
    <r>
      <rPr>
        <b/>
        <sz val="11"/>
        <color theme="1"/>
        <rFont val="Calibri"/>
        <family val="2"/>
        <scheme val="minor"/>
      </rPr>
      <t xml:space="preserve"> kg/ha</t>
    </r>
  </si>
  <si>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r>
      <rPr>
        <b/>
        <sz val="12"/>
        <color theme="1"/>
        <rFont val="Calibri"/>
        <family val="2"/>
        <scheme val="minor"/>
      </rPr>
      <t xml:space="preserve"> </t>
    </r>
    <r>
      <rPr>
        <b/>
        <sz val="11"/>
        <color theme="1"/>
        <rFont val="Calibri"/>
        <family val="2"/>
        <scheme val="minor"/>
      </rPr>
      <t>kg/ha</t>
    </r>
  </si>
  <si>
    <t>Summe Düngung in kg pro ha</t>
  </si>
  <si>
    <r>
      <t>N</t>
    </r>
    <r>
      <rPr>
        <b/>
        <vertAlign val="subscript"/>
        <sz val="12"/>
        <color theme="1"/>
        <rFont val="Calibri"/>
        <family val="2"/>
        <scheme val="minor"/>
      </rPr>
      <t>verf</t>
    </r>
  </si>
  <si>
    <r>
      <rPr>
        <b/>
        <sz val="12"/>
        <color theme="1"/>
        <rFont val="Calibri"/>
        <family val="2"/>
        <scheme val="minor"/>
      </rPr>
      <t>N</t>
    </r>
    <r>
      <rPr>
        <b/>
        <vertAlign val="subscript"/>
        <sz val="12"/>
        <color theme="1"/>
        <rFont val="Calibri"/>
        <family val="2"/>
        <scheme val="minor"/>
      </rPr>
      <t>ges</t>
    </r>
  </si>
  <si>
    <t>Welches Ertragsziel kann man bei der Düngebedarfs-Ermittlung zugrundelegen?</t>
  </si>
  <si>
    <t>Im Sinne der DüV: Der anstrebbare Ertrag entspricht dem tatsächlichen Ertragsniveau im Durchschnitt der letzten 5 Jahre (in Nitrat-belasteten Gebieten sind die Jahre 2015 bis 2019 maßgeblich). Weicht das tatsächliche Ertragsniveau in einem dieser 5 Jahre um mehr als 20 % vom Ertragsniveau des jeweils vorangegangenen Jahres ab, kann statt des tatsächlichen Ertragsniveaus, das im Jahr der Abweichung erreicht wurde, das Ertragsniveau des jeweils vorangegangenen Jahres für die Ermittlung des Durchschnitts herangezogen werden. In der Praxis sind Erträge oft nicht genau bekannt, besonders wenn nicht alle Erträge vermarktet werden oder noch nicht vermarktet worden sind. Oftmals kann nur geschätzt werden. Eine Grundlage hierfür können die vom Statistischen Landesamt ermittelten Durchschnittserträge auf Ebene der Landkreise sein. Es können anfänglich aber auch die Basiserträge der Düngeverordnung (wie in dieser Anwendung hinterlegt) herangezogen werden. Werden höhere Erträge angesetzt, müssen diese erklärbar sein bzw. belegt werden können.</t>
  </si>
  <si>
    <r>
      <t>Gemäß DüV dürfen Schläge mit Gehalten über 20 mg CAL- o. 3,6 mg EUF-löslichem P</t>
    </r>
    <r>
      <rPr>
        <b/>
        <vertAlign val="subscript"/>
        <sz val="12"/>
        <color rgb="FF002060"/>
        <rFont val="Calibri"/>
        <family val="2"/>
        <scheme val="minor"/>
      </rPr>
      <t>2</t>
    </r>
    <r>
      <rPr>
        <b/>
        <sz val="12"/>
        <color rgb="FF002060"/>
        <rFont val="Calibri"/>
        <family val="2"/>
        <scheme val="minor"/>
      </rPr>
      <t>O</t>
    </r>
    <r>
      <rPr>
        <b/>
        <vertAlign val="subscript"/>
        <sz val="12"/>
        <color rgb="FF002060"/>
        <rFont val="Calibri"/>
        <family val="2"/>
        <scheme val="minor"/>
      </rPr>
      <t>5</t>
    </r>
    <r>
      <rPr>
        <b/>
        <sz val="12"/>
        <color rgb="FF002060"/>
        <rFont val="Calibri"/>
        <family val="2"/>
        <scheme val="minor"/>
      </rPr>
      <t xml:space="preserve">/100 g Boden maximal bis zur voraussichtlichen P-Abfuhr mit dem Erntegut gedüngt werden. Dies entspricht der Empfehlung in Gehaltsklasse C, die damit zur Begrenzung bei höherer P-Versorgung wird. Die P-Düngung kann als Vorratsdüngung für jeweils 3 Jahre im Voraus erfolgen. </t>
    </r>
  </si>
  <si>
    <t>Im Sinne der DüV: Der anstrebbare Ertrag entspricht dem tatsächlichen Ertragsniveau im Durchschnitt der letzten 5 Jahre, in den Nitrat-belasteten Gebieten sind die Jahre 2015 bis 2019 maßgeblich. Weicht das tatsächliche Ertragsniveau in einem dieser 5 Jahre um mehr als 20 % vom Ertragsniveau des jeweils vorangegangenen Jahres ab, kann statt des tatsächlichen Ertragsniveaus, das im Jahr der Abweichung erreicht wurde, das Ertragsniveau des jeweils vorangegangenen Jahres für die Ermittlung des Durchschnitts herangezogen werden.</t>
  </si>
  <si>
    <t>Im Sinne der DüV: Der anstrebbare Ertrag entspricht dem tatsächlichen Ertragsniveau im Durchschnitt der letzten 5 Jahre, in Nitrat-belasteten Gebieten sind die Jahre 2015 bis 2019 maßgeblich. Weicht das tatsächliche Ertragsniveau in einem dieser 5 Jahre um mehr als 20 % vom Ertragsniveau des jeweils vorangegangenen Jahres ab, kann statt des tatsächlichen Ertragsniveaus, das im Jahr der Abweichung erreicht wurde, das Ertragsniveau des jeweils vorangegangenen Jahres für die Ermittlung des Durchschnitts herangezogen werden. Genauso verhält es sich mit dem Rohproteingehalt. In der Praxis sind Erträge oft nicht genau bekannt. Eine Grundlage hierfür können die vom Statistischen Landesamt ermittelten Durchschnittserträge auf Ebene der Landkreise sein. Es können aber auch die Basiserträge der Düngeverordnung (wie in dieser Anwendung hinterlegt) herangezogen werden. Werden höhere Erträge angesetzt, müssen diese erklärbar sein, z.B. über die Grundfutteraufnahme der Tiere. Oftmals kann nur geschätzt werden, z.B. über genutzte Aufwuchshöhen oder über aus der Fütterungsberatung bekannte Grundfutteraufnahmen.</t>
  </si>
  <si>
    <r>
      <t>Gemäß DüV dürfen Schläge mit Gehalten über 20 mg CAL- o. 3,6 mg EUF-löslichem P</t>
    </r>
    <r>
      <rPr>
        <b/>
        <vertAlign val="subscript"/>
        <sz val="12"/>
        <color rgb="FF002060"/>
        <rFont val="Calibri"/>
        <family val="2"/>
        <scheme val="minor"/>
      </rPr>
      <t>2</t>
    </r>
    <r>
      <rPr>
        <b/>
        <sz val="12"/>
        <color rgb="FF002060"/>
        <rFont val="Calibri"/>
        <family val="2"/>
        <scheme val="minor"/>
      </rPr>
      <t>O</t>
    </r>
    <r>
      <rPr>
        <b/>
        <vertAlign val="subscript"/>
        <sz val="12"/>
        <color rgb="FF002060"/>
        <rFont val="Calibri"/>
        <family val="2"/>
        <scheme val="minor"/>
      </rPr>
      <t>5</t>
    </r>
    <r>
      <rPr>
        <b/>
        <sz val="12"/>
        <color rgb="FF002060"/>
        <rFont val="Calibri"/>
        <family val="2"/>
        <scheme val="minor"/>
      </rPr>
      <t>/100 g Boden maximal bis zur voraussichtlichen P-Abfuhr mit dem Erntegut gedüngt werden. Dies entspricht der Empfehlung in Gehaltsklasse C, die damit zur Begrenzung bei höherer P-Versorgung wird. Die P-Düngung kann als Vorratsdüngung für jeweils 3 Jahre im Voraus erfolgen.</t>
    </r>
  </si>
  <si>
    <t>Bewirtschaftungs-Einheit oder Schlag</t>
  </si>
  <si>
    <t>Bewirtschaftungs-                            Einheit oder Schlag</t>
  </si>
  <si>
    <t>Summe Düngung in kg pro Bewirtschaftungs-Einheit oder Schlag</t>
  </si>
  <si>
    <t>1. Beweidung</t>
  </si>
  <si>
    <t>2. Beweidung</t>
  </si>
  <si>
    <t>3. Beweidung</t>
  </si>
  <si>
    <t>Mineral-dünger-N</t>
  </si>
  <si>
    <t>Summe kg</t>
  </si>
  <si>
    <r>
      <t>N</t>
    </r>
    <r>
      <rPr>
        <b/>
        <vertAlign val="subscript"/>
        <sz val="12"/>
        <color rgb="FF222E9E"/>
        <rFont val="Calibri"/>
        <family val="2"/>
        <scheme val="minor"/>
      </rPr>
      <t>ges</t>
    </r>
  </si>
  <si>
    <r>
      <t>N</t>
    </r>
    <r>
      <rPr>
        <b/>
        <vertAlign val="subscript"/>
        <sz val="12"/>
        <color theme="1"/>
        <rFont val="Calibri"/>
        <family val="2"/>
        <scheme val="minor"/>
      </rPr>
      <t>ges</t>
    </r>
  </si>
  <si>
    <r>
      <rPr>
        <b/>
        <sz val="12"/>
        <color rgb="FFFF0000"/>
        <rFont val="Calibri"/>
        <family val="2"/>
        <scheme val="minor"/>
      </rPr>
      <t>Düngebedarfsermittlung:</t>
    </r>
    <r>
      <rPr>
        <b/>
        <sz val="12"/>
        <color theme="1"/>
        <rFont val="Calibri"/>
        <family val="2"/>
        <scheme val="minor"/>
      </rPr>
      <t xml:space="preserve"> Berechnung der "standortbezogenen N-Obergrenzen" für Ackerkulturen auf Basis von N</t>
    </r>
    <r>
      <rPr>
        <b/>
        <vertAlign val="subscript"/>
        <sz val="12"/>
        <color theme="1"/>
        <rFont val="Calibri"/>
        <family val="2"/>
        <scheme val="minor"/>
      </rPr>
      <t>min</t>
    </r>
    <r>
      <rPr>
        <b/>
        <sz val="12"/>
        <color theme="1"/>
        <rFont val="Calibri"/>
        <family val="2"/>
        <scheme val="minor"/>
      </rPr>
      <t>.  Die Phosphatabfuhr beinhaltet (aus Platzgründen) nur die Haupternteprodukte (Körner, Rüben, Knollen etc.). Zudem enthalten die Erntenebenprodukte (Stroh, Blatt) relativ wenig Phosphat.</t>
    </r>
  </si>
  <si>
    <t xml:space="preserve">Fassen Sie vergleichbare Flächen zu Bewirtschaftungs-Einheiten zusammen. </t>
  </si>
  <si>
    <t>Anrechnung auf N-Obergrenze 170 kg N/ha (Ausscheidung nach Abzug von Stall- und Lagerungsverlusten)</t>
  </si>
  <si>
    <t>Biogas-Gärreste, flüssig</t>
  </si>
  <si>
    <t>Biogas-Gärreste, fest</t>
  </si>
  <si>
    <t>Gülle, Gärrreste</t>
  </si>
  <si>
    <t>Gülle, Gärreste</t>
  </si>
  <si>
    <t>Anzurechnende Mindestwerte in % der Ausscheidungen an Gesamt-N  nach Abzug der Stall- und Lagerungsverluste</t>
  </si>
  <si>
    <t>Jauche findet hier keine Berücksichtigung</t>
  </si>
  <si>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bis 8000 kg </t>
    </r>
  </si>
  <si>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 ab 8000 kg </t>
    </r>
  </si>
  <si>
    <r>
      <t>kg K</t>
    </r>
    <r>
      <rPr>
        <vertAlign val="subscript"/>
        <sz val="11"/>
        <color theme="1"/>
        <rFont val="Calibri"/>
        <family val="2"/>
        <scheme val="minor"/>
      </rPr>
      <t>2</t>
    </r>
    <r>
      <rPr>
        <sz val="11"/>
        <color theme="1"/>
        <rFont val="Calibri"/>
        <family val="2"/>
        <scheme val="minor"/>
      </rPr>
      <t>O bis 8000 kg</t>
    </r>
  </si>
  <si>
    <r>
      <t>kg K</t>
    </r>
    <r>
      <rPr>
        <vertAlign val="subscript"/>
        <sz val="11"/>
        <color theme="1"/>
        <rFont val="Calibri"/>
        <family val="2"/>
        <scheme val="minor"/>
      </rPr>
      <t>2</t>
    </r>
    <r>
      <rPr>
        <sz val="11"/>
        <color theme="1"/>
        <rFont val="Calibri"/>
        <family val="2"/>
        <scheme val="minor"/>
      </rPr>
      <t>O ab 8000 kg</t>
    </r>
  </si>
  <si>
    <t>Mist, Jauche, Weide</t>
  </si>
  <si>
    <t>Gärreste aus eigener BGA im Tab.blatt Organ. Dünger als Zukauf erfassen</t>
  </si>
  <si>
    <t>Ungefähre Menge verfügbarer Nährstoffe in Gülle und Mist für selbst bewirtschaftete Flächen</t>
  </si>
  <si>
    <t>kg N-Obergrenze gesamt</t>
  </si>
  <si>
    <r>
      <t>kg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r>
      <rPr>
        <b/>
        <sz val="12"/>
        <color theme="1"/>
        <rFont val="Calibri"/>
        <family val="2"/>
        <scheme val="minor"/>
      </rPr>
      <t>-Abfuhr gesamt</t>
    </r>
  </si>
  <si>
    <t>ha Grünland</t>
  </si>
  <si>
    <t>Nährstoffanfall aus eigener Tierhaltung</t>
  </si>
  <si>
    <t>Gärreste aus einer eigenen Biogasanlage werden hier wie ein Düngemittelzukauf betrachtet und im Tab.blatt "Organ. Dünger" erfasst (weil in der Regel nicht nur eigene Wirtschaftsdünger in der Biogasanlage verwertet werden und die übrigen Substrate hier nicht erfasst werden sollen.</t>
  </si>
  <si>
    <t>andere organische Dünger 4</t>
  </si>
  <si>
    <t>andere organische Dünger 5</t>
  </si>
  <si>
    <t>andere Mineraldünger 1</t>
  </si>
  <si>
    <t>andere Mineraldünger 2</t>
  </si>
  <si>
    <t>andere Mineraldünger 3</t>
  </si>
  <si>
    <t>andere Mineraldünger 4</t>
  </si>
  <si>
    <t>?</t>
  </si>
  <si>
    <t>Marktfrüchte/Ackerbau</t>
  </si>
  <si>
    <t>Weinbau</t>
  </si>
  <si>
    <t>ha Feldfutter (ohne Silomais)</t>
  </si>
  <si>
    <r>
      <t>Feldfutter und Grassamenvermehrung  (Kulturen mit N-Bedarfsermittlung ohne Berücksichtigung von N</t>
    </r>
    <r>
      <rPr>
        <b/>
        <vertAlign val="subscript"/>
        <sz val="12"/>
        <color theme="1"/>
        <rFont val="Calibri"/>
        <family val="2"/>
        <scheme val="minor"/>
      </rPr>
      <t>min</t>
    </r>
    <r>
      <rPr>
        <b/>
        <sz val="12"/>
        <color theme="1"/>
        <rFont val="Calibri"/>
        <family val="2"/>
        <scheme val="minor"/>
      </rPr>
      <t>)                                Kultur auswählen</t>
    </r>
  </si>
  <si>
    <t>Grünland</t>
  </si>
  <si>
    <t>Feldfutter</t>
  </si>
  <si>
    <t>% N-Wirkung vom Ges.-N</t>
  </si>
  <si>
    <t>ggfalls.  Anmerkungen zur Herkunft</t>
  </si>
  <si>
    <t>ggfalls. Anmerkungen zum Verbleib</t>
  </si>
  <si>
    <t>plus Zukauf</t>
  </si>
  <si>
    <t>minus Verkauf</t>
  </si>
  <si>
    <t>verfügb. N</t>
  </si>
  <si>
    <t>gesamt-N</t>
  </si>
  <si>
    <r>
      <t>Düngebedarf N und P</t>
    </r>
    <r>
      <rPr>
        <b/>
        <vertAlign val="subscript"/>
        <sz val="14"/>
        <color theme="1"/>
        <rFont val="Calibri"/>
        <family val="2"/>
        <scheme val="minor"/>
      </rPr>
      <t>2</t>
    </r>
    <r>
      <rPr>
        <b/>
        <sz val="14"/>
        <color theme="1"/>
        <rFont val="Calibri"/>
        <family val="2"/>
        <scheme val="minor"/>
      </rPr>
      <t>O</t>
    </r>
    <r>
      <rPr>
        <b/>
        <vertAlign val="subscript"/>
        <sz val="14"/>
        <color theme="1"/>
        <rFont val="Calibri"/>
        <family val="2"/>
        <scheme val="minor"/>
      </rPr>
      <t>5</t>
    </r>
  </si>
  <si>
    <r>
      <t>gedüngte Mengen N und P</t>
    </r>
    <r>
      <rPr>
        <b/>
        <vertAlign val="subscript"/>
        <sz val="14"/>
        <color theme="1"/>
        <rFont val="Calibri"/>
        <family val="2"/>
        <scheme val="minor"/>
      </rPr>
      <t>2</t>
    </r>
    <r>
      <rPr>
        <b/>
        <sz val="14"/>
        <color theme="1"/>
        <rFont val="Calibri"/>
        <family val="2"/>
        <scheme val="minor"/>
      </rPr>
      <t>O</t>
    </r>
    <r>
      <rPr>
        <b/>
        <vertAlign val="subscript"/>
        <sz val="14"/>
        <color theme="1"/>
        <rFont val="Calibri"/>
        <family val="2"/>
        <scheme val="minor"/>
      </rPr>
      <t>5</t>
    </r>
  </si>
  <si>
    <t>kg Summe</t>
  </si>
  <si>
    <t>ha</t>
  </si>
  <si>
    <t>Fläche</t>
  </si>
  <si>
    <r>
      <t>P</t>
    </r>
    <r>
      <rPr>
        <b/>
        <vertAlign val="subscript"/>
        <sz val="12"/>
        <rFont val="Calibri"/>
        <family val="2"/>
        <scheme val="minor"/>
      </rPr>
      <t>2</t>
    </r>
    <r>
      <rPr>
        <b/>
        <sz val="12"/>
        <rFont val="Calibri"/>
        <family val="2"/>
        <scheme val="minor"/>
      </rPr>
      <t>O</t>
    </r>
    <r>
      <rPr>
        <b/>
        <vertAlign val="subscript"/>
        <sz val="12"/>
        <rFont val="Calibri"/>
        <family val="2"/>
        <scheme val="minor"/>
      </rPr>
      <t>5</t>
    </r>
  </si>
  <si>
    <t>Flurstück 5</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</si>
  <si>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r>
      <rPr>
        <b/>
        <sz val="11"/>
        <color theme="1"/>
        <rFont val="Calibri"/>
        <family val="2"/>
        <scheme val="minor"/>
      </rPr>
      <t>-Abfuhr</t>
    </r>
  </si>
  <si>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r>
      <rPr>
        <b/>
        <sz val="12"/>
        <color theme="1"/>
        <rFont val="Calibri"/>
        <family val="2"/>
        <scheme val="minor"/>
      </rPr>
      <t>-Abfuhr</t>
    </r>
  </si>
  <si>
    <t>Bewirtschaft.-                            Einheit oder Schlag</t>
  </si>
  <si>
    <t>Mähweide</t>
  </si>
  <si>
    <t>Wiese 4</t>
  </si>
  <si>
    <t>Weide 1</t>
  </si>
  <si>
    <t>Weide 2</t>
  </si>
  <si>
    <t>Mähweide 3</t>
  </si>
  <si>
    <t>Fläche eins</t>
  </si>
  <si>
    <r>
      <t>P</t>
    </r>
    <r>
      <rPr>
        <b/>
        <vertAlign val="subscript"/>
        <sz val="12"/>
        <color theme="5" tint="-0.249977111117893"/>
        <rFont val="Calibri"/>
        <family val="2"/>
        <scheme val="minor"/>
      </rPr>
      <t>2</t>
    </r>
    <r>
      <rPr>
        <b/>
        <sz val="12"/>
        <color theme="5" tint="-0.249977111117893"/>
        <rFont val="Calibri"/>
        <family val="2"/>
        <scheme val="minor"/>
      </rPr>
      <t>O</t>
    </r>
    <r>
      <rPr>
        <b/>
        <vertAlign val="subscript"/>
        <sz val="12"/>
        <color theme="5" tint="-0.249977111117893"/>
        <rFont val="Calibri"/>
        <family val="2"/>
        <scheme val="minor"/>
      </rPr>
      <t>5</t>
    </r>
  </si>
  <si>
    <t>mit Nitrat belastete Gebiete</t>
  </si>
  <si>
    <t>Die Berechnung der N-Obergrenze erfolgt hier wie im unbelasteten Gebiet!</t>
  </si>
  <si>
    <t>Nicht mit Nitrat belastete Gebiete</t>
  </si>
  <si>
    <t>Mit Nitrat belastete Gebiete</t>
  </si>
  <si>
    <t>max. 80</t>
  </si>
  <si>
    <t>max. 160</t>
  </si>
  <si>
    <t>max. 170</t>
  </si>
  <si>
    <t>zulässige N-Düngung:</t>
  </si>
  <si>
    <r>
      <rPr>
        <b/>
        <sz val="12"/>
        <color rgb="FFFF0000"/>
        <rFont val="Calibri"/>
        <family val="2"/>
        <scheme val="minor"/>
      </rPr>
      <t xml:space="preserve">Aufzeichnung innerhalb von 2 Tagen nach jeder Düngungsmaßnahme: </t>
    </r>
    <r>
      <rPr>
        <b/>
        <sz val="12"/>
        <color theme="1"/>
        <rFont val="Calibri"/>
        <family val="2"/>
        <scheme val="minor"/>
      </rPr>
      <t>tatsächlich ausgebrachte Düngung mit N und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 xml:space="preserve">5 </t>
    </r>
    <r>
      <rPr>
        <b/>
        <sz val="12"/>
        <color theme="1"/>
        <rFont val="Calibri"/>
        <family val="2"/>
        <scheme val="minor"/>
      </rPr>
      <t>in kg/ha                                                                                                                                                                                                                                                                                                                                                                                                                                               N</t>
    </r>
    <r>
      <rPr>
        <b/>
        <vertAlign val="subscript"/>
        <sz val="12"/>
        <color theme="1"/>
        <rFont val="Calibri"/>
        <family val="2"/>
        <scheme val="minor"/>
      </rPr>
      <t>verf</t>
    </r>
    <r>
      <rPr>
        <b/>
        <sz val="12"/>
        <color theme="1"/>
        <rFont val="Calibri"/>
        <family val="2"/>
        <scheme val="minor"/>
      </rPr>
      <t xml:space="preserve"> = verfügbarer N (Mineraldünger-N + verfügbarer Anteil des Wirtschaftsdünger-N); N</t>
    </r>
    <r>
      <rPr>
        <b/>
        <vertAlign val="subscript"/>
        <sz val="12"/>
        <color theme="1"/>
        <rFont val="Calibri"/>
        <family val="2"/>
        <scheme val="minor"/>
      </rPr>
      <t>ges</t>
    </r>
    <r>
      <rPr>
        <b/>
        <sz val="12"/>
        <color theme="1"/>
        <rFont val="Calibri"/>
        <family val="2"/>
        <scheme val="minor"/>
      </rPr>
      <t xml:space="preserve"> = gesamt-N.                          Sie können die Spaltenbreiten insbes. für eine 4. oder 5. Düngergabe anpassen.</t>
    </r>
  </si>
  <si>
    <t>Vergleichbare Schläge zu Bewirtschaftungs-Einheiten zusammenfassen, die voraussichtlich einheitlich gedüngt werden (für eine Dokumentation der Düngung der Bewirtschaftungs-Einheiten entsprechend der Düngeplanung).</t>
  </si>
  <si>
    <r>
      <t>Aufzeichnung innerhalb von 2 Tagen nach jeder Düngungsmaßnahme: tatsächlich ausgebrachte Düngung mit N und 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r>
      <rPr>
        <b/>
        <sz val="11"/>
        <color theme="1"/>
        <rFont val="Calibri"/>
        <family val="2"/>
        <scheme val="minor"/>
      </rPr>
      <t xml:space="preserve"> in kg/ha.                                                                                                                                                                                                                                                                                                                                                                                                                                    N</t>
    </r>
    <r>
      <rPr>
        <b/>
        <vertAlign val="subscript"/>
        <sz val="11"/>
        <color theme="1"/>
        <rFont val="Calibri"/>
        <family val="2"/>
        <scheme val="minor"/>
      </rPr>
      <t>verf</t>
    </r>
    <r>
      <rPr>
        <b/>
        <sz val="11"/>
        <color theme="1"/>
        <rFont val="Calibri"/>
        <family val="2"/>
        <scheme val="minor"/>
      </rPr>
      <t xml:space="preserve"> = verfügbarer N (Mineraldünger-N + verfügbarer Anteil des Wirtschaftsdünger-N); N</t>
    </r>
    <r>
      <rPr>
        <b/>
        <vertAlign val="subscript"/>
        <sz val="11"/>
        <color theme="1"/>
        <rFont val="Calibri"/>
        <family val="2"/>
        <scheme val="minor"/>
      </rPr>
      <t>ges</t>
    </r>
    <r>
      <rPr>
        <b/>
        <sz val="11"/>
        <color theme="1"/>
        <rFont val="Calibri"/>
        <family val="2"/>
        <scheme val="minor"/>
      </rPr>
      <t xml:space="preserve"> = gesamt-N.              </t>
    </r>
  </si>
  <si>
    <r>
      <t xml:space="preserve">Hier müssen Sie die N-Düngung (N-Obergrenze) </t>
    </r>
    <r>
      <rPr>
        <b/>
        <i/>
        <sz val="12"/>
        <color theme="1"/>
        <rFont val="Calibri"/>
        <family val="2"/>
        <scheme val="minor"/>
      </rPr>
      <t>um 20 % reduzieren</t>
    </r>
    <r>
      <rPr>
        <i/>
        <sz val="12"/>
        <color theme="1"/>
        <rFont val="Calibri"/>
        <family val="2"/>
        <scheme val="minor"/>
      </rPr>
      <t xml:space="preserve"> </t>
    </r>
    <r>
      <rPr>
        <b/>
        <i/>
        <sz val="12"/>
        <color theme="1"/>
        <rFont val="Calibri"/>
        <family val="2"/>
        <scheme val="minor"/>
      </rPr>
      <t>oder</t>
    </r>
    <r>
      <rPr>
        <i/>
        <sz val="12"/>
        <color theme="1"/>
        <rFont val="Calibri"/>
        <family val="2"/>
        <scheme val="minor"/>
      </rPr>
      <t xml:space="preserve"> Sie düngen </t>
    </r>
    <r>
      <rPr>
        <b/>
        <i/>
        <sz val="12"/>
        <color theme="1"/>
        <rFont val="Calibri"/>
        <family val="2"/>
        <scheme val="minor"/>
      </rPr>
      <t>max. 160 kg Gesamt-N/ha und dabei max. 80 Mineraldünger-N/ha</t>
    </r>
    <r>
      <rPr>
        <i/>
        <sz val="12"/>
        <color theme="1"/>
        <rFont val="Calibri"/>
        <family val="2"/>
        <scheme val="minor"/>
      </rPr>
      <t xml:space="preserve">, jeweils im Durchschnitt der Flächen im Nitrat belasteten Gebiet (siehe Tab.blatt "Auswertung"). Zudem müssen Sie die </t>
    </r>
    <r>
      <rPr>
        <b/>
        <i/>
        <sz val="12"/>
        <color theme="1"/>
        <rFont val="Calibri"/>
        <family val="2"/>
        <scheme val="minor"/>
      </rPr>
      <t>Düngung einschließlich der noch geplanten Düngergaben spätestens bis zum 31. März des laufenden Jahres eintragen</t>
    </r>
    <r>
      <rPr>
        <i/>
        <sz val="12"/>
        <color theme="1"/>
        <rFont val="Calibri"/>
        <family val="2"/>
        <scheme val="minor"/>
      </rPr>
      <t>, um damit die geplante Einhaltung der N-Begrenzung belegen zu können.</t>
    </r>
  </si>
  <si>
    <r>
      <t xml:space="preserve">Hier können Sie u.a. die Einhaltung der </t>
    </r>
    <r>
      <rPr>
        <b/>
        <sz val="11"/>
        <color rgb="FFFF0000"/>
        <rFont val="Calibri"/>
        <family val="2"/>
        <scheme val="minor"/>
      </rPr>
      <t xml:space="preserve">Obergrenze von  170 kg N/ha aus organischer Düngung im Flächendurchschnitt </t>
    </r>
    <r>
      <rPr>
        <sz val="11"/>
        <color theme="1"/>
        <rFont val="Calibri"/>
        <family val="2"/>
        <scheme val="minor"/>
      </rPr>
      <t xml:space="preserve">prüfen (Durchschnitt pro ha siehe Zeile 33). Die Einhaltung dieser Obergrenze bezieht sich auch auf andere Nutzungsformen (siehe auch </t>
    </r>
    <r>
      <rPr>
        <b/>
        <sz val="11"/>
        <color theme="1"/>
        <rFont val="Calibri"/>
        <family val="2"/>
        <scheme val="minor"/>
      </rPr>
      <t>Tab.blatt</t>
    </r>
    <r>
      <rPr>
        <sz val="11"/>
        <color theme="1"/>
        <rFont val="Calibri"/>
        <family val="2"/>
        <scheme val="minor"/>
      </rPr>
      <t xml:space="preserve"> </t>
    </r>
    <r>
      <rPr>
        <b/>
        <sz val="11"/>
        <color theme="1"/>
        <rFont val="Calibri"/>
        <family val="2"/>
        <scheme val="minor"/>
      </rPr>
      <t>Auswertung</t>
    </r>
    <r>
      <rPr>
        <sz val="11"/>
        <color theme="1"/>
        <rFont val="Calibri"/>
        <family val="2"/>
        <scheme val="minor"/>
      </rPr>
      <t>)</t>
    </r>
  </si>
  <si>
    <r>
      <t xml:space="preserve">Hier können Sie die Einhaltung der </t>
    </r>
    <r>
      <rPr>
        <b/>
        <sz val="11"/>
        <color rgb="FFFF0000"/>
        <rFont val="Calibri"/>
        <family val="2"/>
        <scheme val="minor"/>
      </rPr>
      <t xml:space="preserve">Obergrenze von  170 kg N/ha aus organischer Düngung </t>
    </r>
    <r>
      <rPr>
        <sz val="11"/>
        <color theme="1"/>
        <rFont val="Calibri"/>
        <family val="2"/>
        <scheme val="minor"/>
      </rPr>
      <t xml:space="preserve">prüfen. Im NItrat-belasteten Gebiet gilt dies </t>
    </r>
    <r>
      <rPr>
        <b/>
        <sz val="11"/>
        <color rgb="FFFF0000"/>
        <rFont val="Calibri"/>
        <family val="2"/>
        <scheme val="minor"/>
      </rPr>
      <t>für jede Bewirtschaftungseinheit</t>
    </r>
    <r>
      <rPr>
        <sz val="11"/>
        <color theme="1"/>
        <rFont val="Calibri"/>
        <family val="2"/>
        <scheme val="minor"/>
      </rPr>
      <t xml:space="preserve">, es sei denn, Sie düngen im Durchschnitt aller Flächen </t>
    </r>
    <r>
      <rPr>
        <b/>
        <sz val="11"/>
        <color rgb="FF222E9E"/>
        <rFont val="Calibri"/>
        <family val="2"/>
        <scheme val="minor"/>
      </rPr>
      <t>nicht mehr als 160 kg Gesamt-N/ha und davon nicht mehr als 80 kg Mineraldünger-N/ha</t>
    </r>
    <r>
      <rPr>
        <sz val="11"/>
        <color theme="1"/>
        <rFont val="Calibri"/>
        <family val="2"/>
        <scheme val="minor"/>
      </rPr>
      <t xml:space="preserve"> (Durchschnitt pro ha siehe Zeile 33, siehe auch </t>
    </r>
    <r>
      <rPr>
        <b/>
        <sz val="11"/>
        <color theme="1"/>
        <rFont val="Calibri"/>
        <family val="2"/>
        <scheme val="minor"/>
      </rPr>
      <t>Tab.blatt Auswertung</t>
    </r>
    <r>
      <rPr>
        <sz val="11"/>
        <color theme="1"/>
        <rFont val="Calibri"/>
        <family val="2"/>
        <scheme val="minor"/>
      </rPr>
      <t>).</t>
    </r>
  </si>
  <si>
    <r>
      <t xml:space="preserve">Hier können Sie u.a. die Einhaltung der </t>
    </r>
    <r>
      <rPr>
        <b/>
        <sz val="11"/>
        <color rgb="FFFF0000"/>
        <rFont val="Calibri"/>
        <family val="2"/>
        <scheme val="minor"/>
      </rPr>
      <t xml:space="preserve">Obergrenze von  170 kg N/ha aus organischer Düngung im Flächendurchschnitt </t>
    </r>
    <r>
      <rPr>
        <sz val="11"/>
        <color theme="1"/>
        <rFont val="Calibri"/>
        <family val="2"/>
        <scheme val="minor"/>
      </rPr>
      <t>prüfen (Durchschnitt pro ha siehe Zeile 33). Die Einhaltung dieser Obergrenze bezieht sich auch auf andere Nutzungsformen (siehe auch</t>
    </r>
    <r>
      <rPr>
        <b/>
        <sz val="11"/>
        <color theme="1"/>
        <rFont val="Calibri"/>
        <family val="2"/>
        <scheme val="minor"/>
      </rPr>
      <t xml:space="preserve"> Tab.blatt</t>
    </r>
    <r>
      <rPr>
        <sz val="11"/>
        <color theme="1"/>
        <rFont val="Calibri"/>
        <family val="2"/>
        <scheme val="minor"/>
      </rPr>
      <t xml:space="preserve"> </t>
    </r>
    <r>
      <rPr>
        <b/>
        <sz val="11"/>
        <color theme="1"/>
        <rFont val="Calibri"/>
        <family val="2"/>
        <scheme val="minor"/>
      </rPr>
      <t>Auswertung</t>
    </r>
    <r>
      <rPr>
        <sz val="11"/>
        <color theme="1"/>
        <rFont val="Calibri"/>
        <family val="2"/>
        <scheme val="minor"/>
      </rPr>
      <t>)</t>
    </r>
  </si>
  <si>
    <t>Die %-N-Wirkung der organischen Dünger muss unbedingt hier eingetragen werden, weil ansonsten die Summen des verfügbaren, des Mineraldünger- oder Organ.-Dünger-N in den vorstehenden Tab.blättern nicht korrekt gebildet werden.</t>
  </si>
  <si>
    <t>Ertrag dt TM/ha</t>
  </si>
  <si>
    <t>Nutzungsformen oder Flächenbezeichnungen</t>
  </si>
  <si>
    <t>Abfuhr kg/ha</t>
  </si>
  <si>
    <t>Gehalts-klasse</t>
  </si>
  <si>
    <t>Düngung kg/ha und Jahr</t>
  </si>
  <si>
    <t>Magnesium MgO</t>
  </si>
  <si>
    <r>
      <t>Phosphat P</t>
    </r>
    <r>
      <rPr>
        <b/>
        <vertAlign val="subscript"/>
        <sz val="14"/>
        <color rgb="FF002060"/>
        <rFont val="Calibri"/>
        <family val="2"/>
        <scheme val="minor"/>
      </rPr>
      <t>2</t>
    </r>
    <r>
      <rPr>
        <b/>
        <sz val="14"/>
        <color rgb="FF002060"/>
        <rFont val="Calibri"/>
        <family val="2"/>
        <scheme val="minor"/>
      </rPr>
      <t>O</t>
    </r>
    <r>
      <rPr>
        <b/>
        <vertAlign val="subscript"/>
        <sz val="14"/>
        <color rgb="FF002060"/>
        <rFont val="Calibri"/>
        <family val="2"/>
        <scheme val="minor"/>
      </rPr>
      <t>5</t>
    </r>
  </si>
  <si>
    <t>Hier können Sie für verschiedene Grünland-Nutzungsformen den jährlichen Bedarf an Phosphat, Kali und Magnesium planen. Benutzen Sie die einzelnen Zeilen für bestimmte Schläge oder Bewirtschaftungs-Einheiten wie bei der Planung der N-Düngung. Die Gehaltsklassen entnehmen Sie bitte Ihren Bodenuntersuchungs-Ergebnissen.</t>
  </si>
  <si>
    <t>% Ertragsanteile</t>
  </si>
  <si>
    <r>
      <rPr>
        <b/>
        <sz val="12"/>
        <color rgb="FFFF0000"/>
        <rFont val="Calibri"/>
        <family val="2"/>
        <scheme val="minor"/>
      </rPr>
      <t xml:space="preserve">Aufzeichnung innerhalb von 2 Tagen nach jeder Düngungsmaßnahme: </t>
    </r>
    <r>
      <rPr>
        <b/>
        <sz val="12"/>
        <color theme="1"/>
        <rFont val="Calibri"/>
        <family val="2"/>
        <scheme val="minor"/>
      </rPr>
      <t>tatsächlich ausgebrachte Düngung mit N und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 xml:space="preserve">5 </t>
    </r>
    <r>
      <rPr>
        <b/>
        <sz val="12"/>
        <color theme="1"/>
        <rFont val="Calibri"/>
        <family val="2"/>
        <scheme val="minor"/>
      </rPr>
      <t>in kg/ha                                                                                                                                                                                                                                                                                                                                                                                                                                               N</t>
    </r>
    <r>
      <rPr>
        <b/>
        <vertAlign val="subscript"/>
        <sz val="12"/>
        <color theme="1"/>
        <rFont val="Calibri"/>
        <family val="2"/>
        <scheme val="minor"/>
      </rPr>
      <t>verf</t>
    </r>
    <r>
      <rPr>
        <b/>
        <sz val="12"/>
        <color theme="1"/>
        <rFont val="Calibri"/>
        <family val="2"/>
        <scheme val="minor"/>
      </rPr>
      <t xml:space="preserve"> = verfügbarer N (Mineraldünger-N + verfügbarer Anteil des Wirtschaftsdünger-N); N</t>
    </r>
    <r>
      <rPr>
        <b/>
        <vertAlign val="subscript"/>
        <sz val="12"/>
        <color theme="1"/>
        <rFont val="Calibri"/>
        <family val="2"/>
        <scheme val="minor"/>
      </rPr>
      <t>ges</t>
    </r>
    <r>
      <rPr>
        <b/>
        <sz val="12"/>
        <color theme="1"/>
        <rFont val="Calibri"/>
        <family val="2"/>
        <scheme val="minor"/>
      </rPr>
      <t xml:space="preserve"> = gesamt-N.</t>
    </r>
  </si>
  <si>
    <t>Es wird empfohlen, nicht benötigte Spalten, wie z.B. die einer 3. Düngergabe, zu verschmälern, um die Seitenansicht und den Ausdruck zu vereinfachen!</t>
  </si>
  <si>
    <t>Zweit- und Zwischenfruchtkulturen</t>
  </si>
  <si>
    <t xml:space="preserve"> Vergleichbare Schläge zu Bewirtschaftungs-Einheiten zusammenfassen, die voraussichtlich einheitlich gedüngt werden (für eine Dokumentation der Düngung der Bewirtschaftungs-Einheiten entsprechend der Düngeplanung).                                                                        Zweit- und Zwischenfrüchte werden hier erfasst, damit ihre Flächen, die schon bei der Vorkultur im Tab.blatt Ackerbau erfasst wurden, nicht doppelt gezählt werden.</t>
  </si>
  <si>
    <t>Zweit- /Zwischenfrüchte</t>
  </si>
  <si>
    <t>Zweitfrucht-Mais</t>
  </si>
  <si>
    <t>Zweitfrucht-Hirse</t>
  </si>
  <si>
    <t>Zweitfrucht-Ackergras</t>
  </si>
  <si>
    <t>Zweitfrucht-Kleegras</t>
  </si>
  <si>
    <t>Zweitfrucht-Klee</t>
  </si>
  <si>
    <t>Zweitfrucht-Grassamen (Einj. W-gras)</t>
  </si>
  <si>
    <t>evtl. 10 % des Ges.-N der organ. Dgg. zu Vorkulturen im Vorjahr in kg N/ha</t>
  </si>
  <si>
    <t xml:space="preserve">Mit dieser Excel-Anwendung bzw. diesem Tabellenwerk können Sie, so wie es die Düngeverordnung von 2020 vorsieht, Ihren N-Düngebedarf als standortbezogene N-Obergrenzen und die zulässige P-Zufuhr ermitteln. Daneben können Sie einzelne Düngegaben planen und daraus Aufzeichnungen der tatsächlichen N- und P-Düngung erstellen. Die Anwendung bietet Ihnen aber noch einiges mehr!                                                </t>
  </si>
  <si>
    <r>
      <rPr>
        <sz val="12"/>
        <rFont val="Calibri"/>
        <family val="2"/>
        <scheme val="minor"/>
      </rPr>
      <t xml:space="preserve">Wenn Sie in den darauf folgenden Tabellenblättern "Tierhaltung" und "Organ. Dünger" Ihre Viehhaltung sowie Zu- und Verkäufe von organischen Düngern einschließlich Gärresten aus einer eigenen Biogasanlage erfassen, erhalten Sie Informationen zum ungefähren Anfall des verfügbaren N aus organischen Düngern und zur Einhaltung der </t>
    </r>
    <r>
      <rPr>
        <b/>
        <sz val="12"/>
        <rFont val="Calibri"/>
        <family val="2"/>
        <scheme val="minor"/>
      </rPr>
      <t>170-kg-N-Obergren</t>
    </r>
    <r>
      <rPr>
        <b/>
        <sz val="12"/>
        <color theme="1"/>
        <rFont val="Calibri"/>
        <family val="2"/>
        <scheme val="minor"/>
      </rPr>
      <t>ze</t>
    </r>
    <r>
      <rPr>
        <sz val="12"/>
        <color theme="1"/>
        <rFont val="Calibri"/>
        <family val="2"/>
        <scheme val="minor"/>
      </rPr>
      <t xml:space="preserve"> pro ha im Betriebsdurchschnitt.</t>
    </r>
  </si>
  <si>
    <t>Rubrik: Zur Düngeverordnung &gt; Ackerbau und Grünland</t>
  </si>
  <si>
    <r>
      <t xml:space="preserve">Hier müssen Sie die N-Düngung (N-Obergrenze) </t>
    </r>
    <r>
      <rPr>
        <b/>
        <i/>
        <sz val="14"/>
        <color theme="1"/>
        <rFont val="Calibri"/>
        <family val="2"/>
        <scheme val="minor"/>
      </rPr>
      <t>um 20 % reduzieren</t>
    </r>
    <r>
      <rPr>
        <i/>
        <sz val="14"/>
        <color theme="1"/>
        <rFont val="Calibri"/>
        <family val="2"/>
        <scheme val="minor"/>
      </rPr>
      <t xml:space="preserve"> </t>
    </r>
    <r>
      <rPr>
        <b/>
        <i/>
        <sz val="14"/>
        <color theme="1"/>
        <rFont val="Calibri"/>
        <family val="2"/>
        <scheme val="minor"/>
      </rPr>
      <t>oder</t>
    </r>
    <r>
      <rPr>
        <i/>
        <sz val="14"/>
        <color theme="1"/>
        <rFont val="Calibri"/>
        <family val="2"/>
        <scheme val="minor"/>
      </rPr>
      <t xml:space="preserve"> Sie düngen </t>
    </r>
    <r>
      <rPr>
        <b/>
        <i/>
        <sz val="14"/>
        <color theme="1"/>
        <rFont val="Calibri"/>
        <family val="2"/>
        <scheme val="minor"/>
      </rPr>
      <t>max. 160 kg Gesamt-N/ha und dabei max. 80 Mineraldünger-N/ha</t>
    </r>
    <r>
      <rPr>
        <i/>
        <sz val="14"/>
        <color theme="1"/>
        <rFont val="Calibri"/>
        <family val="2"/>
        <scheme val="minor"/>
      </rPr>
      <t xml:space="preserve">, jeweils im Durchschnitt der Flächen im Nitrat belasteten Gebiet (siehe Tab.blatt "Auswertung"). </t>
    </r>
  </si>
  <si>
    <t>Flächen/Bewirtschaftungs-Einheiten</t>
  </si>
  <si>
    <r>
      <t xml:space="preserve">Mit den Tabellenblättern </t>
    </r>
    <r>
      <rPr>
        <b/>
        <sz val="12"/>
        <rFont val="Calibri"/>
        <family val="2"/>
        <scheme val="minor"/>
      </rPr>
      <t>PKMg-Planer</t>
    </r>
    <r>
      <rPr>
        <sz val="12"/>
        <rFont val="Calibri"/>
        <family val="2"/>
        <scheme val="minor"/>
      </rPr>
      <t xml:space="preserve"> können Sie den Bedarf an P, K und Mg über verschiedene </t>
    </r>
    <r>
      <rPr>
        <b/>
        <sz val="12"/>
        <rFont val="Calibri"/>
        <family val="2"/>
        <scheme val="minor"/>
      </rPr>
      <t>Fruchtfolgen des Ackerlands</t>
    </r>
    <r>
      <rPr>
        <sz val="12"/>
        <rFont val="Calibri"/>
        <family val="2"/>
        <scheme val="minor"/>
      </rPr>
      <t xml:space="preserve"> sowie für </t>
    </r>
    <r>
      <rPr>
        <b/>
        <sz val="12"/>
        <rFont val="Calibri"/>
        <family val="2"/>
        <scheme val="minor"/>
      </rPr>
      <t>Grünland</t>
    </r>
    <r>
      <rPr>
        <sz val="12"/>
        <rFont val="Calibri"/>
        <family val="2"/>
        <scheme val="minor"/>
      </rPr>
      <t xml:space="preserve"> bei unterschiedlicher Nährstoffversorgung des Bodens errechnen. Diese beiden Tabellenblätter sind völlig unabhängig und stehen in keiner Verbindung zu den übrigen.</t>
    </r>
  </si>
  <si>
    <r>
      <t xml:space="preserve">Mit den weiteren Tabellenblättern zu einzelnen </t>
    </r>
    <r>
      <rPr>
        <b/>
        <sz val="12"/>
        <color theme="1"/>
        <rFont val="Calibri"/>
        <family val="2"/>
        <scheme val="minor"/>
      </rPr>
      <t>Kulturen des Ackerbaus</t>
    </r>
    <r>
      <rPr>
        <sz val="12"/>
        <color theme="1"/>
        <rFont val="Calibri"/>
        <family val="2"/>
        <scheme val="minor"/>
      </rPr>
      <t xml:space="preserve"> können Sie neben der </t>
    </r>
    <r>
      <rPr>
        <b/>
        <sz val="12"/>
        <color theme="1"/>
        <rFont val="Calibri"/>
        <family val="2"/>
        <scheme val="minor"/>
      </rPr>
      <t xml:space="preserve">N-Bedarfsermittlung gemäß Düngeverordnung </t>
    </r>
    <r>
      <rPr>
        <sz val="12"/>
        <color theme="1"/>
        <rFont val="Calibri"/>
        <family val="2"/>
        <scheme val="minor"/>
      </rPr>
      <t>(auf Basis von Ertrag, N</t>
    </r>
    <r>
      <rPr>
        <vertAlign val="subscript"/>
        <sz val="12"/>
        <color theme="1"/>
        <rFont val="Calibri"/>
        <family val="2"/>
        <scheme val="minor"/>
      </rPr>
      <t>min</t>
    </r>
    <r>
      <rPr>
        <sz val="12"/>
        <color theme="1"/>
        <rFont val="Calibri"/>
        <family val="2"/>
        <scheme val="minor"/>
      </rPr>
      <t xml:space="preserve">, Vor- und Zwischenfrucht sowie letztjähriger organischer Düngung) durch Eingabe weniger weiterer Faktoren </t>
    </r>
    <r>
      <rPr>
        <b/>
        <sz val="12"/>
        <color theme="1"/>
        <rFont val="Calibri"/>
        <family val="2"/>
        <scheme val="minor"/>
      </rPr>
      <t xml:space="preserve">zusätzlich eine N-Düngeempfehlung </t>
    </r>
    <r>
      <rPr>
        <sz val="12"/>
        <color theme="1"/>
        <rFont val="Calibri"/>
        <family val="2"/>
        <scheme val="minor"/>
      </rPr>
      <t xml:space="preserve">berechnen, die von der Düngeverordnung abweichen kann. Dies ist sinnvoll, wenn der N-Bedarf wahrscheinlich geringer ist, als gemäß Düngeverordnung zulässig, wie z.B. bei Sommer-Braugerste, aber auch, wenn der N-Bedarf eventuell höher sein sollte. Im Vergleich zum Tabellenblatt "DüV-N-Ackerbau" ist die Vorgehensweise übersichtlicher und es wird die </t>
    </r>
    <r>
      <rPr>
        <b/>
        <sz val="12"/>
        <color theme="1"/>
        <rFont val="Calibri"/>
        <family val="2"/>
        <scheme val="minor"/>
      </rPr>
      <t>Berechnung einer organischen Düngung</t>
    </r>
    <r>
      <rPr>
        <sz val="12"/>
        <color theme="1"/>
        <rFont val="Calibri"/>
        <family val="2"/>
        <scheme val="minor"/>
      </rPr>
      <t xml:space="preserve"> ermöglicht. Außerdem wird hier die gemäß Düngeverordnung zulässige Phosphatzufuhr berechnet wie auch eine </t>
    </r>
    <r>
      <rPr>
        <b/>
        <sz val="12"/>
        <color theme="1"/>
        <rFont val="Calibri"/>
        <family val="2"/>
        <scheme val="minor"/>
      </rPr>
      <t>P-Düngeempfehlung in den einzelnen P-Gehaltsklassen</t>
    </r>
    <r>
      <rPr>
        <sz val="12"/>
        <color theme="1"/>
        <rFont val="Calibri"/>
        <family val="2"/>
        <scheme val="minor"/>
      </rPr>
      <t>. Alle kulturspezifischen Tabellenblätter sind nicht mit den übrigen verknüpft. Ihre Benutzung ist zudem nicht verpflichtend, sofern Sie mit den Tabellenblättern mit den grünen und roten Reitern ihren Düngebedarf entsprechend der Düngeverordnung ermitteln.</t>
    </r>
  </si>
  <si>
    <r>
      <t xml:space="preserve">In den Tabellenblättern für </t>
    </r>
    <r>
      <rPr>
        <b/>
        <sz val="12"/>
        <color theme="1"/>
        <rFont val="Calibri"/>
        <family val="2"/>
        <scheme val="minor"/>
      </rPr>
      <t>Grünland</t>
    </r>
    <r>
      <rPr>
        <sz val="12"/>
        <color theme="1"/>
        <rFont val="Calibri"/>
        <family val="2"/>
        <scheme val="minor"/>
      </rPr>
      <t xml:space="preserve"> (Wiesen, Weiden, Mähweiden) und </t>
    </r>
    <r>
      <rPr>
        <b/>
        <sz val="12"/>
        <color theme="1"/>
        <rFont val="Calibri"/>
        <family val="2"/>
        <scheme val="minor"/>
      </rPr>
      <t>Feldfutter</t>
    </r>
    <r>
      <rPr>
        <sz val="12"/>
        <color theme="1"/>
        <rFont val="Calibri"/>
        <family val="2"/>
        <scheme val="minor"/>
      </rPr>
      <t xml:space="preserve"> (Gras, Klee, Luzerne) wird der N-Bedarf gemäß Düngeverordnung ohne die Berücksichtigung von N</t>
    </r>
    <r>
      <rPr>
        <vertAlign val="subscript"/>
        <sz val="12"/>
        <color theme="1"/>
        <rFont val="Calibri"/>
        <family val="2"/>
        <scheme val="minor"/>
      </rPr>
      <t>min</t>
    </r>
    <r>
      <rPr>
        <sz val="12"/>
        <color theme="1"/>
        <rFont val="Calibri"/>
        <family val="2"/>
        <scheme val="minor"/>
      </rPr>
      <t>-Gehalten, aber unter Berücksichtigung von Humusgehalten und des Leguminosenanteils ermittelt.  Im Vergleich zu den Tabellenblättern "DüV-N-Grünland" und"DüV-N-Feldfutter" ist die Vorgehensweise übersichtlicher und es wird die Berechnung einer organischen Düngung ermöglicht.</t>
    </r>
  </si>
  <si>
    <t xml:space="preserve">Die Verwendung des Programms und seiner Inhalte erfolgt auf eigene Verantwortung. Die Anwendung wurde nach bestem Wissen und Gewissen erstellt, wobei der aktuelle Stand der Umsetzung der Düngeverordnung berücksichtigt wurde. Eine Haftung kann jedoch nicht übernommen werden, auch nicht für die Zuverlässigkeit der N-Düngeempfehlungen. </t>
  </si>
  <si>
    <t>Bemerkungen</t>
  </si>
  <si>
    <t>Liegen für organische Düngemittel (Wirtschaftsdg. Klärschlamm, Kompost, Gärreste etc.), die bezogen oder abgegeben werden, individuelle Nährstoffgehalte vor, müssen diese im Tabellenblatt "Düngemittel" ergänzt werden. Dafür sind die Zeilen mit "andere ...." vorgesehen. Dabei ist darauf zu achten, dass die %-N-Wirkung richtig eingetragen wird, indem sie von vergleichbaren Produkten bzw. der Düngeverordnung übernommen werden. Werden nur Wirtschaftsdünger der eigenen Tierhaltung ausschließlich auf eigenen Flächen verwertet, muss nichts geändert werden, da die Nährstoffmengen eigener tierischen Wirtschaftsdünger über die Tierbestände erfasst werden (Tabellenblatt "Tierhaltung").</t>
  </si>
  <si>
    <r>
      <rPr>
        <b/>
        <sz val="12"/>
        <color rgb="FFFF0000"/>
        <rFont val="Calibri"/>
        <family val="2"/>
        <scheme val="minor"/>
      </rPr>
      <t xml:space="preserve">Düngebedarfsermittlung: </t>
    </r>
    <r>
      <rPr>
        <b/>
        <sz val="12"/>
        <color theme="1"/>
        <rFont val="Calibri"/>
        <family val="2"/>
        <scheme val="minor"/>
      </rPr>
      <t>Berechnung der "standortbezogenen N-Obergrenzen" sowie der Phosphatabfuhr (als Grundlage der P-Düngebedarfsermittlung) für Grünland                                                                                                                                  Spalte E: %-Ertragsanteile bei 24-stündiger Weidenutzung;  Spalte F: %-Ertragsanteile bei 12-stündiger Weidenutzung.  Bitte nicht mehr als zusammen 100 % eintragen. 0 % Weide bedeutet reine Schnittnutzung.</t>
    </r>
  </si>
  <si>
    <r>
      <rPr>
        <b/>
        <sz val="12"/>
        <color rgb="FFFF0000"/>
        <rFont val="Calibri"/>
        <family val="2"/>
        <scheme val="minor"/>
      </rPr>
      <t xml:space="preserve">Düngebedarfsermittlung: </t>
    </r>
    <r>
      <rPr>
        <b/>
        <sz val="12"/>
        <color theme="1"/>
        <rFont val="Calibri"/>
        <family val="2"/>
        <scheme val="minor"/>
      </rPr>
      <t>Berechnung der "standortbezogenen N-Obergrenzen" sowie der Phosphatabfuhr (als Grundlage der P-Düngebedarfsermittlung) für Grünland                                                                                                                                                 Spalte E: %-Ertragsanteile bei 24-stündiger Weidenutzung;  Spalte F: %-Ertragsanteile bei 12-stündiger Weidenutzung.  Bitte nicht mehr als zusammen 100 % eintragen. 0 % Weide bedeutet reine Schnittnutzung.</t>
    </r>
  </si>
  <si>
    <t>Tabelle ist ungeschützt, um im Ausnahmefall ggf. eigene, nachweisbare Werte eintragen zu können! Ansonsten bitte hier nichts ändern.</t>
  </si>
  <si>
    <t>Aufnahme (Zukauf) organischer Dünger einschl. der Verwertung von Gärresten, auch aus einer eigenen Biogasanlage</t>
  </si>
  <si>
    <t>Bitte die Codes nicht ändern</t>
  </si>
  <si>
    <t>Abgabe (Verkauf) organischer Dünger (nur aus der eigenen Tierhaltung)</t>
  </si>
  <si>
    <t>Anrechnung wie bei 170 kg N-Obergrenze bzw. Nährstoffe in Wirtschaftsdüngern</t>
  </si>
  <si>
    <r>
      <rPr>
        <b/>
        <sz val="12"/>
        <rFont val="Calibri"/>
        <family val="2"/>
        <scheme val="minor"/>
      </rPr>
      <t xml:space="preserve">Sollwerte   </t>
    </r>
    <r>
      <rPr>
        <b/>
        <sz val="8"/>
        <rFont val="Calibri"/>
        <family val="2"/>
        <scheme val="minor"/>
      </rPr>
      <t xml:space="preserve">                                                                                                      abh. von Ertrag und Höhe üNN</t>
    </r>
  </si>
  <si>
    <t>Festmist, Kompost</t>
  </si>
  <si>
    <t>flüssige Schweinegülle</t>
  </si>
  <si>
    <t>fest: Gärreste, Klärschl., Schw.gülle</t>
  </si>
  <si>
    <t>flüssig: Gärreste,  Klärschl.</t>
  </si>
  <si>
    <r>
      <t xml:space="preserve">Weideperiode von ... bis ... oder Zeitraum </t>
    </r>
    <r>
      <rPr>
        <sz val="8"/>
        <color theme="1"/>
        <rFont val="Calibri"/>
        <family val="2"/>
        <scheme val="minor"/>
      </rPr>
      <t>(freiwillige Angabe)</t>
    </r>
  </si>
  <si>
    <t>Bsp. Gärrest für Acker</t>
  </si>
  <si>
    <t>auf Grünland bis 2024 60 %</t>
  </si>
  <si>
    <t>auf Grünland bis 2024 50 %</t>
  </si>
  <si>
    <r>
      <t>Zweit- und Zwischenfrucht-Kulturen mit N-Bedarfsermittlung ohne Berücksichtigung von N</t>
    </r>
    <r>
      <rPr>
        <b/>
        <vertAlign val="subscript"/>
        <sz val="12"/>
        <color theme="1"/>
        <rFont val="Calibri"/>
        <family val="2"/>
        <scheme val="minor"/>
      </rPr>
      <t>min</t>
    </r>
    <r>
      <rPr>
        <b/>
        <sz val="12"/>
        <color theme="1"/>
        <rFont val="Calibri"/>
        <family val="2"/>
        <scheme val="minor"/>
      </rPr>
      <t>:                           Kultur auswählen</t>
    </r>
  </si>
  <si>
    <t>Zwischenfrucht ohne Ernte</t>
  </si>
  <si>
    <t>Zwischenfrucht mit Ernte</t>
  </si>
  <si>
    <r>
      <rPr>
        <b/>
        <sz val="12"/>
        <color rgb="FFFF0000"/>
        <rFont val="Calibri"/>
        <family val="2"/>
        <scheme val="minor"/>
      </rPr>
      <t>Düngebedarfsermittlung:</t>
    </r>
    <r>
      <rPr>
        <b/>
        <sz val="12"/>
        <color theme="1"/>
        <rFont val="Calibri"/>
        <family val="2"/>
        <scheme val="minor"/>
      </rPr>
      <t xml:space="preserve"> Berechnung der "standortbezogenen N-Obergrenzen" (ohne Berücksichtigung von N</t>
    </r>
    <r>
      <rPr>
        <b/>
        <vertAlign val="subscript"/>
        <sz val="12"/>
        <color theme="1"/>
        <rFont val="Calibri"/>
        <family val="2"/>
        <scheme val="minor"/>
      </rPr>
      <t>min</t>
    </r>
    <r>
      <rPr>
        <b/>
        <sz val="12"/>
        <color theme="1"/>
        <rFont val="Calibri"/>
        <family val="2"/>
        <scheme val="minor"/>
      </rPr>
      <t xml:space="preserve">) sowie der Phosphatabfuhr (als Grundlage der P-Düngebedarfsermittlung) für den Zwischen- und  Zweitfruchtbau </t>
    </r>
  </si>
  <si>
    <r>
      <rPr>
        <b/>
        <sz val="12"/>
        <color rgb="FFFF0000"/>
        <rFont val="Calibri"/>
        <family val="2"/>
        <scheme val="minor"/>
      </rPr>
      <t>Düngebedarfsermittlung:</t>
    </r>
    <r>
      <rPr>
        <b/>
        <sz val="12"/>
        <color theme="1"/>
        <rFont val="Calibri"/>
        <family val="2"/>
        <scheme val="minor"/>
      </rPr>
      <t xml:space="preserve"> Berechnung der "standortbezogenen N-Obergrenzen" (ohne Berücksichtigung von N</t>
    </r>
    <r>
      <rPr>
        <b/>
        <vertAlign val="subscript"/>
        <sz val="12"/>
        <color theme="1"/>
        <rFont val="Calibri"/>
        <family val="2"/>
        <scheme val="minor"/>
      </rPr>
      <t>min</t>
    </r>
    <r>
      <rPr>
        <b/>
        <sz val="12"/>
        <color theme="1"/>
        <rFont val="Calibri"/>
        <family val="2"/>
        <scheme val="minor"/>
      </rPr>
      <t>) sowie der Phosphatabfuhr (als Grundlage der P-Düngebedarfsermittlung) für den Ackerfutterbau</t>
    </r>
  </si>
  <si>
    <r>
      <t xml:space="preserve">Im Durchschnitt der Flächen (in Nitrat-belasteten Gebieten auf jeder einzelnen Bewirtschaftungs-Einheit) dürfen Sie </t>
    </r>
    <r>
      <rPr>
        <b/>
        <sz val="14"/>
        <color rgb="FFFF0000"/>
        <rFont val="Calibri"/>
        <family val="2"/>
        <scheme val="minor"/>
      </rPr>
      <t>max. 170 kg N/ha aus organischen Düngern</t>
    </r>
    <r>
      <rPr>
        <b/>
        <sz val="14"/>
        <rFont val="Calibri"/>
        <family val="2"/>
        <scheme val="minor"/>
      </rPr>
      <t xml:space="preserve"> zuführen. </t>
    </r>
  </si>
  <si>
    <r>
      <t xml:space="preserve">  Nehmen Sie Anpassungen in den vorstehenden Tabellenblättern (DüV-N....) vor, nicht hier. Bevor Sie die N-Düngung um 20 % reduzieren, überprüfen Sie erst, ob Sie eve</t>
    </r>
    <r>
      <rPr>
        <b/>
        <sz val="14"/>
        <rFont val="Calibri"/>
        <family val="2"/>
        <scheme val="minor"/>
      </rPr>
      <t>ntuell auch mit "80 von 160</t>
    </r>
    <r>
      <rPr>
        <b/>
        <sz val="14"/>
        <color theme="1"/>
        <rFont val="Calibri"/>
        <family val="2"/>
        <scheme val="minor"/>
      </rPr>
      <t>" zurecht kommen. Alle im Ertrag stehenden Kulturen, auch Weinbau-, Leguminosen- und beweidete Flächen, zählen im "80 von 160"-Durchschnitt mit, wobei die von Weidetieren abgesetzten Nährstoffe hierbei nicht als Düngung zählen.</t>
    </r>
  </si>
  <si>
    <t>Die Abgabe und Aufnahme organischer Dünger erfolgt im Tabellenblatt "Organ. Dünger". Wenn abgegebene Wirtschaftsdünger bestimmten Tieren zuzuordnen sind, können diese Tiere hier in einer eigenen Zeile erfasst werden (in Spalte C "Abgabe an andere Betriebe" auswählen). Sie dürfen dann nicht noch einmal im Tab.blatt "Organ. Dünger" als verkauft eingetragen werden.</t>
  </si>
  <si>
    <t>bis 2024 mind. 60 %</t>
  </si>
  <si>
    <t>bis 2024 mind. 50 %</t>
  </si>
  <si>
    <t>z. B. Jungviehweide</t>
  </si>
  <si>
    <t>z.B. Jungviehweide</t>
  </si>
  <si>
    <t>Im Tabellenblatt "Düngemittel" ergänzen Sie bitte von Ihnen benutzte, aber hier noch nicht aufgeführte Düngemittel. Dazu gehören auch alle organischen Düngemittel (mit Ausnahme von zulässigen Tabellenwerten). Alle Dünger müssen unbedingt mit einer %-N-Wirkung versehen sein (denn daran unterscheidet diese Anwendung die mineralischen (100 % N-Wirkung) von den organischen (N-Wirkung ist geringer als 100 %) Düngemitteln.</t>
  </si>
  <si>
    <r>
      <t xml:space="preserve">einschließlich </t>
    </r>
    <r>
      <rPr>
        <b/>
        <sz val="14"/>
        <color rgb="FFFF0000"/>
        <rFont val="Calibri"/>
        <family val="2"/>
        <scheme val="minor"/>
      </rPr>
      <t xml:space="preserve">Prüfung der 170 kg N/ha im Betriebsdurchschnitt </t>
    </r>
    <r>
      <rPr>
        <b/>
        <sz val="12"/>
        <color rgb="FFFF0000"/>
        <rFont val="Calibri"/>
        <family val="2"/>
        <scheme val="minor"/>
      </rPr>
      <t>(ab Zeile 57)</t>
    </r>
  </si>
  <si>
    <t>Nährstoffe aus eigener Tierhaltung (Tab.blatt Tierhaltung)</t>
  </si>
  <si>
    <t>aus dem Weidegang</t>
  </si>
  <si>
    <r>
      <rPr>
        <b/>
        <sz val="14"/>
        <color rgb="FFFF0000"/>
        <rFont val="Calibri"/>
        <family val="2"/>
        <scheme val="minor"/>
      </rPr>
      <t>Prüfung der 170 kg N/ha-Obergrenze</t>
    </r>
    <r>
      <rPr>
        <sz val="14"/>
        <color rgb="FFFF0000"/>
        <rFont val="Calibri"/>
        <family val="2"/>
        <scheme val="minor"/>
      </rPr>
      <t xml:space="preserve"> (im Betriebsdurchschnitt; unabhängig von der Düngebedarfsermittlung und den Aufzeichnungen zur Düngung selbst)</t>
    </r>
  </si>
  <si>
    <t>mit Gülle, Festmist und Jauche</t>
  </si>
  <si>
    <t>kg Gesamt-N</t>
  </si>
  <si>
    <t>kg verfügbare Nährstoffe aufgenommen</t>
  </si>
  <si>
    <t>kg verfügbare Nährstoffe abgegeben</t>
  </si>
  <si>
    <t>mit organischen Düngern zugekauft einschl. Gärreste aus eigenere Biogasanlage</t>
  </si>
  <si>
    <t>mit organischen Düngern aus eigener Tierhaltung verkauft</t>
  </si>
  <si>
    <t>minus</t>
  </si>
  <si>
    <t>Gesamt-N aus organischer Düngung</t>
  </si>
  <si>
    <t>bei</t>
  </si>
  <si>
    <t xml:space="preserve">bei </t>
  </si>
  <si>
    <t>ha freie Eingabe</t>
  </si>
  <si>
    <t>Unterschiedliche N-Mengen aus organischer Düngung (im Vergleich zum Wert im Tab.blatt "Auswertung") können durch eine unvollständige Düngeplanung entstehen sowie durch unzutreffende Tabellenwerte bei Nährstoffausscheidungen (nach DüV), unzutreffende Mengenangaben sowie unzutreffende Analysen- und Tabellenwerte aus der Düngeplanung.</t>
  </si>
  <si>
    <t>ha (ha entsprechend der Düngebedarfsermittlung bzw. Tab.blatt "Auswertung")</t>
  </si>
  <si>
    <t>Gesamter Betrieb</t>
  </si>
  <si>
    <t>abzgl. 20 % N =</t>
  </si>
  <si>
    <t>gesamt-N (alle Dünger)</t>
  </si>
  <si>
    <r>
      <t>kg P</t>
    </r>
    <r>
      <rPr>
        <b/>
        <vertAlign val="subscript"/>
        <sz val="11"/>
        <rFont val="Calibri"/>
        <family val="2"/>
        <scheme val="minor"/>
      </rPr>
      <t>2</t>
    </r>
    <r>
      <rPr>
        <b/>
        <sz val="11"/>
        <rFont val="Calibri"/>
        <family val="2"/>
        <scheme val="minor"/>
      </rPr>
      <t>O</t>
    </r>
    <r>
      <rPr>
        <b/>
        <vertAlign val="subscript"/>
        <sz val="11"/>
        <rFont val="Calibri"/>
        <family val="2"/>
        <scheme val="minor"/>
      </rPr>
      <t>5</t>
    </r>
    <r>
      <rPr>
        <b/>
        <sz val="11"/>
        <rFont val="Calibri"/>
        <family val="2"/>
        <scheme val="minor"/>
      </rPr>
      <t xml:space="preserve"> gesamt</t>
    </r>
  </si>
  <si>
    <t>N-Gesamt</t>
  </si>
  <si>
    <t>Ges.-N org. Dünger</t>
  </si>
  <si>
    <t>Ges.-N organ. Dünger</t>
  </si>
  <si>
    <t>Anzurechnende Mindestwerte bei der N-Düngung in % der Ausscheid. an Gesamt-N nach Abzug der Stall- und Lagerungsverluste multipliziert mit MDÄ</t>
  </si>
  <si>
    <r>
      <t>Anrechnung auf N-Bedarf von Ackerland (auch Grünland ab 2025), jeweils incl. 10 % N-Nachlieferung (</t>
    </r>
    <r>
      <rPr>
        <b/>
        <sz val="12"/>
        <rFont val="Calibri"/>
        <family val="2"/>
        <scheme val="minor"/>
      </rPr>
      <t>MDÄ)</t>
    </r>
  </si>
  <si>
    <t>kg verfügb. N</t>
  </si>
  <si>
    <t>Gesamt-N organ. Dünger</t>
  </si>
  <si>
    <t>aus organ. Düngern stehen bereit:</t>
  </si>
  <si>
    <t>Wiese 2</t>
  </si>
  <si>
    <t>Verfügb. N organ. Dünger</t>
  </si>
  <si>
    <t>kg/ha verfügb. N</t>
  </si>
  <si>
    <t>kg /ha Ges.-N organ. Dg.</t>
  </si>
  <si>
    <t>kg Summe gedüngt</t>
  </si>
  <si>
    <t>Summe max.</t>
  </si>
  <si>
    <t>zulässige Düngung bei um 20 % reduziertem N-Bedarf in Nitrat-belasteten Flächen</t>
  </si>
  <si>
    <r>
      <t>P</t>
    </r>
    <r>
      <rPr>
        <vertAlign val="subscript"/>
        <sz val="12"/>
        <color theme="1" tint="0.14999847407452621"/>
        <rFont val="Calibri"/>
        <family val="2"/>
        <scheme val="minor"/>
      </rPr>
      <t>2</t>
    </r>
    <r>
      <rPr>
        <sz val="12"/>
        <color theme="1" tint="0.14999847407452621"/>
        <rFont val="Calibri"/>
        <family val="2"/>
        <scheme val="minor"/>
      </rPr>
      <t>O</t>
    </r>
    <r>
      <rPr>
        <vertAlign val="subscript"/>
        <sz val="12"/>
        <color theme="1" tint="0.14999847407452621"/>
        <rFont val="Calibri"/>
        <family val="2"/>
        <scheme val="minor"/>
      </rPr>
      <t>5</t>
    </r>
  </si>
  <si>
    <r>
      <t>P</t>
    </r>
    <r>
      <rPr>
        <b/>
        <vertAlign val="subscript"/>
        <sz val="12"/>
        <color theme="1" tint="0.14999847407452621"/>
        <rFont val="Calibri"/>
        <family val="2"/>
        <scheme val="minor"/>
      </rPr>
      <t>2</t>
    </r>
    <r>
      <rPr>
        <b/>
        <sz val="12"/>
        <color theme="1" tint="0.14999847407452621"/>
        <rFont val="Calibri"/>
        <family val="2"/>
        <scheme val="minor"/>
      </rPr>
      <t>O</t>
    </r>
    <r>
      <rPr>
        <b/>
        <vertAlign val="subscript"/>
        <sz val="12"/>
        <color theme="1" tint="0.14999847407452621"/>
        <rFont val="Calibri"/>
        <family val="2"/>
        <scheme val="minor"/>
      </rPr>
      <t>5</t>
    </r>
  </si>
  <si>
    <r>
      <t>kg P</t>
    </r>
    <r>
      <rPr>
        <b/>
        <vertAlign val="subscript"/>
        <sz val="12"/>
        <color theme="1" tint="0.14999847407452621"/>
        <rFont val="Calibri"/>
        <family val="2"/>
        <scheme val="minor"/>
      </rPr>
      <t>2</t>
    </r>
    <r>
      <rPr>
        <b/>
        <sz val="12"/>
        <color theme="1" tint="0.14999847407452621"/>
        <rFont val="Calibri"/>
        <family val="2"/>
        <scheme val="minor"/>
      </rPr>
      <t>O</t>
    </r>
    <r>
      <rPr>
        <b/>
        <vertAlign val="subscript"/>
        <sz val="12"/>
        <color theme="1" tint="0.14999847407452621"/>
        <rFont val="Calibri"/>
        <family val="2"/>
        <scheme val="minor"/>
      </rPr>
      <t>5</t>
    </r>
  </si>
  <si>
    <t>bei niedriger P-Versorgung der Böden kann ggf. auch mehr P gedüngt werden.</t>
  </si>
  <si>
    <r>
      <t>kg/ha P</t>
    </r>
    <r>
      <rPr>
        <b/>
        <i/>
        <vertAlign val="subscript"/>
        <sz val="10"/>
        <color theme="2" tint="-0.749992370372631"/>
        <rFont val="Calibri"/>
        <family val="2"/>
        <scheme val="minor"/>
      </rPr>
      <t>2</t>
    </r>
    <r>
      <rPr>
        <b/>
        <i/>
        <sz val="10"/>
        <color theme="2" tint="-0.749992370372631"/>
        <rFont val="Calibri"/>
        <family val="2"/>
        <scheme val="minor"/>
      </rPr>
      <t>O</t>
    </r>
    <r>
      <rPr>
        <b/>
        <i/>
        <vertAlign val="subscript"/>
        <sz val="10"/>
        <color theme="2" tint="-0.749992370372631"/>
        <rFont val="Calibri"/>
        <family val="2"/>
        <scheme val="minor"/>
      </rPr>
      <t>5</t>
    </r>
  </si>
  <si>
    <t>davon aus eigener Tierhaltung</t>
  </si>
  <si>
    <t>Wegen unterschiedlicher Kombinationsmöglichkeiten mineral. und organischer Dgg. bei der "80 von 160"-Regelung können hier keine weiteren Angaben gemacht werden bzw. es wird zur Gesamtbetrachtung auf die oberen beiden Tabellen verwiesen.</t>
  </si>
  <si>
    <t>Hier können Sie überprüfen, ob Sie die N-Obergrenzen einhalten! Sie dürfen nicht mehr verfügbaren N düngen, als es dem N-Bedarf der einzelnen Bewirtschaftungs-Einheiten entspricht. Die von Ihnen in den vorigen Tabellenblättern zur N-Düngung sowie zur Tierhaltung und organ. Düngern eingegebenen Daten werden hier zusammengefasst, um Ihnen eine Hilfestellung für eine eventuelle Anpassung ihrer Planungsdaten zu geben. Die Anwendung führt jedoch keine selbständige Optimierung durch!</t>
  </si>
  <si>
    <r>
      <t>Im Tabellenblatt "</t>
    </r>
    <r>
      <rPr>
        <b/>
        <sz val="12"/>
        <color theme="1"/>
        <rFont val="Calibri"/>
        <family val="2"/>
        <scheme val="minor"/>
      </rPr>
      <t>Auswertung</t>
    </r>
    <r>
      <rPr>
        <sz val="12"/>
        <color theme="1"/>
        <rFont val="Calibri"/>
        <family val="2"/>
        <scheme val="minor"/>
      </rPr>
      <t>" werden die Nährstoffe aus den einzelnen Tabellenblättern zur N-Düngebedarfsermittlung sowie zur Tierhaltung und den organischen Düngern automatisch aufsummiert. Hier können Sie im Falle der Bewirtschaftung von Flächen in mit Nitrat belasteten Gebieten anhand der von Ihnen im Voraus geplanten Düngergaben prüfen, ob Sie eher die Forderung nach "minus 20 %" erfüllen oder die "80 kg Mineral-N von 160 kg Gesamt-N" pro ha im Durchschnitt dieser Flächen einhalten bzw. einhalten können.</t>
    </r>
  </si>
  <si>
    <r>
      <t xml:space="preserve">Diese Angaben sind unabhängig von der Düngeplanung aus den Tab.blättern "Tierhaltung" und "Organ. Dünger" übernommen. Sie können damit die Planung der organischen Düngung an die vorhandene </t>
    </r>
    <r>
      <rPr>
        <b/>
        <sz val="12"/>
        <color rgb="FFFF0000"/>
        <rFont val="Calibri"/>
        <family val="2"/>
        <scheme val="minor"/>
      </rPr>
      <t xml:space="preserve">Gesamt-N-Menge ihrer organischen Dünger </t>
    </r>
    <r>
      <rPr>
        <b/>
        <sz val="12"/>
        <rFont val="Calibri"/>
        <family val="2"/>
        <scheme val="minor"/>
      </rPr>
      <t>anpassen.</t>
    </r>
  </si>
  <si>
    <r>
      <t xml:space="preserve">ungefährer Nährstoffzukauf (aufgrund des verfügbaren Stickstoffs und des Phosphats in organischen Düngern geschätzt) </t>
    </r>
    <r>
      <rPr>
        <b/>
        <i/>
        <sz val="14"/>
        <color rgb="FFC00000"/>
        <rFont val="Calibri"/>
        <family val="2"/>
        <scheme val="minor"/>
      </rPr>
      <t>bei "minus 20"</t>
    </r>
  </si>
  <si>
    <t>Um die Aufzeichnungspflichten der Düngeverordnung zu erfüllen, müssen Sie die Tabellenblätter mit den grünen und roten Reitern (N-Düngebedarfsermittlung und Dokumentation der Düngung in unbelasteten und mit Nitrat belasteten Gebieten), das Tabellenblatt "Düngemittel" (insbes. wegen Nährstoffgehalten organischer Dünger) sowie bei Verwendung organischer Dünger die Tabellenblätter "Tierhaltung" und "Organ. Dünger" ausgefüllt haben.</t>
  </si>
  <si>
    <r>
      <t>Die Düngeverordnung schreibt (neben N) lediglich die Ermittlung des Phosphatbedarfes vor. Dies beinhaltet Bodenuntersuchungen von Schlägen ab 1 ha auf verfügbares P, sobald mehr als 30 kg P</t>
    </r>
    <r>
      <rPr>
        <vertAlign val="subscript"/>
        <sz val="14"/>
        <rFont val="Calibri"/>
        <family val="2"/>
        <scheme val="minor"/>
      </rPr>
      <t>2</t>
    </r>
    <r>
      <rPr>
        <sz val="14"/>
        <rFont val="Calibri"/>
        <family val="2"/>
        <scheme val="minor"/>
      </rPr>
      <t>O</t>
    </r>
    <r>
      <rPr>
        <vertAlign val="subscript"/>
        <sz val="14"/>
        <rFont val="Calibri"/>
        <family val="2"/>
        <scheme val="minor"/>
      </rPr>
      <t>5</t>
    </r>
    <r>
      <rPr>
        <sz val="14"/>
        <rFont val="Calibri"/>
        <family val="2"/>
        <scheme val="minor"/>
      </rPr>
      <t xml:space="preserve">/ha und Jahr zugeführt werden. Die Analysen dürfen jeweils nicht älter sein als 6 Jahre.                                                         Gemäß DüV dürfen Schläge mit Gehalten </t>
    </r>
    <r>
      <rPr>
        <b/>
        <sz val="14"/>
        <color rgb="FFFF0000"/>
        <rFont val="Calibri"/>
        <family val="2"/>
        <scheme val="minor"/>
      </rPr>
      <t>über 20 mg CAL- o. 3,6 mg EUF-löslichem P</t>
    </r>
    <r>
      <rPr>
        <b/>
        <vertAlign val="subscript"/>
        <sz val="14"/>
        <color rgb="FFFF0000"/>
        <rFont val="Calibri"/>
        <family val="2"/>
        <scheme val="minor"/>
      </rPr>
      <t>2</t>
    </r>
    <r>
      <rPr>
        <b/>
        <sz val="14"/>
        <color rgb="FFFF0000"/>
        <rFont val="Calibri"/>
        <family val="2"/>
        <scheme val="minor"/>
      </rPr>
      <t>O</t>
    </r>
    <r>
      <rPr>
        <b/>
        <vertAlign val="subscript"/>
        <sz val="14"/>
        <color rgb="FFFF0000"/>
        <rFont val="Calibri"/>
        <family val="2"/>
        <scheme val="minor"/>
      </rPr>
      <t>5</t>
    </r>
    <r>
      <rPr>
        <b/>
        <sz val="14"/>
        <color rgb="FFFF0000"/>
        <rFont val="Calibri"/>
        <family val="2"/>
        <scheme val="minor"/>
      </rPr>
      <t xml:space="preserve">/100 g Boden </t>
    </r>
    <r>
      <rPr>
        <sz val="14"/>
        <rFont val="Calibri"/>
        <family val="2"/>
        <scheme val="minor"/>
      </rPr>
      <t xml:space="preserve">maximal bis zur voraussichtlichen </t>
    </r>
    <r>
      <rPr>
        <b/>
        <sz val="14"/>
        <color rgb="FFFF0000"/>
        <rFont val="Calibri"/>
        <family val="2"/>
        <scheme val="minor"/>
      </rPr>
      <t xml:space="preserve">P-Abfuhr mit dem Erntegut </t>
    </r>
    <r>
      <rPr>
        <sz val="14"/>
        <rFont val="Calibri"/>
        <family val="2"/>
        <scheme val="minor"/>
      </rPr>
      <t xml:space="preserve">gedüngt werden.                                                                                                                                                                  In Gehaltsklasse B wird die Empfehlung im Vergleich zu C (Düngung entspricht der Nährstoffabfuhr mit Erntegut) um 50 % erhöht und in Gehaltsklasse A um 100 %. Bei sehr hoch erscheinenden Düngeempfehlungen sollte man diese aufteilen und über eine Bodenuntersuchung die Wirksamkeit nachprüfen. In Gehaltsklasse D wird die Düngeempfehlung um 50 % vermindert und in E wird keine Düngung empfohlen.                                                                           Im Rahmen der Fruchtfolge kann Phosphat </t>
    </r>
    <r>
      <rPr>
        <b/>
        <sz val="14"/>
        <color rgb="FFFF0000"/>
        <rFont val="Calibri"/>
        <family val="2"/>
        <scheme val="minor"/>
      </rPr>
      <t>auf Vorrat gedüngt</t>
    </r>
    <r>
      <rPr>
        <sz val="14"/>
        <rFont val="Calibri"/>
        <family val="2"/>
        <scheme val="minor"/>
      </rPr>
      <t xml:space="preserve"> werden, wobei oberhalb der oben genannten Phosphatgehalte dies </t>
    </r>
    <r>
      <rPr>
        <b/>
        <sz val="14"/>
        <color rgb="FFFF0000"/>
        <rFont val="Calibri"/>
        <family val="2"/>
        <scheme val="minor"/>
      </rPr>
      <t>auf drei Jahre im Voraus begrenzt</t>
    </r>
    <r>
      <rPr>
        <sz val="14"/>
        <rFont val="Calibri"/>
        <family val="2"/>
        <scheme val="minor"/>
      </rPr>
      <t xml:space="preserve"> ist.                                                                                                                                   Der hier über eine Fruchtfolge hinweg ermittelte P-Bedarf sollte innerhalb der Fruchtfolge insbes. zu Kulturen wie Kart., Mais, Z-Rüben oder Gerste auf Vorrat gegeben werden.                                                                                                                       Nur bei geringer P-Versorgung empfiehlt sich eine jährliche Phosphatdüngung. </t>
    </r>
  </si>
  <si>
    <r>
      <t>Die Düngeverordnung schreibt (neben N) lediglich die Ermittlung des Phosphatbedarfes vor. Dies beinhaltet Bodenuntersuchungen von Schlägen ab 1 ha auf verfügbares P, sobald mehr als 30 kg P</t>
    </r>
    <r>
      <rPr>
        <vertAlign val="subscript"/>
        <sz val="12"/>
        <rFont val="Calibri"/>
        <family val="2"/>
        <scheme val="minor"/>
      </rPr>
      <t>2</t>
    </r>
    <r>
      <rPr>
        <sz val="12"/>
        <rFont val="Calibri"/>
        <family val="2"/>
        <scheme val="minor"/>
      </rPr>
      <t>O</t>
    </r>
    <r>
      <rPr>
        <vertAlign val="subscript"/>
        <sz val="12"/>
        <rFont val="Calibri"/>
        <family val="2"/>
        <scheme val="minor"/>
      </rPr>
      <t>5</t>
    </r>
    <r>
      <rPr>
        <sz val="12"/>
        <rFont val="Calibri"/>
        <family val="2"/>
        <scheme val="minor"/>
      </rPr>
      <t xml:space="preserve">/ha und Jahr zugeführt werden. Die Analysen dürfen jeweils nicht älter sein als 6 Jahre.                                                         Gemäß DüV dürfen Schläge mit Gehalten </t>
    </r>
    <r>
      <rPr>
        <b/>
        <sz val="12"/>
        <color rgb="FFFF0000"/>
        <rFont val="Calibri"/>
        <family val="2"/>
        <scheme val="minor"/>
      </rPr>
      <t>über 20 mg CAL- o. 3,6 mg EUF-löslichem P</t>
    </r>
    <r>
      <rPr>
        <b/>
        <vertAlign val="subscript"/>
        <sz val="12"/>
        <color rgb="FFFF0000"/>
        <rFont val="Calibri"/>
        <family val="2"/>
        <scheme val="minor"/>
      </rPr>
      <t>2</t>
    </r>
    <r>
      <rPr>
        <b/>
        <sz val="12"/>
        <color rgb="FFFF0000"/>
        <rFont val="Calibri"/>
        <family val="2"/>
        <scheme val="minor"/>
      </rPr>
      <t>O</t>
    </r>
    <r>
      <rPr>
        <b/>
        <vertAlign val="subscript"/>
        <sz val="12"/>
        <color rgb="FFFF0000"/>
        <rFont val="Calibri"/>
        <family val="2"/>
        <scheme val="minor"/>
      </rPr>
      <t>5</t>
    </r>
    <r>
      <rPr>
        <b/>
        <sz val="12"/>
        <color rgb="FFFF0000"/>
        <rFont val="Calibri"/>
        <family val="2"/>
        <scheme val="minor"/>
      </rPr>
      <t xml:space="preserve">/100 g Boden </t>
    </r>
    <r>
      <rPr>
        <sz val="12"/>
        <rFont val="Calibri"/>
        <family val="2"/>
        <scheme val="minor"/>
      </rPr>
      <t xml:space="preserve">maximal bis zur voraussichtlichen </t>
    </r>
    <r>
      <rPr>
        <b/>
        <sz val="12"/>
        <color rgb="FFFF0000"/>
        <rFont val="Calibri"/>
        <family val="2"/>
        <scheme val="minor"/>
      </rPr>
      <t xml:space="preserve">P-Abfuhr mit dem Erntegut </t>
    </r>
    <r>
      <rPr>
        <sz val="12"/>
        <rFont val="Calibri"/>
        <family val="2"/>
        <scheme val="minor"/>
      </rPr>
      <t xml:space="preserve">gedüngt werden.                                                   In Gehaltsklasse B wird die Empfehlung im Vergleich zu C (Düngung entspricht der Nährstoffabfuhr mit Erntegut) um 50 % erhöht und in Gehaltsklasse A um 100 %. Bei sehr hoch erscheinenden Düngeempfehlungen sollte man diese aufteilen und über eine Bodenuntersuchung die Wirksamkeit nachprüfen. In Gehaltsklasse D wird die Düngeempfehlung um 50 % vermindert und in E wird keine Düngung empfohlen.                                                                                                                                                                                                                      Da sich die Grünlandnutzung i.d.R. von Jahr zu Jahr nicht wesentlich unterscheidet, wird der Nährstoffbedarf hier nur für ein durchschnittliches Jahr geplant.  Phosphat kann jedoch </t>
    </r>
    <r>
      <rPr>
        <b/>
        <sz val="12"/>
        <color rgb="FFFF0000"/>
        <rFont val="Calibri"/>
        <family val="2"/>
        <scheme val="minor"/>
      </rPr>
      <t>auf Vorrat gedüngt</t>
    </r>
    <r>
      <rPr>
        <sz val="12"/>
        <rFont val="Calibri"/>
        <family val="2"/>
        <scheme val="minor"/>
      </rPr>
      <t xml:space="preserve"> werden, wobei oberhalb der oben genannten Phosphatgehalte dies </t>
    </r>
    <r>
      <rPr>
        <b/>
        <sz val="12"/>
        <color rgb="FFFF0000"/>
        <rFont val="Calibri"/>
        <family val="2"/>
        <scheme val="minor"/>
      </rPr>
      <t>auf drei Jahre im Voraus begrenzt</t>
    </r>
    <r>
      <rPr>
        <sz val="12"/>
        <rFont val="Calibri"/>
        <family val="2"/>
        <scheme val="minor"/>
      </rPr>
      <t xml:space="preserve"> ist.                                                                                                                                    Nur bei geringer P-Versorgung empfiehlt sich eine jährliche Phosphatdüngung.                </t>
    </r>
  </si>
  <si>
    <t>Karl vom Land</t>
  </si>
  <si>
    <t>Höfen 1</t>
  </si>
  <si>
    <t>12345 Auf dem Feld</t>
  </si>
  <si>
    <r>
      <t>kg P</t>
    </r>
    <r>
      <rPr>
        <b/>
        <vertAlign val="subscript"/>
        <sz val="10"/>
        <color theme="1"/>
        <rFont val="Calibri"/>
        <family val="2"/>
        <scheme val="minor"/>
      </rPr>
      <t>2</t>
    </r>
    <r>
      <rPr>
        <b/>
        <sz val="10"/>
        <color theme="1"/>
        <rFont val="Calibri"/>
        <family val="2"/>
        <scheme val="minor"/>
      </rPr>
      <t>O</t>
    </r>
    <r>
      <rPr>
        <b/>
        <vertAlign val="subscript"/>
        <sz val="10"/>
        <color theme="1"/>
        <rFont val="Calibri"/>
        <family val="2"/>
        <scheme val="minor"/>
      </rPr>
      <t>5</t>
    </r>
    <r>
      <rPr>
        <b/>
        <sz val="10"/>
        <color theme="1"/>
        <rFont val="Calibri"/>
        <family val="2"/>
        <scheme val="minor"/>
      </rPr>
      <t>-Abfuhr gesamt</t>
    </r>
  </si>
  <si>
    <r>
      <t>Gemäß DüV dürfen Schläge mit Gehalten über 20 mg CAL- o. 3,6 mg EUF-löslichem P</t>
    </r>
    <r>
      <rPr>
        <b/>
        <vertAlign val="subscript"/>
        <sz val="11"/>
        <color rgb="FF002060"/>
        <rFont val="Calibri"/>
        <family val="2"/>
        <scheme val="minor"/>
      </rPr>
      <t>2</t>
    </r>
    <r>
      <rPr>
        <b/>
        <sz val="11"/>
        <color rgb="FF002060"/>
        <rFont val="Calibri"/>
        <family val="2"/>
        <scheme val="minor"/>
      </rPr>
      <t>O</t>
    </r>
    <r>
      <rPr>
        <b/>
        <vertAlign val="subscript"/>
        <sz val="11"/>
        <color rgb="FF002060"/>
        <rFont val="Calibri"/>
        <family val="2"/>
        <scheme val="minor"/>
      </rPr>
      <t>5</t>
    </r>
    <r>
      <rPr>
        <b/>
        <sz val="11"/>
        <color rgb="FF002060"/>
        <rFont val="Calibri"/>
        <family val="2"/>
        <scheme val="minor"/>
      </rPr>
      <t xml:space="preserve">/100 g Boden maximal bis zur voraussichtlichen P-Abfuhr mit dem Erntegut gedüngt werden. Dies entspricht der Empfehlung in Gehaltsklasse C, die damit zur Begrenzung bei höherer P-Versorgung wird. Die P-Düngung kann als Vorratsdüngung für jeweils 3 Jahre im Voraus erfolgen. </t>
    </r>
  </si>
  <si>
    <r>
      <rPr>
        <b/>
        <sz val="12"/>
        <color rgb="FFFF0000"/>
        <rFont val="Calibri"/>
        <family val="2"/>
        <scheme val="minor"/>
      </rPr>
      <t xml:space="preserve">Aufzeichnung innerhalb von 2 Tagen nach jeder Düngungsmaßnahme: </t>
    </r>
    <r>
      <rPr>
        <b/>
        <sz val="12"/>
        <color theme="1"/>
        <rFont val="Calibri"/>
        <family val="2"/>
        <scheme val="minor"/>
      </rPr>
      <t>tatsächlich ausgebrachte Düngung mit N und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 xml:space="preserve">5 </t>
    </r>
    <r>
      <rPr>
        <b/>
        <sz val="12"/>
        <color theme="1"/>
        <rFont val="Calibri"/>
        <family val="2"/>
        <scheme val="minor"/>
      </rPr>
      <t>in kg/ha                                                                                                                                                                                                                                                                                                                                                                                                                                               N</t>
    </r>
    <r>
      <rPr>
        <b/>
        <vertAlign val="subscript"/>
        <sz val="12"/>
        <color theme="1"/>
        <rFont val="Calibri"/>
        <family val="2"/>
        <scheme val="minor"/>
      </rPr>
      <t>verf</t>
    </r>
    <r>
      <rPr>
        <b/>
        <sz val="12"/>
        <color theme="1"/>
        <rFont val="Calibri"/>
        <family val="2"/>
        <scheme val="minor"/>
      </rPr>
      <t xml:space="preserve"> = verfügbarer N (Mineraldünger-N + verfügbarer Anteil des Wirtschaftsdünger-N); N</t>
    </r>
    <r>
      <rPr>
        <b/>
        <vertAlign val="subscript"/>
        <sz val="12"/>
        <color theme="1"/>
        <rFont val="Calibri"/>
        <family val="2"/>
        <scheme val="minor"/>
      </rPr>
      <t>ges</t>
    </r>
    <r>
      <rPr>
        <b/>
        <sz val="12"/>
        <color theme="1"/>
        <rFont val="Calibri"/>
        <family val="2"/>
        <scheme val="minor"/>
      </rPr>
      <t xml:space="preserve"> = gesamt-N.  Sie können die Spaltenbreiten insbes. für eine 4. oder 5. Düngergabe anpassen.</t>
    </r>
  </si>
  <si>
    <t>N-Bedarfwert</t>
  </si>
  <si>
    <r>
      <t>kg 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r>
      <rPr>
        <b/>
        <sz val="12"/>
        <color theme="1"/>
        <rFont val="Calibri"/>
        <family val="2"/>
        <scheme val="minor"/>
      </rPr>
      <t>/dt</t>
    </r>
  </si>
  <si>
    <t>Chinakohl</t>
  </si>
  <si>
    <t>Erdbeeren, nach Ernte (f. Ernte i. Folgejahr)</t>
  </si>
  <si>
    <t>Erdbeeren, Pflanzung</t>
  </si>
  <si>
    <t>Feldsalat</t>
  </si>
  <si>
    <t>Feldsalat, großblättrig</t>
  </si>
  <si>
    <t>Grünkohl</t>
  </si>
  <si>
    <t>Knollenfenchel</t>
  </si>
  <si>
    <t>Kohlrabi</t>
  </si>
  <si>
    <t>Pastinake</t>
  </si>
  <si>
    <t>Rettich, deutsch</t>
  </si>
  <si>
    <t>Rettich, japanisch</t>
  </si>
  <si>
    <t>Rosenkohl</t>
  </si>
  <si>
    <t>Rotkohl</t>
  </si>
  <si>
    <t>Salate, Eissalat</t>
  </si>
  <si>
    <t>Salate, Kopfsalat</t>
  </si>
  <si>
    <t>Salate, Radicchio</t>
  </si>
  <si>
    <t>Salate, verschiedene Arten</t>
  </si>
  <si>
    <t>Salate, Romana</t>
  </si>
  <si>
    <t>Salate, Zuckerhut</t>
  </si>
  <si>
    <t>Schwarzwurzel</t>
  </si>
  <si>
    <t>Spinat, Blatt-, Standard</t>
  </si>
  <si>
    <t>Spinat, Hack-, Standard</t>
  </si>
  <si>
    <t>Teltower Rübchen (Herbstanbau)</t>
  </si>
  <si>
    <t>Wirsing</t>
  </si>
  <si>
    <t>Zucchini</t>
  </si>
  <si>
    <t>Zuckermais</t>
  </si>
  <si>
    <t>Zwiebel, Trocken</t>
  </si>
  <si>
    <t>Bezeichnung  von Schlägen oder Bewirtschaftungseinheiten hier eintragen.</t>
  </si>
  <si>
    <t>S</t>
  </si>
  <si>
    <r>
      <t>Kali K</t>
    </r>
    <r>
      <rPr>
        <b/>
        <vertAlign val="subscript"/>
        <sz val="14"/>
        <rFont val="Calibri"/>
        <family val="2"/>
        <scheme val="minor"/>
      </rPr>
      <t>2</t>
    </r>
    <r>
      <rPr>
        <b/>
        <sz val="14"/>
        <rFont val="Calibri"/>
        <family val="2"/>
        <scheme val="minor"/>
      </rPr>
      <t>O</t>
    </r>
  </si>
  <si>
    <r>
      <t>N</t>
    </r>
    <r>
      <rPr>
        <b/>
        <vertAlign val="subscript"/>
        <sz val="12"/>
        <rFont val="Calibri"/>
        <family val="2"/>
        <scheme val="minor"/>
      </rPr>
      <t>verf</t>
    </r>
  </si>
  <si>
    <r>
      <t>N</t>
    </r>
    <r>
      <rPr>
        <b/>
        <vertAlign val="subscript"/>
        <sz val="12"/>
        <rFont val="Calibri"/>
        <family val="2"/>
        <scheme val="minor"/>
      </rPr>
      <t>ges</t>
    </r>
  </si>
  <si>
    <r>
      <t>N</t>
    </r>
    <r>
      <rPr>
        <b/>
        <vertAlign val="subscript"/>
        <sz val="12"/>
        <color rgb="FF1C21DA"/>
        <rFont val="Calibri"/>
        <family val="2"/>
        <scheme val="minor"/>
      </rPr>
      <t>ges</t>
    </r>
  </si>
  <si>
    <r>
      <t xml:space="preserve">Hier können Sie die Einhaltung der </t>
    </r>
    <r>
      <rPr>
        <b/>
        <sz val="11"/>
        <color rgb="FFFF0000"/>
        <rFont val="Calibri"/>
        <family val="2"/>
        <scheme val="minor"/>
      </rPr>
      <t xml:space="preserve">Obergrenze von  170 kg N/ha aus organischer Düngung </t>
    </r>
    <r>
      <rPr>
        <sz val="11"/>
        <color theme="1"/>
        <rFont val="Calibri"/>
        <family val="2"/>
        <scheme val="minor"/>
      </rPr>
      <t xml:space="preserve">prüfen. Im NItrat-belasteten Gebiet gilt dies </t>
    </r>
    <r>
      <rPr>
        <b/>
        <sz val="11"/>
        <color rgb="FFFF0000"/>
        <rFont val="Calibri"/>
        <family val="2"/>
        <scheme val="minor"/>
      </rPr>
      <t>für jede Bewirtschaftungseinheit</t>
    </r>
    <r>
      <rPr>
        <sz val="11"/>
        <color theme="1"/>
        <rFont val="Calibri"/>
        <family val="2"/>
        <scheme val="minor"/>
      </rPr>
      <t xml:space="preserve">, es sei denn, Sie düngen im Durchschnitt aller Flächen </t>
    </r>
    <r>
      <rPr>
        <b/>
        <sz val="11"/>
        <color rgb="FF1C21DA"/>
        <rFont val="Calibri"/>
        <family val="2"/>
        <scheme val="minor"/>
      </rPr>
      <t>nicht mehr als 160 kg Gesamt-N/ha und davon nicht mehr als 80 kg Mineraldünger-N/ha</t>
    </r>
    <r>
      <rPr>
        <sz val="11"/>
        <color theme="1"/>
        <rFont val="Calibri"/>
        <family val="2"/>
        <scheme val="minor"/>
      </rPr>
      <t xml:space="preserve"> (Durchschnitt pro ha siehe Zeile 33, siehe auch </t>
    </r>
    <r>
      <rPr>
        <b/>
        <sz val="11"/>
        <color theme="1"/>
        <rFont val="Calibri"/>
        <family val="2"/>
        <scheme val="minor"/>
      </rPr>
      <t>Tab.blatt Auswertung</t>
    </r>
    <r>
      <rPr>
        <sz val="11"/>
        <color theme="1"/>
        <rFont val="Calibri"/>
        <family val="2"/>
        <scheme val="minor"/>
      </rPr>
      <t>)</t>
    </r>
  </si>
  <si>
    <r>
      <t xml:space="preserve">Hier können Sie die Einhaltung der </t>
    </r>
    <r>
      <rPr>
        <b/>
        <sz val="11"/>
        <color rgb="FFFF0000"/>
        <rFont val="Calibri"/>
        <family val="2"/>
        <scheme val="minor"/>
      </rPr>
      <t xml:space="preserve">Obergrenze von  170 kg N/ha aus organischer Düngung </t>
    </r>
    <r>
      <rPr>
        <sz val="11"/>
        <color theme="1"/>
        <rFont val="Calibri"/>
        <family val="2"/>
        <scheme val="minor"/>
      </rPr>
      <t xml:space="preserve">prüfen. Im NItrat-belasteten Gebiet gilt dies </t>
    </r>
    <r>
      <rPr>
        <b/>
        <sz val="11"/>
        <color rgb="FFFF0000"/>
        <rFont val="Calibri"/>
        <family val="2"/>
        <scheme val="minor"/>
      </rPr>
      <t>für jede Bewirtschaftungseinheit</t>
    </r>
    <r>
      <rPr>
        <sz val="11"/>
        <color theme="1"/>
        <rFont val="Calibri"/>
        <family val="2"/>
        <scheme val="minor"/>
      </rPr>
      <t xml:space="preserve">, es sei denn, Sie düngen im Durchschnitt aller Flächen </t>
    </r>
    <r>
      <rPr>
        <b/>
        <sz val="11"/>
        <color rgb="FF1C21DA"/>
        <rFont val="Calibri"/>
        <family val="2"/>
        <scheme val="minor"/>
      </rPr>
      <t>nicht mehr als 160 kg Gesamt-N/ha und davon nicht mehr als 80 kg Mineraldünger-N/ha</t>
    </r>
    <r>
      <rPr>
        <sz val="11"/>
        <color rgb="FF1C21DA"/>
        <rFont val="Calibri"/>
        <family val="2"/>
        <scheme val="minor"/>
      </rPr>
      <t xml:space="preserve"> </t>
    </r>
    <r>
      <rPr>
        <sz val="11"/>
        <color theme="1"/>
        <rFont val="Calibri"/>
        <family val="2"/>
        <scheme val="minor"/>
      </rPr>
      <t xml:space="preserve">(Durchschnitt pro ha siehe Zeile 33, siehe auch </t>
    </r>
    <r>
      <rPr>
        <b/>
        <sz val="11"/>
        <color theme="1"/>
        <rFont val="Calibri"/>
        <family val="2"/>
        <scheme val="minor"/>
      </rPr>
      <t>Tab.blatt Auswertung</t>
    </r>
    <r>
      <rPr>
        <sz val="11"/>
        <color theme="1"/>
        <rFont val="Calibri"/>
        <family val="2"/>
        <scheme val="minor"/>
      </rPr>
      <t>).</t>
    </r>
  </si>
  <si>
    <t>oder "80 von 160", d.h. alle blauen Zahlen) einhalten!</t>
  </si>
  <si>
    <r>
      <t>zulässige N-Düngung</t>
    </r>
    <r>
      <rPr>
        <b/>
        <i/>
        <sz val="14"/>
        <rFont val="Calibri"/>
        <family val="2"/>
        <scheme val="minor"/>
      </rPr>
      <t xml:space="preserve"> (</t>
    </r>
    <r>
      <rPr>
        <b/>
        <i/>
        <sz val="14"/>
        <color rgb="FFFF0000"/>
        <rFont val="Calibri"/>
        <family val="2"/>
        <scheme val="minor"/>
      </rPr>
      <t>entweder "minus 20 %", d.h. alle roten Zahlen,</t>
    </r>
    <r>
      <rPr>
        <b/>
        <i/>
        <sz val="14"/>
        <color theme="1"/>
        <rFont val="Calibri"/>
        <family val="2"/>
        <scheme val="minor"/>
      </rPr>
      <t xml:space="preserve"> </t>
    </r>
    <r>
      <rPr>
        <b/>
        <i/>
        <sz val="12"/>
        <color rgb="FF1C21DA"/>
        <rFont val="Calibri"/>
        <family val="2"/>
        <scheme val="minor"/>
      </rPr>
      <t/>
    </r>
  </si>
  <si>
    <t>Nein</t>
  </si>
  <si>
    <t>Ertragsdifferenz dt/ha</t>
  </si>
  <si>
    <t>Ertragsdifferenz %</t>
  </si>
  <si>
    <t>Differenz %</t>
  </si>
  <si>
    <t>Zuschlag dt/ha</t>
  </si>
  <si>
    <t>Abschlag dt/ha</t>
  </si>
  <si>
    <t>N-Ertragszu-, -abschlag</t>
  </si>
  <si>
    <t>ertragsabh. Bedarf               
  kg N/ha</t>
  </si>
  <si>
    <t>Ertrags-differenz %</t>
  </si>
  <si>
    <t>Zuschläge bei höheren Erträgen je Einheit 
kg/ha</t>
  </si>
  <si>
    <t>Abschläge bei niedrigeren Erträgen je Einheit 
kg/ha</t>
  </si>
  <si>
    <t>2/3 Korrektur N-Nach-lieferung bei Probenahme &gt;= 4 Wo nach Einarbeitung kg/ha</t>
  </si>
  <si>
    <t>Abdeckung, Verfrühung (nicht Spargel)</t>
  </si>
  <si>
    <t>nein</t>
  </si>
  <si>
    <t>Verfrühung</t>
  </si>
  <si>
    <t>Abdeckung Verfrühung</t>
  </si>
  <si>
    <t>N-Zuschlag 
kg/ha</t>
  </si>
  <si>
    <t>ja</t>
  </si>
  <si>
    <t>Gemüsevorkultur im gleichen Jahr</t>
  </si>
  <si>
    <t xml:space="preserve">Abschlag N-Nach-lieferung für Folge-kultur kg/ha </t>
  </si>
  <si>
    <r>
      <t xml:space="preserve">Vorfrucht </t>
    </r>
    <r>
      <rPr>
        <sz val="12"/>
        <color theme="1"/>
        <rFont val="Calibri"/>
        <family val="2"/>
        <scheme val="minor"/>
      </rPr>
      <t>(Hauptfrucht Vorjahr)</t>
    </r>
  </si>
  <si>
    <t>max. Nmin-Tiefe in cm</t>
  </si>
  <si>
    <t xml:space="preserve"> Fläche ha</t>
  </si>
  <si>
    <t>Bezeichnugn der Bewirtschaftungseinheit oder des Schlags</t>
  </si>
  <si>
    <t>Bedarf         
kg N/ha</t>
  </si>
  <si>
    <t>Ertrag dt FM /ha</t>
  </si>
  <si>
    <t>kg                  ges. Fläche</t>
  </si>
  <si>
    <r>
      <t>kg 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r>
      <rPr>
        <b/>
        <sz val="11"/>
        <color theme="1"/>
        <rFont val="Calibri"/>
        <family val="2"/>
        <scheme val="minor"/>
      </rPr>
      <t>-Abfuhr gesamt</t>
    </r>
  </si>
  <si>
    <t>Blumenkohl</t>
  </si>
  <si>
    <t>Brokkoli</t>
  </si>
  <si>
    <t>Buschbohnen</t>
  </si>
  <si>
    <t>Chicoreerüben</t>
  </si>
  <si>
    <t>Dill, Frischmarkt</t>
  </si>
  <si>
    <t>Dill, Industrieware</t>
  </si>
  <si>
    <t>Erdbeeren, Frühjahr</t>
  </si>
  <si>
    <t>Gemüseerbse</t>
  </si>
  <si>
    <t>Gurke, Einleger, Land</t>
  </si>
  <si>
    <t>Mairüben (mit Laub)</t>
  </si>
  <si>
    <t>Möhren, Bund</t>
  </si>
  <si>
    <t>Möhren, Industrie</t>
  </si>
  <si>
    <t>Möhren, Wasch</t>
  </si>
  <si>
    <t>Petersilie, Blatt, 1. Schnitt</t>
  </si>
  <si>
    <t>Petersilie, Blatt, nach einem Schnitt</t>
  </si>
  <si>
    <t>Petersilie, Wurzel</t>
  </si>
  <si>
    <t>Porree</t>
  </si>
  <si>
    <t>Radies</t>
  </si>
  <si>
    <t>Rettich, Bund</t>
  </si>
  <si>
    <t>Rhabarber, 1. Standjahr</t>
  </si>
  <si>
    <t>Rhabarber, 2. Standjahr nach Ernte</t>
  </si>
  <si>
    <t>Rhabarber, 2. Standjahr, Austrieb</t>
  </si>
  <si>
    <t>Rhabarber, 3. Standjahr nach Ernte</t>
  </si>
  <si>
    <t>Rhabarber, 3. Standjahr, Austrieb</t>
  </si>
  <si>
    <t>Rhabarber, 4. Standjahr nach Ernte</t>
  </si>
  <si>
    <t>Rhabarber, 4. Standjahr, Austrieb</t>
  </si>
  <si>
    <t>Rote Rüben</t>
  </si>
  <si>
    <t>Rucola, Feinware</t>
  </si>
  <si>
    <t>Rucola, Grobware</t>
  </si>
  <si>
    <t>Salate, Baby Leaf Lettuce</t>
  </si>
  <si>
    <t>Salate, Blatt-, grün (Lollo, Eichblatt, Krul)</t>
  </si>
  <si>
    <t>Salate, Blatt-, rot (Lollo, Eichblatt, Krul)</t>
  </si>
  <si>
    <t>Salate, Endivien Friseé</t>
  </si>
  <si>
    <t>Salate, Endivien glattblättrig</t>
  </si>
  <si>
    <t>Salate, Romana Herzen</t>
  </si>
  <si>
    <t>Schnittlauch, Anbau für Treiberei</t>
  </si>
  <si>
    <t>Schnittlauch, gesät, bis 1. Schnitt</t>
  </si>
  <si>
    <t>Schnittlauch, nach einem Schnitt</t>
  </si>
  <si>
    <t>Sellerie, Bund</t>
  </si>
  <si>
    <t>Sellerie, Knollen</t>
  </si>
  <si>
    <t>Sellerie, Stangen</t>
  </si>
  <si>
    <t>Spargel, 1. Standjahr</t>
  </si>
  <si>
    <t>Spargel, 2. Standjahr mit Ernte</t>
  </si>
  <si>
    <t>Spargel, 2. Standjahr ohne Ernte</t>
  </si>
  <si>
    <t>Spargel, 3. Standjahr</t>
  </si>
  <si>
    <t>Spargel, ab 4. Standjahr</t>
  </si>
  <si>
    <t>Spinat, Blatt-, FM, Baby</t>
  </si>
  <si>
    <t>Stangenbohne, Standard</t>
  </si>
  <si>
    <t>Weißkohl, Frischmarkt (rund, spitz, flach)</t>
  </si>
  <si>
    <t>Weißkohl, Industrie (rund, spitz, flach)</t>
  </si>
  <si>
    <t>Zwiebel, Bund-</t>
  </si>
  <si>
    <t>Heil- und Gewürzpflanzen</t>
  </si>
  <si>
    <t>Gemüsebau</t>
  </si>
  <si>
    <t>ha Gemüsebau</t>
  </si>
  <si>
    <t>ann-christin.alzer@dlr.rlp.de</t>
  </si>
  <si>
    <t>Idee und Umsetzung: Dr. Friedhelm Fritsch, 
fortführend M. Sc. Ann-Christin Alzer</t>
  </si>
  <si>
    <r>
      <t>SO</t>
    </r>
    <r>
      <rPr>
        <vertAlign val="subscript"/>
        <sz val="11"/>
        <color theme="1"/>
        <rFont val="Calibri"/>
        <family val="2"/>
        <scheme val="minor"/>
      </rPr>
      <t>3</t>
    </r>
  </si>
  <si>
    <t>S*2,5</t>
  </si>
  <si>
    <t xml:space="preserve"> Vergleichbare Schläge zu Bewirtschaftungs-Einheiten zusammenfassen, die voraussichtlich einheitlich gedüngt werden (für eine Dokumentation der Düngung der Bewirtschaftungs-Einheiten entsprechend der Düngeplanung).                                                                       </t>
  </si>
  <si>
    <r>
      <rPr>
        <b/>
        <sz val="12"/>
        <color rgb="FFFF0000"/>
        <rFont val="Calibri"/>
        <family val="2"/>
        <scheme val="minor"/>
      </rPr>
      <t>Düngebedarfsermittlung:</t>
    </r>
    <r>
      <rPr>
        <b/>
        <sz val="12"/>
        <color theme="1"/>
        <rFont val="Calibri"/>
        <family val="2"/>
        <scheme val="minor"/>
      </rPr>
      <t xml:space="preserve"> Berechnung der "standortbezogenen N-Obergrenzen" (ohne Berücksichtigung von N</t>
    </r>
    <r>
      <rPr>
        <b/>
        <vertAlign val="subscript"/>
        <sz val="12"/>
        <color theme="1"/>
        <rFont val="Calibri"/>
        <family val="2"/>
        <scheme val="minor"/>
      </rPr>
      <t>min</t>
    </r>
    <r>
      <rPr>
        <b/>
        <sz val="12"/>
        <color theme="1"/>
        <rFont val="Calibri"/>
        <family val="2"/>
        <scheme val="minor"/>
      </rPr>
      <t>) sowie der Phosphatabfuhr (als Grundlage der P-Düngebedarfsermittlung) für den Gemüsebau. Die Phosphatabfuhr beinhaltet (aus Platzgründen) nur die Haupternteprodukte  Zudem enthalten die Erntenebenprodukte relativ wenig Phosphat.</t>
    </r>
  </si>
  <si>
    <t xml:space="preserve"> Vergleichbare Schläge zu Bewirtschaftungs-Einheiten zusammenfassen, die voraussichtlich einheitlich gedüngt werden (für eine Dokumentation der Düngung der Bewirtschaftungs-Einheiten entsprechend der Düngeplanung).                                                                   </t>
  </si>
  <si>
    <t>Gemüsebau-                                Kultur auswählen</t>
  </si>
  <si>
    <t>Gemüsebaukultur</t>
  </si>
  <si>
    <r>
      <rPr>
        <b/>
        <sz val="12"/>
        <color rgb="FFFF0000"/>
        <rFont val="Calibri"/>
        <family val="2"/>
        <scheme val="minor"/>
      </rPr>
      <t>Düngebedarfsermittlung:</t>
    </r>
    <r>
      <rPr>
        <b/>
        <sz val="12"/>
        <color theme="1"/>
        <rFont val="Calibri"/>
        <family val="2"/>
        <scheme val="minor"/>
      </rPr>
      <t xml:space="preserve"> Berechnung der "standortbezogenen N-Obergrenzen" (ohne Berücksichtigung von N</t>
    </r>
    <r>
      <rPr>
        <b/>
        <vertAlign val="subscript"/>
        <sz val="12"/>
        <color theme="1"/>
        <rFont val="Calibri"/>
        <family val="2"/>
        <scheme val="minor"/>
      </rPr>
      <t>min</t>
    </r>
    <r>
      <rPr>
        <b/>
        <sz val="12"/>
        <color theme="1"/>
        <rFont val="Calibri"/>
        <family val="2"/>
        <scheme val="minor"/>
      </rPr>
      <t>) sowie der Phosphatabfuhr (als Grundlage der P-Düngebedarfsermittlung) für den Anbau von Heil- und Gewürzpflanzen. Die Phosphatabfuhr beinhaltet (aus Platzgründen) nur die Haupternteprodukte  Zudem enthalten die Erntenebenprodukte relativ wenig Phosphat.</t>
    </r>
  </si>
  <si>
    <t>Heil- und 
Gewürzpflanzen</t>
  </si>
  <si>
    <r>
      <rPr>
        <b/>
        <sz val="11"/>
        <color theme="1"/>
        <rFont val="Calibri"/>
        <family val="2"/>
        <scheme val="minor"/>
      </rPr>
      <t xml:space="preserve">Hier können Sie die </t>
    </r>
    <r>
      <rPr>
        <b/>
        <sz val="11"/>
        <color rgb="FFFF0000"/>
        <rFont val="Calibri"/>
        <family val="2"/>
        <scheme val="minor"/>
      </rPr>
      <t>Einhaltung der Obergrenze von  170 kg N/ha aus organischer Düngung</t>
    </r>
    <r>
      <rPr>
        <b/>
        <sz val="11"/>
        <color theme="1"/>
        <rFont val="Calibri"/>
        <family val="2"/>
        <scheme val="minor"/>
      </rPr>
      <t xml:space="preserve"> prüfen. Im NItrat-belasteten Gebiet gilt dies </t>
    </r>
    <r>
      <rPr>
        <b/>
        <sz val="11"/>
        <color rgb="FFFF0000"/>
        <rFont val="Calibri"/>
        <family val="2"/>
        <scheme val="minor"/>
      </rPr>
      <t>für jede Bewirtschaftungseinheit</t>
    </r>
    <r>
      <rPr>
        <b/>
        <sz val="11"/>
        <color theme="1"/>
        <rFont val="Calibri"/>
        <family val="2"/>
        <scheme val="minor"/>
      </rPr>
      <t xml:space="preserve">, es sei denn, Sie düngen </t>
    </r>
    <r>
      <rPr>
        <b/>
        <sz val="11"/>
        <color rgb="FF1C21DA"/>
        <rFont val="Calibri"/>
        <family val="2"/>
        <scheme val="minor"/>
      </rPr>
      <t>im Durchschnitt aller Flächen nicht mehr als 160 kg Gesamt-N/ha und davon nicht mehr als 80 kg Mineraldünger-N/ha</t>
    </r>
    <r>
      <rPr>
        <b/>
        <sz val="11"/>
        <color theme="1"/>
        <rFont val="Calibri"/>
        <family val="2"/>
        <scheme val="minor"/>
      </rPr>
      <t xml:space="preserve"> (Durchschnitt pro ha siehe Zeile 33, siehe auch Tab.blatt Auswertung)</t>
    </r>
  </si>
  <si>
    <t>kg /dt Ernteprodukt</t>
  </si>
  <si>
    <t>Anzahl Nutzungen</t>
  </si>
  <si>
    <t>%TM</t>
  </si>
  <si>
    <t>%RP</t>
  </si>
  <si>
    <t>Mit steigender Anzahl der Nutzung steigt auch der Gehalt des Rohproteins im Erntegut. Die Tabelle (gemäß DüV) dient als Orientierung. Reale Werte können abweichen</t>
  </si>
  <si>
    <t>Mindest % N-Wirkung = Mineraldüngeräquivalent MDÄ</t>
  </si>
  <si>
    <t>Nur Herbstgaben zu Raps / Gerste, Kompost und Mist)</t>
  </si>
  <si>
    <t>1. Frühjahresgabe</t>
  </si>
  <si>
    <t>2. Frühjahresgabe</t>
  </si>
  <si>
    <t>3. Frühjahresgabe</t>
  </si>
  <si>
    <t>4. Frühjahresgabe</t>
  </si>
  <si>
    <t xml:space="preserve">Nur Herbstgaben zu Raps / Gerste, </t>
  </si>
  <si>
    <t>Schwefel S</t>
  </si>
  <si>
    <t>Gesamt-Summe</t>
  </si>
  <si>
    <r>
      <t xml:space="preserve">In </t>
    </r>
    <r>
      <rPr>
        <b/>
        <sz val="14"/>
        <color rgb="FFFF0000"/>
        <rFont val="Calibri"/>
        <family val="2"/>
        <scheme val="minor"/>
      </rPr>
      <t>mit Nitrat belasteten Gebieten</t>
    </r>
    <r>
      <rPr>
        <b/>
        <sz val="14"/>
        <rFont val="Calibri"/>
        <family val="2"/>
        <scheme val="minor"/>
      </rPr>
      <t xml:space="preserve"> müssen Sie im Durchschnitt dieser Flächen entweder den ermittelten N-Bedarf mit der N-Düngung </t>
    </r>
    <r>
      <rPr>
        <b/>
        <sz val="14"/>
        <color rgb="FFFF0000"/>
        <rFont val="Calibri"/>
        <family val="2"/>
        <scheme val="minor"/>
      </rPr>
      <t xml:space="preserve">um mind. 20 % unterschreiten </t>
    </r>
    <r>
      <rPr>
        <b/>
        <sz val="14"/>
        <rFont val="Calibri"/>
        <family val="2"/>
        <scheme val="minor"/>
      </rPr>
      <t xml:space="preserve">(siehe Zeile 34), oder Sie düngen </t>
    </r>
    <r>
      <rPr>
        <b/>
        <sz val="14"/>
        <color rgb="FF1C21DA"/>
        <rFont val="Calibri"/>
        <family val="2"/>
        <scheme val="minor"/>
      </rPr>
      <t>durchschnittlich max. 160 kg Gesamt-N/ha und davon max. 80 kg/ha Mineraldünger-N</t>
    </r>
    <r>
      <rPr>
        <b/>
        <sz val="14"/>
        <rFont val="Calibri"/>
        <family val="2"/>
        <scheme val="minor"/>
      </rPr>
      <t xml:space="preserve"> (siehe Zeile 35).</t>
    </r>
  </si>
  <si>
    <t xml:space="preserve">1. Muss eingehalten werden, wenn -20 % Regelung erfolgt. </t>
  </si>
  <si>
    <t>2. Entweder halten Sie diese Regelung ein oder sie halten die Regelung nach Punkt 3 ein</t>
  </si>
  <si>
    <t>1. Düngegabe</t>
  </si>
  <si>
    <t>2. Düngegabe</t>
  </si>
  <si>
    <t>3. Düngegabe</t>
  </si>
  <si>
    <t>4. Düngegabe</t>
  </si>
  <si>
    <t>5. Düngegabe</t>
  </si>
  <si>
    <t>Zweitfrucht</t>
  </si>
  <si>
    <t>Zusammen</t>
  </si>
  <si>
    <t>N gesamt</t>
  </si>
  <si>
    <t>P205 gesamt</t>
  </si>
  <si>
    <t>Nverf</t>
  </si>
  <si>
    <t>Nges</t>
  </si>
  <si>
    <t>P2O5</t>
  </si>
  <si>
    <t xml:space="preserve">Gesamt </t>
  </si>
  <si>
    <t>Ich danke den Kollegen der Pflanzenbau-, Weinbau-, Gemüsebau und der Wasserschutzberatung für wertvolle Anregungen!</t>
  </si>
  <si>
    <r>
      <t xml:space="preserve">Aufnahme (Zukauf) und Abgabe (Verkauf) von organischen Düngern                                                                                                                                             </t>
    </r>
    <r>
      <rPr>
        <b/>
        <sz val="12"/>
        <color theme="1"/>
        <rFont val="Calibri"/>
        <family val="2"/>
        <scheme val="minor"/>
      </rPr>
      <t xml:space="preserve">           (Wirtschaftsdünger, Kompost, Klärschlamm etc.)  </t>
    </r>
    <r>
      <rPr>
        <b/>
        <sz val="14"/>
        <color theme="1"/>
        <rFont val="Calibri"/>
        <family val="2"/>
        <scheme val="minor"/>
      </rPr>
      <t>einschließlich der Verwertung von Gärresten aus einer eigenen Biogasanlage</t>
    </r>
  </si>
  <si>
    <t>Ackerschachtelhalm, Kraut*</t>
  </si>
  <si>
    <t>Ackerstiefmütterchen, blühendes Kraut*</t>
  </si>
  <si>
    <t>Akelei, blühendes Kraut*</t>
  </si>
  <si>
    <t>Alant, Wurzel + Kraut*</t>
  </si>
  <si>
    <t>Alant, Wurzel*</t>
  </si>
  <si>
    <t>Ampfer, kraus, Kraut nach Blüte*</t>
  </si>
  <si>
    <t>Ampfer, Wiesen, Blatt*</t>
  </si>
  <si>
    <t>Andorn, Kraut Knospenstadium*</t>
  </si>
  <si>
    <t>Anis, Frucht + Stroh*</t>
  </si>
  <si>
    <t>Anis, Frucht*</t>
  </si>
  <si>
    <t>Artischocke (Kardone), Kraut*</t>
  </si>
  <si>
    <t>Arzneifenchel, Frucht + Stroh*</t>
  </si>
  <si>
    <t>Arzneifenchel, Frucht*</t>
  </si>
  <si>
    <t>Arzneirhabarber, jährl. Zuwachs, Wurzel n. 4 Jahren + Kraut *</t>
  </si>
  <si>
    <t>Arzneirhabarber, jährl. Zuwachs, Wurzel n. 4 Jahren*</t>
  </si>
  <si>
    <t>Baikal-Helmkraut, Wurzel + Kraut*</t>
  </si>
  <si>
    <t>Baikal-Helmkraut, Wurzel*</t>
  </si>
  <si>
    <t>Baldrian, Wurzel + Kraut*</t>
  </si>
  <si>
    <t>Baldrian, Wurzel*</t>
  </si>
  <si>
    <t>Ballonrebe, Kraut*</t>
  </si>
  <si>
    <t>Bärlauch, Blatt*</t>
  </si>
  <si>
    <t>Bärwurz, jährl. Zuwachs, Wurzel n. 4 Jahren + Kraut*</t>
  </si>
  <si>
    <t>Bärwurz, jährl. Zuwachs, Wurzel n. 4 Jahren*</t>
  </si>
  <si>
    <t>Basilikum, Kraut Blühbeginn*</t>
  </si>
  <si>
    <t>Beinwell, Wurzel + Kraut*</t>
  </si>
  <si>
    <t>Beinwell, Wurzel*</t>
  </si>
  <si>
    <t>Bergarnika, Blüte</t>
  </si>
  <si>
    <t>Bergarnika, Blüte + Kraut*</t>
  </si>
  <si>
    <t>Bergarnika, Wurzel + Kraut*</t>
  </si>
  <si>
    <t>Bergarnika, Wurzel*</t>
  </si>
  <si>
    <t>Bergbohnenkraut, blühendes Kraut*</t>
  </si>
  <si>
    <t>Bertram, Römischer, Wurzel + Kraut*</t>
  </si>
  <si>
    <t>Bertram, Römischer, Wurzel*</t>
  </si>
  <si>
    <t>Besenbeifuß (A. scoparia), Kraut*</t>
  </si>
  <si>
    <t>Bibernelle, Kleine, Wurzel + Kraut*</t>
  </si>
  <si>
    <t>Bibernelle, Kleine, Wurzel*</t>
  </si>
  <si>
    <t>Bockshornklee, Samen + Kraut*</t>
  </si>
  <si>
    <t>Bockshornklee, Samen*</t>
  </si>
  <si>
    <t>Bohnenkraut, einjährig, blühendes Kraut*</t>
  </si>
  <si>
    <t>Borretsch, Blühendes Kraut*</t>
  </si>
  <si>
    <t>Braunelle, Kraut zu Ende der Blüte*</t>
  </si>
  <si>
    <t>Brennnessel, Große, nicht blühendes Kraut*</t>
  </si>
  <si>
    <t>Brennnessel, Große, Wurzel + Kraut*</t>
  </si>
  <si>
    <t>Brennnessel, Große, Wurzel*</t>
  </si>
  <si>
    <t>Brennnessel, Kleine, blühendes Kraut*</t>
  </si>
  <si>
    <t>Brunnenkresse, Kraut*</t>
  </si>
  <si>
    <t>Dill, Kraut b. Knospenansatz*</t>
  </si>
  <si>
    <t>Dill, Spitzen*</t>
  </si>
  <si>
    <t>Drachenkopf, Iberischer, Samen + Stroh*</t>
  </si>
  <si>
    <t>Drachenkopf, Iberischer, Samen*</t>
  </si>
  <si>
    <t>Drachenkopf, Türkischer, blühendes Kraut*</t>
  </si>
  <si>
    <t>Efeu, Kraut*</t>
  </si>
  <si>
    <t>Eibisch, Wurzel + Kraut*</t>
  </si>
  <si>
    <t>Eibisch, Wurzel*</t>
  </si>
  <si>
    <t>Eisenkraut, Echtes, Kraut*</t>
  </si>
  <si>
    <t>Engelwurz, Europäische, Wurzel + Kraut*</t>
  </si>
  <si>
    <t>Engelwurz, Europäische, Wurzel*</t>
  </si>
  <si>
    <t>Engelwurz, Sibirische, Wurzel + Kraut*</t>
  </si>
  <si>
    <t>Engelwurz, Sibirische, Wurzel*</t>
  </si>
  <si>
    <t>Enzian, ohne Ernte*</t>
  </si>
  <si>
    <t>Enzian, Wurzel n. 4 Jahren*</t>
  </si>
  <si>
    <t>Estragon, Deutscher, nicht blühendes Kraut*</t>
  </si>
  <si>
    <t>Färberdistel, Samen + Stroh*</t>
  </si>
  <si>
    <t>Färberdistel, Samen*</t>
  </si>
  <si>
    <t>Färberwaid, Kraut*</t>
  </si>
  <si>
    <t>Federmohn, Kraut, 1. Standjahr*</t>
  </si>
  <si>
    <t>Federmohn, Kraut, ab 2. Standjahr*</t>
  </si>
  <si>
    <t>Frauenmantel, blühendes Kraut*</t>
  </si>
  <si>
    <t>Galega (Geißraute), Kraut*</t>
  </si>
  <si>
    <t>Gartenkresse, Kraut*</t>
  </si>
  <si>
    <t>Getreidegras, Gras*</t>
  </si>
  <si>
    <t>Ginseng, Wurzel*</t>
  </si>
  <si>
    <t>Goldrute, Blühhorizont*</t>
  </si>
  <si>
    <t>Hafer, Grüner, Kraut</t>
  </si>
  <si>
    <t>Ingwer, Rhizom*</t>
  </si>
  <si>
    <t>Johanniskraut, Blühendes Kraut*</t>
  </si>
  <si>
    <t>Kamille, Blühhorizont + Kraut*</t>
  </si>
  <si>
    <t>Kamille, Blühhorizont*</t>
  </si>
  <si>
    <t>Kamille, Blüten + Kraut*</t>
  </si>
  <si>
    <t>Kamille, Blüten*</t>
  </si>
  <si>
    <t>Kapuzinerkresse, blühendes Kraut*</t>
  </si>
  <si>
    <t>Karde, Wilde, Wurzel*</t>
  </si>
  <si>
    <t>Kerbel, Kraut*</t>
  </si>
  <si>
    <t>Knoblauch, Zwiebel ganz + Kraut*</t>
  </si>
  <si>
    <t>Knoblauch, Zwiebel ganz*</t>
  </si>
  <si>
    <t>Koriander, Kraut*</t>
  </si>
  <si>
    <t>Koriander, Samen + Stroh*</t>
  </si>
  <si>
    <t>Koriander, Samen*</t>
  </si>
  <si>
    <t>Kornblume, Blühendes Kraut*</t>
  </si>
  <si>
    <t>Kornblume, Blüte + Kraut*</t>
  </si>
  <si>
    <t>Kornblume, Blüte*</t>
  </si>
  <si>
    <t>Kuhschelle, Wiesen, Ganzpflanze</t>
  </si>
  <si>
    <t>Kuhschelle, Wiesen, Kraut</t>
  </si>
  <si>
    <t>Kümmel, einjährig, Frucht + Stroh*</t>
  </si>
  <si>
    <t>Kümmel, einjährig, Frucht*</t>
  </si>
  <si>
    <t>Kümmel, zweijährig, Erntejahr, Frucht + Stroh*</t>
  </si>
  <si>
    <t>Kümmel, zweijährig, Erntejahr, Frucht*</t>
  </si>
  <si>
    <t>Kümmel, zweijährig, ohne Ernte</t>
  </si>
  <si>
    <t>Lavendel, Blütenähre*</t>
  </si>
  <si>
    <t>Liebstöckel, nicht blühendes Kraut*</t>
  </si>
  <si>
    <t>Liebstöckel, Wurzel + Kraut*</t>
  </si>
  <si>
    <t>Liebstöckel, Wurzel*</t>
  </si>
  <si>
    <t>Löwenzahn, kaukasisch, Wurzel*</t>
  </si>
  <si>
    <t>Löwenzahn, Kraut*</t>
  </si>
  <si>
    <t>Mädesüß, blühendes Kraut*</t>
  </si>
  <si>
    <t>Majoran, Kraut Blühbeginn*</t>
  </si>
  <si>
    <t>Malve, blaue, blühendes Kraut*</t>
  </si>
  <si>
    <t>Malve, blaue, Blüte + Kraut*</t>
  </si>
  <si>
    <t>Malve, blaue, Blüte*</t>
  </si>
  <si>
    <t>Mariendistel, Kraut*</t>
  </si>
  <si>
    <t>Mariendistel, Samen + Kraut*</t>
  </si>
  <si>
    <t>Mariendistel, Samen*</t>
  </si>
  <si>
    <t>Meerrettich, Wurzel + Kraut*</t>
  </si>
  <si>
    <t>Meerrettich, Wurzel*</t>
  </si>
  <si>
    <t>Meisterwurz, Wurzel + Kraut*</t>
  </si>
  <si>
    <t>Meisterwurz, Wurzel*</t>
  </si>
  <si>
    <t>Melde, Kraut*</t>
  </si>
  <si>
    <t>Mohn, Samen und Kapseln + Stroh*</t>
  </si>
  <si>
    <t>Mohn, Samen und Kapseln*</t>
  </si>
  <si>
    <t>Muskatteller Salbei, blühendes Kraut*</t>
  </si>
  <si>
    <t>Mutterkraut (T. parthenium), blühendes Kraut*</t>
  </si>
  <si>
    <t>Mutterkraut, Chin. (L. jap.), blühendes Kraut*</t>
  </si>
  <si>
    <t>Nachtkerze, Samen + Stroh*</t>
  </si>
  <si>
    <t>Nachtkerze, Samen*</t>
  </si>
  <si>
    <t>Nelkenwurz, Wurzel + Kraut*</t>
  </si>
  <si>
    <t>Nelkenwurz, Wurzel*</t>
  </si>
  <si>
    <t>Odermennig, Kraut*</t>
  </si>
  <si>
    <t>Oregano (Dost), blühendes Kraut*</t>
  </si>
  <si>
    <t>Pestwurz, Blatt*</t>
  </si>
  <si>
    <t>Pestwurz, Wurzel + Blatt*</t>
  </si>
  <si>
    <t>Pestwurz, Wurzel*</t>
  </si>
  <si>
    <t>Petersilie, Blatt-, bis 1. Schnitt*</t>
  </si>
  <si>
    <t>Petersilie, Blatt-, nach einem Schnitt*</t>
  </si>
  <si>
    <t>Petersilie, Blatt-, Verarbeitung, alle Schnitte*</t>
  </si>
  <si>
    <t>Pfefferminze, Minzen, nicht blühendes Kraut*</t>
  </si>
  <si>
    <t>Ringelblume, blühendes Kraut*</t>
  </si>
  <si>
    <t>Ringelblume, Blüte + Kraut*</t>
  </si>
  <si>
    <t>Ringelblume, Blüte*</t>
  </si>
  <si>
    <t>Rosenwurz, jährl. Zuwachs, Wurzel Ernte n. 3 Jahren</t>
  </si>
  <si>
    <t>Rosmarin, nicht blühendes Kraut*</t>
  </si>
  <si>
    <t>Rotwurzelsalbei (S. miltior.), Wurzel + Kraut*</t>
  </si>
  <si>
    <t>Rotwurzelsalbei (S. miltior.), Wurzel*</t>
  </si>
  <si>
    <t>Salbei (S. officinalis), nicht blühendes Kraut*</t>
  </si>
  <si>
    <t>Saposhnikovia, Wurzel + Kraut*</t>
  </si>
  <si>
    <t>Saposhnikovia, Wurzel*</t>
  </si>
  <si>
    <t>Saussurea costus, Wurzel + Kraut*</t>
  </si>
  <si>
    <t>Saussurea costus, Wurzel*</t>
  </si>
  <si>
    <t>Schabziegerklee, blühendes Kraut*</t>
  </si>
  <si>
    <t>Schafgarbe, Blühhorizont*</t>
  </si>
  <si>
    <t>Schleifenblume, bittere, Kraut*</t>
  </si>
  <si>
    <t>Schlüsselblume, Blüte + Kraut*</t>
  </si>
  <si>
    <t>Schlüsselblume, Blüte*</t>
  </si>
  <si>
    <t>Schlüsselblume, Wurzel</t>
  </si>
  <si>
    <t>Schlüsselblume, Wurzel + Kraut*</t>
  </si>
  <si>
    <t>Schnittknoblauch, Kraut*</t>
  </si>
  <si>
    <t>Schnittlauch, bis 1. Schnitt*</t>
  </si>
  <si>
    <t>Schnittlauch, nach 1. Schnitt*</t>
  </si>
  <si>
    <t>Schnittlauch, Verarbeitung, alle Schnitte*</t>
  </si>
  <si>
    <t>Schnittlauch, Wurzel für Treiberei*</t>
  </si>
  <si>
    <t>Schöllkraut, blühendes Kraut*</t>
  </si>
  <si>
    <t>Schwarzkümmel, Samen + Stroh*</t>
  </si>
  <si>
    <t>Schwarzkümmel, Samen*</t>
  </si>
  <si>
    <t>Schwertlilie, jährl. Zuwachs, Rhizom Ernte n. 3 Jahren + Kraut*</t>
  </si>
  <si>
    <t>Schwertlilie, jährl. Zuwachs, Rhizom Ernte n. 3 Jahren*</t>
  </si>
  <si>
    <t>Sellerie, Schnitt, Kraut</t>
  </si>
  <si>
    <t>Senf, Brauner, Samen + Stroh*</t>
  </si>
  <si>
    <t>Senf, Brauner, Samen*</t>
  </si>
  <si>
    <t>Senf, Gelber/Weißer, Samen + Kraut*</t>
  </si>
  <si>
    <t>Senf, Gelber/Weißer, Samen*</t>
  </si>
  <si>
    <t>Senf, Schwarzer, Samen + Kraut*</t>
  </si>
  <si>
    <t>Senf, Schwarzer, Samen*</t>
  </si>
  <si>
    <t>Siegesbeckia, blühendes Kraut*</t>
  </si>
  <si>
    <t>Sonnenhut (E. angustifolia), blühendes Kraut*</t>
  </si>
  <si>
    <t>Sonnenhut (E. angustifolia), Wurzel + Kraut*</t>
  </si>
  <si>
    <t>Sonnenhut (E. angustifolia), Wurzel*</t>
  </si>
  <si>
    <t>Sonnenhut (E. angustifolia), Wurzel, jährl. Zuwachs + Kraut*</t>
  </si>
  <si>
    <t>Sonnenhut (E. angustifolia), Wurzel, jährl. Zuwachs*</t>
  </si>
  <si>
    <t>Sonnenhut (E. pallida), blühendes Kraut*</t>
  </si>
  <si>
    <t>Sonnenhut (E. pallida), Wurzel + Kraut*</t>
  </si>
  <si>
    <t>Sonnenhut (E. pallida), Wurzel*</t>
  </si>
  <si>
    <t>Sonnenhut (E. pallida), Wurzel, jährl. Zuwachs + Kraut*</t>
  </si>
  <si>
    <t>Sonnenhut (E. pallida), Wurzel, jährl. Zuwachs*</t>
  </si>
  <si>
    <t>Sonnenhut (E. purpurea), blühendes Kraut*</t>
  </si>
  <si>
    <t>Sonnenhut (E. purpurea), Wurzel + Kraut*</t>
  </si>
  <si>
    <t>Sonnenhut (E. purpurea), Wurzel*</t>
  </si>
  <si>
    <t>Sonnenhut (E. purpurea), Wurzel, jährl. Zuwachs + Kraut*</t>
  </si>
  <si>
    <t>Sonnenhut (E. purpurea), Wurzel, jährl. Zuwachs*</t>
  </si>
  <si>
    <t>Spitzwegerich, Kraut*</t>
  </si>
  <si>
    <t>Steinklee, Gelber, blühendes Kraut*</t>
  </si>
  <si>
    <t>Steinklee, Weißer, blühendes Kraut*</t>
  </si>
  <si>
    <t>Tausendgüldenkraut, blühendes Kraut*</t>
  </si>
  <si>
    <t>Thymian, blühendes Kraut*</t>
  </si>
  <si>
    <t>Tollkirsche, Kraut*</t>
  </si>
  <si>
    <t>Tragant, Chinesischer, Wurzel + Kraut*</t>
  </si>
  <si>
    <t>Tragant, Chinesischer, Wurzel*</t>
  </si>
  <si>
    <t>Wermut, Beifuß, nicht blühendes Kraut*</t>
  </si>
  <si>
    <t>Wiesenknopf, klein (Pimpinelle), Kraut*</t>
  </si>
  <si>
    <t>Winterheckenzwiebel</t>
  </si>
  <si>
    <t>Ysop, blühendes Kraut*</t>
  </si>
  <si>
    <t>Zitronenmelisse, nicht blühendes Kraut*</t>
  </si>
  <si>
    <t>Zitronenverbene, Kraut*</t>
  </si>
  <si>
    <t>Artischocken*</t>
  </si>
  <si>
    <t>Brunnenkresse*</t>
  </si>
  <si>
    <t>Dicke Bohne, Korn*</t>
  </si>
  <si>
    <t>Knoblauch*</t>
  </si>
  <si>
    <t>Kohlrübe*</t>
  </si>
  <si>
    <t>Koriander, Blatt*</t>
  </si>
  <si>
    <t>Kürbis Hokkaido*</t>
  </si>
  <si>
    <t>Liebstöckel*</t>
  </si>
  <si>
    <t>Majoran*</t>
  </si>
  <si>
    <t>Mangold*</t>
  </si>
  <si>
    <t>Melde*</t>
  </si>
  <si>
    <t>Melonen*</t>
  </si>
  <si>
    <t>Oregano (Dost)*</t>
  </si>
  <si>
    <t>Pak Choi*</t>
  </si>
  <si>
    <t>Pak Choi, mini*</t>
  </si>
  <si>
    <t>Paprika*</t>
  </si>
  <si>
    <t>Pfefferminze, Minzen*</t>
  </si>
  <si>
    <t>Physalis*</t>
  </si>
  <si>
    <t>Portulak, Sommer bis 1. Schnitt*</t>
  </si>
  <si>
    <t>Portulak, Sommer nach einem Schnitt*</t>
  </si>
  <si>
    <t>Portulak, Winter bis 1. Schnitt*</t>
  </si>
  <si>
    <t>Portulak, Winter nach einem Schnitt*</t>
  </si>
  <si>
    <t>Rosmarin*</t>
  </si>
  <si>
    <t>Rote Rüben, Baby Beet*</t>
  </si>
  <si>
    <t>Rote Rüben, Bund*</t>
  </si>
  <si>
    <t>Salate, Eissalat x Romana, Crunchy Cos*</t>
  </si>
  <si>
    <t>Salbei*</t>
  </si>
  <si>
    <t>Schabzigerklee*</t>
  </si>
  <si>
    <t>Schnittknoblauch*</t>
  </si>
  <si>
    <t>Sellerie, Schnitt*</t>
  </si>
  <si>
    <t>Spinat, Winter, früh*</t>
  </si>
  <si>
    <t>Spinat, Winter, spät/mittel*</t>
  </si>
  <si>
    <t>Thymian*</t>
  </si>
  <si>
    <t>Wiesenknopf, klein (Pimpinelle)*</t>
  </si>
  <si>
    <t>Zitronenmelisse*</t>
  </si>
  <si>
    <t>Zwiebel, Schalotte*</t>
  </si>
  <si>
    <t>Buschbohne</t>
  </si>
  <si>
    <t>Chircorée</t>
  </si>
  <si>
    <t>Grünkohl, Handernte, Blattt-</t>
  </si>
  <si>
    <t>Grühnkohl, Maschinenernte</t>
  </si>
  <si>
    <t>Gurke, Einleger</t>
  </si>
  <si>
    <t>Dill</t>
  </si>
  <si>
    <t>Markerbse</t>
  </si>
  <si>
    <t>Petersilie</t>
  </si>
  <si>
    <t>Persielienwurzel</t>
  </si>
  <si>
    <t>Poree</t>
  </si>
  <si>
    <t>Rettich, bund</t>
  </si>
  <si>
    <t>Rucola</t>
  </si>
  <si>
    <t>Salate, Baby Leaf</t>
  </si>
  <si>
    <t>Salate, Blatt, grün</t>
  </si>
  <si>
    <t>Rote Rüben, Baby Beat</t>
  </si>
  <si>
    <t>Rote Rüben, Bund</t>
  </si>
  <si>
    <t xml:space="preserve">Salat, Blatt, rot </t>
  </si>
  <si>
    <t>Salate, Endievie</t>
  </si>
  <si>
    <t>Salate Kopfsalat</t>
  </si>
  <si>
    <t>Salate Romana</t>
  </si>
  <si>
    <t>Salate Zuckerhut</t>
  </si>
  <si>
    <t>Salate, Mischsalat</t>
  </si>
  <si>
    <t>Schnittlauch</t>
  </si>
  <si>
    <t>Sellerie, Kollen</t>
  </si>
  <si>
    <t>Mairüben mit Laub</t>
  </si>
  <si>
    <t>Teltower Rübchen</t>
  </si>
  <si>
    <t>Spinat</t>
  </si>
  <si>
    <t>Stangenbohnen</t>
  </si>
  <si>
    <t>Weißkohl</t>
  </si>
  <si>
    <t>Zuchhini</t>
  </si>
  <si>
    <t>Zwiebel, Bund</t>
  </si>
  <si>
    <t>Nur Ackerbau 
% Ertragsanteil Leguminosen</t>
  </si>
  <si>
    <t>Gemüsevorkultur als ganze Pflanze abgefahren</t>
  </si>
  <si>
    <t>Gemüsevorkultur &gt;= 4 Wochen vor Nmin-Probe eingearbeitet</t>
  </si>
  <si>
    <t>mit Nitrat belasteste Gebiete</t>
  </si>
  <si>
    <r>
      <t xml:space="preserve">Hier müssen Sie die N-Düngung (N-Obergrenze) </t>
    </r>
    <r>
      <rPr>
        <b/>
        <i/>
        <sz val="11"/>
        <color theme="1"/>
        <rFont val="Calibri"/>
        <family val="2"/>
        <scheme val="minor"/>
      </rPr>
      <t xml:space="preserve">um 20 % reduzieren </t>
    </r>
    <r>
      <rPr>
        <i/>
        <sz val="11"/>
        <color theme="1"/>
        <rFont val="Calibri"/>
        <family val="2"/>
        <scheme val="minor"/>
      </rPr>
      <t xml:space="preserve">oder Sie düngen </t>
    </r>
    <r>
      <rPr>
        <b/>
        <i/>
        <sz val="11"/>
        <color theme="1"/>
        <rFont val="Calibri"/>
        <family val="2"/>
        <scheme val="minor"/>
      </rPr>
      <t>max. 160 kg Gesamt-N/ha und dabei max. 80 Mineraldünger-N/ha</t>
    </r>
    <r>
      <rPr>
        <i/>
        <sz val="11"/>
        <color theme="1"/>
        <rFont val="Calibri"/>
        <family val="2"/>
        <scheme val="minor"/>
      </rPr>
      <t xml:space="preserve">, jeweils im Durchschnitt der Flächen im Nitrat belasteten Gebiet (siehe Tab.blatt "Auswertung"). </t>
    </r>
  </si>
  <si>
    <r>
      <rPr>
        <b/>
        <sz val="12"/>
        <color rgb="FFFF0000"/>
        <rFont val="Calibri"/>
        <family val="2"/>
        <scheme val="minor"/>
      </rPr>
      <t>Düngebedarfsermittlung:</t>
    </r>
    <r>
      <rPr>
        <b/>
        <sz val="12"/>
        <color theme="1"/>
        <rFont val="Calibri"/>
        <family val="2"/>
        <scheme val="minor"/>
      </rPr>
      <t xml:space="preserve"> Berechnung der "standortbezogenen N-Obergrenzen" (ohne Berücksichtigung von N</t>
    </r>
    <r>
      <rPr>
        <b/>
        <vertAlign val="subscript"/>
        <sz val="12"/>
        <color theme="1"/>
        <rFont val="Calibri"/>
        <family val="2"/>
        <scheme val="minor"/>
      </rPr>
      <t>min</t>
    </r>
    <r>
      <rPr>
        <b/>
        <sz val="12"/>
        <color theme="1"/>
        <rFont val="Calibri"/>
        <family val="2"/>
        <scheme val="minor"/>
      </rPr>
      <t xml:space="preserve">) sowie der Phosphatabfuhr (als Grundlage der P-Düngebedarfsermittlung) für den Zwischen- und  Zweitfruchtbau. </t>
    </r>
  </si>
  <si>
    <t>eigene Mineraldünger 1</t>
  </si>
  <si>
    <t>eigene Mineraldünger 2</t>
  </si>
  <si>
    <t>eigene Mineraldünger 3</t>
  </si>
  <si>
    <t>eigene Mineraldünger 4</t>
  </si>
  <si>
    <r>
      <t xml:space="preserve">Eigene </t>
    </r>
    <r>
      <rPr>
        <b/>
        <sz val="11"/>
        <color theme="1"/>
        <rFont val="Calibri"/>
        <family val="2"/>
        <scheme val="minor"/>
      </rPr>
      <t xml:space="preserve">mineralische Dünger </t>
    </r>
    <r>
      <rPr>
        <sz val="11"/>
        <color theme="1"/>
        <rFont val="Calibri"/>
        <family val="2"/>
        <scheme val="minor"/>
      </rPr>
      <t>bitte nur in diese Zeilen eintragen. Nicht benötigte Düngemittel können überschrieben werden.</t>
    </r>
  </si>
  <si>
    <t>eigene organische Dünger 1</t>
  </si>
  <si>
    <t>eigene organische Dünger 2</t>
  </si>
  <si>
    <t>eigene organische Dünger 3</t>
  </si>
  <si>
    <t>eigene organische Dünger 4</t>
  </si>
  <si>
    <t xml:space="preserve">Mindest % N-Wirkung
</t>
  </si>
  <si>
    <t>Beregnungswasser</t>
  </si>
  <si>
    <r>
      <t>S kann mit dem Faktor 2,5 in SO</t>
    </r>
    <r>
      <rPr>
        <vertAlign val="subscript"/>
        <sz val="11"/>
        <color theme="7"/>
        <rFont val="Calibri"/>
        <family val="2"/>
        <scheme val="minor"/>
      </rPr>
      <t>3</t>
    </r>
    <r>
      <rPr>
        <sz val="11"/>
        <color theme="7"/>
        <rFont val="Calibri"/>
        <family val="2"/>
        <scheme val="minor"/>
      </rPr>
      <t xml:space="preserve"> umgerechnet werden (S*2,5=SO</t>
    </r>
    <r>
      <rPr>
        <vertAlign val="subscript"/>
        <sz val="11"/>
        <color theme="7"/>
        <rFont val="Calibri"/>
        <family val="2"/>
        <scheme val="minor"/>
      </rPr>
      <t>3</t>
    </r>
    <r>
      <rPr>
        <sz val="11"/>
        <color theme="7"/>
        <rFont val="Calibri"/>
        <family val="2"/>
        <scheme val="minor"/>
      </rPr>
      <t>)</t>
    </r>
  </si>
  <si>
    <t>Kuhwiese</t>
  </si>
  <si>
    <r>
      <t xml:space="preserve">Mit den folgenden Tabellenblättern mit den </t>
    </r>
    <r>
      <rPr>
        <b/>
        <sz val="12"/>
        <color theme="1"/>
        <rFont val="Calibri"/>
        <family val="2"/>
        <scheme val="minor"/>
      </rPr>
      <t>grünen</t>
    </r>
    <r>
      <rPr>
        <sz val="12"/>
        <color theme="1"/>
        <rFont val="Calibri"/>
        <family val="2"/>
        <scheme val="minor"/>
      </rPr>
      <t xml:space="preserve"> Reitern "</t>
    </r>
    <r>
      <rPr>
        <b/>
        <sz val="12"/>
        <color theme="1"/>
        <rFont val="Calibri"/>
        <family val="2"/>
        <scheme val="minor"/>
      </rPr>
      <t>DüV-N-Ackerbau</t>
    </r>
    <r>
      <rPr>
        <sz val="12"/>
        <color theme="1"/>
        <rFont val="Calibri"/>
        <family val="2"/>
        <scheme val="minor"/>
      </rPr>
      <t>", "</t>
    </r>
    <r>
      <rPr>
        <b/>
        <sz val="12"/>
        <color theme="1"/>
        <rFont val="Calibri"/>
        <family val="2"/>
        <scheme val="minor"/>
      </rPr>
      <t>DÜV-N-Gemüsebau</t>
    </r>
    <r>
      <rPr>
        <sz val="12"/>
        <color theme="1"/>
        <rFont val="Calibri"/>
        <family val="2"/>
        <scheme val="minor"/>
      </rPr>
      <t xml:space="preserve">", </t>
    </r>
    <r>
      <rPr>
        <b/>
        <sz val="12"/>
        <color theme="1"/>
        <rFont val="Calibri"/>
        <family val="2"/>
        <scheme val="minor"/>
      </rPr>
      <t>DÜV-N-Heil- &amp; Gewürz</t>
    </r>
    <r>
      <rPr>
        <sz val="12"/>
        <color theme="1"/>
        <rFont val="Calibri"/>
        <family val="2"/>
        <scheme val="minor"/>
      </rPr>
      <t>", "</t>
    </r>
    <r>
      <rPr>
        <b/>
        <sz val="12"/>
        <color theme="1"/>
        <rFont val="Calibri"/>
        <family val="2"/>
        <scheme val="minor"/>
      </rPr>
      <t>DüV-N-Zweit-Zwischenfrucht</t>
    </r>
    <r>
      <rPr>
        <sz val="12"/>
        <color theme="1"/>
        <rFont val="Calibri"/>
        <family val="2"/>
        <scheme val="minor"/>
      </rPr>
      <t>",  "</t>
    </r>
    <r>
      <rPr>
        <b/>
        <sz val="12"/>
        <color theme="1"/>
        <rFont val="Calibri"/>
        <family val="2"/>
        <scheme val="minor"/>
      </rPr>
      <t>DüV-N-Grünland", "DüV-N-Feldfutter</t>
    </r>
    <r>
      <rPr>
        <sz val="12"/>
        <color theme="1"/>
        <rFont val="Calibri"/>
        <family val="2"/>
        <scheme val="minor"/>
      </rPr>
      <t>" und "</t>
    </r>
    <r>
      <rPr>
        <b/>
        <sz val="12"/>
        <color theme="1"/>
        <rFont val="Calibri"/>
        <family val="2"/>
        <scheme val="minor"/>
      </rPr>
      <t>N-Weinbau</t>
    </r>
    <r>
      <rPr>
        <sz val="12"/>
        <color theme="1"/>
        <rFont val="Calibri"/>
        <family val="2"/>
        <scheme val="minor"/>
      </rPr>
      <t xml:space="preserve">" errechnen Sie die N-Obergrenzen und die zulässige P-Düngung für alle Kulturen des Ackerbaus, der Zweit- und Zwischenfrüchte, des Futterbaus (Feldfutter und Grünland) sowie des Weinbaus für ihre Bewirtschaftungseinheiten oder Schläge </t>
    </r>
    <r>
      <rPr>
        <b/>
        <sz val="12"/>
        <color theme="1"/>
        <rFont val="Calibri"/>
        <family val="2"/>
        <scheme val="minor"/>
      </rPr>
      <t>auf je einem Blatt</t>
    </r>
    <r>
      <rPr>
        <sz val="12"/>
        <color theme="1"/>
        <rFont val="Calibri"/>
        <family val="2"/>
        <scheme val="minor"/>
      </rPr>
      <t xml:space="preserve">.  Daneben können Sie die tatsächliche Düngung dieser Flächen dokumentieren, und bei Grünland auch den Weidegang. Dies ist die einfachste Möglichkeit, die Anforderungen der Düngeverordnung an die Bedarfsermittlung und die Aufzeichnungen der Düngung zu erfüllen.  Die Tabellenblätter mit den grünen Reitern benutzen Sie für die Planung und Dokumentation von </t>
    </r>
    <r>
      <rPr>
        <b/>
        <sz val="12"/>
        <color theme="1"/>
        <rFont val="Calibri"/>
        <family val="2"/>
        <scheme val="minor"/>
      </rPr>
      <t>Flächen in nicht mit Nitrat belasteten Gebieten</t>
    </r>
    <r>
      <rPr>
        <sz val="12"/>
        <color theme="1"/>
        <rFont val="Calibri"/>
        <family val="2"/>
        <scheme val="minor"/>
      </rPr>
      <t>, also ohne die zusätzlichen Auflagen zur Begrenzung der N-Düngung.  Die Düngebedarfsermittlung muss jeweils vor der Düngung erfolgt sein, die Aufzeichnung innerhalb von jeweils 2 Tagen nach einer Düngung. Bei vollständiger Aufzeichnung werden automatisch die notwendigen Summenbildungen durchgeführt.</t>
    </r>
  </si>
  <si>
    <r>
      <t xml:space="preserve">Bei den jeweils folgenden Tabellenblättern mit den </t>
    </r>
    <r>
      <rPr>
        <b/>
        <sz val="12"/>
        <color theme="1"/>
        <rFont val="Calibri"/>
        <family val="2"/>
        <scheme val="minor"/>
      </rPr>
      <t>roten</t>
    </r>
    <r>
      <rPr>
        <sz val="12"/>
        <color theme="1"/>
        <rFont val="Calibri"/>
        <family val="2"/>
        <scheme val="minor"/>
      </rPr>
      <t xml:space="preserve"> Reitern "</t>
    </r>
    <r>
      <rPr>
        <b/>
        <sz val="12"/>
        <color theme="1"/>
        <rFont val="Calibri"/>
        <family val="2"/>
        <scheme val="minor"/>
      </rPr>
      <t>DüV-N-Ackerbau NbG</t>
    </r>
    <r>
      <rPr>
        <sz val="12"/>
        <color theme="1"/>
        <rFont val="Calibri"/>
        <family val="2"/>
        <scheme val="minor"/>
      </rPr>
      <t>", "</t>
    </r>
    <r>
      <rPr>
        <b/>
        <sz val="12"/>
        <color theme="1"/>
        <rFont val="Calibri"/>
        <family val="2"/>
        <scheme val="minor"/>
      </rPr>
      <t>DüV-N-Gemüsebau NbG</t>
    </r>
    <r>
      <rPr>
        <sz val="12"/>
        <color theme="1"/>
        <rFont val="Calibri"/>
        <family val="2"/>
        <scheme val="minor"/>
      </rPr>
      <t>", "</t>
    </r>
    <r>
      <rPr>
        <b/>
        <sz val="12"/>
        <color theme="1"/>
        <rFont val="Calibri"/>
        <family val="2"/>
        <scheme val="minor"/>
      </rPr>
      <t>DüV-N-Heil &amp; Gewürz NbG</t>
    </r>
    <r>
      <rPr>
        <sz val="12"/>
        <color theme="1"/>
        <rFont val="Calibri"/>
        <family val="2"/>
        <scheme val="minor"/>
      </rPr>
      <t>","</t>
    </r>
    <r>
      <rPr>
        <b/>
        <sz val="12"/>
        <color theme="1"/>
        <rFont val="Calibri"/>
        <family val="2"/>
        <scheme val="minor"/>
      </rPr>
      <t>DüV-N-Zweit-Zwischenfrucht NbG</t>
    </r>
    <r>
      <rPr>
        <sz val="12"/>
        <color theme="1"/>
        <rFont val="Calibri"/>
        <family val="2"/>
        <scheme val="minor"/>
      </rPr>
      <t>", "</t>
    </r>
    <r>
      <rPr>
        <b/>
        <sz val="12"/>
        <color theme="1"/>
        <rFont val="Calibri"/>
        <family val="2"/>
        <scheme val="minor"/>
      </rPr>
      <t>DüV-N-Grünland NbG", "DüV-N-Feldfutter NbG</t>
    </r>
    <r>
      <rPr>
        <sz val="12"/>
        <color theme="1"/>
        <rFont val="Calibri"/>
        <family val="2"/>
        <scheme val="minor"/>
      </rPr>
      <t>" und "</t>
    </r>
    <r>
      <rPr>
        <b/>
        <sz val="12"/>
        <color theme="1"/>
        <rFont val="Calibri"/>
        <family val="2"/>
        <scheme val="minor"/>
      </rPr>
      <t>N-Weinbau NbG</t>
    </r>
    <r>
      <rPr>
        <sz val="12"/>
        <color theme="1"/>
        <rFont val="Calibri"/>
        <family val="2"/>
        <scheme val="minor"/>
      </rPr>
      <t xml:space="preserve">" gehen Sie entsprechend vor wie bei den  Tabellenblättern mit den grünen Reitern. Jedoch nehmen Sie hier die Planung und Dokumentation der </t>
    </r>
    <r>
      <rPr>
        <b/>
        <sz val="12"/>
        <color theme="1"/>
        <rFont val="Calibri"/>
        <family val="2"/>
        <scheme val="minor"/>
      </rPr>
      <t xml:space="preserve">Flächen in mit Nitrat belasteten Gebieten </t>
    </r>
    <r>
      <rPr>
        <sz val="12"/>
        <color theme="1"/>
        <rFont val="Calibri"/>
        <family val="2"/>
        <scheme val="minor"/>
      </rPr>
      <t xml:space="preserve">("...NbG") vor, also mit Auflagen zur Begrenzung der N-Düngung. Die Düngebedarfsermittlung muss hierbei bis zum 31. März des laufenden Jahres abgeschlossen sein (auch wenn die Düngebedarfsermittlung z.T. auf Schätzwerten beruht). </t>
    </r>
  </si>
  <si>
    <r>
      <t xml:space="preserve">Es ist vorgesehen, diese Anwendung und ihre Inhalte weiterzuentwickeln. Benutzer sollten daher von Zeit zu Zeit auf </t>
    </r>
    <r>
      <rPr>
        <u/>
        <sz val="11"/>
        <color rgb="FF1C21DA"/>
        <rFont val="Calibri"/>
        <family val="2"/>
        <scheme val="minor"/>
      </rPr>
      <t xml:space="preserve">https://www.düngeberatung.rlp.de/Duengung/Ackerbau-und-Gruenland/Ackerbau-und-Gruenland </t>
    </r>
    <r>
      <rPr>
        <sz val="11"/>
        <color theme="1"/>
        <rFont val="Calibri"/>
        <family val="2"/>
        <scheme val="minor"/>
      </rPr>
      <t xml:space="preserve">oder </t>
    </r>
    <r>
      <rPr>
        <u/>
        <sz val="11"/>
        <color rgb="FF1C21DA"/>
        <rFont val="Calibri"/>
        <family val="2"/>
        <scheme val="minor"/>
      </rPr>
      <t>www.wasserschutzberatung.rlp.de</t>
    </r>
    <r>
      <rPr>
        <sz val="11"/>
        <color theme="1"/>
        <rFont val="Calibri"/>
        <family val="2"/>
        <scheme val="minor"/>
      </rPr>
      <t xml:space="preserve"> (Rubriken: Düngung) nach der jeweils aktuellen Version schauen.  Konstruktive Verbesserungsvorschläge sind willkommen. Beachten Sie dabei aber, dass wir kein Softwarehaus sind und dass die Anwendung übersichtlich und nachvollziehbar bleiben soll. Softwareentwickler sind ausdrücklich eingeladen, die Ideen und Rechenwege dieser Anwendung zu übernehmen! Die Anwendung ist weitgehend selbsterklärend, insbesondere nach Lektüre der Merkblätter zur N-Düngebedarfsermittlung (jeweils aktuell im Internetangebot). Ich bitte daher um Verständnis, dass ich aus zeitlichen Gründen keine Anrufe mit Fragen zur Bedienung dieses Programmes oder allgemein zur Bedienung von Tabellenkalkulationen bekommen möchte. Anfragen bitte ausschließlich fachlicher Art und per E-Mail. Sie können die einzelnen Tabellenblätter nach Bedarf kopieren, aber auch löschen. Spaltenbreiten und Zeilenhöhen sind änderbar, um die Ausdrucke ggf. ihrem Drucker anpassen zu können.</t>
    </r>
  </si>
  <si>
    <r>
      <t xml:space="preserve">Wenn </t>
    </r>
    <r>
      <rPr>
        <b/>
        <sz val="11"/>
        <rFont val="Calibri"/>
        <family val="2"/>
        <scheme val="minor"/>
      </rPr>
      <t>nach Analysen die tatsächlichen Ammonium-Gehalte höher</t>
    </r>
    <r>
      <rPr>
        <sz val="11"/>
        <rFont val="Calibri"/>
        <family val="2"/>
        <scheme val="minor"/>
      </rPr>
      <t xml:space="preserve"> oder </t>
    </r>
    <r>
      <rPr>
        <b/>
        <sz val="11"/>
        <rFont val="Calibri"/>
        <family val="2"/>
        <scheme val="minor"/>
      </rPr>
      <t>niedriger</t>
    </r>
    <r>
      <rPr>
        <sz val="11"/>
        <rFont val="Calibri"/>
        <family val="2"/>
        <scheme val="minor"/>
      </rPr>
      <t xml:space="preserve"> ausfallen, werden für die </t>
    </r>
    <r>
      <rPr>
        <b/>
        <sz val="11"/>
        <rFont val="Calibri"/>
        <family val="2"/>
        <scheme val="minor"/>
      </rPr>
      <t>Herbstdüngung,</t>
    </r>
    <r>
      <rPr>
        <sz val="11"/>
        <rFont val="Calibri"/>
        <family val="2"/>
        <scheme val="minor"/>
      </rPr>
      <t xml:space="preserve"> die entsprechenden Mindest-%-N-Wirkungen</t>
    </r>
    <r>
      <rPr>
        <b/>
        <sz val="11"/>
        <rFont val="Calibri"/>
        <family val="2"/>
        <scheme val="minor"/>
      </rPr>
      <t xml:space="preserve"> </t>
    </r>
    <r>
      <rPr>
        <sz val="11"/>
        <rFont val="Calibri"/>
        <family val="2"/>
        <scheme val="minor"/>
      </rPr>
      <t xml:space="preserve">eingetragen. Dafür tragen Sie das Düngemittel unter "eigene organische Dünger" ein. 
Im </t>
    </r>
    <r>
      <rPr>
        <b/>
        <sz val="11"/>
        <rFont val="Calibri"/>
        <family val="2"/>
        <scheme val="minor"/>
      </rPr>
      <t>Frühjahr werden die Werte in Spalte D</t>
    </r>
    <r>
      <rPr>
        <sz val="11"/>
        <rFont val="Calibri"/>
        <family val="2"/>
        <scheme val="minor"/>
      </rPr>
      <t xml:space="preserve"> als Minimum angesehen. Falls durch </t>
    </r>
    <r>
      <rPr>
        <b/>
        <sz val="11"/>
        <rFont val="Calibri"/>
        <family val="2"/>
        <scheme val="minor"/>
      </rPr>
      <t xml:space="preserve">Analysen höhere Werte </t>
    </r>
    <r>
      <rPr>
        <sz val="11"/>
        <rFont val="Calibri"/>
        <family val="2"/>
        <scheme val="minor"/>
      </rPr>
      <t xml:space="preserve">vorliegen, werden diese genommen. Dafür tragen Sie das Düngemittel unter "eigene organische Dünger" ein. 
Eigene organische Dünger bitte nur in diese Zeilen eintragen. Nicht benötigte Düngemittel können überschrieben werden. Angaben zur %-N-Wirkung siehe ab Zeile 70. </t>
    </r>
  </si>
  <si>
    <t>Abfuhr kg/ha = Düngung kg/ha</t>
  </si>
  <si>
    <t xml:space="preserve">pH-Werte </t>
  </si>
  <si>
    <t>bis 8 % Humus, S</t>
  </si>
  <si>
    <t>8-15 % Humus, S</t>
  </si>
  <si>
    <t>15-30 % Humus, S</t>
  </si>
  <si>
    <t>bis 8 % Humus, ssL oder IU</t>
  </si>
  <si>
    <t>8-15 % Humus, ssL oder IU</t>
  </si>
  <si>
    <t>15-30 % Humus, ssL oder IU</t>
  </si>
  <si>
    <t>bis 8 % Humus, IS oder sU</t>
  </si>
  <si>
    <t>8-15 % Humus, IS oder sU</t>
  </si>
  <si>
    <t>15-30 % Humus, IS oder sU</t>
  </si>
  <si>
    <t>bis 8 % Humus, sL oder uL oder L</t>
  </si>
  <si>
    <t>8-15 % Humus, sL oder uL oder L</t>
  </si>
  <si>
    <t>15-30 % Humus, sL oder uL oder L</t>
  </si>
  <si>
    <t>bis 8 % Humus, utL oder  tL oder T</t>
  </si>
  <si>
    <t>8-15 % Humus, utL oder  tL oder T</t>
  </si>
  <si>
    <t>15-30 % Humus, utL oder  tL oder T</t>
  </si>
  <si>
    <t>CaO</t>
  </si>
  <si>
    <t>Humus und Boden</t>
  </si>
  <si>
    <t>pH-Wert</t>
  </si>
  <si>
    <r>
      <t>CaCO</t>
    </r>
    <r>
      <rPr>
        <b/>
        <vertAlign val="subscript"/>
        <sz val="12"/>
        <color theme="1"/>
        <rFont val="Calibri"/>
        <family val="2"/>
        <scheme val="minor"/>
      </rPr>
      <t>3</t>
    </r>
    <r>
      <rPr>
        <b/>
        <sz val="12"/>
        <color theme="1"/>
        <rFont val="Calibri"/>
        <family val="2"/>
        <scheme val="minor"/>
      </rPr>
      <t>*0,56=CaO</t>
    </r>
  </si>
  <si>
    <r>
      <t>CaO/0,56=CaCO</t>
    </r>
    <r>
      <rPr>
        <b/>
        <vertAlign val="subscript"/>
        <sz val="12"/>
        <color theme="1"/>
        <rFont val="Calibri"/>
        <family val="2"/>
        <scheme val="minor"/>
      </rPr>
      <t>3</t>
    </r>
  </si>
  <si>
    <t>Boden-Erhaltungskalkung kg/ha CaO</t>
  </si>
  <si>
    <r>
      <t>Boden-Erhaltungskalkung kg/ha CaCO</t>
    </r>
    <r>
      <rPr>
        <b/>
        <vertAlign val="subscript"/>
        <sz val="12"/>
        <color theme="5"/>
        <rFont val="Calibri"/>
        <family val="2"/>
        <scheme val="minor"/>
      </rPr>
      <t>3</t>
    </r>
  </si>
  <si>
    <r>
      <t>Neben Dünger mit Calciumoxid und Calciumcarbonat haben auch magensiumhaltige Düngemittel eine basische Wirkung und können den pH-Wert anheben. Faustformeln zu einer weiteren Ermittlung sind folgende: CaO/1,40= 1kg MgO, CaO/0,66= 1kg MgCO</t>
    </r>
    <r>
      <rPr>
        <b/>
        <vertAlign val="subscript"/>
        <sz val="12"/>
        <color theme="5" tint="0.59999389629810485"/>
        <rFont val="Calibri"/>
        <family val="2"/>
        <scheme val="minor"/>
      </rPr>
      <t xml:space="preserve">3. </t>
    </r>
  </si>
  <si>
    <t>Bedarf  kg N/ha</t>
  </si>
  <si>
    <t xml:space="preserve">
% Ertragsanteil Leguminosen</t>
  </si>
  <si>
    <r>
      <t>max. N</t>
    </r>
    <r>
      <rPr>
        <b/>
        <sz val="9"/>
        <rFont val="Calibri"/>
        <family val="2"/>
        <scheme val="minor"/>
      </rPr>
      <t>min</t>
    </r>
    <r>
      <rPr>
        <b/>
        <sz val="11"/>
        <rFont val="Calibri"/>
        <family val="2"/>
        <scheme val="minor"/>
      </rPr>
      <t>-Tiefe in cm</t>
    </r>
  </si>
  <si>
    <r>
      <t>Gemüse nach Gemüse kg N</t>
    </r>
    <r>
      <rPr>
        <b/>
        <vertAlign val="subscript"/>
        <sz val="12"/>
        <rFont val="Calibri"/>
        <family val="2"/>
        <scheme val="minor"/>
      </rPr>
      <t>min</t>
    </r>
  </si>
  <si>
    <t>Zweit- und Zwischenfrucht-Kulturen mit N-Bedarfsermittlung (Gemüsebau, H&amp;G)</t>
  </si>
  <si>
    <t>Bedarf kg N/ha</t>
  </si>
  <si>
    <t xml:space="preserve">Zweitfrüchte </t>
  </si>
  <si>
    <t xml:space="preserve">Zwischenfrüchte </t>
  </si>
  <si>
    <t>ha Heil- und Gewürzpflanzen</t>
  </si>
  <si>
    <t xml:space="preserve">3. Entweder halten Sie diese Regelung ein oder sie halten die Regelung nach Punkt 2 ein. </t>
  </si>
  <si>
    <t>Ja</t>
  </si>
  <si>
    <t>Version 2.1                                    1. Dezember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</si>
</sst>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164" formatCode="_-* #,##0.00\ _€_-;\-* #,##0.00\ _€_-;_-* &quot;-&quot;??\ _€_-;_-@_-"/>
    <numFmt numFmtId="165" formatCode="0.0"/>
    <numFmt numFmtId="166" formatCode="#,##0_ ;\-#,##0\ "/>
    <numFmt numFmtId="167" formatCode="0.000"/>
    <numFmt numFmtId="168" formatCode="0.0000"/>
    <numFmt numFmtId="169" formatCode="dd/mm/yy;@"/>
    <numFmt numFmtId="170" formatCode="_-* #,##0\ _€_-;\-* #,##0\ _€_-;_-* &quot;-&quot;??\ _€_-;_-@_-"/>
    <numFmt numFmtId="171" formatCode="#,##0.0"/>
  </numFmts>
  <fonts count="191">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sz val="8"/>
      <color theme="1"/>
      <name val="Calibri"/>
      <family val="2"/>
      <scheme val="minor"/>
    </font>
    <font>
      <b/>
      <sz val="11"/>
      <name val="Calibri"/>
      <family val="2"/>
      <scheme val="minor"/>
    </font>
    <font>
      <b/>
      <sz val="12"/>
      <color rgb="FF0070C0"/>
      <name val="Calibri"/>
      <family val="2"/>
      <scheme val="minor"/>
    </font>
    <font>
      <b/>
      <vertAlign val="subscript"/>
      <sz val="11"/>
      <color theme="1"/>
      <name val="Calibri"/>
      <family val="2"/>
      <scheme val="minor"/>
    </font>
    <font>
      <b/>
      <sz val="8"/>
      <color theme="1"/>
      <name val="Calibri"/>
      <family val="2"/>
      <scheme val="minor"/>
    </font>
    <font>
      <sz val="9"/>
      <color theme="1"/>
      <name val="Calibri"/>
      <family val="2"/>
      <scheme val="minor"/>
    </font>
    <font>
      <vertAlign val="subscript"/>
      <sz val="11"/>
      <color theme="1"/>
      <name val="Calibri"/>
      <family val="2"/>
      <scheme val="minor"/>
    </font>
    <font>
      <b/>
      <sz val="12"/>
      <name val="Calibri"/>
      <family val="2"/>
      <scheme val="minor"/>
    </font>
    <font>
      <b/>
      <vertAlign val="subscript"/>
      <sz val="12"/>
      <name val="Calibri"/>
      <family val="2"/>
      <scheme val="minor"/>
    </font>
    <font>
      <b/>
      <sz val="9"/>
      <color theme="1"/>
      <name val="Calibri"/>
      <family val="2"/>
      <scheme val="minor"/>
    </font>
    <font>
      <b/>
      <sz val="10"/>
      <color rgb="FFFF0000"/>
      <name val="Calibri"/>
      <family val="2"/>
      <scheme val="minor"/>
    </font>
    <font>
      <b/>
      <sz val="11"/>
      <color rgb="FFFF0000"/>
      <name val="Calibri"/>
      <family val="2"/>
      <scheme val="minor"/>
    </font>
    <font>
      <sz val="7"/>
      <color theme="1"/>
      <name val="Calibri"/>
      <family val="2"/>
      <scheme val="minor"/>
    </font>
    <font>
      <vertAlign val="subscript"/>
      <sz val="7"/>
      <color theme="1"/>
      <name val="Calibri"/>
      <family val="2"/>
      <scheme val="minor"/>
    </font>
    <font>
      <b/>
      <sz val="12"/>
      <color theme="1"/>
      <name val="Calibri"/>
      <family val="2"/>
      <scheme val="minor"/>
    </font>
    <font>
      <b/>
      <sz val="12"/>
      <color theme="4"/>
      <name val="Calibri"/>
      <family val="2"/>
      <scheme val="minor"/>
    </font>
    <font>
      <b/>
      <sz val="8"/>
      <color rgb="FFFF0000"/>
      <name val="Calibri"/>
      <family val="2"/>
      <scheme val="minor"/>
    </font>
    <font>
      <sz val="11"/>
      <color rgb="FFFF0000"/>
      <name val="Calibri"/>
      <family val="2"/>
      <scheme val="minor"/>
    </font>
    <font>
      <b/>
      <sz val="13"/>
      <color theme="1"/>
      <name val="Calibri"/>
      <family val="2"/>
      <scheme val="minor"/>
    </font>
    <font>
      <sz val="11"/>
      <name val="Calibri"/>
      <family val="2"/>
      <scheme val="minor"/>
    </font>
    <font>
      <b/>
      <sz val="16"/>
      <color theme="1"/>
      <name val="Calibri"/>
      <family val="2"/>
      <scheme val="minor"/>
    </font>
    <font>
      <b/>
      <i/>
      <sz val="11"/>
      <color rgb="FFFF0000"/>
      <name val="Calibri"/>
      <family val="2"/>
      <scheme val="minor"/>
    </font>
    <font>
      <b/>
      <sz val="10"/>
      <color theme="1"/>
      <name val="Calibri"/>
      <family val="2"/>
      <scheme val="minor"/>
    </font>
    <font>
      <sz val="12"/>
      <color theme="1"/>
      <name val="Calibri"/>
      <family val="2"/>
      <scheme val="minor"/>
    </font>
    <font>
      <sz val="11"/>
      <color theme="1" tint="0.34998626667073579"/>
      <name val="Calibri"/>
      <family val="2"/>
      <scheme val="minor"/>
    </font>
    <font>
      <b/>
      <sz val="8"/>
      <name val="Calibri"/>
      <family val="2"/>
      <scheme val="minor"/>
    </font>
    <font>
      <sz val="7"/>
      <name val="Calibri"/>
      <family val="2"/>
      <scheme val="minor"/>
    </font>
    <font>
      <vertAlign val="subscript"/>
      <sz val="7"/>
      <name val="Calibri"/>
      <family val="2"/>
      <scheme val="minor"/>
    </font>
    <font>
      <b/>
      <sz val="12"/>
      <color rgb="FFFF0000"/>
      <name val="Calibri"/>
      <family val="2"/>
      <scheme val="minor"/>
    </font>
    <font>
      <b/>
      <sz val="9"/>
      <color theme="1"/>
      <name val="Arial"/>
      <family val="2"/>
    </font>
    <font>
      <sz val="12"/>
      <color rgb="FFFF0000"/>
      <name val="Calibri"/>
      <family val="2"/>
      <scheme val="minor"/>
    </font>
    <font>
      <sz val="11"/>
      <color theme="1"/>
      <name val="Calibri"/>
      <family val="2"/>
      <scheme val="minor"/>
    </font>
    <font>
      <b/>
      <sz val="12"/>
      <color theme="3"/>
      <name val="Calibri"/>
      <family val="2"/>
      <scheme val="minor"/>
    </font>
    <font>
      <u/>
      <sz val="11"/>
      <color theme="10"/>
      <name val="Calibri"/>
      <family val="2"/>
      <scheme val="minor"/>
    </font>
    <font>
      <b/>
      <vertAlign val="subscript"/>
      <sz val="12"/>
      <color theme="1"/>
      <name val="Calibri"/>
      <family val="2"/>
      <scheme val="minor"/>
    </font>
    <font>
      <sz val="12"/>
      <name val="Calibri"/>
      <family val="2"/>
      <scheme val="minor"/>
    </font>
    <font>
      <sz val="14"/>
      <color theme="1"/>
      <name val="Calibri"/>
      <family val="2"/>
      <scheme val="minor"/>
    </font>
    <font>
      <b/>
      <sz val="12"/>
      <color rgb="FF002060"/>
      <name val="Calibri"/>
      <family val="2"/>
      <scheme val="minor"/>
    </font>
    <font>
      <sz val="12"/>
      <color rgb="FF002060"/>
      <name val="Calibri"/>
      <family val="2"/>
      <scheme val="minor"/>
    </font>
    <font>
      <b/>
      <sz val="11"/>
      <color rgb="FF002060"/>
      <name val="Calibri"/>
      <family val="2"/>
      <scheme val="minor"/>
    </font>
    <font>
      <sz val="11"/>
      <color rgb="FF002060"/>
      <name val="Calibri"/>
      <family val="2"/>
      <scheme val="minor"/>
    </font>
    <font>
      <b/>
      <sz val="14"/>
      <name val="Calibri"/>
      <family val="2"/>
      <scheme val="minor"/>
    </font>
    <font>
      <vertAlign val="subscript"/>
      <sz val="10"/>
      <color theme="1"/>
      <name val="Calibri"/>
      <family val="2"/>
      <scheme val="minor"/>
    </font>
    <font>
      <sz val="14"/>
      <color rgb="FFFF0000"/>
      <name val="Calibri"/>
      <family val="2"/>
      <scheme val="minor"/>
    </font>
    <font>
      <b/>
      <sz val="14"/>
      <color rgb="FFFF0000"/>
      <name val="Calibri"/>
      <family val="2"/>
      <scheme val="minor"/>
    </font>
    <font>
      <b/>
      <sz val="10"/>
      <color rgb="FF0070C0"/>
      <name val="Calibri"/>
      <family val="2"/>
      <scheme val="minor"/>
    </font>
    <font>
      <b/>
      <sz val="11"/>
      <color rgb="FF0070C0"/>
      <name val="Calibri"/>
      <family val="2"/>
      <scheme val="minor"/>
    </font>
    <font>
      <sz val="11"/>
      <color rgb="FF0070C0"/>
      <name val="Calibri"/>
      <family val="2"/>
      <scheme val="minor"/>
    </font>
    <font>
      <b/>
      <sz val="10"/>
      <name val="Calibri"/>
      <family val="2"/>
      <scheme val="minor"/>
    </font>
    <font>
      <sz val="10"/>
      <name val="Calibri"/>
      <family val="2"/>
      <scheme val="minor"/>
    </font>
    <font>
      <b/>
      <i/>
      <sz val="16"/>
      <color theme="3"/>
      <name val="Calibri"/>
      <family val="2"/>
      <scheme val="minor"/>
    </font>
    <font>
      <b/>
      <vertAlign val="subscript"/>
      <sz val="11"/>
      <name val="Calibri"/>
      <family val="2"/>
      <scheme val="minor"/>
    </font>
    <font>
      <sz val="10"/>
      <color theme="0" tint="-0.14999847407452621"/>
      <name val="Calibri"/>
      <family val="2"/>
      <scheme val="minor"/>
    </font>
    <font>
      <sz val="9"/>
      <name val="Calibri"/>
      <family val="2"/>
      <scheme val="minor"/>
    </font>
    <font>
      <sz val="11"/>
      <color theme="0" tint="-0.249977111117893"/>
      <name val="Calibri"/>
      <family val="2"/>
      <scheme val="minor"/>
    </font>
    <font>
      <b/>
      <sz val="11"/>
      <color theme="0" tint="-0.249977111117893"/>
      <name val="Calibri"/>
      <family val="2"/>
      <scheme val="minor"/>
    </font>
    <font>
      <b/>
      <i/>
      <sz val="12"/>
      <color rgb="FFFF0000"/>
      <name val="Calibri"/>
      <family val="2"/>
      <scheme val="minor"/>
    </font>
    <font>
      <sz val="10"/>
      <color theme="0" tint="-0.249977111117893"/>
      <name val="Calibri"/>
      <family val="2"/>
      <scheme val="minor"/>
    </font>
    <font>
      <b/>
      <sz val="20"/>
      <color theme="1"/>
      <name val="Calibri"/>
      <family val="2"/>
      <scheme val="minor"/>
    </font>
    <font>
      <sz val="20"/>
      <color theme="1"/>
      <name val="Calibri"/>
      <family val="2"/>
      <scheme val="minor"/>
    </font>
    <font>
      <vertAlign val="subscript"/>
      <sz val="11"/>
      <name val="Calibri"/>
      <family val="2"/>
      <scheme val="minor"/>
    </font>
    <font>
      <vertAlign val="subscript"/>
      <sz val="9"/>
      <name val="Calibri"/>
      <family val="2"/>
      <scheme val="minor"/>
    </font>
    <font>
      <vertAlign val="subscript"/>
      <sz val="9"/>
      <color theme="1"/>
      <name val="Calibri"/>
      <family val="2"/>
      <scheme val="minor"/>
    </font>
    <font>
      <b/>
      <sz val="9"/>
      <color rgb="FF0070C0"/>
      <name val="Calibri"/>
      <family val="2"/>
      <scheme val="minor"/>
    </font>
    <font>
      <b/>
      <sz val="12"/>
      <color theme="1" tint="0.499984740745262"/>
      <name val="Calibri"/>
      <family val="2"/>
      <scheme val="minor"/>
    </font>
    <font>
      <b/>
      <sz val="11"/>
      <color theme="1" tint="0.499984740745262"/>
      <name val="Calibri"/>
      <family val="2"/>
      <scheme val="minor"/>
    </font>
    <font>
      <b/>
      <sz val="11"/>
      <color theme="3" tint="0.39997558519241921"/>
      <name val="Calibri"/>
      <family val="2"/>
      <scheme val="minor"/>
    </font>
    <font>
      <sz val="11"/>
      <color theme="1" tint="0.499984740745262"/>
      <name val="Calibri"/>
      <family val="2"/>
      <scheme val="minor"/>
    </font>
    <font>
      <vertAlign val="subscript"/>
      <sz val="11"/>
      <color theme="1" tint="0.499984740745262"/>
      <name val="Calibri"/>
      <family val="2"/>
      <scheme val="minor"/>
    </font>
    <font>
      <sz val="12"/>
      <color theme="1" tint="0.499984740745262"/>
      <name val="Calibri"/>
      <family val="2"/>
      <scheme val="minor"/>
    </font>
    <font>
      <b/>
      <sz val="12"/>
      <color theme="6" tint="-0.249977111117893"/>
      <name val="Calibri"/>
      <family val="2"/>
      <scheme val="minor"/>
    </font>
    <font>
      <b/>
      <vertAlign val="subscript"/>
      <sz val="12"/>
      <color theme="6" tint="-0.249977111117893"/>
      <name val="Calibri"/>
      <family val="2"/>
      <scheme val="minor"/>
    </font>
    <font>
      <sz val="11"/>
      <color theme="6" tint="-0.249977111117893"/>
      <name val="Calibri"/>
      <family val="2"/>
      <scheme val="minor"/>
    </font>
    <font>
      <b/>
      <sz val="10"/>
      <color theme="6" tint="-0.249977111117893"/>
      <name val="Calibri"/>
      <family val="2"/>
      <scheme val="minor"/>
    </font>
    <font>
      <b/>
      <sz val="11"/>
      <color theme="4"/>
      <name val="Calibri"/>
      <family val="2"/>
      <scheme val="minor"/>
    </font>
    <font>
      <b/>
      <vertAlign val="subscript"/>
      <sz val="12"/>
      <color rgb="FFFF0000"/>
      <name val="Calibri"/>
      <family val="2"/>
      <scheme val="minor"/>
    </font>
    <font>
      <b/>
      <vertAlign val="subscript"/>
      <sz val="12"/>
      <color rgb="FF0070C0"/>
      <name val="Calibri"/>
      <family val="2"/>
      <scheme val="minor"/>
    </font>
    <font>
      <b/>
      <sz val="9"/>
      <color theme="6" tint="-0.249977111117893"/>
      <name val="Calibri"/>
      <family val="2"/>
      <scheme val="minor"/>
    </font>
    <font>
      <sz val="14"/>
      <name val="Calibri"/>
      <family val="2"/>
      <scheme val="minor"/>
    </font>
    <font>
      <vertAlign val="subscript"/>
      <sz val="14"/>
      <name val="Calibri"/>
      <family val="2"/>
      <scheme val="minor"/>
    </font>
    <font>
      <b/>
      <vertAlign val="subscript"/>
      <sz val="14"/>
      <color rgb="FFFF0000"/>
      <name val="Calibri"/>
      <family val="2"/>
      <scheme val="minor"/>
    </font>
    <font>
      <b/>
      <vertAlign val="subscript"/>
      <sz val="12"/>
      <color rgb="FF002060"/>
      <name val="Calibri"/>
      <family val="2"/>
      <scheme val="minor"/>
    </font>
    <font>
      <sz val="12"/>
      <color rgb="FF0070C0"/>
      <name val="Calibri"/>
      <family val="2"/>
      <scheme val="minor"/>
    </font>
    <font>
      <sz val="12"/>
      <color theme="6" tint="-0.499984740745262"/>
      <name val="Calibri"/>
      <family val="2"/>
      <scheme val="minor"/>
    </font>
    <font>
      <vertAlign val="subscript"/>
      <sz val="12"/>
      <color theme="1"/>
      <name val="Calibri"/>
      <family val="2"/>
      <scheme val="minor"/>
    </font>
    <font>
      <sz val="12"/>
      <color theme="7"/>
      <name val="Calibri"/>
      <family val="2"/>
      <scheme val="minor"/>
    </font>
    <font>
      <sz val="12"/>
      <color rgb="FF7030A0"/>
      <name val="Calibri"/>
      <family val="2"/>
      <scheme val="minor"/>
    </font>
    <font>
      <b/>
      <sz val="10"/>
      <color theme="3"/>
      <name val="Calibri"/>
      <family val="2"/>
      <scheme val="minor"/>
    </font>
    <font>
      <sz val="8"/>
      <name val="Calibri"/>
      <family val="2"/>
      <scheme val="minor"/>
    </font>
    <font>
      <sz val="11"/>
      <color theme="4"/>
      <name val="Calibri"/>
      <family val="2"/>
      <scheme val="minor"/>
    </font>
    <font>
      <sz val="12"/>
      <color theme="0" tint="-0.249977111117893"/>
      <name val="Calibri"/>
      <family val="2"/>
      <scheme val="minor"/>
    </font>
    <font>
      <sz val="12"/>
      <color theme="4"/>
      <name val="Calibri"/>
      <family val="2"/>
      <scheme val="minor"/>
    </font>
    <font>
      <vertAlign val="subscript"/>
      <sz val="12"/>
      <name val="Calibri"/>
      <family val="2"/>
      <scheme val="minor"/>
    </font>
    <font>
      <vertAlign val="subscript"/>
      <sz val="12"/>
      <color theme="0" tint="-0.249977111117893"/>
      <name val="Calibri"/>
      <family val="2"/>
      <scheme val="minor"/>
    </font>
    <font>
      <b/>
      <sz val="11"/>
      <color theme="0"/>
      <name val="Calibri"/>
      <family val="2"/>
      <scheme val="minor"/>
    </font>
    <font>
      <sz val="11"/>
      <color theme="0"/>
      <name val="Calibri"/>
      <family val="2"/>
      <scheme val="minor"/>
    </font>
    <font>
      <b/>
      <sz val="11"/>
      <color theme="0" tint="-0.499984740745262"/>
      <name val="Calibri"/>
      <family val="2"/>
      <scheme val="minor"/>
    </font>
    <font>
      <b/>
      <sz val="12"/>
      <color theme="0"/>
      <name val="Calibri"/>
      <family val="2"/>
      <scheme val="minor"/>
    </font>
    <font>
      <b/>
      <sz val="12"/>
      <color rgb="FF222E9E"/>
      <name val="Calibri"/>
      <family val="2"/>
      <scheme val="minor"/>
    </font>
    <font>
      <b/>
      <sz val="10"/>
      <color rgb="FF222E9E"/>
      <name val="Calibri"/>
      <family val="2"/>
      <scheme val="minor"/>
    </font>
    <font>
      <b/>
      <vertAlign val="subscript"/>
      <sz val="12"/>
      <color rgb="FF222E9E"/>
      <name val="Calibri"/>
      <family val="2"/>
      <scheme val="minor"/>
    </font>
    <font>
      <b/>
      <sz val="11"/>
      <color rgb="FF222E9E"/>
      <name val="Calibri"/>
      <family val="2"/>
      <scheme val="minor"/>
    </font>
    <font>
      <b/>
      <sz val="11"/>
      <color theme="3"/>
      <name val="Calibri"/>
      <family val="2"/>
      <scheme val="minor"/>
    </font>
    <font>
      <b/>
      <sz val="12"/>
      <color theme="7"/>
      <name val="Calibri"/>
      <family val="2"/>
      <scheme val="minor"/>
    </font>
    <font>
      <sz val="11"/>
      <color theme="3"/>
      <name val="Calibri"/>
      <family val="2"/>
      <scheme val="minor"/>
    </font>
    <font>
      <b/>
      <i/>
      <sz val="12"/>
      <color theme="1" tint="0.249977111117893"/>
      <name val="Calibri"/>
      <family val="2"/>
      <scheme val="minor"/>
    </font>
    <font>
      <b/>
      <vertAlign val="subscript"/>
      <sz val="14"/>
      <color theme="1"/>
      <name val="Calibri"/>
      <family val="2"/>
      <scheme val="minor"/>
    </font>
    <font>
      <b/>
      <sz val="12"/>
      <color theme="5" tint="-0.249977111117893"/>
      <name val="Calibri"/>
      <family val="2"/>
      <scheme val="minor"/>
    </font>
    <font>
      <b/>
      <vertAlign val="subscript"/>
      <sz val="12"/>
      <color theme="5" tint="-0.249977111117893"/>
      <name val="Calibri"/>
      <family val="2"/>
      <scheme val="minor"/>
    </font>
    <font>
      <sz val="16"/>
      <color theme="1"/>
      <name val="Calibri"/>
      <family val="2"/>
      <scheme val="minor"/>
    </font>
    <font>
      <i/>
      <sz val="14"/>
      <color theme="1"/>
      <name val="Calibri"/>
      <family val="2"/>
      <scheme val="minor"/>
    </font>
    <font>
      <b/>
      <sz val="14"/>
      <color theme="5" tint="-0.249977111117893"/>
      <name val="Calibri"/>
      <family val="2"/>
      <scheme val="minor"/>
    </font>
    <font>
      <b/>
      <sz val="12"/>
      <color theme="6" tint="-0.499984740745262"/>
      <name val="Calibri"/>
      <family val="2"/>
      <scheme val="minor"/>
    </font>
    <font>
      <b/>
      <sz val="12"/>
      <color rgb="FF1C21DA"/>
      <name val="Calibri"/>
      <family val="2"/>
      <scheme val="minor"/>
    </font>
    <font>
      <b/>
      <sz val="14"/>
      <color rgb="FF1C21DA"/>
      <name val="Calibri"/>
      <family val="2"/>
      <scheme val="minor"/>
    </font>
    <font>
      <sz val="11"/>
      <color theme="6" tint="-0.499984740745262"/>
      <name val="Calibri"/>
      <family val="2"/>
      <scheme val="minor"/>
    </font>
    <font>
      <b/>
      <i/>
      <sz val="14"/>
      <color theme="1"/>
      <name val="Calibri"/>
      <family val="2"/>
      <scheme val="minor"/>
    </font>
    <font>
      <i/>
      <sz val="12"/>
      <color theme="1"/>
      <name val="Calibri"/>
      <family val="2"/>
      <scheme val="minor"/>
    </font>
    <font>
      <b/>
      <i/>
      <sz val="12"/>
      <color theme="1"/>
      <name val="Calibri"/>
      <family val="2"/>
      <scheme val="minor"/>
    </font>
    <font>
      <b/>
      <sz val="11"/>
      <color rgb="FF1C21DA"/>
      <name val="Calibri"/>
      <family val="2"/>
      <scheme val="minor"/>
    </font>
    <font>
      <b/>
      <sz val="14"/>
      <color rgb="FF002060"/>
      <name val="Calibri"/>
      <family val="2"/>
      <scheme val="minor"/>
    </font>
    <font>
      <b/>
      <vertAlign val="subscript"/>
      <sz val="14"/>
      <color rgb="FF002060"/>
      <name val="Calibri"/>
      <family val="2"/>
      <scheme val="minor"/>
    </font>
    <font>
      <b/>
      <i/>
      <sz val="14"/>
      <color theme="6" tint="-0.499984740745262"/>
      <name val="Calibri"/>
      <family val="2"/>
      <scheme val="minor"/>
    </font>
    <font>
      <b/>
      <i/>
      <sz val="11"/>
      <color theme="6" tint="-0.499984740745262"/>
      <name val="Calibri"/>
      <family val="2"/>
      <scheme val="minor"/>
    </font>
    <font>
      <b/>
      <i/>
      <sz val="13"/>
      <color theme="6" tint="-0.499984740745262"/>
      <name val="Calibri"/>
      <family val="2"/>
      <scheme val="minor"/>
    </font>
    <font>
      <b/>
      <sz val="13"/>
      <name val="Calibri"/>
      <family val="2"/>
      <scheme val="minor"/>
    </font>
    <font>
      <sz val="13"/>
      <color theme="1"/>
      <name val="Calibri"/>
      <family val="2"/>
      <scheme val="minor"/>
    </font>
    <font>
      <b/>
      <sz val="11"/>
      <color theme="9" tint="-0.249977111117893"/>
      <name val="Calibri"/>
      <family val="2"/>
      <scheme val="minor"/>
    </font>
    <font>
      <sz val="11"/>
      <color theme="9" tint="-0.249977111117893"/>
      <name val="Calibri"/>
      <family val="2"/>
      <scheme val="minor"/>
    </font>
    <font>
      <b/>
      <sz val="10"/>
      <color rgb="FF1C21DA"/>
      <name val="Calibri"/>
      <family val="2"/>
      <scheme val="minor"/>
    </font>
    <font>
      <b/>
      <sz val="20"/>
      <name val="Calibri"/>
      <family val="2"/>
      <scheme val="minor"/>
    </font>
    <font>
      <b/>
      <i/>
      <sz val="18"/>
      <color rgb="FF7030A0"/>
      <name val="Calibri"/>
      <family val="2"/>
      <scheme val="minor"/>
    </font>
    <font>
      <b/>
      <i/>
      <sz val="12"/>
      <color theme="5" tint="-0.249977111117893"/>
      <name val="Calibri"/>
      <family val="2"/>
      <scheme val="minor"/>
    </font>
    <font>
      <b/>
      <i/>
      <sz val="12"/>
      <name val="Calibri"/>
      <family val="2"/>
      <scheme val="minor"/>
    </font>
    <font>
      <b/>
      <i/>
      <sz val="14"/>
      <color rgb="FFC00000"/>
      <name val="Calibri"/>
      <family val="2"/>
      <scheme val="minor"/>
    </font>
    <font>
      <sz val="11"/>
      <color rgb="FFC00000"/>
      <name val="Calibri"/>
      <family val="2"/>
      <scheme val="minor"/>
    </font>
    <font>
      <b/>
      <sz val="14"/>
      <color rgb="FFC00000"/>
      <name val="Calibri"/>
      <family val="2"/>
      <scheme val="minor"/>
    </font>
    <font>
      <b/>
      <sz val="11"/>
      <color rgb="FFC00000"/>
      <name val="Calibri"/>
      <family val="2"/>
      <scheme val="minor"/>
    </font>
    <font>
      <b/>
      <sz val="11"/>
      <color theme="1" tint="0.14999847407452621"/>
      <name val="Calibri"/>
      <family val="2"/>
      <scheme val="minor"/>
    </font>
    <font>
      <b/>
      <sz val="12"/>
      <color theme="1" tint="0.14999847407452621"/>
      <name val="Calibri"/>
      <family val="2"/>
      <scheme val="minor"/>
    </font>
    <font>
      <sz val="12"/>
      <color theme="1" tint="0.14999847407452621"/>
      <name val="Calibri"/>
      <family val="2"/>
      <scheme val="minor"/>
    </font>
    <font>
      <b/>
      <i/>
      <sz val="12"/>
      <color rgb="FF1C21DA"/>
      <name val="Calibri"/>
      <family val="2"/>
      <scheme val="minor"/>
    </font>
    <font>
      <b/>
      <i/>
      <sz val="13"/>
      <color rgb="FF1C21DA"/>
      <name val="Calibri"/>
      <family val="2"/>
      <scheme val="minor"/>
    </font>
    <font>
      <vertAlign val="subscript"/>
      <sz val="12"/>
      <color theme="1" tint="0.14999847407452621"/>
      <name val="Calibri"/>
      <family val="2"/>
      <scheme val="minor"/>
    </font>
    <font>
      <b/>
      <vertAlign val="subscript"/>
      <sz val="12"/>
      <color theme="1" tint="0.14999847407452621"/>
      <name val="Calibri"/>
      <family val="2"/>
      <scheme val="minor"/>
    </font>
    <font>
      <b/>
      <sz val="14"/>
      <color theme="1" tint="0.14999847407452621"/>
      <name val="Calibri"/>
      <family val="2"/>
      <scheme val="minor"/>
    </font>
    <font>
      <b/>
      <sz val="9"/>
      <color theme="1" tint="0.14999847407452621"/>
      <name val="Calibri"/>
      <family val="2"/>
      <scheme val="minor"/>
    </font>
    <font>
      <sz val="9"/>
      <color theme="1" tint="0.14999847407452621"/>
      <name val="Calibri"/>
      <family val="2"/>
      <scheme val="minor"/>
    </font>
    <font>
      <sz val="11"/>
      <color theme="2" tint="-0.749992370372631"/>
      <name val="Calibri"/>
      <family val="2"/>
      <scheme val="minor"/>
    </font>
    <font>
      <b/>
      <i/>
      <sz val="10"/>
      <color theme="2" tint="-0.749992370372631"/>
      <name val="Calibri"/>
      <family val="2"/>
      <scheme val="minor"/>
    </font>
    <font>
      <b/>
      <i/>
      <vertAlign val="subscript"/>
      <sz val="10"/>
      <color theme="2" tint="-0.749992370372631"/>
      <name val="Calibri"/>
      <family val="2"/>
      <scheme val="minor"/>
    </font>
    <font>
      <b/>
      <i/>
      <sz val="14"/>
      <color theme="2" tint="-0.749992370372631"/>
      <name val="Calibri"/>
      <family val="2"/>
      <scheme val="minor"/>
    </font>
    <font>
      <sz val="11"/>
      <color rgb="FF1C21DA"/>
      <name val="Calibri"/>
      <family val="2"/>
      <scheme val="minor"/>
    </font>
    <font>
      <b/>
      <vertAlign val="subscript"/>
      <sz val="10"/>
      <color theme="1"/>
      <name val="Calibri"/>
      <family val="2"/>
      <scheme val="minor"/>
    </font>
    <font>
      <b/>
      <vertAlign val="subscript"/>
      <sz val="11"/>
      <color rgb="FF002060"/>
      <name val="Calibri"/>
      <family val="2"/>
      <scheme val="minor"/>
    </font>
    <font>
      <b/>
      <vertAlign val="subscript"/>
      <sz val="14"/>
      <name val="Calibri"/>
      <family val="2"/>
      <scheme val="minor"/>
    </font>
    <font>
      <b/>
      <vertAlign val="subscript"/>
      <sz val="12"/>
      <color rgb="FF1C21DA"/>
      <name val="Calibri"/>
      <family val="2"/>
      <scheme val="minor"/>
    </font>
    <font>
      <sz val="12"/>
      <color rgb="FF1C21DA"/>
      <name val="Calibri"/>
      <family val="2"/>
      <scheme val="minor"/>
    </font>
    <font>
      <b/>
      <i/>
      <sz val="14"/>
      <color rgb="FF1C21DA"/>
      <name val="Calibri"/>
      <family val="2"/>
      <scheme val="minor"/>
    </font>
    <font>
      <b/>
      <i/>
      <sz val="14"/>
      <name val="Calibri"/>
      <family val="2"/>
      <scheme val="minor"/>
    </font>
    <font>
      <b/>
      <i/>
      <sz val="14"/>
      <color rgb="FFFF0000"/>
      <name val="Calibri"/>
      <family val="2"/>
      <scheme val="minor"/>
    </font>
    <font>
      <sz val="11"/>
      <color theme="7"/>
      <name val="Calibri"/>
      <family val="2"/>
      <scheme val="minor"/>
    </font>
    <font>
      <b/>
      <sz val="11"/>
      <color theme="7"/>
      <name val="Calibri"/>
      <family val="2"/>
      <scheme val="minor"/>
    </font>
    <font>
      <sz val="10"/>
      <name val="Geneva"/>
    </font>
    <font>
      <sz val="10"/>
      <color indexed="81"/>
      <name val="Segoe UI"/>
      <family val="2"/>
    </font>
    <font>
      <b/>
      <sz val="10"/>
      <name val="Geneva"/>
    </font>
    <font>
      <vertAlign val="subscript"/>
      <sz val="11"/>
      <color theme="7"/>
      <name val="Calibri"/>
      <family val="2"/>
      <scheme val="minor"/>
    </font>
    <font>
      <sz val="11"/>
      <color rgb="FF9C0006"/>
      <name val="Calibri"/>
      <family val="2"/>
      <scheme val="minor"/>
    </font>
    <font>
      <b/>
      <sz val="16"/>
      <name val="Calibri"/>
      <family val="2"/>
      <scheme val="minor"/>
    </font>
    <font>
      <i/>
      <sz val="11"/>
      <color theme="1"/>
      <name val="Calibri"/>
      <family val="2"/>
      <scheme val="minor"/>
    </font>
    <font>
      <b/>
      <i/>
      <sz val="11"/>
      <color theme="1"/>
      <name val="Calibri"/>
      <family val="2"/>
      <scheme val="minor"/>
    </font>
    <font>
      <b/>
      <sz val="14"/>
      <color rgb="FF7030A0"/>
      <name val="Calibri"/>
      <family val="2"/>
      <scheme val="minor"/>
    </font>
    <font>
      <u/>
      <sz val="11"/>
      <color rgb="FF1C21DA"/>
      <name val="Calibri"/>
      <family val="2"/>
      <scheme val="minor"/>
    </font>
    <font>
      <b/>
      <sz val="12"/>
      <color theme="5" tint="0.59999389629810485"/>
      <name val="Calibri"/>
      <family val="2"/>
      <scheme val="minor"/>
    </font>
    <font>
      <b/>
      <vertAlign val="subscript"/>
      <sz val="12"/>
      <color theme="5" tint="0.59999389629810485"/>
      <name val="Calibri"/>
      <family val="2"/>
      <scheme val="minor"/>
    </font>
    <font>
      <b/>
      <sz val="12"/>
      <color theme="5"/>
      <name val="Calibri"/>
      <family val="2"/>
      <scheme val="minor"/>
    </font>
    <font>
      <b/>
      <vertAlign val="subscript"/>
      <sz val="12"/>
      <color theme="5"/>
      <name val="Calibri"/>
      <family val="2"/>
      <scheme val="minor"/>
    </font>
    <font>
      <sz val="9"/>
      <color rgb="FFFF0000"/>
      <name val="Calibri"/>
      <family val="2"/>
      <scheme val="minor"/>
    </font>
    <font>
      <sz val="10"/>
      <color rgb="FFFF0000"/>
      <name val="Calibri"/>
      <family val="2"/>
      <scheme val="minor"/>
    </font>
    <font>
      <b/>
      <sz val="9"/>
      <name val="Calibri"/>
      <family val="2"/>
      <scheme val="minor"/>
    </font>
    <font>
      <b/>
      <sz val="9"/>
      <color indexed="81"/>
      <name val="Segoe UI"/>
      <charset val="1"/>
    </font>
    <font>
      <b/>
      <sz val="12"/>
      <color rgb="FF7030A0"/>
      <name val="Calibri"/>
      <family val="2"/>
      <scheme val="minor"/>
    </font>
    <font>
      <b/>
      <i/>
      <sz val="12"/>
      <color rgb="FF7030A0"/>
      <name val="Calibri"/>
      <family val="2"/>
      <scheme val="minor"/>
    </font>
    <font>
      <b/>
      <i/>
      <sz val="13"/>
      <color rgb="FF7030A0"/>
      <name val="Calibri"/>
      <family val="2"/>
      <scheme val="minor"/>
    </font>
    <font>
      <sz val="9"/>
      <color theme="0"/>
      <name val="Calibri"/>
      <family val="2"/>
      <scheme val="minor"/>
    </font>
    <font>
      <sz val="12"/>
      <color theme="0"/>
      <name val="Calibri"/>
      <family val="2"/>
      <scheme val="minor"/>
    </font>
    <font>
      <sz val="10"/>
      <color theme="0"/>
      <name val="Calibri"/>
      <family val="2"/>
      <scheme val="minor"/>
    </font>
  </fonts>
  <fills count="26">
    <fill>
      <patternFill patternType="none"/>
    </fill>
    <fill>
      <patternFill patternType="gray125"/>
    </fill>
    <fill>
      <patternFill patternType="solid">
        <fgColor rgb="FFFFFF99"/>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6"/>
        <bgColor indexed="64"/>
      </patternFill>
    </fill>
    <fill>
      <patternFill patternType="solid">
        <fgColor theme="2" tint="-0.499984740745262"/>
        <bgColor indexed="64"/>
      </patternFill>
    </fill>
    <fill>
      <patternFill patternType="solid">
        <fgColor theme="2"/>
        <bgColor indexed="64"/>
      </patternFill>
    </fill>
    <fill>
      <patternFill patternType="solid">
        <fgColor rgb="FFFF0000"/>
        <bgColor indexed="64"/>
      </patternFill>
    </fill>
    <fill>
      <patternFill patternType="solid">
        <fgColor rgb="FFFFABAB"/>
        <bgColor indexed="64"/>
      </patternFill>
    </fill>
    <fill>
      <patternFill patternType="solid">
        <fgColor theme="6" tint="0.39997558519241921"/>
        <bgColor indexed="64"/>
      </patternFill>
    </fill>
    <fill>
      <patternFill patternType="solid">
        <fgColor rgb="FFFFC000"/>
        <bgColor indexed="64"/>
      </patternFill>
    </fill>
    <fill>
      <patternFill patternType="solid">
        <fgColor rgb="FFF7AFAF"/>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7979"/>
        <bgColor indexed="64"/>
      </patternFill>
    </fill>
    <fill>
      <patternFill patternType="solid">
        <fgColor rgb="FFFFFF00"/>
        <bgColor indexed="64"/>
      </patternFill>
    </fill>
    <fill>
      <patternFill patternType="solid">
        <fgColor rgb="FFFFFF66"/>
        <bgColor indexed="64"/>
      </patternFill>
    </fill>
    <fill>
      <patternFill patternType="solid">
        <fgColor rgb="FFFFC7CE"/>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s>
  <cellStyleXfs count="7">
    <xf numFmtId="0" fontId="0" fillId="0" borderId="0"/>
    <xf numFmtId="164" fontId="35" fillId="0" borderId="0" applyFont="0" applyFill="0" applyBorder="0" applyAlignment="0" applyProtection="0"/>
    <xf numFmtId="44" fontId="35" fillId="0" borderId="0" applyFont="0" applyFill="0" applyBorder="0" applyAlignment="0" applyProtection="0"/>
    <xf numFmtId="0" fontId="37" fillId="0" borderId="0" applyNumberFormat="0" applyFill="0" applyBorder="0" applyAlignment="0" applyProtection="0"/>
    <xf numFmtId="9" fontId="35" fillId="0" borderId="0" applyFont="0" applyFill="0" applyBorder="0" applyAlignment="0" applyProtection="0"/>
    <xf numFmtId="0" fontId="167" fillId="0" borderId="0"/>
    <xf numFmtId="0" fontId="171" fillId="25" borderId="0" applyNumberFormat="0" applyBorder="0" applyAlignment="0" applyProtection="0"/>
  </cellStyleXfs>
  <cellXfs count="3256">
    <xf numFmtId="0" fontId="0" fillId="0" borderId="0" xfId="0"/>
    <xf numFmtId="0" fontId="1" fillId="0" borderId="0" xfId="0" applyFont="1"/>
    <xf numFmtId="0" fontId="1" fillId="0" borderId="0" xfId="0" applyFont="1" applyAlignment="1">
      <alignment horizontal="left"/>
    </xf>
    <xf numFmtId="0" fontId="0" fillId="0" borderId="0" xfId="0" applyFill="1" applyAlignment="1">
      <alignment horizontal="center"/>
    </xf>
    <xf numFmtId="0" fontId="3" fillId="0" borderId="0" xfId="0" applyFont="1"/>
    <xf numFmtId="0" fontId="0" fillId="0" borderId="0" xfId="0" applyFont="1" applyFill="1"/>
    <xf numFmtId="0" fontId="4" fillId="0" borderId="0" xfId="0" applyFont="1"/>
    <xf numFmtId="0" fontId="0" fillId="0" borderId="0" xfId="0" applyFont="1"/>
    <xf numFmtId="0" fontId="1" fillId="2" borderId="0" xfId="0" applyFont="1" applyFill="1" applyAlignment="1">
      <alignment horizontal="center"/>
    </xf>
    <xf numFmtId="0" fontId="1" fillId="3" borderId="0" xfId="0" applyFont="1" applyFill="1" applyAlignment="1">
      <alignment horizontal="center"/>
    </xf>
    <xf numFmtId="0" fontId="1" fillId="0" borderId="0" xfId="0" applyFont="1" applyFill="1" applyAlignment="1">
      <alignment horizontal="center"/>
    </xf>
    <xf numFmtId="1" fontId="6" fillId="0" borderId="0" xfId="0" applyNumberFormat="1" applyFont="1" applyBorder="1" applyAlignment="1">
      <alignment horizontal="center"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0" fontId="1" fillId="0" borderId="0" xfId="0" applyFont="1" applyAlignment="1">
      <alignment vertical="center"/>
    </xf>
    <xf numFmtId="0" fontId="4" fillId="0" borderId="0" xfId="0" applyFont="1" applyAlignment="1">
      <alignment vertical="center"/>
    </xf>
    <xf numFmtId="0" fontId="0" fillId="0" borderId="0" xfId="0" applyFont="1" applyFill="1" applyAlignment="1">
      <alignment vertical="center"/>
    </xf>
    <xf numFmtId="1" fontId="0" fillId="0" borderId="0" xfId="0" applyNumberFormat="1" applyAlignment="1">
      <alignment horizontal="center" vertical="center"/>
    </xf>
    <xf numFmtId="0" fontId="0" fillId="0" borderId="0" xfId="0" applyFont="1" applyAlignment="1">
      <alignment horizontal="right" vertical="center"/>
    </xf>
    <xf numFmtId="0" fontId="5" fillId="0" borderId="0" xfId="0" applyFont="1" applyAlignment="1">
      <alignment horizontal="right" vertical="center"/>
    </xf>
    <xf numFmtId="1" fontId="5" fillId="0" borderId="0" xfId="0" applyNumberFormat="1" applyFont="1" applyFill="1" applyAlignment="1">
      <alignment horizontal="center" vertical="center"/>
    </xf>
    <xf numFmtId="0" fontId="5" fillId="0" borderId="0" xfId="0" applyFont="1" applyAlignment="1">
      <alignment horizontal="left" vertical="center"/>
    </xf>
    <xf numFmtId="0" fontId="15" fillId="0" borderId="0" xfId="0" applyFont="1" applyAlignment="1">
      <alignment horizontal="center" vertical="center"/>
    </xf>
    <xf numFmtId="0" fontId="16" fillId="0" borderId="0" xfId="0" applyFont="1" applyAlignment="1">
      <alignment horizontal="center" vertical="center" wrapText="1"/>
    </xf>
    <xf numFmtId="0" fontId="4" fillId="0" borderId="0" xfId="0" applyFont="1" applyAlignment="1">
      <alignment horizontal="center"/>
    </xf>
    <xf numFmtId="0" fontId="19" fillId="0" borderId="0" xfId="0" applyFont="1" applyAlignment="1">
      <alignment horizontal="center"/>
    </xf>
    <xf numFmtId="0" fontId="20" fillId="0" borderId="0" xfId="0" applyFont="1" applyAlignment="1">
      <alignment horizontal="right"/>
    </xf>
    <xf numFmtId="0" fontId="0" fillId="0" borderId="0" xfId="0" applyFill="1"/>
    <xf numFmtId="0" fontId="1" fillId="0" borderId="6" xfId="0" applyFont="1" applyBorder="1" applyAlignment="1">
      <alignment horizontal="right"/>
    </xf>
    <xf numFmtId="0" fontId="0" fillId="0" borderId="5" xfId="0" applyFill="1" applyBorder="1" applyAlignment="1">
      <alignment horizontal="center" vertical="center"/>
    </xf>
    <xf numFmtId="0" fontId="0" fillId="0" borderId="0" xfId="0" applyBorder="1"/>
    <xf numFmtId="0" fontId="21" fillId="0" borderId="0" xfId="0" applyFont="1" applyAlignment="1">
      <alignment horizontal="center"/>
    </xf>
    <xf numFmtId="0" fontId="0" fillId="0" borderId="0" xfId="0" applyAlignment="1">
      <alignment horizontal="left"/>
    </xf>
    <xf numFmtId="0" fontId="23" fillId="0" borderId="0" xfId="0" applyFont="1" applyAlignment="1">
      <alignment horizontal="center"/>
    </xf>
    <xf numFmtId="0" fontId="1" fillId="0" borderId="11" xfId="0" applyFont="1" applyBorder="1" applyAlignment="1">
      <alignment horizontal="center"/>
    </xf>
    <xf numFmtId="0" fontId="1" fillId="0" borderId="0" xfId="0" applyFont="1" applyBorder="1" applyAlignment="1">
      <alignment horizontal="right"/>
    </xf>
    <xf numFmtId="0" fontId="1" fillId="0" borderId="0" xfId="0" applyFont="1" applyBorder="1"/>
    <xf numFmtId="0" fontId="4" fillId="0" borderId="0" xfId="0" applyFont="1" applyBorder="1" applyAlignment="1">
      <alignment horizontal="right"/>
    </xf>
    <xf numFmtId="0" fontId="1" fillId="2" borderId="0" xfId="0" applyFont="1" applyFill="1" applyBorder="1" applyAlignment="1">
      <alignment horizontal="center"/>
    </xf>
    <xf numFmtId="0" fontId="1" fillId="0" borderId="0" xfId="0" applyFont="1" applyBorder="1" applyAlignment="1">
      <alignment horizontal="center"/>
    </xf>
    <xf numFmtId="0" fontId="6" fillId="0" borderId="0" xfId="0" applyFont="1" applyBorder="1" applyAlignment="1">
      <alignment horizontal="right"/>
    </xf>
    <xf numFmtId="0" fontId="1" fillId="3" borderId="0" xfId="0" applyFont="1" applyFill="1" applyBorder="1" applyAlignment="1">
      <alignment horizontal="center"/>
    </xf>
    <xf numFmtId="0" fontId="0" fillId="0" borderId="12" xfId="0" applyBorder="1"/>
    <xf numFmtId="0" fontId="1" fillId="0" borderId="7" xfId="0" applyFont="1" applyBorder="1" applyAlignment="1">
      <alignment horizontal="right"/>
    </xf>
    <xf numFmtId="0" fontId="5" fillId="0" borderId="0" xfId="0" applyFont="1" applyBorder="1" applyAlignment="1">
      <alignment horizontal="right"/>
    </xf>
    <xf numFmtId="0" fontId="6" fillId="0" borderId="0" xfId="0" applyFont="1" applyBorder="1" applyAlignment="1">
      <alignment horizontal="left"/>
    </xf>
    <xf numFmtId="0" fontId="16" fillId="0" borderId="5" xfId="0" applyFont="1" applyBorder="1" applyAlignment="1">
      <alignment horizontal="center" vertical="center" wrapText="1"/>
    </xf>
    <xf numFmtId="0" fontId="1" fillId="0" borderId="9" xfId="0" applyFont="1" applyBorder="1" applyAlignment="1">
      <alignment horizontal="right"/>
    </xf>
    <xf numFmtId="0" fontId="1" fillId="0" borderId="0" xfId="0" applyFont="1" applyBorder="1" applyAlignment="1">
      <alignment horizontal="right" vertical="center"/>
    </xf>
    <xf numFmtId="1" fontId="1" fillId="0" borderId="0" xfId="0" applyNumberFormat="1" applyFont="1" applyBorder="1" applyAlignment="1">
      <alignment horizontal="center" vertical="center"/>
    </xf>
    <xf numFmtId="0" fontId="18" fillId="0" borderId="0" xfId="0" applyFont="1" applyBorder="1" applyAlignment="1">
      <alignment horizontal="right"/>
    </xf>
    <xf numFmtId="0" fontId="25" fillId="0" borderId="0" xfId="0" applyFont="1" applyAlignment="1">
      <alignment horizontal="center"/>
    </xf>
    <xf numFmtId="0" fontId="18" fillId="0" borderId="14" xfId="0" applyFont="1" applyBorder="1" applyAlignment="1">
      <alignment horizontal="center" vertical="center"/>
    </xf>
    <xf numFmtId="0" fontId="0" fillId="0" borderId="14" xfId="0" applyFill="1" applyBorder="1" applyAlignment="1">
      <alignment horizontal="center" vertical="center"/>
    </xf>
    <xf numFmtId="0" fontId="0" fillId="0" borderId="14" xfId="0" applyBorder="1" applyAlignment="1">
      <alignment horizontal="center" vertical="center"/>
    </xf>
    <xf numFmtId="0" fontId="0" fillId="0" borderId="14" xfId="0" applyFill="1" applyBorder="1" applyAlignment="1">
      <alignment horizontal="center"/>
    </xf>
    <xf numFmtId="0" fontId="0" fillId="0" borderId="14" xfId="0" applyBorder="1" applyAlignment="1">
      <alignment horizontal="center"/>
    </xf>
    <xf numFmtId="0" fontId="18" fillId="0" borderId="1" xfId="0" applyFont="1" applyFill="1" applyBorder="1" applyAlignment="1">
      <alignment horizontal="center"/>
    </xf>
    <xf numFmtId="1" fontId="18" fillId="0" borderId="1" xfId="0" applyNumberFormat="1" applyFont="1" applyFill="1" applyBorder="1" applyAlignment="1">
      <alignment horizontal="center"/>
    </xf>
    <xf numFmtId="1" fontId="0" fillId="0" borderId="14" xfId="0" applyNumberFormat="1" applyBorder="1" applyAlignment="1">
      <alignment horizontal="center" vertical="center"/>
    </xf>
    <xf numFmtId="0" fontId="8" fillId="0" borderId="0" xfId="0" applyFont="1" applyBorder="1" applyAlignment="1">
      <alignment horizontal="center"/>
    </xf>
    <xf numFmtId="0" fontId="0" fillId="0" borderId="6" xfId="0" applyFont="1" applyBorder="1" applyAlignment="1">
      <alignment horizontal="right"/>
    </xf>
    <xf numFmtId="0" fontId="24" fillId="0" borderId="0" xfId="0" applyFont="1" applyBorder="1" applyAlignment="1">
      <alignment vertical="center"/>
    </xf>
    <xf numFmtId="0" fontId="0" fillId="0" borderId="0" xfId="0" applyFont="1" applyAlignment="1">
      <alignment horizontal="center"/>
    </xf>
    <xf numFmtId="0" fontId="6" fillId="0" borderId="0" xfId="0" applyFont="1" applyAlignment="1">
      <alignment horizontal="center"/>
    </xf>
    <xf numFmtId="1" fontId="1" fillId="0" borderId="4" xfId="0" applyNumberFormat="1" applyFont="1" applyBorder="1" applyAlignment="1">
      <alignment horizontal="center" vertical="center"/>
    </xf>
    <xf numFmtId="0" fontId="28" fillId="0" borderId="14" xfId="0" applyFont="1" applyBorder="1" applyAlignment="1">
      <alignment horizontal="center" vertical="center"/>
    </xf>
    <xf numFmtId="0" fontId="28" fillId="0" borderId="0" xfId="0" applyFont="1" applyBorder="1"/>
    <xf numFmtId="0" fontId="0" fillId="0" borderId="12" xfId="0" applyBorder="1" applyAlignment="1">
      <alignment horizontal="right"/>
    </xf>
    <xf numFmtId="0" fontId="1" fillId="0" borderId="17" xfId="0" applyFont="1" applyBorder="1" applyAlignment="1">
      <alignment horizontal="right" vertical="center"/>
    </xf>
    <xf numFmtId="0" fontId="18" fillId="0" borderId="0" xfId="0" applyFont="1" applyFill="1" applyBorder="1" applyAlignment="1">
      <alignment horizontal="center" vertical="center"/>
    </xf>
    <xf numFmtId="0" fontId="6" fillId="0" borderId="20" xfId="0" applyFont="1" applyBorder="1" applyAlignment="1">
      <alignment horizontal="right" vertical="center"/>
    </xf>
    <xf numFmtId="1" fontId="6" fillId="0" borderId="21" xfId="0" applyNumberFormat="1" applyFont="1" applyBorder="1" applyAlignment="1">
      <alignment horizontal="center" vertical="center"/>
    </xf>
    <xf numFmtId="0" fontId="1" fillId="0" borderId="17" xfId="0" applyFont="1" applyBorder="1" applyAlignment="1">
      <alignment horizontal="right"/>
    </xf>
    <xf numFmtId="0" fontId="1" fillId="0" borderId="0" xfId="0" applyFont="1" applyBorder="1" applyAlignment="1"/>
    <xf numFmtId="0" fontId="9" fillId="0" borderId="0" xfId="0" applyFont="1" applyBorder="1"/>
    <xf numFmtId="0" fontId="0" fillId="4" borderId="14" xfId="0" applyFill="1" applyBorder="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right" vertical="center"/>
    </xf>
    <xf numFmtId="0" fontId="1" fillId="0" borderId="11" xfId="0" applyFont="1" applyBorder="1" applyAlignment="1">
      <alignment horizontal="center" vertical="center"/>
    </xf>
    <xf numFmtId="0" fontId="0" fillId="0" borderId="8" xfId="0" applyBorder="1" applyAlignment="1">
      <alignment vertical="center"/>
    </xf>
    <xf numFmtId="0" fontId="1" fillId="0" borderId="6" xfId="0" applyFont="1" applyBorder="1" applyAlignment="1">
      <alignment horizontal="right" vertical="center"/>
    </xf>
    <xf numFmtId="0" fontId="0" fillId="0" borderId="5" xfId="0" applyBorder="1" applyAlignment="1">
      <alignment vertical="center"/>
    </xf>
    <xf numFmtId="0" fontId="28" fillId="0" borderId="5" xfId="0" applyFont="1" applyBorder="1" applyAlignment="1">
      <alignment vertical="center"/>
    </xf>
    <xf numFmtId="0" fontId="0" fillId="0" borderId="6" xfId="0" applyFont="1" applyBorder="1" applyAlignment="1">
      <alignment horizontal="right" vertical="center"/>
    </xf>
    <xf numFmtId="0" fontId="3" fillId="0" borderId="5" xfId="0" applyFont="1" applyBorder="1" applyAlignment="1">
      <alignment vertical="center"/>
    </xf>
    <xf numFmtId="0" fontId="18" fillId="0" borderId="6" xfId="0" applyFont="1" applyBorder="1" applyAlignment="1">
      <alignment horizontal="center" vertical="center"/>
    </xf>
    <xf numFmtId="49" fontId="29" fillId="0" borderId="0" xfId="0" applyNumberFormat="1" applyFont="1" applyBorder="1" applyAlignment="1">
      <alignment horizontal="center" vertical="center" wrapText="1"/>
    </xf>
    <xf numFmtId="0" fontId="8" fillId="0" borderId="5" xfId="0" applyFont="1" applyBorder="1" applyAlignment="1">
      <alignment horizontal="center" vertical="center" wrapText="1"/>
    </xf>
    <xf numFmtId="0" fontId="11" fillId="0" borderId="6" xfId="0" applyFont="1" applyBorder="1" applyAlignment="1">
      <alignment horizontal="center" vertical="center"/>
    </xf>
    <xf numFmtId="1" fontId="5" fillId="0" borderId="0" xfId="0" applyNumberFormat="1" applyFont="1" applyBorder="1" applyAlignment="1">
      <alignment horizontal="center" vertical="center"/>
    </xf>
    <xf numFmtId="0" fontId="15" fillId="0" borderId="10" xfId="0" applyFont="1" applyBorder="1" applyAlignment="1">
      <alignment horizontal="center" vertical="center"/>
    </xf>
    <xf numFmtId="0" fontId="0" fillId="0" borderId="0" xfId="0" applyFill="1" applyBorder="1" applyAlignment="1">
      <alignment horizontal="center" vertical="center"/>
    </xf>
    <xf numFmtId="0" fontId="4" fillId="0" borderId="0" xfId="0" applyFont="1" applyBorder="1" applyAlignment="1">
      <alignment horizontal="right" vertical="center"/>
    </xf>
    <xf numFmtId="0" fontId="4" fillId="0" borderId="5" xfId="0" applyFont="1" applyBorder="1" applyAlignment="1">
      <alignment vertical="center"/>
    </xf>
    <xf numFmtId="1" fontId="18" fillId="0" borderId="0" xfId="0" applyNumberFormat="1" applyFont="1" applyBorder="1" applyAlignment="1">
      <alignment horizontal="center" vertical="center"/>
    </xf>
    <xf numFmtId="0" fontId="23" fillId="0" borderId="5" xfId="0" applyFont="1" applyBorder="1" applyAlignment="1">
      <alignment horizontal="left" vertical="center"/>
    </xf>
    <xf numFmtId="0" fontId="1" fillId="0" borderId="12" xfId="0" applyFont="1" applyBorder="1" applyAlignment="1">
      <alignment horizontal="right" vertical="center"/>
    </xf>
    <xf numFmtId="1" fontId="1" fillId="0" borderId="12" xfId="0" applyNumberFormat="1" applyFont="1" applyBorder="1" applyAlignment="1">
      <alignment horizontal="center" vertical="center"/>
    </xf>
    <xf numFmtId="0" fontId="23" fillId="0" borderId="10" xfId="0" applyFont="1" applyBorder="1" applyAlignment="1">
      <alignment horizontal="left" vertical="center"/>
    </xf>
    <xf numFmtId="49" fontId="1" fillId="0" borderId="0" xfId="0" applyNumberFormat="1" applyFont="1" applyAlignment="1">
      <alignment horizontal="left" vertical="center"/>
    </xf>
    <xf numFmtId="49" fontId="1" fillId="0" borderId="0" xfId="0" applyNumberFormat="1" applyFont="1" applyAlignment="1">
      <alignment horizontal="center" vertical="center"/>
    </xf>
    <xf numFmtId="49" fontId="0" fillId="0" borderId="0" xfId="0" applyNumberFormat="1" applyAlignment="1">
      <alignment horizontal="left" vertical="center"/>
    </xf>
    <xf numFmtId="49" fontId="2" fillId="0" borderId="0" xfId="0" applyNumberFormat="1" applyFont="1" applyAlignment="1">
      <alignment horizontal="right" vertical="center"/>
    </xf>
    <xf numFmtId="0" fontId="15" fillId="0" borderId="5" xfId="0" applyFont="1" applyBorder="1" applyAlignment="1">
      <alignment vertical="center"/>
    </xf>
    <xf numFmtId="49" fontId="1" fillId="0" borderId="0" xfId="0" applyNumberFormat="1" applyFont="1" applyAlignment="1">
      <alignment horizontal="center"/>
    </xf>
    <xf numFmtId="49" fontId="0" fillId="0" borderId="0" xfId="0" applyNumberFormat="1" applyAlignment="1">
      <alignment horizontal="center"/>
    </xf>
    <xf numFmtId="49" fontId="0" fillId="0" borderId="0" xfId="0" applyNumberFormat="1"/>
    <xf numFmtId="49" fontId="1" fillId="0" borderId="0" xfId="0" applyNumberFormat="1" applyFont="1" applyAlignment="1">
      <alignment horizontal="right"/>
    </xf>
    <xf numFmtId="49" fontId="0" fillId="0" borderId="0" xfId="0" applyNumberFormat="1" applyAlignment="1">
      <alignment horizontal="left"/>
    </xf>
    <xf numFmtId="1" fontId="1" fillId="0" borderId="3" xfId="0" applyNumberFormat="1" applyFont="1" applyBorder="1" applyAlignment="1">
      <alignment horizontal="center" vertical="center"/>
    </xf>
    <xf numFmtId="0" fontId="0" fillId="0" borderId="0" xfId="0" applyFill="1" applyAlignment="1">
      <alignment horizontal="center" vertical="center"/>
    </xf>
    <xf numFmtId="0" fontId="21" fillId="0" borderId="0" xfId="0" applyFont="1" applyAlignment="1">
      <alignment horizontal="center" vertical="center"/>
    </xf>
    <xf numFmtId="0" fontId="30" fillId="0" borderId="5" xfId="0" applyFont="1" applyBorder="1" applyAlignment="1">
      <alignment horizontal="center" vertical="center" wrapText="1"/>
    </xf>
    <xf numFmtId="0" fontId="0" fillId="0" borderId="0" xfId="0" applyBorder="1" applyAlignment="1">
      <alignment vertical="center"/>
    </xf>
    <xf numFmtId="1" fontId="18" fillId="0" borderId="14" xfId="0" applyNumberFormat="1" applyFont="1" applyBorder="1" applyAlignment="1">
      <alignment horizontal="center" vertical="center"/>
    </xf>
    <xf numFmtId="1" fontId="0" fillId="0" borderId="13" xfId="0" applyNumberFormat="1" applyBorder="1" applyAlignment="1">
      <alignment horizontal="center"/>
    </xf>
    <xf numFmtId="0" fontId="28" fillId="0" borderId="14" xfId="0" applyFont="1" applyBorder="1" applyAlignment="1">
      <alignment horizontal="center"/>
    </xf>
    <xf numFmtId="1" fontId="11" fillId="0" borderId="14" xfId="0" applyNumberFormat="1" applyFont="1" applyFill="1" applyBorder="1" applyAlignment="1">
      <alignment horizontal="center"/>
    </xf>
    <xf numFmtId="0" fontId="15" fillId="0" borderId="25" xfId="0" applyFont="1" applyBorder="1" applyAlignment="1">
      <alignment horizontal="center" vertical="center"/>
    </xf>
    <xf numFmtId="0" fontId="0" fillId="0" borderId="0" xfId="0" applyBorder="1" applyAlignment="1">
      <alignment horizontal="right"/>
    </xf>
    <xf numFmtId="0" fontId="33" fillId="0" borderId="0" xfId="0" applyFont="1" applyBorder="1" applyAlignment="1">
      <alignment vertical="center" wrapText="1"/>
    </xf>
    <xf numFmtId="0" fontId="1" fillId="0" borderId="0" xfId="0" applyFont="1" applyAlignment="1">
      <alignment horizontal="center"/>
    </xf>
    <xf numFmtId="0" fontId="18" fillId="0" borderId="0" xfId="0" applyFont="1" applyAlignment="1">
      <alignment horizontal="right"/>
    </xf>
    <xf numFmtId="0" fontId="1" fillId="2" borderId="0" xfId="0" applyFont="1" applyFill="1" applyAlignment="1"/>
    <xf numFmtId="0" fontId="1" fillId="3" borderId="0" xfId="0" applyFont="1" applyFill="1" applyAlignment="1"/>
    <xf numFmtId="0" fontId="0" fillId="0" borderId="0" xfId="0" applyAlignment="1">
      <alignment horizontal="right"/>
    </xf>
    <xf numFmtId="0" fontId="0" fillId="0" borderId="0" xfId="0" applyFill="1" applyAlignment="1">
      <alignment vertical="center"/>
    </xf>
    <xf numFmtId="0" fontId="1" fillId="2" borderId="0" xfId="0" applyFont="1" applyFill="1" applyAlignment="1">
      <alignment horizontal="left"/>
    </xf>
    <xf numFmtId="0" fontId="1" fillId="3" borderId="0" xfId="0" applyFont="1" applyFill="1" applyAlignment="1">
      <alignment horizontal="left"/>
    </xf>
    <xf numFmtId="0" fontId="0" fillId="0" borderId="11" xfId="0" applyFill="1" applyBorder="1" applyAlignment="1">
      <alignment horizontal="center" vertical="center"/>
    </xf>
    <xf numFmtId="0" fontId="1" fillId="0" borderId="0" xfId="0" applyFont="1" applyFill="1" applyBorder="1" applyAlignment="1">
      <alignment horizontal="center" vertical="center"/>
    </xf>
    <xf numFmtId="1" fontId="0" fillId="0" borderId="12" xfId="0" applyNumberFormat="1" applyBorder="1" applyAlignment="1">
      <alignment horizontal="center" vertical="center"/>
    </xf>
    <xf numFmtId="1" fontId="0" fillId="0" borderId="12" xfId="0" applyNumberFormat="1" applyFont="1" applyBorder="1" applyAlignment="1">
      <alignment horizontal="center" vertical="center"/>
    </xf>
    <xf numFmtId="0" fontId="1" fillId="0" borderId="0" xfId="0" applyFont="1" applyFill="1" applyBorder="1" applyAlignment="1">
      <alignment horizontal="center" vertical="center" wrapText="1"/>
    </xf>
    <xf numFmtId="1" fontId="0" fillId="0" borderId="10" xfId="0" applyNumberFormat="1" applyFont="1" applyBorder="1" applyAlignment="1">
      <alignment horizontal="center" vertical="center"/>
    </xf>
    <xf numFmtId="0" fontId="2" fillId="0" borderId="0" xfId="0" applyFont="1" applyAlignment="1">
      <alignment horizontal="right" vertical="center"/>
    </xf>
    <xf numFmtId="0" fontId="18" fillId="0" borderId="0" xfId="0" applyFont="1" applyAlignment="1">
      <alignment horizontal="right" vertical="center" wrapText="1"/>
    </xf>
    <xf numFmtId="0" fontId="1" fillId="0" borderId="0" xfId="0" applyFont="1" applyAlignment="1">
      <alignment horizontal="left" vertical="center"/>
    </xf>
    <xf numFmtId="0" fontId="0" fillId="0" borderId="8" xfId="0" applyFill="1" applyBorder="1" applyAlignment="1">
      <alignment horizontal="center"/>
    </xf>
    <xf numFmtId="0" fontId="18" fillId="0" borderId="0" xfId="0" applyFont="1" applyAlignment="1">
      <alignment horizontal="right" vertical="center"/>
    </xf>
    <xf numFmtId="0" fontId="18" fillId="0" borderId="0" xfId="0" applyFont="1" applyAlignment="1">
      <alignment horizontal="left" vertical="center"/>
    </xf>
    <xf numFmtId="0" fontId="3"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0" xfId="0" applyFont="1" applyAlignment="1">
      <alignment horizontal="center" vertical="center"/>
    </xf>
    <xf numFmtId="1" fontId="0" fillId="0" borderId="0"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0" fontId="0" fillId="0" borderId="0" xfId="0" applyFont="1" applyFill="1" applyAlignment="1">
      <alignment horizontal="center" vertical="center"/>
    </xf>
    <xf numFmtId="0" fontId="3" fillId="0" borderId="0" xfId="0" applyFont="1" applyAlignment="1">
      <alignment horizontal="center" vertical="center"/>
    </xf>
    <xf numFmtId="0" fontId="0" fillId="0" borderId="6" xfId="0" applyFill="1" applyBorder="1" applyAlignment="1">
      <alignment horizontal="center" vertical="center"/>
    </xf>
    <xf numFmtId="0" fontId="34" fillId="0" borderId="0" xfId="0" applyFont="1" applyFill="1" applyBorder="1" applyAlignment="1">
      <alignment horizontal="center" vertical="center" wrapText="1"/>
    </xf>
    <xf numFmtId="0" fontId="0" fillId="0" borderId="0" xfId="0" applyFont="1" applyAlignment="1">
      <alignment horizontal="center" vertical="center"/>
    </xf>
    <xf numFmtId="2" fontId="21" fillId="0" borderId="0" xfId="0" applyNumberFormat="1" applyFont="1" applyFill="1" applyBorder="1" applyAlignment="1">
      <alignment horizontal="center" vertical="center"/>
    </xf>
    <xf numFmtId="0" fontId="0" fillId="0" borderId="0" xfId="0" applyBorder="1" applyAlignment="1">
      <alignment horizontal="center"/>
    </xf>
    <xf numFmtId="0" fontId="0" fillId="0" borderId="0" xfId="0" applyFill="1" applyBorder="1" applyAlignment="1">
      <alignment vertical="center"/>
    </xf>
    <xf numFmtId="0" fontId="11" fillId="0" borderId="6" xfId="0" applyFont="1" applyBorder="1" applyAlignment="1">
      <alignment horizontal="right" vertical="center"/>
    </xf>
    <xf numFmtId="0" fontId="1" fillId="0" borderId="6" xfId="0" applyFont="1" applyBorder="1" applyAlignment="1">
      <alignment horizontal="center" vertical="center"/>
    </xf>
    <xf numFmtId="1" fontId="6" fillId="0" borderId="13" xfId="0" applyNumberFormat="1" applyFont="1" applyBorder="1" applyAlignment="1">
      <alignment horizontal="center" vertical="center"/>
    </xf>
    <xf numFmtId="44" fontId="0" fillId="0" borderId="13" xfId="2" applyFont="1" applyBorder="1" applyAlignment="1">
      <alignment horizontal="center" vertical="center"/>
    </xf>
    <xf numFmtId="44" fontId="6" fillId="0" borderId="14" xfId="2" applyFont="1" applyBorder="1" applyAlignment="1">
      <alignment horizontal="left" vertical="center"/>
    </xf>
    <xf numFmtId="44" fontId="0" fillId="0" borderId="14" xfId="2" applyFont="1" applyBorder="1" applyAlignment="1">
      <alignment horizontal="left" vertical="center"/>
    </xf>
    <xf numFmtId="44" fontId="1" fillId="0" borderId="25" xfId="2" applyFont="1" applyBorder="1" applyAlignment="1">
      <alignment horizontal="left" vertical="center"/>
    </xf>
    <xf numFmtId="44" fontId="1" fillId="0" borderId="0" xfId="2" applyFont="1" applyBorder="1" applyAlignment="1">
      <alignment horizontal="left" vertical="center"/>
    </xf>
    <xf numFmtId="0" fontId="1" fillId="0" borderId="14" xfId="0" applyFont="1" applyBorder="1" applyAlignment="1">
      <alignment vertical="center"/>
    </xf>
    <xf numFmtId="44" fontId="1" fillId="0" borderId="14" xfId="2" applyFont="1" applyBorder="1" applyAlignment="1">
      <alignment vertical="center"/>
    </xf>
    <xf numFmtId="0" fontId="15" fillId="0" borderId="0" xfId="0" applyFont="1" applyBorder="1" applyAlignment="1">
      <alignment horizontal="center" vertical="center"/>
    </xf>
    <xf numFmtId="44" fontId="36" fillId="0" borderId="14" xfId="2" applyFont="1" applyBorder="1" applyAlignment="1">
      <alignment horizontal="left" vertical="center"/>
    </xf>
    <xf numFmtId="0" fontId="6" fillId="0" borderId="0" xfId="0" applyFont="1" applyBorder="1" applyAlignment="1">
      <alignment horizontal="right" vertical="center"/>
    </xf>
    <xf numFmtId="0" fontId="18" fillId="0" borderId="0" xfId="0" applyFont="1" applyBorder="1" applyAlignment="1">
      <alignment horizontal="right" vertical="center"/>
    </xf>
    <xf numFmtId="0" fontId="18" fillId="0" borderId="13" xfId="0" applyFont="1" applyBorder="1" applyAlignment="1">
      <alignment horizontal="right" vertical="center"/>
    </xf>
    <xf numFmtId="0" fontId="6" fillId="0" borderId="14" xfId="0" applyFont="1" applyBorder="1" applyAlignment="1">
      <alignment horizontal="right" vertical="center"/>
    </xf>
    <xf numFmtId="0" fontId="1" fillId="0" borderId="14" xfId="0" applyFont="1" applyBorder="1" applyAlignment="1">
      <alignment horizontal="right" vertical="center"/>
    </xf>
    <xf numFmtId="0" fontId="18" fillId="0" borderId="25" xfId="0" applyFont="1" applyBorder="1" applyAlignment="1">
      <alignment horizontal="center" vertical="center"/>
    </xf>
    <xf numFmtId="0" fontId="1" fillId="0" borderId="0" xfId="0" applyFont="1" applyAlignment="1">
      <alignment horizontal="right"/>
    </xf>
    <xf numFmtId="0" fontId="1" fillId="0" borderId="0" xfId="0" applyFont="1" applyAlignment="1">
      <alignment horizontal="right" vertical="center"/>
    </xf>
    <xf numFmtId="0" fontId="1" fillId="0" borderId="0" xfId="0" applyFont="1" applyAlignment="1">
      <alignment horizontal="center" vertical="center"/>
    </xf>
    <xf numFmtId="0" fontId="0" fillId="0" borderId="0" xfId="0" applyAlignment="1">
      <alignment horizontal="center" vertical="center"/>
    </xf>
    <xf numFmtId="0" fontId="1" fillId="0" borderId="0" xfId="0" applyFont="1" applyAlignment="1">
      <alignment horizontal="right" vertical="center" wrapText="1"/>
    </xf>
    <xf numFmtId="0" fontId="0" fillId="0" borderId="0" xfId="0" applyAlignment="1">
      <alignment horizontal="center" vertical="center"/>
    </xf>
    <xf numFmtId="0" fontId="0" fillId="0" borderId="0" xfId="0" applyFont="1" applyBorder="1" applyAlignment="1">
      <alignment horizontal="right" vertical="center"/>
    </xf>
    <xf numFmtId="0" fontId="2" fillId="0" borderId="0" xfId="0" applyFont="1" applyAlignment="1">
      <alignment horizontal="left" vertical="center"/>
    </xf>
    <xf numFmtId="0" fontId="0" fillId="0" borderId="0" xfId="0" applyAlignment="1">
      <alignment horizontal="left" vertical="center"/>
    </xf>
    <xf numFmtId="0" fontId="27" fillId="0" borderId="0" xfId="0" applyFont="1" applyAlignment="1">
      <alignment horizontal="left" vertical="center"/>
    </xf>
    <xf numFmtId="0" fontId="1" fillId="0" borderId="0" xfId="0" applyFont="1" applyFill="1" applyAlignment="1">
      <alignment horizontal="center" vertical="center"/>
    </xf>
    <xf numFmtId="0" fontId="1" fillId="0" borderId="5" xfId="0" applyFont="1" applyFill="1" applyBorder="1" applyAlignment="1">
      <alignment horizontal="center" vertical="center"/>
    </xf>
    <xf numFmtId="1" fontId="2" fillId="0" borderId="0" xfId="0" applyNumberFormat="1" applyFont="1" applyBorder="1" applyAlignment="1">
      <alignment horizontal="center" vertical="center"/>
    </xf>
    <xf numFmtId="0" fontId="21" fillId="0" borderId="0" xfId="0" applyFont="1"/>
    <xf numFmtId="0" fontId="18" fillId="0" borderId="14" xfId="0" applyFont="1" applyFill="1" applyBorder="1" applyAlignment="1">
      <alignment horizontal="center" vertical="center" wrapText="1"/>
    </xf>
    <xf numFmtId="0" fontId="27" fillId="0" borderId="1" xfId="0" applyFont="1" applyBorder="1"/>
    <xf numFmtId="0" fontId="27" fillId="0" borderId="2" xfId="0" applyFont="1" applyBorder="1" applyAlignment="1">
      <alignment horizontal="center"/>
    </xf>
    <xf numFmtId="0" fontId="27" fillId="0" borderId="1" xfId="0" applyFont="1" applyBorder="1" applyAlignment="1">
      <alignment horizontal="center"/>
    </xf>
    <xf numFmtId="165" fontId="27" fillId="0" borderId="1" xfId="0" applyNumberFormat="1" applyFont="1" applyBorder="1" applyAlignment="1">
      <alignment horizontal="center" vertical="center"/>
    </xf>
    <xf numFmtId="0" fontId="39" fillId="0" borderId="0" xfId="0" applyFont="1" applyBorder="1" applyAlignment="1">
      <alignment vertical="center" wrapText="1"/>
    </xf>
    <xf numFmtId="0" fontId="39" fillId="0" borderId="13" xfId="0" applyFont="1" applyBorder="1" applyAlignment="1">
      <alignment horizontal="center" vertical="center" wrapText="1"/>
    </xf>
    <xf numFmtId="0" fontId="0" fillId="0" borderId="1" xfId="0" applyFont="1" applyBorder="1" applyAlignment="1">
      <alignment horizontal="center" vertical="center"/>
    </xf>
    <xf numFmtId="0" fontId="39" fillId="0" borderId="1" xfId="0" applyFont="1" applyBorder="1" applyAlignment="1">
      <alignment vertical="center" wrapText="1"/>
    </xf>
    <xf numFmtId="0" fontId="34" fillId="0" borderId="1" xfId="0" applyFont="1" applyBorder="1" applyAlignment="1">
      <alignment horizontal="center" vertical="center"/>
    </xf>
    <xf numFmtId="165" fontId="27" fillId="0" borderId="1" xfId="0" applyNumberFormat="1" applyFont="1" applyBorder="1" applyAlignment="1">
      <alignment horizontal="center" vertical="center" wrapText="1"/>
    </xf>
    <xf numFmtId="0" fontId="27" fillId="0" borderId="1" xfId="0" applyFont="1" applyBorder="1" applyAlignment="1">
      <alignment vertical="center" wrapText="1"/>
    </xf>
    <xf numFmtId="0" fontId="18" fillId="0" borderId="1" xfId="0" applyFont="1" applyBorder="1" applyAlignment="1">
      <alignment vertical="center" wrapText="1"/>
    </xf>
    <xf numFmtId="0" fontId="27" fillId="0" borderId="0" xfId="0" applyFont="1" applyBorder="1" applyAlignment="1">
      <alignment horizontal="center" vertical="center"/>
    </xf>
    <xf numFmtId="0" fontId="27" fillId="0" borderId="0" xfId="0" applyFont="1" applyBorder="1" applyAlignment="1">
      <alignment vertical="center"/>
    </xf>
    <xf numFmtId="0" fontId="27" fillId="0" borderId="14" xfId="0" applyFont="1" applyFill="1" applyBorder="1" applyAlignment="1">
      <alignment horizontal="center" vertical="center" wrapText="1"/>
    </xf>
    <xf numFmtId="0" fontId="1" fillId="0" borderId="2" xfId="0" applyFont="1" applyBorder="1" applyAlignment="1">
      <alignment horizontal="center" wrapText="1"/>
    </xf>
    <xf numFmtId="0" fontId="18" fillId="0" borderId="11" xfId="0" applyFont="1" applyBorder="1" applyAlignment="1">
      <alignment horizontal="left" vertical="center"/>
    </xf>
    <xf numFmtId="0" fontId="0" fillId="0" borderId="11" xfId="0" applyBorder="1" applyAlignment="1">
      <alignment vertical="center"/>
    </xf>
    <xf numFmtId="0" fontId="0" fillId="0" borderId="11" xfId="0" applyFill="1" applyBorder="1" applyAlignment="1">
      <alignment vertical="center"/>
    </xf>
    <xf numFmtId="0" fontId="18" fillId="0" borderId="0" xfId="0" applyFont="1" applyBorder="1" applyAlignment="1">
      <alignment horizontal="left" vertical="center"/>
    </xf>
    <xf numFmtId="0" fontId="0" fillId="0" borderId="5" xfId="0" applyFill="1" applyBorder="1" applyAlignment="1">
      <alignment vertical="center"/>
    </xf>
    <xf numFmtId="0" fontId="0" fillId="0" borderId="0" xfId="0" applyFont="1" applyBorder="1" applyAlignment="1">
      <alignment horizontal="left" vertical="center"/>
    </xf>
    <xf numFmtId="0" fontId="34" fillId="0" borderId="1" xfId="0" applyFont="1" applyBorder="1" applyAlignment="1">
      <alignment horizontal="center" vertical="center" wrapText="1"/>
    </xf>
    <xf numFmtId="1" fontId="1" fillId="0" borderId="0" xfId="0" applyNumberFormat="1" applyFont="1" applyAlignment="1">
      <alignment horizontal="center"/>
    </xf>
    <xf numFmtId="0" fontId="2" fillId="0" borderId="0" xfId="0" applyFont="1" applyAlignment="1">
      <alignment horizontal="center" vertical="center" wrapText="1"/>
    </xf>
    <xf numFmtId="0" fontId="1" fillId="0" borderId="12" xfId="0" applyFont="1" applyBorder="1" applyAlignment="1">
      <alignment horizontal="center" vertical="center"/>
    </xf>
    <xf numFmtId="0" fontId="0" fillId="0" borderId="0" xfId="0" applyAlignment="1">
      <alignment horizontal="center" vertical="center"/>
    </xf>
    <xf numFmtId="0" fontId="27" fillId="0" borderId="0" xfId="0" applyFont="1" applyAlignment="1">
      <alignment horizontal="center" vertical="center"/>
    </xf>
    <xf numFmtId="1" fontId="1" fillId="0" borderId="0" xfId="0" applyNumberFormat="1" applyFont="1" applyFill="1" applyBorder="1" applyAlignment="1">
      <alignment horizontal="right" vertical="center"/>
    </xf>
    <xf numFmtId="0" fontId="4" fillId="0" borderId="9" xfId="0" applyFont="1" applyBorder="1" applyAlignment="1">
      <alignment horizontal="right" vertical="center"/>
    </xf>
    <xf numFmtId="1" fontId="18" fillId="0" borderId="13" xfId="0" applyNumberFormat="1" applyFont="1" applyBorder="1" applyAlignment="1">
      <alignment horizontal="center" vertical="center"/>
    </xf>
    <xf numFmtId="2" fontId="4" fillId="0" borderId="14" xfId="0" applyNumberFormat="1" applyFont="1" applyFill="1" applyBorder="1" applyAlignment="1">
      <alignment horizontal="center" vertical="center"/>
    </xf>
    <xf numFmtId="1" fontId="1" fillId="0" borderId="14" xfId="0" applyNumberFormat="1" applyFont="1" applyBorder="1" applyAlignment="1">
      <alignment horizontal="center" vertical="center"/>
    </xf>
    <xf numFmtId="1" fontId="1" fillId="0" borderId="25" xfId="0" applyNumberFormat="1" applyFont="1" applyBorder="1" applyAlignment="1">
      <alignment horizontal="center" vertical="center"/>
    </xf>
    <xf numFmtId="0" fontId="15" fillId="0" borderId="1" xfId="0" applyFont="1" applyBorder="1" applyAlignment="1">
      <alignment horizontal="center" vertical="center"/>
    </xf>
    <xf numFmtId="0" fontId="37" fillId="0" borderId="0" xfId="3" applyAlignment="1">
      <alignment vertical="center"/>
    </xf>
    <xf numFmtId="0" fontId="3" fillId="0" borderId="5" xfId="0" applyFont="1" applyBorder="1" applyAlignment="1">
      <alignment horizontal="left" vertical="center" wrapText="1"/>
    </xf>
    <xf numFmtId="0" fontId="0" fillId="0" borderId="14" xfId="0" applyFont="1" applyBorder="1" applyAlignment="1">
      <alignment horizontal="left" vertical="center" wrapText="1"/>
    </xf>
    <xf numFmtId="0" fontId="0" fillId="0" borderId="8" xfId="0" applyBorder="1"/>
    <xf numFmtId="0" fontId="0" fillId="0" borderId="5" xfId="0" applyBorder="1"/>
    <xf numFmtId="0" fontId="28" fillId="0" borderId="5" xfId="0" applyFont="1" applyBorder="1"/>
    <xf numFmtId="0" fontId="5" fillId="0" borderId="5" xfId="0" applyFont="1" applyBorder="1" applyAlignment="1">
      <alignment horizontal="left"/>
    </xf>
    <xf numFmtId="0" fontId="14" fillId="0" borderId="6" xfId="0" applyFont="1" applyBorder="1" applyAlignment="1">
      <alignment horizontal="right"/>
    </xf>
    <xf numFmtId="0" fontId="6" fillId="0" borderId="5" xfId="0" applyFont="1" applyBorder="1" applyAlignment="1">
      <alignment horizontal="left"/>
    </xf>
    <xf numFmtId="0" fontId="1" fillId="0" borderId="12" xfId="0" applyFont="1" applyBorder="1" applyAlignment="1">
      <alignment horizontal="center"/>
    </xf>
    <xf numFmtId="0" fontId="0" fillId="0" borderId="10" xfId="0" applyBorder="1"/>
    <xf numFmtId="1" fontId="0" fillId="0" borderId="14" xfId="0" applyNumberFormat="1" applyBorder="1" applyAlignment="1">
      <alignment horizontal="center"/>
    </xf>
    <xf numFmtId="0" fontId="15" fillId="0" borderId="5" xfId="0" applyFont="1" applyBorder="1" applyAlignment="1">
      <alignment horizontal="center" vertical="center"/>
    </xf>
    <xf numFmtId="0" fontId="1" fillId="0" borderId="5" xfId="0" applyFont="1" applyBorder="1" applyAlignment="1">
      <alignment vertical="center"/>
    </xf>
    <xf numFmtId="0" fontId="1" fillId="0" borderId="9" xfId="0" applyFont="1" applyBorder="1" applyAlignment="1">
      <alignment horizontal="right" vertical="center"/>
    </xf>
    <xf numFmtId="0" fontId="0" fillId="0" borderId="10" xfId="0" applyBorder="1" applyAlignment="1">
      <alignment vertical="center"/>
    </xf>
    <xf numFmtId="1" fontId="18" fillId="0" borderId="14" xfId="0" applyNumberFormat="1" applyFont="1" applyBorder="1" applyAlignment="1">
      <alignment horizontal="center"/>
    </xf>
    <xf numFmtId="0" fontId="9" fillId="0" borderId="4" xfId="0" applyFont="1" applyBorder="1" applyAlignment="1">
      <alignment vertical="center" wrapText="1"/>
    </xf>
    <xf numFmtId="0" fontId="5" fillId="0" borderId="6" xfId="0" applyFont="1" applyBorder="1" applyAlignment="1">
      <alignment horizontal="right" vertical="center"/>
    </xf>
    <xf numFmtId="1" fontId="0" fillId="0" borderId="13" xfId="0" applyNumberFormat="1" applyBorder="1" applyAlignment="1">
      <alignment horizontal="center" vertical="center"/>
    </xf>
    <xf numFmtId="0" fontId="9" fillId="0" borderId="6" xfId="0" applyFont="1" applyBorder="1" applyAlignment="1">
      <alignment horizontal="right" vertical="center"/>
    </xf>
    <xf numFmtId="0" fontId="26" fillId="0" borderId="0" xfId="0" applyFont="1" applyAlignment="1">
      <alignment horizontal="right" vertical="center" wrapText="1"/>
    </xf>
    <xf numFmtId="1" fontId="6" fillId="0" borderId="25" xfId="0" applyNumberFormat="1" applyFont="1" applyBorder="1" applyAlignment="1">
      <alignment horizontal="center" vertical="center"/>
    </xf>
    <xf numFmtId="0" fontId="3" fillId="0" borderId="5" xfId="0" applyFont="1" applyBorder="1" applyAlignment="1">
      <alignment vertical="center" wrapText="1"/>
    </xf>
    <xf numFmtId="0" fontId="0" fillId="0" borderId="0" xfId="0" applyAlignment="1">
      <alignment horizontal="left" vertical="center" wrapText="1"/>
    </xf>
    <xf numFmtId="0" fontId="0" fillId="0" borderId="0" xfId="0" applyAlignment="1">
      <alignment horizontal="center" vertical="center"/>
    </xf>
    <xf numFmtId="0" fontId="4" fillId="4" borderId="14" xfId="0" applyFont="1" applyFill="1" applyBorder="1" applyAlignment="1">
      <alignment horizontal="center" vertical="center"/>
    </xf>
    <xf numFmtId="1" fontId="23" fillId="0" borderId="14" xfId="0" applyNumberFormat="1" applyFont="1" applyBorder="1" applyAlignment="1">
      <alignment horizontal="center" vertical="center"/>
    </xf>
    <xf numFmtId="0" fontId="4" fillId="0" borderId="5" xfId="0" applyFont="1" applyBorder="1" applyAlignment="1">
      <alignment vertical="center" wrapText="1"/>
    </xf>
    <xf numFmtId="49" fontId="1" fillId="0" borderId="5" xfId="0" applyNumberFormat="1" applyFont="1" applyBorder="1"/>
    <xf numFmtId="0" fontId="37" fillId="0" borderId="0" xfId="3" applyAlignment="1">
      <alignment horizontal="left" vertical="center"/>
    </xf>
    <xf numFmtId="0" fontId="5" fillId="0" borderId="0" xfId="0" applyFont="1" applyBorder="1" applyAlignment="1">
      <alignment horizontal="right" vertical="center"/>
    </xf>
    <xf numFmtId="44" fontId="0" fillId="0" borderId="0" xfId="2" applyFont="1" applyBorder="1" applyAlignment="1">
      <alignment horizontal="center" vertical="center"/>
    </xf>
    <xf numFmtId="44" fontId="6" fillId="0" borderId="0" xfId="2" applyFont="1" applyBorder="1" applyAlignment="1">
      <alignment horizontal="left" vertical="center"/>
    </xf>
    <xf numFmtId="0" fontId="1" fillId="0" borderId="0" xfId="0" applyFont="1" applyBorder="1" applyAlignment="1">
      <alignment vertical="center"/>
    </xf>
    <xf numFmtId="44" fontId="1" fillId="0" borderId="0" xfId="2" applyFont="1" applyBorder="1" applyAlignment="1">
      <alignment vertical="center"/>
    </xf>
    <xf numFmtId="44" fontId="0" fillId="0" borderId="0" xfId="2" applyFont="1" applyBorder="1" applyAlignment="1">
      <alignment horizontal="left" vertical="center"/>
    </xf>
    <xf numFmtId="0" fontId="0" fillId="0" borderId="0" xfId="0" applyFill="1" applyBorder="1" applyAlignment="1">
      <alignment horizontal="center"/>
    </xf>
    <xf numFmtId="0" fontId="32" fillId="0" borderId="0" xfId="0" applyFont="1" applyBorder="1" applyAlignment="1">
      <alignment horizontal="center" vertical="center"/>
    </xf>
    <xf numFmtId="0" fontId="0" fillId="0" borderId="14" xfId="0" applyBorder="1" applyAlignment="1">
      <alignment vertical="center"/>
    </xf>
    <xf numFmtId="1" fontId="5" fillId="0" borderId="14" xfId="0" applyNumberFormat="1" applyFont="1" applyBorder="1" applyAlignment="1">
      <alignment horizontal="center" vertical="center"/>
    </xf>
    <xf numFmtId="0" fontId="18" fillId="0" borderId="2" xfId="0" applyFont="1" applyFill="1" applyBorder="1" applyAlignment="1">
      <alignment horizont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1" fontId="6" fillId="0" borderId="31" xfId="0" applyNumberFormat="1" applyFont="1" applyBorder="1" applyAlignment="1">
      <alignment horizontal="center" vertical="center"/>
    </xf>
    <xf numFmtId="1" fontId="6" fillId="0" borderId="32" xfId="0" applyNumberFormat="1" applyFont="1" applyBorder="1" applyAlignment="1">
      <alignment horizontal="center" vertical="center"/>
    </xf>
    <xf numFmtId="1" fontId="6" fillId="0" borderId="33" xfId="0" applyNumberFormat="1" applyFont="1" applyBorder="1" applyAlignment="1">
      <alignment horizontal="center" vertical="center"/>
    </xf>
    <xf numFmtId="0" fontId="6" fillId="0" borderId="27" xfId="0" applyFont="1" applyBorder="1" applyAlignment="1">
      <alignment horizontal="center" vertical="center" wrapText="1"/>
    </xf>
    <xf numFmtId="1" fontId="6" fillId="0" borderId="27" xfId="0" applyNumberFormat="1" applyFont="1" applyBorder="1" applyAlignment="1">
      <alignment horizontal="center"/>
    </xf>
    <xf numFmtId="1" fontId="5" fillId="0" borderId="12" xfId="0" applyNumberFormat="1" applyFont="1" applyBorder="1" applyAlignment="1">
      <alignment horizontal="center" vertical="center"/>
    </xf>
    <xf numFmtId="0" fontId="16" fillId="0" borderId="10" xfId="0" applyFont="1" applyBorder="1" applyAlignment="1">
      <alignment horizontal="center" vertical="center" wrapText="1"/>
    </xf>
    <xf numFmtId="0" fontId="6" fillId="0" borderId="2" xfId="0" applyFont="1" applyBorder="1" applyAlignment="1">
      <alignment horizontal="right" vertical="center"/>
    </xf>
    <xf numFmtId="0" fontId="6" fillId="0" borderId="4" xfId="0" applyFont="1" applyBorder="1" applyAlignment="1">
      <alignment horizontal="left" vertical="center"/>
    </xf>
    <xf numFmtId="1" fontId="6" fillId="0" borderId="2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27" fillId="0" borderId="0"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0" xfId="0" applyFont="1" applyAlignment="1">
      <alignment horizontal="center" vertical="center"/>
    </xf>
    <xf numFmtId="3" fontId="0" fillId="0" borderId="0" xfId="0" applyNumberFormat="1" applyAlignment="1">
      <alignment horizontal="center" vertical="center"/>
    </xf>
    <xf numFmtId="0" fontId="1" fillId="0" borderId="34" xfId="0" applyFont="1" applyBorder="1" applyAlignment="1">
      <alignment horizontal="right" vertical="center"/>
    </xf>
    <xf numFmtId="0" fontId="6" fillId="0" borderId="35" xfId="0" applyFont="1" applyBorder="1" applyAlignment="1">
      <alignment horizontal="right" vertical="center"/>
    </xf>
    <xf numFmtId="0" fontId="39" fillId="0" borderId="36" xfId="0" applyFont="1" applyFill="1" applyBorder="1" applyAlignment="1">
      <alignment vertical="center"/>
    </xf>
    <xf numFmtId="0" fontId="19" fillId="0" borderId="0" xfId="0" applyFont="1" applyAlignment="1">
      <alignment horizontal="center" vertical="center"/>
    </xf>
    <xf numFmtId="0" fontId="1" fillId="0" borderId="0" xfId="0" applyFont="1" applyBorder="1" applyAlignment="1">
      <alignment horizontal="right" vertical="center" wrapText="1"/>
    </xf>
    <xf numFmtId="0" fontId="1" fillId="0" borderId="14" xfId="0" applyFont="1" applyBorder="1" applyAlignment="1">
      <alignment horizontal="center"/>
    </xf>
    <xf numFmtId="0" fontId="1" fillId="0" borderId="26" xfId="0" applyFont="1" applyBorder="1" applyAlignment="1">
      <alignment horizontal="center"/>
    </xf>
    <xf numFmtId="0" fontId="9" fillId="0" borderId="0" xfId="0" applyFont="1" applyBorder="1" applyAlignment="1">
      <alignment vertical="center" wrapText="1"/>
    </xf>
    <xf numFmtId="0" fontId="5" fillId="0" borderId="0" xfId="0" applyFont="1" applyBorder="1" applyAlignment="1">
      <alignment horizontal="left"/>
    </xf>
    <xf numFmtId="0" fontId="0" fillId="0" borderId="13" xfId="0" applyBorder="1" applyAlignment="1">
      <alignment vertical="center"/>
    </xf>
    <xf numFmtId="0" fontId="1" fillId="0" borderId="34" xfId="0" applyFont="1" applyBorder="1" applyAlignment="1">
      <alignment horizontal="right"/>
    </xf>
    <xf numFmtId="0" fontId="1" fillId="0" borderId="0" xfId="0" applyFont="1" applyFill="1" applyAlignment="1">
      <alignment horizontal="left"/>
    </xf>
    <xf numFmtId="0" fontId="1" fillId="0" borderId="0" xfId="0" applyFont="1" applyFill="1" applyAlignment="1"/>
    <xf numFmtId="0" fontId="39" fillId="0" borderId="0" xfId="0" applyFont="1" applyFill="1" applyBorder="1" applyAlignment="1">
      <alignment vertical="center"/>
    </xf>
    <xf numFmtId="0" fontId="28" fillId="0" borderId="14" xfId="0" applyFont="1" applyBorder="1" applyAlignment="1">
      <alignment vertical="center"/>
    </xf>
    <xf numFmtId="1" fontId="11" fillId="0" borderId="14" xfId="0" applyNumberFormat="1" applyFont="1" applyFill="1" applyBorder="1" applyAlignment="1">
      <alignment horizontal="center" vertical="center"/>
    </xf>
    <xf numFmtId="0" fontId="5" fillId="0" borderId="14" xfId="0" applyFont="1" applyBorder="1" applyAlignment="1">
      <alignment horizontal="left" vertical="center"/>
    </xf>
    <xf numFmtId="0" fontId="14" fillId="0" borderId="6" xfId="0" applyFont="1" applyBorder="1" applyAlignment="1">
      <alignment horizontal="right" vertical="center"/>
    </xf>
    <xf numFmtId="0" fontId="6" fillId="0" borderId="5" xfId="0" applyFont="1" applyBorder="1" applyAlignment="1">
      <alignment horizontal="left" vertical="center"/>
    </xf>
    <xf numFmtId="0" fontId="0" fillId="0" borderId="25" xfId="0" applyBorder="1" applyAlignment="1">
      <alignment vertical="center"/>
    </xf>
    <xf numFmtId="0" fontId="4" fillId="0" borderId="0" xfId="0" applyFont="1" applyAlignment="1">
      <alignment horizontal="center" vertical="center"/>
    </xf>
    <xf numFmtId="49" fontId="1" fillId="0" borderId="5" xfId="0" applyNumberFormat="1" applyFont="1" applyBorder="1" applyAlignment="1">
      <alignment vertical="center"/>
    </xf>
    <xf numFmtId="44" fontId="6" fillId="0" borderId="14" xfId="2" applyFont="1" applyBorder="1" applyAlignment="1">
      <alignment vertical="center"/>
    </xf>
    <xf numFmtId="0" fontId="1" fillId="0" borderId="1" xfId="0" applyFont="1" applyBorder="1" applyAlignment="1">
      <alignment horizontal="right" vertical="center"/>
    </xf>
    <xf numFmtId="0" fontId="1" fillId="0" borderId="3" xfId="0" applyFont="1" applyBorder="1" applyAlignment="1">
      <alignment horizontal="center" vertical="center"/>
    </xf>
    <xf numFmtId="0" fontId="6" fillId="0" borderId="10" xfId="0" applyFont="1" applyBorder="1" applyAlignment="1">
      <alignment horizontal="left" vertical="center"/>
    </xf>
    <xf numFmtId="1" fontId="11" fillId="0" borderId="38" xfId="0" applyNumberFormat="1" applyFont="1" applyFill="1" applyBorder="1" applyAlignment="1">
      <alignment horizontal="center" vertical="center"/>
    </xf>
    <xf numFmtId="0" fontId="21" fillId="0" borderId="0" xfId="0" applyFont="1" applyAlignment="1">
      <alignment vertical="center"/>
    </xf>
    <xf numFmtId="49" fontId="23" fillId="0" borderId="0" xfId="0" applyNumberFormat="1" applyFont="1" applyAlignment="1">
      <alignment horizontal="left" vertical="center"/>
    </xf>
    <xf numFmtId="165" fontId="0" fillId="0" borderId="14" xfId="0" applyNumberFormat="1" applyBorder="1" applyAlignment="1">
      <alignment horizontal="center"/>
    </xf>
    <xf numFmtId="0" fontId="1" fillId="0" borderId="15" xfId="0" applyFont="1" applyBorder="1" applyAlignment="1">
      <alignment horizontal="center" vertical="center"/>
    </xf>
    <xf numFmtId="0" fontId="1" fillId="0" borderId="16" xfId="0" applyFont="1" applyBorder="1" applyAlignment="1">
      <alignment horizontal="right" vertical="center"/>
    </xf>
    <xf numFmtId="0" fontId="1" fillId="0" borderId="17" xfId="0" applyFont="1" applyBorder="1" applyAlignment="1">
      <alignment horizontal="center" vertical="center"/>
    </xf>
    <xf numFmtId="3" fontId="18" fillId="0" borderId="0" xfId="0" applyNumberFormat="1" applyFont="1" applyBorder="1" applyAlignment="1">
      <alignment horizontal="right" vertical="center"/>
    </xf>
    <xf numFmtId="49" fontId="45" fillId="0" borderId="0" xfId="0" applyNumberFormat="1" applyFont="1" applyAlignment="1">
      <alignment horizontal="right" vertical="center"/>
    </xf>
    <xf numFmtId="0" fontId="14" fillId="0" borderId="25"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7" fillId="0" borderId="0" xfId="0" applyFont="1" applyAlignment="1">
      <alignment horizontal="center" vertical="center"/>
    </xf>
    <xf numFmtId="0" fontId="23" fillId="0" borderId="0" xfId="0" applyFont="1"/>
    <xf numFmtId="1" fontId="23" fillId="0" borderId="0" xfId="0" applyNumberFormat="1" applyFont="1" applyAlignment="1">
      <alignment horizontal="center"/>
    </xf>
    <xf numFmtId="0" fontId="5" fillId="0" borderId="0" xfId="0" applyFont="1" applyAlignment="1">
      <alignment horizontal="center"/>
    </xf>
    <xf numFmtId="1" fontId="5" fillId="0" borderId="0" xfId="0" applyNumberFormat="1" applyFont="1" applyAlignment="1">
      <alignment horizontal="center"/>
    </xf>
    <xf numFmtId="0" fontId="9" fillId="0" borderId="8" xfId="0" applyFont="1" applyBorder="1" applyAlignment="1">
      <alignment vertical="center" wrapText="1"/>
    </xf>
    <xf numFmtId="0" fontId="18" fillId="0" borderId="27" xfId="0" applyFont="1" applyBorder="1" applyAlignment="1">
      <alignment horizontal="center" vertical="center" wrapText="1"/>
    </xf>
    <xf numFmtId="0" fontId="36" fillId="0" borderId="30" xfId="0" applyFont="1" applyBorder="1" applyAlignment="1">
      <alignment horizontal="center" vertical="center"/>
    </xf>
    <xf numFmtId="0" fontId="4" fillId="4" borderId="14" xfId="0" applyFont="1" applyFill="1" applyBorder="1" applyAlignment="1">
      <alignment horizontal="center"/>
    </xf>
    <xf numFmtId="49" fontId="1" fillId="0" borderId="0" xfId="0" applyNumberFormat="1" applyFont="1" applyAlignment="1">
      <alignment horizontal="left"/>
    </xf>
    <xf numFmtId="49" fontId="0" fillId="0" borderId="0" xfId="0" applyNumberFormat="1" applyFont="1" applyAlignment="1">
      <alignment horizontal="left"/>
    </xf>
    <xf numFmtId="0" fontId="0" fillId="0" borderId="0" xfId="0" applyAlignment="1">
      <alignment horizontal="left" vertical="center" wrapText="1"/>
    </xf>
    <xf numFmtId="0" fontId="3" fillId="0" borderId="0" xfId="0" applyFont="1" applyAlignment="1">
      <alignment vertical="center"/>
    </xf>
    <xf numFmtId="0" fontId="0" fillId="0" borderId="0" xfId="0" applyAlignment="1">
      <alignment horizontal="center" vertical="center"/>
    </xf>
    <xf numFmtId="0" fontId="1" fillId="0" borderId="1" xfId="0" applyFont="1" applyFill="1" applyBorder="1" applyAlignment="1">
      <alignment horizontal="center" vertical="center"/>
    </xf>
    <xf numFmtId="0" fontId="41" fillId="0" borderId="14" xfId="0" applyFont="1" applyBorder="1" applyAlignment="1">
      <alignment horizontal="center" vertical="center"/>
    </xf>
    <xf numFmtId="0" fontId="18" fillId="3" borderId="44" xfId="0" applyFont="1" applyFill="1" applyBorder="1" applyAlignment="1" applyProtection="1">
      <alignment horizontal="center"/>
      <protection locked="0"/>
    </xf>
    <xf numFmtId="0" fontId="1" fillId="3" borderId="18" xfId="0" applyFont="1" applyFill="1" applyBorder="1" applyProtection="1">
      <protection locked="0"/>
    </xf>
    <xf numFmtId="0" fontId="0" fillId="3" borderId="18" xfId="0" applyFill="1" applyBorder="1" applyProtection="1">
      <protection locked="0"/>
    </xf>
    <xf numFmtId="0" fontId="1" fillId="2" borderId="0" xfId="0" applyFont="1" applyFill="1" applyBorder="1" applyAlignment="1" applyProtection="1">
      <alignment horizontal="center"/>
      <protection locked="0"/>
    </xf>
    <xf numFmtId="0" fontId="0" fillId="3" borderId="14" xfId="0" applyFill="1" applyBorder="1" applyAlignment="1" applyProtection="1">
      <alignment horizontal="center"/>
      <protection locked="0"/>
    </xf>
    <xf numFmtId="0" fontId="1" fillId="2" borderId="0" xfId="0" applyFont="1" applyFill="1" applyBorder="1" applyAlignment="1" applyProtection="1">
      <alignment horizontal="center" vertical="center"/>
      <protection locked="0"/>
    </xf>
    <xf numFmtId="0" fontId="4" fillId="3" borderId="18" xfId="0" applyFont="1" applyFill="1" applyBorder="1" applyAlignment="1" applyProtection="1">
      <alignment vertical="center"/>
      <protection locked="0"/>
    </xf>
    <xf numFmtId="0" fontId="1" fillId="3" borderId="0" xfId="0" applyFont="1" applyFill="1" applyBorder="1" applyAlignment="1" applyProtection="1">
      <alignment horizontal="center"/>
      <protection locked="0"/>
    </xf>
    <xf numFmtId="0" fontId="1" fillId="3" borderId="0" xfId="0" applyFont="1" applyFill="1" applyBorder="1" applyAlignment="1" applyProtection="1">
      <alignment horizontal="center" vertical="center"/>
      <protection locked="0"/>
    </xf>
    <xf numFmtId="165" fontId="1" fillId="3" borderId="13" xfId="0" applyNumberFormat="1" applyFont="1" applyFill="1" applyBorder="1" applyAlignment="1" applyProtection="1">
      <alignment horizontal="center" vertical="center"/>
      <protection locked="0"/>
    </xf>
    <xf numFmtId="0" fontId="0" fillId="0" borderId="0" xfId="0" applyProtection="1"/>
    <xf numFmtId="0" fontId="1" fillId="0" borderId="0" xfId="0" applyFont="1" applyAlignment="1" applyProtection="1">
      <alignment horizontal="right"/>
    </xf>
    <xf numFmtId="0" fontId="1" fillId="0" borderId="0" xfId="0" applyFont="1" applyAlignment="1" applyProtection="1">
      <alignment horizontal="center"/>
    </xf>
    <xf numFmtId="0" fontId="0" fillId="0" borderId="0" xfId="0" applyAlignment="1" applyProtection="1">
      <alignment horizontal="center"/>
    </xf>
    <xf numFmtId="0" fontId="1" fillId="2" borderId="0" xfId="0" applyFont="1" applyFill="1" applyAlignment="1" applyProtection="1">
      <alignment horizontal="center"/>
    </xf>
    <xf numFmtId="0" fontId="1" fillId="3" borderId="0" xfId="0" applyFont="1" applyFill="1" applyAlignment="1" applyProtection="1">
      <alignment horizontal="center"/>
    </xf>
    <xf numFmtId="0" fontId="18" fillId="0" borderId="27" xfId="0" applyFont="1" applyBorder="1" applyAlignment="1" applyProtection="1">
      <alignment horizontal="center" vertical="center" wrapText="1"/>
    </xf>
    <xf numFmtId="0" fontId="1" fillId="0" borderId="17" xfId="0" applyFont="1" applyBorder="1" applyAlignment="1" applyProtection="1">
      <alignment horizontal="right"/>
    </xf>
    <xf numFmtId="0" fontId="1" fillId="0" borderId="0" xfId="0" applyFont="1" applyBorder="1" applyAlignment="1" applyProtection="1">
      <alignment horizontal="right" vertical="center"/>
    </xf>
    <xf numFmtId="0" fontId="1" fillId="0" borderId="0" xfId="0" applyFont="1" applyProtection="1"/>
    <xf numFmtId="0" fontId="0" fillId="0" borderId="0" xfId="0" applyAlignment="1" applyProtection="1">
      <alignment horizontal="center" vertical="center"/>
    </xf>
    <xf numFmtId="0" fontId="1" fillId="0" borderId="0" xfId="0" applyFont="1" applyBorder="1" applyAlignment="1" applyProtection="1">
      <alignment horizontal="right"/>
    </xf>
    <xf numFmtId="0" fontId="1" fillId="0" borderId="17" xfId="0" applyFont="1" applyBorder="1" applyAlignment="1" applyProtection="1">
      <alignment horizontal="right" vertical="center"/>
    </xf>
    <xf numFmtId="0" fontId="1" fillId="0" borderId="0" xfId="0" applyFont="1" applyBorder="1" applyAlignment="1" applyProtection="1">
      <alignment horizontal="center"/>
    </xf>
    <xf numFmtId="0" fontId="18" fillId="0" borderId="1" xfId="0" applyFont="1" applyFill="1" applyBorder="1" applyAlignment="1" applyProtection="1">
      <alignment horizontal="center"/>
    </xf>
    <xf numFmtId="0" fontId="0" fillId="0" borderId="14" xfId="0" applyFill="1" applyBorder="1" applyAlignment="1" applyProtection="1">
      <alignment horizontal="center"/>
    </xf>
    <xf numFmtId="0" fontId="0" fillId="4" borderId="14" xfId="0" applyFill="1" applyBorder="1" applyAlignment="1" applyProtection="1">
      <alignment horizontal="center" vertical="center"/>
    </xf>
    <xf numFmtId="0" fontId="1" fillId="0" borderId="34" xfId="0" applyFont="1" applyBorder="1" applyAlignment="1" applyProtection="1">
      <alignment horizontal="right" vertical="center"/>
    </xf>
    <xf numFmtId="0" fontId="6" fillId="0" borderId="35" xfId="0" applyFont="1" applyBorder="1" applyAlignment="1" applyProtection="1">
      <alignment horizontal="right" vertical="center"/>
    </xf>
    <xf numFmtId="0" fontId="6" fillId="0" borderId="27" xfId="0" applyFont="1" applyBorder="1" applyAlignment="1" applyProtection="1">
      <alignment horizontal="center" vertical="center"/>
    </xf>
    <xf numFmtId="0" fontId="39" fillId="0" borderId="36" xfId="0" applyFont="1" applyFill="1" applyBorder="1" applyAlignment="1" applyProtection="1">
      <alignment vertical="center"/>
    </xf>
    <xf numFmtId="0" fontId="1" fillId="0" borderId="0" xfId="0" applyFont="1" applyAlignment="1" applyProtection="1">
      <alignment vertical="center"/>
    </xf>
    <xf numFmtId="0" fontId="0" fillId="0" borderId="0" xfId="0" applyAlignment="1" applyProtection="1">
      <alignment vertical="center"/>
    </xf>
    <xf numFmtId="0" fontId="3" fillId="0" borderId="0" xfId="0" applyFont="1" applyAlignment="1" applyProtection="1">
      <alignment horizontal="center" vertical="center" wrapText="1"/>
    </xf>
    <xf numFmtId="0" fontId="6" fillId="0" borderId="0" xfId="0" applyFont="1" applyBorder="1" applyAlignment="1" applyProtection="1">
      <alignment horizontal="right" vertical="center"/>
    </xf>
    <xf numFmtId="0" fontId="6" fillId="0" borderId="0" xfId="0" applyFont="1" applyBorder="1" applyAlignment="1" applyProtection="1">
      <alignment horizontal="center" vertical="center"/>
    </xf>
    <xf numFmtId="0" fontId="39" fillId="0" borderId="0" xfId="0" applyFont="1" applyFill="1" applyBorder="1" applyAlignment="1" applyProtection="1">
      <alignment vertical="center"/>
    </xf>
    <xf numFmtId="0" fontId="6" fillId="0" borderId="30" xfId="0" applyFont="1" applyBorder="1" applyAlignment="1" applyProtection="1">
      <alignment horizontal="center" vertical="center" wrapText="1"/>
    </xf>
    <xf numFmtId="0" fontId="9" fillId="0" borderId="10" xfId="0" applyFont="1" applyBorder="1" applyAlignment="1" applyProtection="1">
      <alignment vertical="center" wrapText="1"/>
    </xf>
    <xf numFmtId="0" fontId="1" fillId="0" borderId="6" xfId="0" applyFont="1" applyBorder="1" applyAlignment="1" applyProtection="1">
      <alignment horizontal="right"/>
    </xf>
    <xf numFmtId="0" fontId="41" fillId="0" borderId="14" xfId="0" applyFont="1" applyBorder="1" applyAlignment="1" applyProtection="1">
      <alignment horizontal="center" vertical="center"/>
    </xf>
    <xf numFmtId="0" fontId="0" fillId="0" borderId="5" xfId="0" applyBorder="1" applyProtection="1"/>
    <xf numFmtId="0" fontId="1" fillId="0" borderId="6" xfId="0" applyFont="1" applyBorder="1" applyAlignment="1" applyProtection="1">
      <alignment horizontal="right" vertical="center"/>
    </xf>
    <xf numFmtId="0" fontId="0" fillId="0" borderId="6" xfId="0" applyFont="1" applyBorder="1" applyAlignment="1" applyProtection="1">
      <alignment horizontal="right"/>
    </xf>
    <xf numFmtId="0" fontId="9" fillId="0" borderId="6" xfId="0" applyFont="1" applyBorder="1" applyAlignment="1" applyProtection="1">
      <alignment horizontal="right" vertical="center"/>
    </xf>
    <xf numFmtId="0" fontId="14" fillId="0" borderId="6" xfId="0" applyFont="1" applyBorder="1" applyAlignment="1" applyProtection="1">
      <alignment horizontal="right"/>
    </xf>
    <xf numFmtId="0" fontId="1" fillId="0" borderId="9" xfId="0" applyFont="1" applyBorder="1" applyAlignment="1" applyProtection="1">
      <alignment horizontal="right"/>
    </xf>
    <xf numFmtId="0" fontId="5" fillId="0" borderId="0" xfId="0" applyFont="1" applyBorder="1" applyAlignment="1" applyProtection="1">
      <alignment horizontal="right"/>
    </xf>
    <xf numFmtId="0" fontId="6" fillId="0" borderId="0" xfId="0" applyFont="1" applyBorder="1" applyAlignment="1" applyProtection="1">
      <alignment horizontal="right"/>
    </xf>
    <xf numFmtId="0" fontId="1" fillId="0" borderId="12" xfId="0" applyFont="1" applyBorder="1" applyAlignment="1" applyProtection="1">
      <alignment horizontal="center"/>
    </xf>
    <xf numFmtId="1" fontId="0" fillId="0" borderId="14" xfId="0" applyNumberFormat="1" applyBorder="1" applyAlignment="1" applyProtection="1">
      <alignment horizontal="center"/>
    </xf>
    <xf numFmtId="1" fontId="0" fillId="0" borderId="14" xfId="0" applyNumberFormat="1" applyBorder="1" applyAlignment="1" applyProtection="1">
      <alignment horizontal="center" vertical="center"/>
    </xf>
    <xf numFmtId="0" fontId="28" fillId="0" borderId="14" xfId="0" applyFont="1" applyBorder="1" applyAlignment="1" applyProtection="1">
      <alignment horizontal="center"/>
    </xf>
    <xf numFmtId="0" fontId="0" fillId="0" borderId="14" xfId="0" applyBorder="1" applyAlignment="1" applyProtection="1">
      <alignment horizontal="center"/>
    </xf>
    <xf numFmtId="0" fontId="0" fillId="0" borderId="14" xfId="0" applyBorder="1" applyAlignment="1" applyProtection="1">
      <alignment horizontal="center" vertical="center"/>
    </xf>
    <xf numFmtId="1" fontId="11" fillId="0" borderId="14" xfId="0" applyNumberFormat="1" applyFont="1" applyFill="1" applyBorder="1" applyAlignment="1" applyProtection="1">
      <alignment horizontal="center"/>
    </xf>
    <xf numFmtId="1" fontId="6" fillId="0" borderId="27" xfId="0" applyNumberFormat="1" applyFont="1" applyBorder="1" applyAlignment="1" applyProtection="1">
      <alignment horizontal="center"/>
    </xf>
    <xf numFmtId="0" fontId="0" fillId="0" borderId="25" xfId="0" applyFont="1" applyBorder="1" applyAlignment="1" applyProtection="1">
      <alignment horizontal="right"/>
    </xf>
    <xf numFmtId="0" fontId="0" fillId="0" borderId="5" xfId="0" applyBorder="1" applyAlignment="1" applyProtection="1">
      <alignment vertical="center"/>
    </xf>
    <xf numFmtId="0" fontId="28" fillId="0" borderId="5" xfId="0" applyFont="1" applyBorder="1" applyProtection="1"/>
    <xf numFmtId="0" fontId="3" fillId="0" borderId="5" xfId="0" applyFont="1" applyBorder="1" applyAlignment="1" applyProtection="1">
      <alignment vertical="center" wrapText="1"/>
    </xf>
    <xf numFmtId="0" fontId="5" fillId="0" borderId="5" xfId="0" applyFont="1" applyBorder="1" applyAlignment="1" applyProtection="1">
      <alignment horizontal="left"/>
    </xf>
    <xf numFmtId="0" fontId="6" fillId="0" borderId="5" xfId="0" applyFont="1" applyBorder="1" applyAlignment="1" applyProtection="1">
      <alignment horizontal="left"/>
    </xf>
    <xf numFmtId="0" fontId="0" fillId="0" borderId="10" xfId="0" applyBorder="1" applyProtection="1"/>
    <xf numFmtId="0" fontId="0" fillId="0" borderId="0" xfId="0" applyBorder="1" applyProtection="1"/>
    <xf numFmtId="0" fontId="0" fillId="0" borderId="0" xfId="0" applyFont="1" applyFill="1" applyProtection="1"/>
    <xf numFmtId="0" fontId="3" fillId="0" borderId="0" xfId="0" applyFont="1" applyProtection="1"/>
    <xf numFmtId="0" fontId="1" fillId="0" borderId="7" xfId="0" applyFont="1" applyBorder="1" applyAlignment="1" applyProtection="1">
      <alignment horizontal="center" vertical="center"/>
    </xf>
    <xf numFmtId="0" fontId="1" fillId="0" borderId="11" xfId="0" applyFont="1" applyBorder="1" applyAlignment="1" applyProtection="1">
      <alignment horizontal="center" vertical="center"/>
    </xf>
    <xf numFmtId="0" fontId="18" fillId="0" borderId="13" xfId="0" applyFont="1" applyBorder="1" applyAlignment="1" applyProtection="1">
      <alignment horizontal="center" vertical="center" wrapText="1"/>
    </xf>
    <xf numFmtId="44" fontId="0" fillId="0" borderId="13" xfId="2" applyFont="1" applyBorder="1" applyAlignment="1" applyProtection="1">
      <alignment horizontal="center" vertical="center"/>
    </xf>
    <xf numFmtId="0" fontId="1" fillId="0" borderId="6" xfId="0" applyFont="1" applyBorder="1" applyAlignment="1" applyProtection="1">
      <alignment horizontal="center" vertical="center"/>
    </xf>
    <xf numFmtId="1" fontId="6" fillId="0" borderId="13" xfId="0" applyNumberFormat="1" applyFont="1" applyBorder="1" applyAlignment="1" applyProtection="1">
      <alignment horizontal="center" vertical="center"/>
    </xf>
    <xf numFmtId="44" fontId="6" fillId="0" borderId="14" xfId="2" applyFont="1" applyBorder="1" applyAlignment="1" applyProtection="1">
      <alignment horizontal="left" vertical="center"/>
    </xf>
    <xf numFmtId="0" fontId="1" fillId="0" borderId="9" xfId="0" applyFont="1" applyBorder="1" applyAlignment="1" applyProtection="1">
      <alignment horizontal="center" vertical="center"/>
    </xf>
    <xf numFmtId="0" fontId="1" fillId="0" borderId="0" xfId="0" applyFont="1" applyBorder="1" applyAlignment="1" applyProtection="1">
      <alignment horizontal="center" vertical="center"/>
    </xf>
    <xf numFmtId="0" fontId="18" fillId="0" borderId="12" xfId="0" applyFont="1" applyBorder="1" applyAlignment="1" applyProtection="1">
      <alignment horizontal="center" vertical="center"/>
    </xf>
    <xf numFmtId="1" fontId="18" fillId="0" borderId="1" xfId="0" applyNumberFormat="1" applyFont="1" applyBorder="1" applyAlignment="1" applyProtection="1">
      <alignment horizontal="center" vertical="center"/>
    </xf>
    <xf numFmtId="44" fontId="1" fillId="0" borderId="14" xfId="2" applyFont="1" applyBorder="1" applyAlignment="1" applyProtection="1">
      <alignment vertical="center"/>
    </xf>
    <xf numFmtId="44" fontId="0" fillId="0" borderId="14" xfId="2" applyFont="1" applyBorder="1" applyAlignment="1" applyProtection="1">
      <alignment horizontal="left" vertical="center"/>
    </xf>
    <xf numFmtId="44" fontId="1" fillId="0" borderId="25" xfId="2" applyFont="1" applyBorder="1" applyAlignment="1" applyProtection="1">
      <alignment horizontal="left" vertical="center"/>
    </xf>
    <xf numFmtId="0" fontId="4" fillId="0" borderId="0" xfId="0" applyFont="1" applyProtection="1"/>
    <xf numFmtId="0" fontId="1" fillId="0" borderId="7" xfId="0" applyFont="1" applyBorder="1" applyAlignment="1" applyProtection="1">
      <alignment horizontal="right"/>
    </xf>
    <xf numFmtId="0" fontId="1" fillId="0" borderId="11" xfId="0" applyFont="1" applyBorder="1" applyAlignment="1" applyProtection="1">
      <alignment horizontal="center"/>
    </xf>
    <xf numFmtId="0" fontId="4" fillId="0" borderId="0" xfId="0" applyFont="1" applyBorder="1" applyAlignment="1" applyProtection="1">
      <alignment horizontal="right"/>
    </xf>
    <xf numFmtId="0" fontId="1" fillId="0" borderId="12" xfId="0" applyFont="1" applyBorder="1" applyAlignment="1" applyProtection="1">
      <alignment horizontal="right" vertical="center"/>
    </xf>
    <xf numFmtId="2" fontId="4" fillId="0" borderId="14" xfId="0" applyNumberFormat="1" applyFont="1" applyFill="1" applyBorder="1" applyAlignment="1" applyProtection="1">
      <alignment horizontal="center" vertical="center"/>
    </xf>
    <xf numFmtId="1" fontId="18" fillId="0" borderId="14" xfId="0" applyNumberFormat="1" applyFont="1" applyBorder="1" applyAlignment="1" applyProtection="1">
      <alignment horizontal="center" vertical="center"/>
    </xf>
    <xf numFmtId="1" fontId="1" fillId="0" borderId="14" xfId="0" applyNumberFormat="1" applyFont="1" applyBorder="1" applyAlignment="1" applyProtection="1">
      <alignment horizontal="center" vertical="center"/>
    </xf>
    <xf numFmtId="1" fontId="1" fillId="0" borderId="25" xfId="0" applyNumberFormat="1"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0" fillId="0" borderId="8" xfId="0" applyBorder="1" applyProtection="1"/>
    <xf numFmtId="0" fontId="15" fillId="0" borderId="5" xfId="0" applyFont="1" applyBorder="1" applyAlignment="1" applyProtection="1">
      <alignment vertical="center"/>
    </xf>
    <xf numFmtId="0" fontId="4" fillId="0" borderId="5" xfId="0" applyFont="1" applyBorder="1" applyAlignment="1" applyProtection="1">
      <alignment vertical="center"/>
    </xf>
    <xf numFmtId="0" fontId="15" fillId="0" borderId="5" xfId="0" applyFont="1" applyBorder="1" applyAlignment="1" applyProtection="1">
      <alignment horizontal="center" vertical="center"/>
    </xf>
    <xf numFmtId="0" fontId="1" fillId="0" borderId="5" xfId="0" applyFont="1" applyBorder="1" applyAlignment="1" applyProtection="1">
      <alignment vertical="center"/>
    </xf>
    <xf numFmtId="0" fontId="0" fillId="0" borderId="10" xfId="0" applyBorder="1" applyAlignment="1" applyProtection="1">
      <alignment vertical="center"/>
    </xf>
    <xf numFmtId="49" fontId="2" fillId="0" borderId="0" xfId="0" applyNumberFormat="1" applyFont="1" applyAlignment="1" applyProtection="1">
      <alignment horizontal="right" vertical="center"/>
    </xf>
    <xf numFmtId="49" fontId="1" fillId="0" borderId="0" xfId="0" applyNumberFormat="1" applyFont="1" applyAlignment="1" applyProtection="1">
      <alignment horizontal="center" vertical="center"/>
    </xf>
    <xf numFmtId="49" fontId="0" fillId="0" borderId="0" xfId="0" applyNumberFormat="1" applyAlignment="1" applyProtection="1">
      <alignment horizontal="center" vertical="center"/>
    </xf>
    <xf numFmtId="0" fontId="5" fillId="0" borderId="0" xfId="0" applyFont="1" applyBorder="1" applyAlignment="1" applyProtection="1">
      <alignment horizontal="right" vertical="center"/>
    </xf>
    <xf numFmtId="49" fontId="0" fillId="0" borderId="0" xfId="0" applyNumberFormat="1" applyAlignment="1" applyProtection="1">
      <alignment horizontal="left" vertical="center"/>
    </xf>
    <xf numFmtId="0" fontId="0" fillId="0" borderId="0" xfId="0" applyAlignment="1" applyProtection="1">
      <alignment horizontal="left"/>
    </xf>
    <xf numFmtId="0" fontId="18" fillId="3" borderId="25" xfId="0" applyFont="1" applyFill="1" applyBorder="1" applyAlignment="1" applyProtection="1">
      <alignment horizontal="center" vertical="center"/>
      <protection locked="0"/>
    </xf>
    <xf numFmtId="0" fontId="1" fillId="3" borderId="26" xfId="0" applyFont="1" applyFill="1" applyBorder="1" applyAlignment="1" applyProtection="1">
      <alignment vertical="center"/>
      <protection locked="0"/>
    </xf>
    <xf numFmtId="0" fontId="0" fillId="3" borderId="26" xfId="0" applyFill="1" applyBorder="1" applyAlignment="1" applyProtection="1">
      <alignment vertical="center"/>
      <protection locked="0"/>
    </xf>
    <xf numFmtId="0" fontId="4" fillId="3" borderId="26" xfId="0" applyFont="1" applyFill="1" applyBorder="1" applyAlignment="1" applyProtection="1">
      <alignment vertical="center"/>
      <protection locked="0"/>
    </xf>
    <xf numFmtId="0" fontId="1" fillId="2" borderId="14" xfId="0" applyFont="1" applyFill="1" applyBorder="1" applyAlignment="1" applyProtection="1">
      <alignment horizontal="center" vertical="center"/>
      <protection locked="0"/>
    </xf>
    <xf numFmtId="0" fontId="1" fillId="3" borderId="18" xfId="0" applyFont="1" applyFill="1" applyBorder="1" applyAlignment="1" applyProtection="1">
      <alignment vertical="center"/>
      <protection locked="0"/>
    </xf>
    <xf numFmtId="0" fontId="0" fillId="3" borderId="18" xfId="0" applyFill="1" applyBorder="1" applyAlignment="1" applyProtection="1">
      <alignment vertical="center"/>
      <protection locked="0"/>
    </xf>
    <xf numFmtId="0" fontId="0" fillId="3" borderId="14" xfId="0" applyFill="1" applyBorder="1" applyAlignment="1" applyProtection="1">
      <alignment horizontal="center" vertical="center"/>
      <protection locked="0"/>
    </xf>
    <xf numFmtId="0" fontId="11" fillId="2" borderId="0" xfId="0" applyFont="1" applyFill="1" applyBorder="1" applyAlignment="1" applyProtection="1">
      <alignment horizontal="center" vertical="center"/>
      <protection locked="0"/>
    </xf>
    <xf numFmtId="0" fontId="18" fillId="3" borderId="44" xfId="0" applyFont="1" applyFill="1" applyBorder="1" applyAlignment="1" applyProtection="1">
      <alignment horizontal="center" vertical="center"/>
      <protection locked="0"/>
    </xf>
    <xf numFmtId="165" fontId="0" fillId="3" borderId="13" xfId="0" applyNumberFormat="1" applyFill="1" applyBorder="1" applyAlignment="1" applyProtection="1">
      <alignment horizontal="center" vertical="center"/>
      <protection locked="0"/>
    </xf>
    <xf numFmtId="0" fontId="1" fillId="0" borderId="0" xfId="0" applyFont="1" applyAlignment="1" applyProtection="1">
      <alignment horizontal="right"/>
      <protection locked="0"/>
    </xf>
    <xf numFmtId="0" fontId="1" fillId="3" borderId="26" xfId="0" applyFont="1" applyFill="1" applyBorder="1" applyProtection="1">
      <protection locked="0"/>
    </xf>
    <xf numFmtId="0" fontId="0" fillId="3" borderId="26" xfId="0" applyFill="1" applyBorder="1" applyProtection="1">
      <protection locked="0"/>
    </xf>
    <xf numFmtId="0" fontId="1" fillId="2" borderId="18" xfId="0" applyFont="1" applyFill="1" applyBorder="1" applyAlignment="1" applyProtection="1">
      <alignment horizontal="center"/>
      <protection locked="0"/>
    </xf>
    <xf numFmtId="0" fontId="1" fillId="2" borderId="26" xfId="0" applyFont="1" applyFill="1" applyBorder="1" applyAlignment="1" applyProtection="1">
      <alignment horizontal="center"/>
      <protection locked="0"/>
    </xf>
    <xf numFmtId="0" fontId="1" fillId="2" borderId="37"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protection locked="0"/>
    </xf>
    <xf numFmtId="0" fontId="1" fillId="2" borderId="25" xfId="0" applyFont="1" applyFill="1" applyBorder="1" applyAlignment="1" applyProtection="1">
      <alignment horizontal="center" vertical="center"/>
      <protection locked="0"/>
    </xf>
    <xf numFmtId="0" fontId="1" fillId="3" borderId="13" xfId="0" applyFont="1" applyFill="1" applyBorder="1" applyAlignment="1" applyProtection="1">
      <alignment horizontal="center" vertical="center"/>
      <protection locked="0"/>
    </xf>
    <xf numFmtId="0" fontId="1" fillId="3" borderId="14" xfId="0" applyFont="1"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1" fontId="32" fillId="3" borderId="14" xfId="0" applyNumberFormat="1" applyFont="1" applyFill="1" applyBorder="1" applyAlignment="1" applyProtection="1">
      <alignment horizontal="center" vertical="center"/>
      <protection locked="0"/>
    </xf>
    <xf numFmtId="0" fontId="0" fillId="3" borderId="13" xfId="0" applyFill="1" applyBorder="1" applyAlignment="1" applyProtection="1">
      <alignment horizontal="center"/>
      <protection locked="0"/>
    </xf>
    <xf numFmtId="0" fontId="4" fillId="3" borderId="6" xfId="0" applyFont="1" applyFill="1" applyBorder="1" applyAlignment="1" applyProtection="1">
      <alignment horizontal="center"/>
      <protection locked="0"/>
    </xf>
    <xf numFmtId="0" fontId="1" fillId="3" borderId="11" xfId="0" applyFont="1" applyFill="1" applyBorder="1" applyAlignment="1" applyProtection="1">
      <alignment horizontal="center"/>
      <protection locked="0"/>
    </xf>
    <xf numFmtId="0" fontId="13" fillId="2" borderId="6" xfId="0" applyFont="1" applyFill="1" applyBorder="1" applyAlignment="1" applyProtection="1">
      <alignment horizontal="center" vertical="center" wrapText="1"/>
      <protection locked="0"/>
    </xf>
    <xf numFmtId="0" fontId="56" fillId="0" borderId="0" xfId="0" applyFont="1" applyFill="1" applyBorder="1" applyAlignment="1">
      <alignment horizontal="center" vertical="center" wrapText="1"/>
    </xf>
    <xf numFmtId="0" fontId="1" fillId="3" borderId="39" xfId="0" applyFont="1" applyFill="1" applyBorder="1" applyAlignment="1" applyProtection="1">
      <alignment horizontal="center" vertical="center"/>
      <protection locked="0"/>
    </xf>
    <xf numFmtId="0" fontId="18" fillId="0" borderId="2" xfId="0" applyFont="1" applyFill="1" applyBorder="1" applyAlignment="1">
      <alignment horizontal="center" vertical="center"/>
    </xf>
    <xf numFmtId="0" fontId="49" fillId="0" borderId="13" xfId="0" applyFont="1" applyFill="1" applyBorder="1" applyAlignment="1">
      <alignment horizontal="center" vertical="center"/>
    </xf>
    <xf numFmtId="0" fontId="18" fillId="0" borderId="1" xfId="0" applyFont="1" applyFill="1" applyBorder="1" applyAlignment="1">
      <alignment horizontal="center" vertical="center"/>
    </xf>
    <xf numFmtId="0" fontId="26" fillId="0" borderId="32" xfId="0" applyFont="1" applyFill="1" applyBorder="1" applyAlignment="1">
      <alignment horizontal="center" vertical="center" wrapText="1"/>
    </xf>
    <xf numFmtId="0" fontId="26" fillId="0" borderId="32" xfId="0" applyFont="1" applyFill="1" applyBorder="1" applyAlignment="1" applyProtection="1">
      <alignment horizontal="center" vertical="center" wrapText="1"/>
    </xf>
    <xf numFmtId="0" fontId="32" fillId="0" borderId="14" xfId="0" applyFont="1" applyFill="1" applyBorder="1" applyAlignment="1">
      <alignment horizontal="center" vertical="center"/>
    </xf>
    <xf numFmtId="0" fontId="18" fillId="0" borderId="29" xfId="0" applyFont="1" applyBorder="1" applyAlignment="1">
      <alignment horizontal="center" vertical="center" wrapText="1"/>
    </xf>
    <xf numFmtId="0" fontId="18" fillId="3" borderId="1" xfId="0" applyFont="1" applyFill="1" applyBorder="1" applyAlignment="1" applyProtection="1">
      <alignment horizontal="center"/>
      <protection locked="0"/>
    </xf>
    <xf numFmtId="0" fontId="1" fillId="0" borderId="1" xfId="0" applyFont="1" applyBorder="1" applyAlignment="1">
      <alignment horizontal="center" vertical="center"/>
    </xf>
    <xf numFmtId="0" fontId="58" fillId="0" borderId="0" xfId="0" applyFont="1" applyAlignment="1">
      <alignment vertical="center"/>
    </xf>
    <xf numFmtId="0" fontId="59" fillId="0" borderId="0" xfId="0" applyFont="1" applyAlignment="1">
      <alignment horizontal="center" vertical="center"/>
    </xf>
    <xf numFmtId="0" fontId="58" fillId="0" borderId="0" xfId="0" applyFont="1" applyAlignment="1">
      <alignment horizontal="center" vertical="center"/>
    </xf>
    <xf numFmtId="0" fontId="58" fillId="0" borderId="0" xfId="0" applyFont="1"/>
    <xf numFmtId="0" fontId="58" fillId="0" borderId="0" xfId="0" applyFont="1" applyAlignment="1">
      <alignment horizontal="center"/>
    </xf>
    <xf numFmtId="0" fontId="58" fillId="0" borderId="0" xfId="0" applyFont="1" applyProtection="1"/>
    <xf numFmtId="0" fontId="58" fillId="0" borderId="0" xfId="0" applyFont="1" applyAlignment="1" applyProtection="1">
      <alignment horizontal="center"/>
    </xf>
    <xf numFmtId="0" fontId="58" fillId="0" borderId="0" xfId="0" applyFont="1" applyAlignment="1" applyProtection="1">
      <alignment horizontal="center" vertical="center"/>
    </xf>
    <xf numFmtId="0" fontId="59" fillId="0" borderId="0" xfId="0" applyFont="1" applyAlignment="1">
      <alignment horizontal="right"/>
    </xf>
    <xf numFmtId="0" fontId="13" fillId="0" borderId="0" xfId="0" applyFont="1" applyBorder="1" applyAlignment="1">
      <alignment horizontal="center" vertical="center" wrapText="1"/>
    </xf>
    <xf numFmtId="0" fontId="9" fillId="0" borderId="0" xfId="0" applyFont="1" applyBorder="1" applyAlignment="1">
      <alignment horizontal="center" vertical="center"/>
    </xf>
    <xf numFmtId="0" fontId="32" fillId="0" borderId="0" xfId="0" applyFont="1" applyAlignment="1">
      <alignment vertical="center"/>
    </xf>
    <xf numFmtId="1" fontId="18" fillId="3" borderId="14" xfId="0" applyNumberFormat="1" applyFont="1" applyFill="1" applyBorder="1" applyAlignment="1" applyProtection="1">
      <alignment horizontal="center" vertical="center"/>
      <protection locked="0"/>
    </xf>
    <xf numFmtId="1" fontId="18" fillId="3" borderId="14" xfId="0" applyNumberFormat="1" applyFont="1" applyFill="1" applyBorder="1" applyAlignment="1" applyProtection="1">
      <alignment horizontal="center"/>
      <protection locked="0"/>
    </xf>
    <xf numFmtId="0" fontId="32" fillId="0" borderId="0" xfId="0" applyFont="1" applyAlignment="1">
      <alignment horizontal="center" vertical="center"/>
    </xf>
    <xf numFmtId="165" fontId="1" fillId="3" borderId="0" xfId="0" applyNumberFormat="1" applyFont="1" applyFill="1" applyBorder="1" applyAlignment="1" applyProtection="1">
      <alignment horizontal="center" vertical="center"/>
      <protection locked="0"/>
    </xf>
    <xf numFmtId="0" fontId="52" fillId="0" borderId="9" xfId="0" applyFont="1" applyBorder="1" applyAlignment="1">
      <alignment horizontal="center" vertical="center"/>
    </xf>
    <xf numFmtId="165" fontId="1" fillId="3" borderId="5" xfId="0" applyNumberFormat="1" applyFont="1" applyFill="1" applyBorder="1" applyAlignment="1" applyProtection="1">
      <alignment horizontal="center" vertical="center"/>
      <protection locked="0"/>
    </xf>
    <xf numFmtId="0" fontId="32" fillId="0" borderId="5" xfId="0" applyFont="1" applyBorder="1" applyAlignment="1">
      <alignment horizontal="center" vertical="center"/>
    </xf>
    <xf numFmtId="1" fontId="15" fillId="0" borderId="11" xfId="0" applyNumberFormat="1" applyFont="1" applyBorder="1" applyAlignment="1">
      <alignment horizontal="center" vertical="center"/>
    </xf>
    <xf numFmtId="0" fontId="0" fillId="0" borderId="13" xfId="0" applyBorder="1"/>
    <xf numFmtId="0" fontId="4" fillId="0" borderId="14" xfId="0" applyFont="1" applyBorder="1"/>
    <xf numFmtId="49" fontId="1" fillId="0" borderId="14" xfId="0" applyNumberFormat="1" applyFont="1" applyBorder="1"/>
    <xf numFmtId="0" fontId="23" fillId="0" borderId="14" xfId="0" applyFont="1" applyBorder="1" applyAlignment="1">
      <alignment horizontal="left" vertical="center"/>
    </xf>
    <xf numFmtId="0" fontId="0" fillId="0" borderId="0" xfId="0" applyBorder="1" applyAlignment="1">
      <alignment horizontal="left" vertical="top" wrapText="1"/>
    </xf>
    <xf numFmtId="0" fontId="0" fillId="0" borderId="20" xfId="0" applyFill="1" applyBorder="1" applyAlignment="1">
      <alignment horizontal="center" vertical="center"/>
    </xf>
    <xf numFmtId="0" fontId="18" fillId="3" borderId="27" xfId="0" applyFont="1" applyFill="1" applyBorder="1" applyAlignment="1" applyProtection="1">
      <alignment horizontal="center" vertical="center"/>
      <protection locked="0"/>
    </xf>
    <xf numFmtId="0" fontId="26" fillId="0" borderId="0" xfId="0" applyFont="1" applyFill="1" applyAlignment="1">
      <alignment horizontal="center" vertical="center"/>
    </xf>
    <xf numFmtId="0" fontId="1" fillId="0" borderId="16" xfId="0" applyFont="1" applyFill="1" applyBorder="1" applyAlignment="1">
      <alignment horizontal="right" vertical="center"/>
    </xf>
    <xf numFmtId="0" fontId="0" fillId="0" borderId="16" xfId="0" applyBorder="1" applyAlignment="1">
      <alignment vertical="center"/>
    </xf>
    <xf numFmtId="0" fontId="0" fillId="0" borderId="23" xfId="0" applyFont="1" applyFill="1" applyBorder="1" applyAlignment="1">
      <alignment horizontal="center" vertical="center"/>
    </xf>
    <xf numFmtId="0" fontId="0" fillId="0" borderId="23" xfId="0" applyFill="1" applyBorder="1" applyAlignment="1">
      <alignment horizontal="center" vertical="center"/>
    </xf>
    <xf numFmtId="0" fontId="1" fillId="0" borderId="21" xfId="0" applyFont="1" applyBorder="1" applyAlignment="1">
      <alignment horizontal="center" vertical="center" wrapText="1"/>
    </xf>
    <xf numFmtId="0" fontId="1" fillId="0" borderId="56" xfId="0" applyFont="1" applyBorder="1" applyAlignment="1">
      <alignment horizontal="center" vertical="center" wrapText="1"/>
    </xf>
    <xf numFmtId="0" fontId="58" fillId="0" borderId="0" xfId="0" applyFont="1" applyAlignment="1">
      <alignment horizontal="right"/>
    </xf>
    <xf numFmtId="0" fontId="1" fillId="3" borderId="52" xfId="0" applyFont="1" applyFill="1" applyBorder="1" applyAlignment="1" applyProtection="1">
      <alignment horizontal="center" vertical="center"/>
      <protection locked="0"/>
    </xf>
    <xf numFmtId="3" fontId="18" fillId="0" borderId="27" xfId="0" applyNumberFormat="1" applyFont="1" applyBorder="1" applyAlignment="1">
      <alignment horizontal="center" vertical="center"/>
    </xf>
    <xf numFmtId="0" fontId="1" fillId="3" borderId="49" xfId="0" applyFont="1" applyFill="1" applyBorder="1" applyAlignment="1" applyProtection="1">
      <alignment horizontal="center" vertical="center"/>
      <protection locked="0"/>
    </xf>
    <xf numFmtId="0" fontId="1" fillId="0" borderId="59"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61" xfId="0" applyFont="1" applyFill="1" applyBorder="1" applyAlignment="1">
      <alignment horizontal="center" vertical="center"/>
    </xf>
    <xf numFmtId="1" fontId="1" fillId="0" borderId="23" xfId="0" applyNumberFormat="1" applyFont="1" applyFill="1" applyBorder="1" applyAlignment="1">
      <alignment horizontal="right" vertical="center"/>
    </xf>
    <xf numFmtId="0" fontId="59" fillId="0" borderId="0" xfId="0" applyFont="1" applyAlignment="1">
      <alignment horizontal="center"/>
    </xf>
    <xf numFmtId="0" fontId="58" fillId="0" borderId="0" xfId="0" applyFont="1" applyAlignment="1">
      <alignment horizontal="right" vertical="center"/>
    </xf>
    <xf numFmtId="0" fontId="26" fillId="2" borderId="0" xfId="0" applyFont="1" applyFill="1" applyBorder="1" applyAlignment="1" applyProtection="1">
      <alignment horizontal="center" vertical="center"/>
      <protection locked="0"/>
    </xf>
    <xf numFmtId="0" fontId="43" fillId="0" borderId="13" xfId="0" applyFont="1" applyBorder="1" applyAlignment="1">
      <alignment horizontal="center"/>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0" xfId="0" applyFont="1" applyBorder="1" applyAlignment="1">
      <alignment horizontal="center" vertical="center" wrapText="1"/>
    </xf>
    <xf numFmtId="0" fontId="61" fillId="0" borderId="0" xfId="0" applyFont="1" applyFill="1" applyBorder="1" applyAlignment="1">
      <alignment horizontal="center" vertical="center" wrapText="1"/>
    </xf>
    <xf numFmtId="0" fontId="59" fillId="0" borderId="0" xfId="0" applyFont="1" applyFill="1" applyBorder="1" applyAlignment="1">
      <alignment horizontal="center" vertical="center"/>
    </xf>
    <xf numFmtId="0" fontId="34" fillId="0" borderId="0" xfId="0" applyFont="1" applyFill="1" applyAlignment="1">
      <alignment horizontal="center" vertical="center"/>
    </xf>
    <xf numFmtId="0" fontId="39" fillId="0" borderId="0" xfId="0" applyFont="1" applyFill="1" applyBorder="1" applyAlignment="1">
      <alignment horizontal="center" vertical="center"/>
    </xf>
    <xf numFmtId="0" fontId="1" fillId="2" borderId="25" xfId="0" applyFont="1" applyFill="1" applyBorder="1" applyAlignment="1" applyProtection="1">
      <alignment horizontal="center" vertical="center" wrapText="1"/>
      <protection locked="0"/>
    </xf>
    <xf numFmtId="0" fontId="1" fillId="0" borderId="15" xfId="0" applyFont="1" applyBorder="1" applyAlignment="1" applyProtection="1">
      <alignment horizontal="center" vertical="center"/>
    </xf>
    <xf numFmtId="0" fontId="1" fillId="0" borderId="16" xfId="0" applyFont="1" applyBorder="1" applyAlignment="1" applyProtection="1">
      <alignment horizontal="right" vertical="center"/>
    </xf>
    <xf numFmtId="0" fontId="1" fillId="0" borderId="16" xfId="0" applyFont="1" applyBorder="1" applyAlignment="1" applyProtection="1">
      <alignment horizontal="center" vertical="center"/>
    </xf>
    <xf numFmtId="0" fontId="1" fillId="0" borderId="17" xfId="0" applyFont="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0" fillId="0" borderId="0" xfId="0" applyBorder="1" applyAlignment="1" applyProtection="1">
      <alignment horizontal="left" vertical="top" wrapText="1"/>
    </xf>
    <xf numFmtId="0" fontId="0" fillId="0" borderId="0" xfId="0" applyFill="1" applyAlignment="1" applyProtection="1">
      <alignment horizontal="center"/>
    </xf>
    <xf numFmtId="0" fontId="0" fillId="0" borderId="0" xfId="0" applyFill="1" applyAlignment="1" applyProtection="1">
      <alignment horizontal="center" vertical="center"/>
    </xf>
    <xf numFmtId="0" fontId="23" fillId="0" borderId="0" xfId="0" applyFont="1" applyBorder="1" applyAlignment="1" applyProtection="1">
      <alignment horizontal="center" vertical="center"/>
    </xf>
    <xf numFmtId="0" fontId="61" fillId="0" borderId="0" xfId="0" applyFont="1" applyFill="1" applyBorder="1" applyAlignment="1" applyProtection="1">
      <alignment horizontal="center" vertical="center" wrapText="1"/>
    </xf>
    <xf numFmtId="0" fontId="27" fillId="0" borderId="0" xfId="0" applyFont="1" applyAlignment="1" applyProtection="1">
      <alignment horizontal="center" vertical="center"/>
    </xf>
    <xf numFmtId="0" fontId="59" fillId="0" borderId="0" xfId="0" applyFont="1" applyFill="1" applyBorder="1" applyAlignment="1" applyProtection="1">
      <alignment horizontal="center" vertical="center"/>
    </xf>
    <xf numFmtId="1" fontId="59" fillId="0" borderId="0" xfId="0" applyNumberFormat="1" applyFont="1" applyFill="1" applyBorder="1" applyAlignment="1" applyProtection="1">
      <alignment horizontal="center" vertical="center"/>
    </xf>
    <xf numFmtId="0" fontId="1" fillId="0" borderId="0" xfId="0" applyFont="1" applyAlignment="1" applyProtection="1">
      <alignment horizontal="center" vertical="center"/>
    </xf>
    <xf numFmtId="0" fontId="0" fillId="0" borderId="0" xfId="0" applyAlignment="1" applyProtection="1">
      <alignment horizontal="center" vertical="center" wrapText="1"/>
    </xf>
    <xf numFmtId="0" fontId="1" fillId="0" borderId="61" xfId="0" applyFont="1" applyFill="1" applyBorder="1" applyAlignment="1" applyProtection="1">
      <alignment horizontal="center" vertical="center"/>
    </xf>
    <xf numFmtId="165" fontId="18" fillId="0" borderId="62" xfId="0" applyNumberFormat="1" applyFont="1" applyFill="1" applyBorder="1" applyAlignment="1" applyProtection="1">
      <alignment horizontal="center" vertical="center"/>
    </xf>
    <xf numFmtId="0" fontId="0" fillId="0" borderId="23" xfId="0" applyBorder="1" applyAlignment="1" applyProtection="1">
      <alignment horizontal="center" vertical="center"/>
    </xf>
    <xf numFmtId="0" fontId="0" fillId="0" borderId="23" xfId="0" applyFill="1" applyBorder="1" applyAlignment="1" applyProtection="1">
      <alignment horizontal="center" vertical="center"/>
    </xf>
    <xf numFmtId="0" fontId="0" fillId="0" borderId="23" xfId="0" applyFont="1" applyFill="1" applyBorder="1" applyAlignment="1" applyProtection="1">
      <alignment horizontal="center" vertical="center"/>
    </xf>
    <xf numFmtId="1" fontId="1" fillId="0" borderId="23" xfId="0" applyNumberFormat="1" applyFont="1" applyFill="1" applyBorder="1" applyAlignment="1" applyProtection="1">
      <alignment horizontal="right" vertical="center"/>
    </xf>
    <xf numFmtId="3" fontId="2" fillId="0" borderId="27" xfId="0" applyNumberFormat="1" applyFont="1" applyBorder="1" applyAlignment="1" applyProtection="1">
      <alignment horizontal="center" vertical="center"/>
    </xf>
    <xf numFmtId="0" fontId="1" fillId="0" borderId="0" xfId="0" applyFont="1" applyAlignment="1" applyProtection="1">
      <alignment horizontal="left" vertical="center"/>
    </xf>
    <xf numFmtId="1" fontId="2" fillId="0" borderId="0" xfId="0" applyNumberFormat="1" applyFont="1" applyBorder="1" applyAlignment="1" applyProtection="1">
      <alignment horizontal="center" vertical="center"/>
    </xf>
    <xf numFmtId="0" fontId="9"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18" fillId="0" borderId="21"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1" fillId="0" borderId="55" xfId="0" applyFont="1" applyFill="1" applyBorder="1" applyAlignment="1">
      <alignment horizontal="center" vertical="center" wrapText="1"/>
    </xf>
    <xf numFmtId="0" fontId="1" fillId="0" borderId="52" xfId="0" applyFont="1" applyFill="1" applyBorder="1" applyAlignment="1">
      <alignment horizontal="center" vertical="center"/>
    </xf>
    <xf numFmtId="1" fontId="0" fillId="0" borderId="54" xfId="0" applyNumberFormat="1" applyFill="1" applyBorder="1" applyAlignment="1">
      <alignment horizontal="center" vertical="center"/>
    </xf>
    <xf numFmtId="0" fontId="1" fillId="0" borderId="39" xfId="0" applyFont="1" applyFill="1" applyBorder="1" applyAlignment="1">
      <alignment horizontal="center" vertical="center"/>
    </xf>
    <xf numFmtId="1" fontId="0" fillId="0" borderId="45" xfId="0" applyNumberFormat="1" applyFill="1" applyBorder="1" applyAlignment="1">
      <alignment horizontal="center" vertical="center"/>
    </xf>
    <xf numFmtId="0" fontId="1" fillId="0" borderId="49" xfId="0" applyFont="1" applyFill="1" applyBorder="1" applyAlignment="1">
      <alignment horizontal="center" vertical="center"/>
    </xf>
    <xf numFmtId="0" fontId="26" fillId="0" borderId="55" xfId="0" applyFont="1" applyFill="1" applyBorder="1" applyAlignment="1">
      <alignment horizontal="center" vertical="center" wrapText="1"/>
    </xf>
    <xf numFmtId="1" fontId="1" fillId="0" borderId="54" xfId="0" applyNumberFormat="1" applyFont="1" applyFill="1" applyBorder="1" applyAlignment="1">
      <alignment horizontal="center" vertical="center"/>
    </xf>
    <xf numFmtId="1" fontId="1" fillId="0" borderId="45" xfId="0" applyNumberFormat="1" applyFont="1" applyFill="1" applyBorder="1" applyAlignment="1">
      <alignment horizontal="center" vertical="center"/>
    </xf>
    <xf numFmtId="1" fontId="1" fillId="0" borderId="55" xfId="0" applyNumberFormat="1" applyFont="1" applyFill="1" applyBorder="1" applyAlignment="1">
      <alignment horizontal="center" vertical="center"/>
    </xf>
    <xf numFmtId="0" fontId="1" fillId="0" borderId="59" xfId="0" applyFont="1" applyBorder="1" applyAlignment="1">
      <alignment horizontal="center" vertical="center" wrapText="1"/>
    </xf>
    <xf numFmtId="0" fontId="1" fillId="0" borderId="67" xfId="0" applyFont="1" applyBorder="1" applyAlignment="1">
      <alignment horizontal="center" vertical="center" wrapText="1"/>
    </xf>
    <xf numFmtId="0" fontId="0" fillId="0" borderId="52" xfId="0" applyBorder="1" applyAlignment="1">
      <alignment horizontal="center" vertical="center"/>
    </xf>
    <xf numFmtId="0" fontId="0" fillId="0" borderId="39" xfId="0" applyBorder="1" applyAlignment="1">
      <alignment horizontal="center" vertical="center"/>
    </xf>
    <xf numFmtId="0" fontId="26" fillId="0" borderId="60" xfId="0" applyFont="1" applyFill="1" applyBorder="1" applyAlignment="1">
      <alignment horizontal="center" vertical="center" wrapText="1"/>
    </xf>
    <xf numFmtId="1" fontId="1" fillId="0" borderId="58" xfId="0" applyNumberFormat="1" applyFont="1" applyBorder="1" applyAlignment="1">
      <alignment horizontal="center" vertical="center"/>
    </xf>
    <xf numFmtId="1" fontId="1" fillId="0" borderId="2" xfId="0" applyNumberFormat="1" applyFont="1" applyBorder="1" applyAlignment="1">
      <alignment horizontal="center" vertical="center"/>
    </xf>
    <xf numFmtId="0" fontId="0" fillId="0" borderId="54" xfId="0" applyFont="1" applyFill="1" applyBorder="1" applyAlignment="1">
      <alignment horizontal="center" vertical="center"/>
    </xf>
    <xf numFmtId="0" fontId="0" fillId="0" borderId="45"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2" xfId="0" applyFont="1" applyFill="1" applyBorder="1" applyAlignment="1">
      <alignment horizontal="center" vertical="center"/>
    </xf>
    <xf numFmtId="0" fontId="1" fillId="0" borderId="54"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55" xfId="0" applyFont="1" applyFill="1" applyBorder="1" applyAlignment="1">
      <alignment horizontal="center" vertical="center"/>
    </xf>
    <xf numFmtId="0" fontId="26" fillId="2" borderId="52" xfId="0" applyFont="1" applyFill="1" applyBorder="1" applyAlignment="1" applyProtection="1">
      <alignment horizontal="center" vertical="center" wrapText="1"/>
      <protection locked="0"/>
    </xf>
    <xf numFmtId="0" fontId="26" fillId="2" borderId="39"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1" fillId="2" borderId="52" xfId="0" applyFont="1" applyFill="1" applyBorder="1" applyAlignment="1" applyProtection="1">
      <alignment horizontal="center" vertical="center"/>
      <protection locked="0"/>
    </xf>
    <xf numFmtId="0" fontId="1" fillId="2" borderId="39" xfId="0" applyFont="1" applyFill="1" applyBorder="1" applyAlignment="1" applyProtection="1">
      <alignment horizontal="center" vertical="center"/>
      <protection locked="0"/>
    </xf>
    <xf numFmtId="3" fontId="1" fillId="0" borderId="48" xfId="0" applyNumberFormat="1" applyFont="1" applyBorder="1" applyAlignment="1">
      <alignment horizontal="center" vertical="center"/>
    </xf>
    <xf numFmtId="3" fontId="1" fillId="0" borderId="41" xfId="0" applyNumberFormat="1" applyFont="1" applyBorder="1" applyAlignment="1">
      <alignment horizontal="center" vertical="center"/>
    </xf>
    <xf numFmtId="0" fontId="0" fillId="0" borderId="20" xfId="0" applyFill="1" applyBorder="1" applyAlignment="1" applyProtection="1">
      <alignment horizontal="center" vertical="center"/>
    </xf>
    <xf numFmtId="0" fontId="0" fillId="0" borderId="20" xfId="0" applyBorder="1" applyAlignment="1" applyProtection="1">
      <alignment horizontal="center" vertical="center"/>
    </xf>
    <xf numFmtId="0" fontId="1" fillId="0" borderId="37" xfId="0" applyFont="1" applyFill="1" applyBorder="1" applyAlignment="1" applyProtection="1">
      <alignment horizontal="center" vertical="center"/>
    </xf>
    <xf numFmtId="0" fontId="1" fillId="2" borderId="64" xfId="0" applyFont="1" applyFill="1" applyBorder="1" applyAlignment="1" applyProtection="1">
      <alignment horizontal="center" vertical="center"/>
      <protection locked="0"/>
    </xf>
    <xf numFmtId="0" fontId="18" fillId="0" borderId="37" xfId="0" applyFont="1" applyFill="1" applyBorder="1" applyAlignment="1" applyProtection="1">
      <alignment horizontal="center" vertical="center"/>
    </xf>
    <xf numFmtId="0" fontId="1" fillId="2" borderId="64" xfId="0" applyFont="1" applyFill="1" applyBorder="1" applyAlignment="1" applyProtection="1">
      <alignment horizontal="center" vertical="center" wrapText="1"/>
      <protection locked="0"/>
    </xf>
    <xf numFmtId="1" fontId="2" fillId="0" borderId="12" xfId="0" applyNumberFormat="1" applyFont="1" applyFill="1" applyBorder="1" applyAlignment="1" applyProtection="1">
      <alignment horizontal="center" vertical="center"/>
    </xf>
    <xf numFmtId="0" fontId="11" fillId="0" borderId="0" xfId="0" applyFont="1" applyBorder="1" applyAlignment="1">
      <alignment horizontal="right" vertical="center"/>
    </xf>
    <xf numFmtId="0" fontId="52" fillId="0" borderId="0" xfId="0" applyFont="1" applyBorder="1" applyAlignment="1">
      <alignment horizontal="right" vertical="center"/>
    </xf>
    <xf numFmtId="1" fontId="5" fillId="0" borderId="18" xfId="0" applyNumberFormat="1" applyFont="1" applyBorder="1" applyAlignment="1">
      <alignment horizontal="center" vertical="center"/>
    </xf>
    <xf numFmtId="1" fontId="23" fillId="0" borderId="48" xfId="0" applyNumberFormat="1" applyFont="1" applyBorder="1" applyAlignment="1">
      <alignment horizontal="center" vertical="center"/>
    </xf>
    <xf numFmtId="0" fontId="18" fillId="0" borderId="0" xfId="0" applyFont="1" applyAlignment="1">
      <alignment horizontal="center"/>
    </xf>
    <xf numFmtId="1" fontId="50" fillId="0" borderId="14" xfId="0" applyNumberFormat="1" applyFont="1" applyBorder="1" applyAlignment="1">
      <alignment horizontal="center" vertical="center"/>
    </xf>
    <xf numFmtId="1" fontId="50" fillId="0" borderId="18" xfId="0" applyNumberFormat="1" applyFont="1" applyBorder="1" applyAlignment="1">
      <alignment horizontal="center" vertical="center"/>
    </xf>
    <xf numFmtId="0" fontId="0" fillId="0" borderId="16" xfId="0" applyBorder="1" applyAlignment="1" applyProtection="1">
      <alignment horizontal="center" vertical="center"/>
    </xf>
    <xf numFmtId="0" fontId="0" fillId="0" borderId="28" xfId="0" applyBorder="1" applyAlignment="1" applyProtection="1">
      <alignment horizontal="center" vertical="center"/>
    </xf>
    <xf numFmtId="0" fontId="1" fillId="2" borderId="4" xfId="0" applyFont="1" applyFill="1" applyBorder="1" applyAlignment="1" applyProtection="1">
      <alignment horizontal="center" vertical="center"/>
      <protection locked="0"/>
    </xf>
    <xf numFmtId="0" fontId="1" fillId="3" borderId="4" xfId="0" applyFont="1" applyFill="1" applyBorder="1" applyAlignment="1" applyProtection="1">
      <alignment horizontal="center" vertical="center"/>
      <protection locked="0"/>
    </xf>
    <xf numFmtId="0" fontId="1" fillId="3" borderId="53" xfId="0" applyFont="1" applyFill="1" applyBorder="1" applyAlignment="1" applyProtection="1">
      <alignment horizontal="center" vertical="center"/>
      <protection locked="0"/>
    </xf>
    <xf numFmtId="0" fontId="1" fillId="2" borderId="53" xfId="0" applyFont="1" applyFill="1" applyBorder="1" applyAlignment="1" applyProtection="1">
      <alignment horizontal="center" vertical="center"/>
      <protection locked="0"/>
    </xf>
    <xf numFmtId="0" fontId="1" fillId="2" borderId="57" xfId="0" applyFont="1" applyFill="1" applyBorder="1" applyAlignment="1" applyProtection="1">
      <alignment horizontal="center" vertical="center"/>
      <protection locked="0"/>
    </xf>
    <xf numFmtId="0" fontId="1" fillId="3" borderId="3" xfId="0" applyFont="1" applyFill="1" applyBorder="1" applyAlignment="1" applyProtection="1">
      <alignment horizontal="center" vertical="center"/>
      <protection locked="0"/>
    </xf>
    <xf numFmtId="0" fontId="59" fillId="0" borderId="0" xfId="0" applyFont="1" applyAlignment="1" applyProtection="1">
      <alignment horizontal="center"/>
    </xf>
    <xf numFmtId="1" fontId="69" fillId="0" borderId="18" xfId="0" applyNumberFormat="1" applyFont="1" applyBorder="1" applyAlignment="1">
      <alignment horizontal="center" vertical="center"/>
    </xf>
    <xf numFmtId="1" fontId="70" fillId="0" borderId="18" xfId="0" applyNumberFormat="1" applyFont="1" applyBorder="1" applyAlignment="1">
      <alignment horizontal="center" vertical="center"/>
    </xf>
    <xf numFmtId="1" fontId="71" fillId="0" borderId="48" xfId="0" applyNumberFormat="1" applyFont="1" applyBorder="1" applyAlignment="1">
      <alignment horizontal="center" vertical="center"/>
    </xf>
    <xf numFmtId="1" fontId="50" fillId="0" borderId="0" xfId="0" applyNumberFormat="1" applyFont="1" applyBorder="1" applyAlignment="1">
      <alignment horizontal="center" vertical="center"/>
    </xf>
    <xf numFmtId="1" fontId="5" fillId="0" borderId="25" xfId="0" applyNumberFormat="1" applyFont="1" applyBorder="1" applyAlignment="1">
      <alignment horizontal="center" vertical="center"/>
    </xf>
    <xf numFmtId="0" fontId="43" fillId="0" borderId="72" xfId="0" applyFont="1" applyBorder="1" applyAlignment="1">
      <alignment horizontal="center"/>
    </xf>
    <xf numFmtId="1" fontId="11" fillId="0" borderId="1" xfId="0" applyNumberFormat="1" applyFont="1" applyBorder="1" applyAlignment="1">
      <alignment horizontal="center" vertical="center"/>
    </xf>
    <xf numFmtId="0" fontId="52" fillId="0" borderId="10" xfId="0" applyFont="1" applyBorder="1" applyAlignment="1">
      <alignment horizontal="right" vertical="center"/>
    </xf>
    <xf numFmtId="0" fontId="11" fillId="0" borderId="2" xfId="0" applyFont="1" applyBorder="1" applyAlignment="1">
      <alignment horizontal="right" vertical="center"/>
    </xf>
    <xf numFmtId="0" fontId="11" fillId="0" borderId="41" xfId="0" applyFont="1" applyFill="1" applyBorder="1" applyAlignment="1">
      <alignment horizontal="center" vertical="center"/>
    </xf>
    <xf numFmtId="0" fontId="11" fillId="0" borderId="3" xfId="0" applyFont="1" applyBorder="1" applyAlignment="1">
      <alignment horizontal="right" vertical="center"/>
    </xf>
    <xf numFmtId="0" fontId="52" fillId="0" borderId="12" xfId="0" applyFont="1" applyBorder="1" applyAlignment="1">
      <alignment horizontal="right" vertical="center"/>
    </xf>
    <xf numFmtId="1" fontId="11" fillId="0" borderId="13" xfId="0" applyNumberFormat="1" applyFont="1" applyBorder="1" applyAlignment="1">
      <alignment horizontal="center" vertical="center"/>
    </xf>
    <xf numFmtId="1" fontId="50" fillId="0" borderId="5" xfId="0" applyNumberFormat="1" applyFont="1" applyBorder="1" applyAlignment="1">
      <alignment horizontal="center" vertical="center"/>
    </xf>
    <xf numFmtId="1" fontId="5" fillId="0" borderId="10" xfId="0" applyNumberFormat="1" applyFont="1" applyBorder="1" applyAlignment="1">
      <alignment horizontal="center" vertical="center"/>
    </xf>
    <xf numFmtId="0" fontId="68" fillId="0" borderId="41" xfId="0" applyFont="1" applyFill="1" applyBorder="1" applyAlignment="1">
      <alignment horizontal="center" vertical="center"/>
    </xf>
    <xf numFmtId="0" fontId="52" fillId="0" borderId="25" xfId="0" applyFont="1" applyBorder="1" applyAlignment="1">
      <alignment horizontal="right" vertical="center"/>
    </xf>
    <xf numFmtId="1" fontId="5" fillId="0" borderId="13" xfId="0" applyNumberFormat="1" applyFont="1" applyBorder="1" applyAlignment="1">
      <alignment horizontal="center" vertical="center"/>
    </xf>
    <xf numFmtId="3" fontId="1" fillId="0" borderId="0" xfId="0" applyNumberFormat="1" applyFont="1" applyBorder="1" applyAlignment="1">
      <alignment horizontal="center" vertical="center"/>
    </xf>
    <xf numFmtId="3" fontId="2" fillId="0" borderId="0" xfId="0" applyNumberFormat="1" applyFont="1" applyBorder="1" applyAlignment="1">
      <alignment horizontal="center" vertical="center"/>
    </xf>
    <xf numFmtId="3" fontId="18" fillId="0" borderId="0" xfId="0" applyNumberFormat="1" applyFont="1" applyBorder="1" applyAlignment="1">
      <alignment horizontal="center" vertical="center"/>
    </xf>
    <xf numFmtId="3" fontId="1" fillId="0" borderId="16" xfId="0" applyNumberFormat="1" applyFont="1" applyBorder="1" applyAlignment="1">
      <alignment horizontal="center" vertical="center"/>
    </xf>
    <xf numFmtId="3" fontId="0" fillId="0" borderId="0" xfId="0" applyNumberFormat="1" applyBorder="1" applyAlignment="1">
      <alignment horizontal="center" vertical="center"/>
    </xf>
    <xf numFmtId="3" fontId="2" fillId="0" borderId="30" xfId="0" applyNumberFormat="1" applyFont="1" applyBorder="1" applyAlignment="1">
      <alignment horizontal="center" vertical="center"/>
    </xf>
    <xf numFmtId="3" fontId="1" fillId="0" borderId="55" xfId="0" applyNumberFormat="1" applyFont="1" applyBorder="1" applyAlignment="1">
      <alignment horizontal="center" vertical="center"/>
    </xf>
    <xf numFmtId="3" fontId="18" fillId="0" borderId="55" xfId="0" applyNumberFormat="1" applyFont="1" applyBorder="1" applyAlignment="1">
      <alignment horizontal="center" vertical="center" wrapText="1"/>
    </xf>
    <xf numFmtId="3" fontId="2" fillId="0" borderId="65" xfId="0" applyNumberFormat="1" applyFont="1" applyBorder="1" applyAlignment="1">
      <alignment horizontal="center" vertical="center" wrapText="1"/>
    </xf>
    <xf numFmtId="0" fontId="1" fillId="0" borderId="28" xfId="0" applyFont="1" applyBorder="1" applyAlignment="1">
      <alignment horizontal="right" vertical="center"/>
    </xf>
    <xf numFmtId="3" fontId="2" fillId="0" borderId="49" xfId="0" applyNumberFormat="1" applyFont="1" applyBorder="1" applyAlignment="1">
      <alignment horizontal="center" vertical="center" wrapText="1"/>
    </xf>
    <xf numFmtId="0" fontId="68" fillId="0" borderId="0" xfId="0" applyFont="1" applyFill="1" applyBorder="1" applyAlignment="1">
      <alignment horizontal="center" vertical="center" wrapText="1"/>
    </xf>
    <xf numFmtId="0" fontId="71" fillId="0" borderId="0" xfId="0" applyFont="1" applyAlignment="1">
      <alignment horizontal="center" vertical="center"/>
    </xf>
    <xf numFmtId="0" fontId="73" fillId="0" borderId="0" xfId="0" applyFont="1" applyFill="1" applyBorder="1" applyAlignment="1">
      <alignment horizontal="center" vertical="center" wrapText="1"/>
    </xf>
    <xf numFmtId="0" fontId="73" fillId="0" borderId="0" xfId="0" applyFont="1" applyAlignment="1">
      <alignment horizontal="center" vertical="center"/>
    </xf>
    <xf numFmtId="0" fontId="3" fillId="2" borderId="52"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protection locked="0"/>
    </xf>
    <xf numFmtId="0" fontId="3" fillId="2" borderId="53"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3" fontId="1" fillId="0" borderId="38" xfId="0" applyNumberFormat="1" applyFont="1" applyBorder="1" applyAlignment="1">
      <alignment horizontal="center" vertical="center"/>
    </xf>
    <xf numFmtId="0" fontId="0" fillId="0" borderId="27" xfId="0" applyBorder="1" applyAlignment="1">
      <alignment horizontal="center" vertical="center"/>
    </xf>
    <xf numFmtId="1" fontId="0" fillId="0" borderId="52" xfId="0" applyNumberFormat="1" applyBorder="1" applyAlignment="1">
      <alignment horizontal="center" vertical="center"/>
    </xf>
    <xf numFmtId="1" fontId="0" fillId="0" borderId="64" xfId="0" applyNumberFormat="1" applyBorder="1" applyAlignment="1">
      <alignment horizontal="center" vertical="center"/>
    </xf>
    <xf numFmtId="1" fontId="0" fillId="0" borderId="39" xfId="0" applyNumberFormat="1" applyBorder="1" applyAlignment="1">
      <alignment horizontal="center" vertical="center"/>
    </xf>
    <xf numFmtId="3" fontId="18" fillId="0" borderId="60" xfId="0" applyNumberFormat="1" applyFont="1" applyBorder="1" applyAlignment="1">
      <alignment horizontal="center" vertical="center" wrapText="1"/>
    </xf>
    <xf numFmtId="1" fontId="0" fillId="0" borderId="45" xfId="0" applyNumberFormat="1" applyBorder="1" applyAlignment="1">
      <alignment horizontal="center" vertical="center"/>
    </xf>
    <xf numFmtId="0" fontId="2" fillId="0" borderId="19" xfId="0" applyFont="1" applyFill="1" applyBorder="1" applyAlignment="1">
      <alignment horizontal="center" vertical="center" wrapText="1"/>
    </xf>
    <xf numFmtId="3" fontId="18" fillId="0" borderId="0" xfId="0" applyNumberFormat="1" applyFont="1" applyBorder="1" applyAlignment="1" applyProtection="1">
      <alignment horizontal="center" vertical="center"/>
    </xf>
    <xf numFmtId="3" fontId="2" fillId="0" borderId="20" xfId="0" applyNumberFormat="1" applyFont="1" applyBorder="1" applyAlignment="1">
      <alignment horizontal="center" vertical="center"/>
    </xf>
    <xf numFmtId="0" fontId="0" fillId="0" borderId="18" xfId="0" applyBorder="1" applyAlignment="1" applyProtection="1">
      <alignment horizontal="center" vertical="center"/>
    </xf>
    <xf numFmtId="3" fontId="1" fillId="0" borderId="73" xfId="0" applyNumberFormat="1" applyFont="1" applyBorder="1" applyAlignment="1" applyProtection="1">
      <alignment horizontal="center" vertical="center"/>
    </xf>
    <xf numFmtId="3" fontId="2" fillId="0" borderId="60" xfId="0" applyNumberFormat="1" applyFont="1" applyBorder="1" applyAlignment="1">
      <alignment horizontal="center" vertical="center" wrapText="1"/>
    </xf>
    <xf numFmtId="3" fontId="2" fillId="0" borderId="22" xfId="0" applyNumberFormat="1" applyFont="1" applyBorder="1" applyAlignment="1" applyProtection="1">
      <alignment horizontal="center" vertical="center"/>
    </xf>
    <xf numFmtId="0" fontId="5" fillId="0" borderId="45" xfId="0" applyFont="1" applyFill="1" applyBorder="1" applyAlignment="1" applyProtection="1">
      <alignment horizontal="center" vertical="center"/>
    </xf>
    <xf numFmtId="3" fontId="1" fillId="0" borderId="64" xfId="0" applyNumberFormat="1" applyFont="1" applyBorder="1" applyAlignment="1" applyProtection="1">
      <alignment horizontal="center" vertical="center"/>
    </xf>
    <xf numFmtId="0" fontId="5" fillId="0" borderId="37" xfId="0" applyFont="1" applyFill="1" applyBorder="1" applyAlignment="1" applyProtection="1">
      <alignment horizontal="center" vertical="center"/>
    </xf>
    <xf numFmtId="0" fontId="39" fillId="3" borderId="54"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9" fillId="3" borderId="46" xfId="0" applyFont="1" applyFill="1" applyBorder="1" applyAlignment="1" applyProtection="1">
      <alignment vertical="center"/>
      <protection locked="0"/>
    </xf>
    <xf numFmtId="0" fontId="40" fillId="0" borderId="0" xfId="0" applyFont="1" applyBorder="1" applyAlignment="1" applyProtection="1">
      <alignment horizontal="center" vertical="center"/>
    </xf>
    <xf numFmtId="0" fontId="40" fillId="0" borderId="0" xfId="0" applyFont="1" applyAlignment="1" applyProtection="1">
      <alignment horizontal="center" vertical="center"/>
    </xf>
    <xf numFmtId="0" fontId="57" fillId="0" borderId="0" xfId="0" applyFont="1" applyBorder="1" applyAlignment="1">
      <alignment horizontal="center" vertical="center" wrapText="1"/>
    </xf>
    <xf numFmtId="1" fontId="11" fillId="0" borderId="0" xfId="0" applyNumberFormat="1" applyFont="1" applyBorder="1" applyAlignment="1">
      <alignment horizontal="center" vertical="center"/>
    </xf>
    <xf numFmtId="0" fontId="11"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0" fillId="0" borderId="0" xfId="0" applyAlignment="1">
      <alignment horizontal="center" vertical="center" wrapText="1"/>
    </xf>
    <xf numFmtId="0" fontId="0" fillId="0" borderId="0" xfId="0" applyFill="1" applyBorder="1" applyAlignment="1">
      <alignment horizontal="center" vertical="center" wrapText="1"/>
    </xf>
    <xf numFmtId="0" fontId="0" fillId="0" borderId="0" xfId="0" applyAlignment="1">
      <alignment horizontal="center" vertical="center" wrapText="1"/>
    </xf>
    <xf numFmtId="0" fontId="21" fillId="0" borderId="0" xfId="0" applyFont="1" applyAlignment="1">
      <alignment horizontal="center" vertical="center" wrapText="1"/>
    </xf>
    <xf numFmtId="0" fontId="0" fillId="0" borderId="2" xfId="0" applyBorder="1" applyAlignment="1">
      <alignment horizontal="center" vertical="center" wrapText="1"/>
    </xf>
    <xf numFmtId="1" fontId="0" fillId="0" borderId="11" xfId="0" applyNumberFormat="1" applyBorder="1" applyAlignment="1">
      <alignment horizontal="center" vertical="center" wrapText="1"/>
    </xf>
    <xf numFmtId="0" fontId="51" fillId="0" borderId="0" xfId="0" applyFont="1" applyAlignment="1">
      <alignment horizontal="center" vertical="center" wrapText="1"/>
    </xf>
    <xf numFmtId="1" fontId="51" fillId="0" borderId="11" xfId="0" applyNumberFormat="1" applyFont="1" applyBorder="1" applyAlignment="1">
      <alignment horizontal="center" vertical="center" wrapText="1"/>
    </xf>
    <xf numFmtId="1" fontId="51" fillId="0" borderId="0" xfId="0" applyNumberFormat="1" applyFont="1" applyBorder="1" applyAlignment="1">
      <alignment horizontal="center" vertical="center" wrapText="1"/>
    </xf>
    <xf numFmtId="1" fontId="51" fillId="0" borderId="12" xfId="0" applyNumberFormat="1" applyFont="1" applyBorder="1" applyAlignment="1">
      <alignment horizontal="center" vertical="center" wrapText="1"/>
    </xf>
    <xf numFmtId="1" fontId="21" fillId="0" borderId="6" xfId="0" applyNumberFormat="1" applyFont="1" applyBorder="1" applyAlignment="1">
      <alignment horizontal="center" vertical="center" wrapText="1"/>
    </xf>
    <xf numFmtId="1" fontId="21" fillId="0" borderId="9"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6" fillId="0" borderId="11" xfId="0" applyFont="1" applyBorder="1" applyAlignment="1">
      <alignment horizontal="center" vertical="center" wrapText="1"/>
    </xf>
    <xf numFmtId="1" fontId="78" fillId="0" borderId="18" xfId="0" applyNumberFormat="1" applyFont="1" applyBorder="1" applyAlignment="1">
      <alignment horizontal="center" vertical="center"/>
    </xf>
    <xf numFmtId="0" fontId="0" fillId="0" borderId="7" xfId="0" applyBorder="1" applyAlignment="1">
      <alignment horizontal="center" vertical="center" wrapText="1"/>
    </xf>
    <xf numFmtId="1" fontId="15" fillId="0" borderId="3" xfId="0" applyNumberFormat="1" applyFont="1" applyBorder="1" applyAlignment="1">
      <alignment horizontal="center" vertical="center" wrapText="1"/>
    </xf>
    <xf numFmtId="1" fontId="50" fillId="0" borderId="3" xfId="0" applyNumberFormat="1" applyFont="1" applyBorder="1" applyAlignment="1">
      <alignment horizontal="center" vertical="center" wrapText="1"/>
    </xf>
    <xf numFmtId="0" fontId="1" fillId="0" borderId="0" xfId="0" applyFont="1" applyFill="1" applyAlignment="1">
      <alignment horizontal="center" vertical="center" wrapText="1"/>
    </xf>
    <xf numFmtId="1" fontId="0" fillId="0" borderId="0" xfId="0" applyNumberFormat="1" applyFill="1" applyBorder="1" applyAlignment="1">
      <alignment horizontal="center" vertical="center" wrapText="1"/>
    </xf>
    <xf numFmtId="1" fontId="1" fillId="0" borderId="0" xfId="0" applyNumberFormat="1" applyFont="1" applyFill="1" applyAlignment="1">
      <alignment horizontal="center" vertical="center" wrapText="1"/>
    </xf>
    <xf numFmtId="1" fontId="5" fillId="0" borderId="0" xfId="0" applyNumberFormat="1" applyFont="1" applyFill="1" applyBorder="1" applyAlignment="1">
      <alignment horizontal="center" vertical="center" wrapText="1"/>
    </xf>
    <xf numFmtId="0" fontId="0" fillId="0" borderId="0" xfId="0" applyFill="1" applyAlignment="1">
      <alignment horizontal="center" vertical="center" wrapText="1"/>
    </xf>
    <xf numFmtId="0" fontId="3" fillId="0" borderId="1" xfId="0" applyFont="1" applyFill="1" applyBorder="1" applyAlignment="1">
      <alignment horizontal="center" vertical="center" wrapText="1"/>
    </xf>
    <xf numFmtId="1" fontId="5" fillId="0" borderId="3"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18" fillId="3" borderId="13" xfId="0" applyFont="1" applyFill="1" applyBorder="1" applyAlignment="1" applyProtection="1">
      <alignment horizontal="center" vertical="center" wrapText="1"/>
      <protection locked="0"/>
    </xf>
    <xf numFmtId="1" fontId="0" fillId="3" borderId="14" xfId="0" applyNumberFormat="1" applyFill="1" applyBorder="1" applyAlignment="1" applyProtection="1">
      <alignment horizontal="center" vertical="center" wrapText="1"/>
      <protection locked="0"/>
    </xf>
    <xf numFmtId="1" fontId="1" fillId="3" borderId="14" xfId="0" applyNumberFormat="1" applyFont="1" applyFill="1" applyBorder="1" applyAlignment="1" applyProtection="1">
      <alignment horizontal="center" vertical="center" wrapText="1"/>
      <protection locked="0"/>
    </xf>
    <xf numFmtId="1" fontId="5" fillId="3" borderId="25"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3" borderId="25" xfId="0" applyFill="1" applyBorder="1" applyAlignment="1" applyProtection="1">
      <alignment horizontal="center" vertical="center" wrapText="1"/>
      <protection locked="0"/>
    </xf>
    <xf numFmtId="1" fontId="5" fillId="3" borderId="14" xfId="0"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1" fontId="0" fillId="3" borderId="0" xfId="0" applyNumberFormat="1" applyFill="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18" fillId="0" borderId="3" xfId="0" applyFont="1" applyBorder="1" applyAlignment="1">
      <alignment horizontal="center" vertical="center" wrapText="1"/>
    </xf>
    <xf numFmtId="0" fontId="6" fillId="0" borderId="3" xfId="0" applyFont="1" applyBorder="1" applyAlignment="1">
      <alignment horizontal="center" vertical="center" wrapText="1"/>
    </xf>
    <xf numFmtId="1" fontId="0" fillId="0" borderId="12" xfId="0" applyNumberFormat="1" applyBorder="1" applyAlignment="1">
      <alignment horizontal="center" vertical="center" wrapText="1"/>
    </xf>
    <xf numFmtId="0" fontId="1" fillId="0" borderId="0" xfId="0" applyFont="1" applyBorder="1" applyAlignment="1">
      <alignment horizontal="center" vertical="center" wrapText="1"/>
    </xf>
    <xf numFmtId="1" fontId="1" fillId="0" borderId="0" xfId="0" applyNumberFormat="1" applyFont="1" applyBorder="1" applyAlignment="1">
      <alignment horizontal="center" vertical="center" wrapText="1"/>
    </xf>
    <xf numFmtId="1" fontId="0" fillId="0" borderId="0" xfId="0" applyNumberFormat="1" applyBorder="1" applyAlignment="1">
      <alignment horizontal="center" vertical="center" wrapText="1"/>
    </xf>
    <xf numFmtId="0" fontId="1" fillId="0" borderId="7"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1" fontId="15" fillId="0" borderId="0" xfId="0" applyNumberFormat="1" applyFont="1" applyBorder="1" applyAlignment="1">
      <alignment horizontal="center" vertical="center" wrapText="1"/>
    </xf>
    <xf numFmtId="1" fontId="50" fillId="0" borderId="0" xfId="0" applyNumberFormat="1" applyFont="1" applyBorder="1" applyAlignment="1">
      <alignment horizontal="center" vertical="center" wrapText="1"/>
    </xf>
    <xf numFmtId="0" fontId="23" fillId="0" borderId="0" xfId="0" applyFont="1" applyAlignment="1">
      <alignment horizontal="center" vertical="center" wrapText="1"/>
    </xf>
    <xf numFmtId="0" fontId="68" fillId="0" borderId="14" xfId="0" applyFont="1" applyFill="1" applyBorder="1" applyAlignment="1">
      <alignment horizontal="center" vertical="center"/>
    </xf>
    <xf numFmtId="49" fontId="69" fillId="0" borderId="0" xfId="0" applyNumberFormat="1" applyFont="1" applyBorder="1" applyAlignment="1">
      <alignment horizontal="right"/>
    </xf>
    <xf numFmtId="0" fontId="86" fillId="0" borderId="0" xfId="0" applyFont="1" applyFill="1" applyBorder="1" applyAlignment="1">
      <alignment horizontal="center" vertical="center"/>
    </xf>
    <xf numFmtId="0" fontId="2" fillId="0" borderId="17" xfId="0" applyFont="1" applyFill="1" applyBorder="1" applyAlignment="1">
      <alignment horizontal="center" vertical="center" wrapText="1"/>
    </xf>
    <xf numFmtId="3" fontId="1" fillId="0" borderId="68" xfId="0" applyNumberFormat="1" applyFont="1" applyBorder="1" applyAlignment="1">
      <alignment horizontal="center" vertical="center"/>
    </xf>
    <xf numFmtId="3" fontId="1" fillId="0" borderId="3" xfId="0" applyNumberFormat="1" applyFont="1" applyBorder="1" applyAlignment="1">
      <alignment horizontal="center" vertical="center"/>
    </xf>
    <xf numFmtId="1" fontId="2" fillId="0" borderId="31" xfId="0" applyNumberFormat="1" applyFont="1" applyBorder="1" applyAlignment="1">
      <alignment horizontal="center" vertical="center"/>
    </xf>
    <xf numFmtId="1" fontId="2" fillId="0" borderId="32" xfId="0" applyNumberFormat="1" applyFont="1" applyBorder="1" applyAlignment="1">
      <alignment horizontal="center" vertical="center"/>
    </xf>
    <xf numFmtId="166" fontId="2" fillId="0" borderId="31" xfId="0" applyNumberFormat="1" applyFont="1" applyFill="1" applyBorder="1" applyAlignment="1">
      <alignment horizontal="center" vertical="center"/>
    </xf>
    <xf numFmtId="166" fontId="2" fillId="0" borderId="32" xfId="0" applyNumberFormat="1" applyFont="1" applyFill="1" applyBorder="1" applyAlignment="1">
      <alignment horizontal="center" vertical="center"/>
    </xf>
    <xf numFmtId="0" fontId="1" fillId="0" borderId="45" xfId="0" applyFont="1" applyBorder="1" applyAlignment="1">
      <alignment horizontal="center" vertical="center"/>
    </xf>
    <xf numFmtId="0" fontId="1" fillId="0" borderId="54" xfId="0" applyFont="1" applyBorder="1" applyAlignment="1">
      <alignment horizontal="center" vertical="center"/>
    </xf>
    <xf numFmtId="0" fontId="4" fillId="0" borderId="5" xfId="0" applyFont="1" applyFill="1" applyBorder="1" applyAlignment="1">
      <alignment horizontal="center" vertical="center"/>
    </xf>
    <xf numFmtId="0" fontId="4" fillId="0" borderId="6" xfId="0" applyFont="1" applyBorder="1" applyAlignment="1">
      <alignment horizontal="center" vertical="center" wrapText="1"/>
    </xf>
    <xf numFmtId="1" fontId="0" fillId="0" borderId="5" xfId="0" applyNumberFormat="1" applyFill="1" applyBorder="1" applyAlignment="1">
      <alignment horizontal="center" vertical="center"/>
    </xf>
    <xf numFmtId="0" fontId="86" fillId="0" borderId="0" xfId="0" applyFont="1" applyAlignment="1">
      <alignment horizontal="center" vertical="center"/>
    </xf>
    <xf numFmtId="0" fontId="39" fillId="0" borderId="0" xfId="0" applyFont="1" applyAlignment="1">
      <alignment horizontal="center" vertical="center"/>
    </xf>
    <xf numFmtId="1" fontId="86" fillId="0" borderId="0" xfId="0" applyNumberFormat="1" applyFont="1" applyAlignment="1">
      <alignment horizontal="center" vertical="center"/>
    </xf>
    <xf numFmtId="1" fontId="27" fillId="0" borderId="0" xfId="0" applyNumberFormat="1" applyFont="1" applyFill="1" applyBorder="1" applyAlignment="1">
      <alignment horizontal="center" vertical="center"/>
    </xf>
    <xf numFmtId="2" fontId="27" fillId="0" borderId="0" xfId="0" applyNumberFormat="1" applyFont="1" applyFill="1" applyBorder="1" applyAlignment="1">
      <alignment horizontal="center" vertical="center"/>
    </xf>
    <xf numFmtId="1" fontId="34" fillId="0" borderId="0" xfId="0" applyNumberFormat="1" applyFont="1" applyFill="1" applyBorder="1" applyAlignment="1">
      <alignment horizontal="center" vertical="center"/>
    </xf>
    <xf numFmtId="2" fontId="34" fillId="0" borderId="0" xfId="0" applyNumberFormat="1" applyFont="1" applyFill="1" applyBorder="1" applyAlignment="1">
      <alignment horizontal="center" vertical="center"/>
    </xf>
    <xf numFmtId="2" fontId="39" fillId="0" borderId="0" xfId="0" applyNumberFormat="1" applyFont="1" applyFill="1" applyBorder="1" applyAlignment="1">
      <alignment horizontal="center" vertical="center"/>
    </xf>
    <xf numFmtId="0" fontId="89" fillId="0" borderId="0" xfId="0" applyFont="1" applyAlignment="1">
      <alignment horizontal="center" vertical="center"/>
    </xf>
    <xf numFmtId="0" fontId="90" fillId="0" borderId="0" xfId="0" applyFont="1" applyAlignment="1">
      <alignment horizontal="center" vertical="center"/>
    </xf>
    <xf numFmtId="0" fontId="5" fillId="2" borderId="31" xfId="0" applyFont="1" applyFill="1" applyBorder="1" applyAlignment="1" applyProtection="1">
      <alignment horizontal="center" vertical="center" wrapText="1"/>
      <protection locked="0"/>
    </xf>
    <xf numFmtId="0" fontId="5" fillId="2" borderId="32" xfId="0" applyFont="1" applyFill="1" applyBorder="1" applyAlignment="1" applyProtection="1">
      <alignment horizontal="center" vertical="center" wrapText="1"/>
      <protection locked="0"/>
    </xf>
    <xf numFmtId="0" fontId="1" fillId="0" borderId="67" xfId="0" applyFont="1" applyFill="1" applyBorder="1" applyAlignment="1">
      <alignment horizontal="center" vertical="center"/>
    </xf>
    <xf numFmtId="0" fontId="26" fillId="2" borderId="4" xfId="0" applyFont="1" applyFill="1" applyBorder="1" applyAlignment="1" applyProtection="1">
      <alignment horizontal="center" vertical="center" wrapText="1"/>
      <protection locked="0"/>
    </xf>
    <xf numFmtId="0" fontId="26" fillId="2" borderId="57" xfId="0" applyFont="1" applyFill="1" applyBorder="1" applyAlignment="1" applyProtection="1">
      <alignment horizontal="center" vertical="center" wrapText="1"/>
      <protection locked="0"/>
    </xf>
    <xf numFmtId="0" fontId="26" fillId="2" borderId="53" xfId="0" applyFont="1" applyFill="1" applyBorder="1" applyAlignment="1" applyProtection="1">
      <alignment horizontal="center" vertical="center" wrapText="1"/>
      <protection locked="0"/>
    </xf>
    <xf numFmtId="0" fontId="1" fillId="0" borderId="58"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60" xfId="0" applyFont="1" applyFill="1" applyBorder="1" applyAlignment="1">
      <alignment horizontal="center" vertical="center"/>
    </xf>
    <xf numFmtId="0" fontId="23" fillId="0" borderId="0" xfId="0" applyFont="1" applyAlignment="1">
      <alignment horizontal="left" vertical="center" wrapText="1"/>
    </xf>
    <xf numFmtId="0" fontId="0" fillId="0" borderId="0" xfId="0" applyAlignment="1">
      <alignment horizontal="center" vertical="center"/>
    </xf>
    <xf numFmtId="0" fontId="26" fillId="0" borderId="0" xfId="0" applyFont="1" applyAlignment="1" applyProtection="1">
      <alignment horizontal="center" vertical="center" wrapText="1"/>
    </xf>
    <xf numFmtId="0" fontId="0" fillId="0" borderId="0" xfId="0" applyAlignment="1">
      <alignment horizontal="center" vertical="center"/>
    </xf>
    <xf numFmtId="0" fontId="27" fillId="3" borderId="14" xfId="0" applyFont="1" applyFill="1" applyBorder="1" applyAlignment="1" applyProtection="1">
      <alignment horizontal="center" vertical="center"/>
      <protection locked="0"/>
    </xf>
    <xf numFmtId="49" fontId="0" fillId="0" borderId="0" xfId="0" applyNumberFormat="1" applyAlignment="1">
      <alignment horizontal="center" vertical="center" wrapText="1"/>
    </xf>
    <xf numFmtId="49" fontId="0" fillId="0" borderId="0" xfId="0" applyNumberFormat="1" applyAlignment="1">
      <alignment horizontal="left" vertical="center" wrapText="1"/>
    </xf>
    <xf numFmtId="49" fontId="0" fillId="0" borderId="0" xfId="0" applyNumberFormat="1" applyAlignment="1">
      <alignment horizontal="center" vertical="center"/>
    </xf>
    <xf numFmtId="44" fontId="1" fillId="0" borderId="13" xfId="2"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14" xfId="0" applyFont="1" applyBorder="1" applyAlignment="1" applyProtection="1">
      <alignment horizontal="center"/>
    </xf>
    <xf numFmtId="0" fontId="1" fillId="0" borderId="25" xfId="0" applyFont="1" applyBorder="1" applyAlignment="1" applyProtection="1">
      <alignment horizontal="center"/>
    </xf>
    <xf numFmtId="0" fontId="1" fillId="0" borderId="13" xfId="0" applyFont="1" applyBorder="1" applyAlignment="1" applyProtection="1">
      <alignment vertical="center"/>
    </xf>
    <xf numFmtId="0" fontId="27" fillId="3" borderId="25" xfId="0" applyFont="1" applyFill="1" applyBorder="1" applyAlignment="1" applyProtection="1">
      <alignment horizontal="center" vertical="center"/>
      <protection locked="0"/>
    </xf>
    <xf numFmtId="0" fontId="27" fillId="3" borderId="13" xfId="0" applyFont="1" applyFill="1" applyBorder="1" applyAlignment="1" applyProtection="1">
      <alignment horizontal="center" vertical="center"/>
      <protection locked="0"/>
    </xf>
    <xf numFmtId="0" fontId="18" fillId="0" borderId="0" xfId="0" applyFont="1" applyBorder="1" applyAlignment="1">
      <alignment horizontal="center" vertical="center" wrapText="1"/>
    </xf>
    <xf numFmtId="0" fontId="1" fillId="0" borderId="0" xfId="0" applyFont="1" applyBorder="1" applyAlignment="1">
      <alignment horizontal="center" vertical="center" wrapText="1"/>
    </xf>
    <xf numFmtId="1" fontId="0" fillId="0" borderId="0" xfId="0" applyNumberFormat="1" applyBorder="1" applyAlignment="1">
      <alignment horizontal="center" vertical="center" wrapText="1"/>
    </xf>
    <xf numFmtId="1" fontId="1" fillId="0" borderId="12" xfId="0" applyNumberFormat="1" applyFont="1" applyBorder="1" applyAlignment="1">
      <alignment horizontal="center" vertical="center" wrapText="1"/>
    </xf>
    <xf numFmtId="0" fontId="90" fillId="0" borderId="0" xfId="0" applyFont="1" applyFill="1" applyBorder="1" applyAlignment="1">
      <alignment horizontal="center" vertical="center"/>
    </xf>
    <xf numFmtId="44" fontId="1" fillId="0" borderId="13" xfId="2" applyFont="1" applyBorder="1" applyAlignment="1">
      <alignment vertical="center"/>
    </xf>
    <xf numFmtId="44" fontId="6" fillId="0" borderId="13" xfId="2" applyFont="1" applyBorder="1" applyAlignment="1">
      <alignment horizontal="left" vertical="center"/>
    </xf>
    <xf numFmtId="0" fontId="36" fillId="0" borderId="13" xfId="0" applyFont="1" applyFill="1" applyBorder="1" applyAlignment="1">
      <alignment horizontal="right" vertical="center"/>
    </xf>
    <xf numFmtId="44" fontId="1" fillId="0" borderId="14" xfId="2" applyFont="1" applyBorder="1" applyAlignment="1">
      <alignment horizontal="right" vertical="center"/>
    </xf>
    <xf numFmtId="0" fontId="18" fillId="0" borderId="25" xfId="0" applyFont="1" applyBorder="1" applyAlignment="1">
      <alignment horizontal="right" vertical="center"/>
    </xf>
    <xf numFmtId="0" fontId="5" fillId="0" borderId="6" xfId="0" applyFont="1" applyBorder="1" applyAlignment="1">
      <alignment horizontal="right"/>
    </xf>
    <xf numFmtId="0" fontId="92" fillId="0" borderId="6" xfId="0" applyFont="1" applyBorder="1" applyAlignment="1">
      <alignment horizontal="right" vertical="center"/>
    </xf>
    <xf numFmtId="0" fontId="23" fillId="0" borderId="6" xfId="0" applyFont="1" applyBorder="1" applyAlignment="1">
      <alignment horizontal="right"/>
    </xf>
    <xf numFmtId="0" fontId="1" fillId="2" borderId="5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wrapText="1"/>
      <protection locked="0"/>
    </xf>
    <xf numFmtId="0" fontId="71" fillId="0" borderId="0" xfId="0" applyFont="1" applyAlignment="1">
      <alignment horizontal="center" vertical="center" wrapText="1"/>
    </xf>
    <xf numFmtId="1" fontId="1" fillId="0" borderId="10"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 fillId="0" borderId="5" xfId="0" applyFont="1" applyBorder="1" applyAlignment="1">
      <alignment horizontal="center" vertical="center"/>
    </xf>
    <xf numFmtId="0" fontId="26" fillId="0" borderId="6" xfId="0" applyFont="1" applyBorder="1" applyAlignment="1">
      <alignment vertical="center"/>
    </xf>
    <xf numFmtId="0" fontId="26" fillId="0" borderId="0" xfId="0" applyFont="1" applyBorder="1" applyAlignment="1">
      <alignment vertical="center"/>
    </xf>
    <xf numFmtId="0" fontId="93" fillId="0" borderId="0" xfId="0" applyFont="1" applyAlignment="1">
      <alignment horizontal="center" vertical="center"/>
    </xf>
    <xf numFmtId="0" fontId="6" fillId="0" borderId="2" xfId="0" applyFont="1" applyBorder="1" applyAlignment="1">
      <alignment horizontal="right" vertical="center" wrapText="1"/>
    </xf>
    <xf numFmtId="0" fontId="94" fillId="0" borderId="0" xfId="0" applyFont="1" applyAlignment="1">
      <alignment horizontal="center" vertical="center"/>
    </xf>
    <xf numFmtId="1" fontId="39" fillId="0" borderId="0" xfId="0" applyNumberFormat="1" applyFont="1" applyFill="1" applyBorder="1" applyAlignment="1">
      <alignment horizontal="center" vertical="center"/>
    </xf>
    <xf numFmtId="1" fontId="86" fillId="0" borderId="0" xfId="0" applyNumberFormat="1" applyFont="1" applyFill="1" applyBorder="1" applyAlignment="1">
      <alignment horizontal="center" vertical="center"/>
    </xf>
    <xf numFmtId="1" fontId="39" fillId="0" borderId="0" xfId="0" applyNumberFormat="1" applyFont="1" applyAlignment="1">
      <alignment horizontal="center" vertical="center"/>
    </xf>
    <xf numFmtId="2" fontId="86" fillId="0" borderId="0" xfId="0" applyNumberFormat="1" applyFont="1" applyFill="1" applyBorder="1" applyAlignment="1">
      <alignment horizontal="center" vertical="center"/>
    </xf>
    <xf numFmtId="1" fontId="11" fillId="0" borderId="0" xfId="0" applyNumberFormat="1" applyFont="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Alignment="1">
      <alignment horizontal="center" vertical="center"/>
    </xf>
    <xf numFmtId="0" fontId="95" fillId="0" borderId="0" xfId="0" applyFont="1" applyFill="1" applyBorder="1" applyAlignment="1">
      <alignment horizontal="center" vertical="center"/>
    </xf>
    <xf numFmtId="0" fontId="87" fillId="0" borderId="0" xfId="0" applyFont="1" applyAlignment="1">
      <alignment horizontal="center" vertical="center"/>
    </xf>
    <xf numFmtId="0" fontId="1" fillId="2" borderId="10" xfId="0" applyFont="1" applyFill="1" applyBorder="1" applyAlignment="1" applyProtection="1">
      <alignment horizontal="center" vertical="center" wrapText="1"/>
      <protection locked="0"/>
    </xf>
    <xf numFmtId="0" fontId="27" fillId="0" borderId="0" xfId="0" applyFont="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0" borderId="39" xfId="0" applyFont="1" applyBorder="1" applyAlignment="1" applyProtection="1">
      <alignment horizontal="center" vertical="center" wrapText="1"/>
    </xf>
    <xf numFmtId="0" fontId="2" fillId="0" borderId="72"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2" fillId="0" borderId="20" xfId="0" applyFont="1" applyFill="1" applyBorder="1" applyAlignment="1">
      <alignment horizontal="center" vertical="center" wrapText="1"/>
    </xf>
    <xf numFmtId="0" fontId="0" fillId="9" borderId="63" xfId="0" applyFill="1" applyBorder="1" applyAlignment="1" applyProtection="1">
      <alignment horizontal="center" vertical="center" wrapText="1"/>
    </xf>
    <xf numFmtId="0" fontId="15" fillId="0" borderId="4" xfId="0" applyFont="1" applyBorder="1" applyAlignment="1">
      <alignment horizontal="center" vertical="center"/>
    </xf>
    <xf numFmtId="0" fontId="11" fillId="0" borderId="0" xfId="0" applyFont="1" applyAlignment="1">
      <alignment horizontal="center" vertical="center"/>
    </xf>
    <xf numFmtId="0" fontId="39" fillId="0" borderId="0" xfId="0" applyFont="1"/>
    <xf numFmtId="0" fontId="39" fillId="0" borderId="0" xfId="0" applyFont="1" applyAlignment="1">
      <alignment horizontal="right" vertical="center"/>
    </xf>
    <xf numFmtId="0" fontId="39" fillId="0" borderId="0" xfId="0" applyFont="1" applyAlignment="1">
      <alignment vertical="center"/>
    </xf>
    <xf numFmtId="0" fontId="0" fillId="0" borderId="0" xfId="0" applyAlignment="1">
      <alignment vertical="center"/>
    </xf>
    <xf numFmtId="0" fontId="3"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18" fillId="0" borderId="49" xfId="0" applyFont="1" applyFill="1" applyBorder="1" applyAlignment="1">
      <alignment horizontal="center" vertical="center" wrapText="1"/>
    </xf>
    <xf numFmtId="0" fontId="0" fillId="0" borderId="0" xfId="0" applyAlignment="1">
      <alignment vertical="center" wrapText="1"/>
    </xf>
    <xf numFmtId="0" fontId="27"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xf>
    <xf numFmtId="49" fontId="1" fillId="0" borderId="0" xfId="0" applyNumberFormat="1" applyFont="1" applyAlignment="1">
      <alignment horizontal="right" vertical="center"/>
    </xf>
    <xf numFmtId="0" fontId="0" fillId="0" borderId="23" xfId="0" applyBorder="1" applyAlignment="1">
      <alignment horizontal="center" vertical="center"/>
    </xf>
    <xf numFmtId="1" fontId="18" fillId="0" borderId="1" xfId="0" applyNumberFormat="1" applyFont="1" applyBorder="1" applyAlignment="1">
      <alignment horizontal="center" vertical="center"/>
    </xf>
    <xf numFmtId="0" fontId="26" fillId="0" borderId="0" xfId="0" applyFont="1" applyBorder="1" applyAlignment="1">
      <alignment horizontal="center" vertical="center" wrapText="1"/>
    </xf>
    <xf numFmtId="0" fontId="1" fillId="0" borderId="0" xfId="0" applyFont="1" applyBorder="1" applyAlignment="1">
      <alignment horizontal="center" vertical="center"/>
    </xf>
    <xf numFmtId="0" fontId="18" fillId="0" borderId="0" xfId="0" applyFont="1" applyBorder="1" applyAlignment="1">
      <alignment horizontal="center" vertical="center"/>
    </xf>
    <xf numFmtId="0" fontId="0" fillId="0" borderId="0" xfId="0" applyAlignment="1">
      <alignment vertical="center"/>
    </xf>
    <xf numFmtId="0" fontId="0" fillId="0" borderId="0" xfId="0" applyFont="1" applyAlignment="1">
      <alignment vertical="center"/>
    </xf>
    <xf numFmtId="0" fontId="0" fillId="0" borderId="0" xfId="0" applyAlignment="1">
      <alignment horizontal="center" vertical="center" wrapText="1"/>
    </xf>
    <xf numFmtId="0" fontId="27" fillId="0" borderId="13" xfId="0" applyFont="1" applyBorder="1" applyAlignment="1">
      <alignment horizontal="center" vertical="center"/>
    </xf>
    <xf numFmtId="0" fontId="27" fillId="0" borderId="1" xfId="0" applyFont="1" applyBorder="1" applyAlignment="1">
      <alignment horizontal="left" vertical="center" wrapText="1"/>
    </xf>
    <xf numFmtId="0" fontId="26" fillId="0" borderId="6" xfId="0" applyFont="1" applyBorder="1" applyAlignment="1" applyProtection="1">
      <alignment horizontal="center" vertical="center" wrapText="1"/>
    </xf>
    <xf numFmtId="0" fontId="18" fillId="0" borderId="0" xfId="0" applyFont="1" applyBorder="1" applyAlignment="1">
      <alignment vertical="center"/>
    </xf>
    <xf numFmtId="0" fontId="2" fillId="0" borderId="0" xfId="0" applyFont="1" applyBorder="1" applyAlignment="1">
      <alignment horizontal="left" vertical="center"/>
    </xf>
    <xf numFmtId="0" fontId="27" fillId="0" borderId="0" xfId="0" applyFont="1" applyBorder="1" applyAlignment="1">
      <alignment horizontal="left" vertical="center"/>
    </xf>
    <xf numFmtId="165" fontId="0" fillId="0" borderId="0" xfId="0" applyNumberFormat="1" applyFill="1" applyBorder="1" applyAlignment="1">
      <alignment horizontal="center" vertical="center"/>
    </xf>
    <xf numFmtId="0" fontId="15" fillId="0" borderId="0" xfId="0" applyFont="1" applyFill="1" applyBorder="1" applyAlignment="1">
      <alignment horizontal="center" vertical="center"/>
    </xf>
    <xf numFmtId="165" fontId="0" fillId="0" borderId="12" xfId="0" applyNumberFormat="1" applyFill="1" applyBorder="1" applyAlignment="1">
      <alignment horizontal="center" vertical="center"/>
    </xf>
    <xf numFmtId="0" fontId="18" fillId="0" borderId="25" xfId="0" applyFont="1" applyFill="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7" xfId="0" applyFont="1" applyBorder="1" applyAlignment="1">
      <alignment horizontal="center" vertical="center" wrapText="1"/>
    </xf>
    <xf numFmtId="0" fontId="18" fillId="0" borderId="1" xfId="0" applyFont="1" applyFill="1" applyBorder="1" applyAlignment="1">
      <alignment horizontal="center" vertical="center" wrapText="1"/>
    </xf>
    <xf numFmtId="0" fontId="27" fillId="0" borderId="25" xfId="0" applyFont="1" applyBorder="1" applyAlignment="1">
      <alignment horizontal="left" vertical="center" wrapText="1"/>
    </xf>
    <xf numFmtId="0" fontId="0" fillId="0" borderId="9" xfId="0" applyFont="1" applyBorder="1" applyAlignment="1">
      <alignment horizontal="center" vertical="center" wrapText="1"/>
    </xf>
    <xf numFmtId="2" fontId="27" fillId="0" borderId="1" xfId="0" applyNumberFormat="1" applyFont="1" applyBorder="1" applyAlignment="1">
      <alignment horizontal="center" vertical="center"/>
    </xf>
    <xf numFmtId="0" fontId="1" fillId="0" borderId="1" xfId="0" applyFont="1" applyBorder="1"/>
    <xf numFmtId="0" fontId="0" fillId="0" borderId="25" xfId="0" applyFont="1" applyBorder="1" applyAlignment="1">
      <alignment horizontal="left" vertical="center"/>
    </xf>
    <xf numFmtId="0" fontId="27" fillId="0" borderId="1" xfId="0" applyFont="1" applyBorder="1" applyAlignment="1">
      <alignment vertical="center"/>
    </xf>
    <xf numFmtId="0" fontId="34" fillId="0" borderId="1" xfId="0" applyFont="1" applyBorder="1"/>
    <xf numFmtId="0" fontId="40" fillId="0" borderId="0" xfId="0" applyFont="1"/>
    <xf numFmtId="0" fontId="27" fillId="0" borderId="1" xfId="0" applyFont="1" applyBorder="1" applyAlignment="1">
      <alignment horizontal="left"/>
    </xf>
    <xf numFmtId="0" fontId="27" fillId="0" borderId="1" xfId="0" applyFont="1" applyBorder="1" applyAlignment="1">
      <alignment horizontal="left" vertical="center"/>
    </xf>
    <xf numFmtId="0" fontId="23" fillId="0" borderId="0" xfId="0" applyFont="1" applyAlignment="1">
      <alignment vertical="center"/>
    </xf>
    <xf numFmtId="0" fontId="99" fillId="0" borderId="0" xfId="0" applyFont="1" applyAlignment="1">
      <alignment vertical="center"/>
    </xf>
    <xf numFmtId="0" fontId="1" fillId="0" borderId="1" xfId="0" applyFont="1" applyBorder="1" applyAlignment="1">
      <alignment horizontal="center" vertical="center" wrapText="1"/>
    </xf>
    <xf numFmtId="165" fontId="23" fillId="0" borderId="1" xfId="0" applyNumberFormat="1" applyFont="1" applyBorder="1" applyAlignment="1">
      <alignment horizontal="center" vertical="center"/>
    </xf>
    <xf numFmtId="0" fontId="0" fillId="0" borderId="12" xfId="0" applyBorder="1" applyAlignment="1">
      <alignment vertical="center"/>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11" borderId="1" xfId="0" applyFont="1" applyFill="1" applyBorder="1" applyAlignment="1" applyProtection="1">
      <alignment horizontal="center" vertical="center"/>
      <protection locked="0"/>
    </xf>
    <xf numFmtId="1" fontId="0" fillId="0" borderId="1" xfId="0" applyNumberFormat="1" applyFont="1" applyBorder="1" applyAlignment="1">
      <alignment horizontal="center" vertical="center"/>
    </xf>
    <xf numFmtId="165" fontId="0" fillId="0" borderId="1" xfId="0" applyNumberFormat="1" applyFont="1" applyFill="1" applyBorder="1" applyAlignment="1">
      <alignment horizontal="center" vertical="center"/>
    </xf>
    <xf numFmtId="165" fontId="23" fillId="0" borderId="1" xfId="0" applyNumberFormat="1" applyFont="1" applyFill="1" applyBorder="1" applyAlignment="1">
      <alignment horizontal="center" vertical="center"/>
    </xf>
    <xf numFmtId="0" fontId="98" fillId="0" borderId="0" xfId="0" applyFont="1" applyAlignment="1">
      <alignment vertical="center"/>
    </xf>
    <xf numFmtId="165" fontId="5" fillId="0" borderId="1" xfId="0" applyNumberFormat="1" applyFont="1" applyFill="1" applyBorder="1" applyAlignment="1">
      <alignment horizontal="center" vertical="center"/>
    </xf>
    <xf numFmtId="165" fontId="0" fillId="0" borderId="0" xfId="0" applyNumberFormat="1" applyFont="1" applyBorder="1" applyAlignment="1">
      <alignment vertical="center"/>
    </xf>
    <xf numFmtId="0" fontId="0" fillId="0" borderId="0" xfId="0" applyFont="1" applyBorder="1" applyAlignment="1">
      <alignment vertical="center"/>
    </xf>
    <xf numFmtId="0" fontId="100" fillId="0" borderId="0" xfId="0" applyFont="1" applyFill="1" applyBorder="1" applyAlignment="1">
      <alignment horizontal="center" vertical="center"/>
    </xf>
    <xf numFmtId="0" fontId="5" fillId="0" borderId="0" xfId="0" applyFont="1" applyFill="1" applyBorder="1" applyAlignment="1">
      <alignment horizontal="center" vertical="center"/>
    </xf>
    <xf numFmtId="165" fontId="1" fillId="0" borderId="0" xfId="0" applyNumberFormat="1" applyFont="1" applyBorder="1" applyAlignment="1">
      <alignment vertical="center"/>
    </xf>
    <xf numFmtId="0" fontId="1" fillId="0" borderId="0" xfId="0" applyFont="1" applyFill="1" applyBorder="1" applyAlignment="1">
      <alignment vertical="center"/>
    </xf>
    <xf numFmtId="0" fontId="101" fillId="0" borderId="0" xfId="0" applyFont="1" applyBorder="1" applyAlignment="1">
      <alignment vertical="center"/>
    </xf>
    <xf numFmtId="165" fontId="1" fillId="0" borderId="1" xfId="0" applyNumberFormat="1" applyFont="1" applyFill="1" applyBorder="1" applyAlignment="1">
      <alignment horizontal="center" vertical="center"/>
    </xf>
    <xf numFmtId="14" fontId="0" fillId="5" borderId="1" xfId="0" applyNumberFormat="1" applyFont="1" applyFill="1" applyBorder="1" applyAlignment="1" applyProtection="1">
      <alignment horizontal="center" vertical="center"/>
      <protection locked="0"/>
    </xf>
    <xf numFmtId="165" fontId="0" fillId="5" borderId="1" xfId="0" applyNumberFormat="1" applyFont="1" applyFill="1" applyBorder="1" applyAlignment="1" applyProtection="1">
      <alignment horizontal="center" vertical="center"/>
      <protection locked="0"/>
    </xf>
    <xf numFmtId="0" fontId="0" fillId="0" borderId="0" xfId="0" applyFont="1" applyBorder="1"/>
    <xf numFmtId="0" fontId="27" fillId="0" borderId="1" xfId="0" applyFont="1" applyFill="1" applyBorder="1" applyAlignment="1">
      <alignment vertical="center" wrapText="1"/>
    </xf>
    <xf numFmtId="0" fontId="15" fillId="0" borderId="1" xfId="0" applyFont="1" applyBorder="1" applyAlignment="1">
      <alignment horizontal="center" vertical="center" wrapText="1"/>
    </xf>
    <xf numFmtId="0" fontId="48" fillId="0" borderId="0" xfId="0" applyFont="1" applyAlignment="1">
      <alignment vertical="center"/>
    </xf>
    <xf numFmtId="0" fontId="34" fillId="0" borderId="0" xfId="0" applyFont="1" applyBorder="1" applyAlignment="1">
      <alignment horizontal="center" vertical="center"/>
    </xf>
    <xf numFmtId="0" fontId="32" fillId="0" borderId="0" xfId="0" applyFont="1" applyBorder="1" applyAlignment="1">
      <alignment horizontal="center" vertical="center" wrapText="1"/>
    </xf>
    <xf numFmtId="0" fontId="0" fillId="0" borderId="0" xfId="0" applyAlignment="1">
      <alignment vertical="center"/>
    </xf>
    <xf numFmtId="0" fontId="3" fillId="0" borderId="0" xfId="0" applyFont="1" applyAlignment="1">
      <alignment vertical="center"/>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0" fontId="26" fillId="0" borderId="0" xfId="0" applyFont="1" applyAlignment="1">
      <alignment horizontal="center" vertical="center" wrapText="1"/>
    </xf>
    <xf numFmtId="0" fontId="1" fillId="0" borderId="0"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xf>
    <xf numFmtId="0" fontId="1" fillId="0" borderId="2" xfId="0" applyFont="1" applyBorder="1" applyAlignment="1">
      <alignment horizontal="center" vertical="center" wrapText="1"/>
    </xf>
    <xf numFmtId="0" fontId="18" fillId="0" borderId="1" xfId="0" applyFont="1" applyBorder="1" applyAlignment="1">
      <alignment horizontal="center" vertical="center"/>
    </xf>
    <xf numFmtId="0" fontId="3" fillId="0" borderId="0" xfId="0" applyFont="1" applyAlignment="1">
      <alignment horizontal="center" vertical="center" wrapText="1"/>
    </xf>
    <xf numFmtId="0" fontId="0" fillId="4" borderId="6" xfId="0" applyFill="1" applyBorder="1" applyAlignment="1">
      <alignment horizontal="center" vertical="center"/>
    </xf>
    <xf numFmtId="49" fontId="1" fillId="0" borderId="0" xfId="0" applyNumberFormat="1" applyFont="1" applyAlignment="1">
      <alignment horizontal="right" vertical="center"/>
    </xf>
    <xf numFmtId="0" fontId="0" fillId="3" borderId="6" xfId="0" applyFill="1" applyBorder="1" applyAlignment="1" applyProtection="1">
      <alignment horizontal="center" vertical="center"/>
      <protection locked="0"/>
    </xf>
    <xf numFmtId="0" fontId="1" fillId="0" borderId="0" xfId="0" applyFont="1" applyAlignment="1">
      <alignment horizontal="left" vertical="center" wrapText="1"/>
    </xf>
    <xf numFmtId="0" fontId="0" fillId="0" borderId="0" xfId="0" applyAlignment="1">
      <alignment vertical="center"/>
    </xf>
    <xf numFmtId="0" fontId="0" fillId="0" borderId="0" xfId="0" applyFont="1" applyAlignment="1">
      <alignment vertical="center"/>
    </xf>
    <xf numFmtId="0" fontId="3" fillId="0" borderId="0" xfId="0" applyFont="1" applyAlignment="1">
      <alignment vertical="center"/>
    </xf>
    <xf numFmtId="0" fontId="1" fillId="0" borderId="0" xfId="0" applyFont="1" applyBorder="1" applyAlignment="1">
      <alignment horizontal="center" vertical="center"/>
    </xf>
    <xf numFmtId="0" fontId="0" fillId="0" borderId="0" xfId="0" applyAlignment="1">
      <alignment horizontal="center" vertical="center"/>
    </xf>
    <xf numFmtId="0" fontId="18" fillId="0" borderId="0" xfId="0" applyFont="1" applyBorder="1" applyAlignment="1">
      <alignment horizontal="center" vertical="center"/>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wrapText="1"/>
    </xf>
    <xf numFmtId="0" fontId="0" fillId="0" borderId="10"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26" fillId="0" borderId="31" xfId="0" applyFont="1" applyFill="1" applyBorder="1" applyAlignment="1">
      <alignment horizontal="center" vertical="center" wrapText="1"/>
    </xf>
    <xf numFmtId="0" fontId="18" fillId="0" borderId="0" xfId="0" applyFont="1" applyAlignment="1">
      <alignment horizontal="center" vertical="center" wrapText="1"/>
    </xf>
    <xf numFmtId="0" fontId="18" fillId="0" borderId="13" xfId="0" applyFont="1" applyBorder="1" applyAlignment="1">
      <alignment horizontal="center" vertical="center" wrapText="1"/>
    </xf>
    <xf numFmtId="0" fontId="18" fillId="0" borderId="1" xfId="0" applyFont="1" applyBorder="1" applyAlignment="1">
      <alignment horizontal="center" vertical="center" wrapText="1"/>
    </xf>
    <xf numFmtId="0" fontId="15" fillId="0" borderId="11" xfId="0" applyFont="1" applyBorder="1" applyAlignment="1">
      <alignment horizontal="center" vertical="center" wrapText="1"/>
    </xf>
    <xf numFmtId="0" fontId="0" fillId="0" borderId="0" xfId="0" applyAlignment="1"/>
    <xf numFmtId="0" fontId="18" fillId="0" borderId="0" xfId="0" applyFont="1" applyAlignment="1">
      <alignment horizontal="center" vertical="center"/>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xf>
    <xf numFmtId="0" fontId="1" fillId="0" borderId="9" xfId="0" applyFont="1" applyBorder="1" applyAlignment="1">
      <alignment horizontal="center" vertical="center"/>
    </xf>
    <xf numFmtId="0" fontId="1" fillId="0" borderId="2" xfId="0" applyFont="1" applyBorder="1" applyAlignment="1">
      <alignment horizontal="center" vertical="center" wrapText="1"/>
    </xf>
    <xf numFmtId="0" fontId="18" fillId="0" borderId="1" xfId="0" applyFont="1" applyBorder="1" applyAlignment="1">
      <alignment horizontal="center" vertical="center"/>
    </xf>
    <xf numFmtId="0" fontId="3" fillId="0" borderId="0" xfId="0" applyFont="1" applyAlignment="1">
      <alignment horizontal="center" vertical="center" wrapText="1"/>
    </xf>
    <xf numFmtId="49" fontId="1" fillId="0" borderId="0" xfId="0" applyNumberFormat="1" applyFont="1" applyAlignment="1">
      <alignment horizontal="left" vertical="center" wrapText="1"/>
    </xf>
    <xf numFmtId="4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49" fontId="1" fillId="0" borderId="0" xfId="0" applyNumberFormat="1" applyFont="1" applyAlignment="1" applyProtection="1">
      <alignment horizontal="left" vertical="center" wrapText="1"/>
    </xf>
    <xf numFmtId="0" fontId="0" fillId="3" borderId="6" xfId="0" applyFill="1" applyBorder="1" applyAlignment="1" applyProtection="1">
      <alignment horizontal="center"/>
      <protection locked="0"/>
    </xf>
    <xf numFmtId="0" fontId="0" fillId="4" borderId="6" xfId="0" applyFill="1" applyBorder="1" applyAlignment="1">
      <alignment horizontal="center" vertical="center"/>
    </xf>
    <xf numFmtId="0" fontId="0" fillId="0" borderId="11" xfId="0" applyBorder="1" applyAlignment="1">
      <alignment horizontal="center"/>
    </xf>
    <xf numFmtId="0" fontId="0" fillId="0" borderId="6" xfId="0" applyFill="1" applyBorder="1" applyAlignment="1">
      <alignment horizontal="center"/>
    </xf>
    <xf numFmtId="0" fontId="0" fillId="0" borderId="5" xfId="0" applyBorder="1" applyAlignment="1">
      <alignment horizontal="center"/>
    </xf>
    <xf numFmtId="0" fontId="0" fillId="0" borderId="0" xfId="0" applyAlignment="1">
      <alignment horizontal="center"/>
    </xf>
    <xf numFmtId="49" fontId="1" fillId="0" borderId="0" xfId="0" applyNumberFormat="1" applyFont="1" applyAlignment="1">
      <alignment horizontal="right" vertical="center"/>
    </xf>
    <xf numFmtId="0" fontId="0" fillId="0" borderId="0" xfId="0" applyAlignment="1">
      <alignment horizontal="right" vertical="center"/>
    </xf>
    <xf numFmtId="0" fontId="0" fillId="3" borderId="6" xfId="0" applyFill="1" applyBorder="1" applyAlignment="1" applyProtection="1">
      <alignment horizontal="center" vertical="center"/>
      <protection locked="0"/>
    </xf>
    <xf numFmtId="0" fontId="1" fillId="0" borderId="6"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1" fillId="0" borderId="5" xfId="0" applyFont="1" applyBorder="1" applyAlignment="1">
      <alignment horizontal="center" vertical="center" wrapText="1"/>
    </xf>
    <xf numFmtId="1" fontId="0" fillId="0" borderId="10" xfId="0" applyNumberFormat="1" applyBorder="1" applyAlignment="1">
      <alignment horizontal="center" vertical="center"/>
    </xf>
    <xf numFmtId="0" fontId="1" fillId="0" borderId="7" xfId="0" applyFont="1" applyBorder="1" applyAlignment="1">
      <alignment horizontal="center" vertical="center"/>
    </xf>
    <xf numFmtId="1" fontId="0" fillId="0" borderId="0" xfId="0" applyNumberFormat="1" applyBorder="1" applyAlignment="1">
      <alignment horizontal="center" vertical="center"/>
    </xf>
    <xf numFmtId="3" fontId="2" fillId="0" borderId="0" xfId="0" applyNumberFormat="1" applyFont="1" applyBorder="1" applyAlignment="1">
      <alignment horizontal="right" vertical="center"/>
    </xf>
    <xf numFmtId="3" fontId="18" fillId="0" borderId="0" xfId="0" applyNumberFormat="1" applyFont="1" applyBorder="1" applyAlignment="1">
      <alignment horizontal="center" vertical="center" wrapText="1"/>
    </xf>
    <xf numFmtId="0" fontId="3" fillId="0" borderId="0" xfId="0" applyFont="1" applyBorder="1" applyAlignment="1">
      <alignment vertical="center" wrapText="1"/>
    </xf>
    <xf numFmtId="3" fontId="22" fillId="0" borderId="0" xfId="0" applyNumberFormat="1" applyFont="1" applyBorder="1" applyAlignment="1">
      <alignment horizontal="center" vertical="center"/>
    </xf>
    <xf numFmtId="3" fontId="54" fillId="0" borderId="0" xfId="0" applyNumberFormat="1" applyFont="1" applyBorder="1" applyAlignment="1">
      <alignment horizontal="center" vertical="center"/>
    </xf>
    <xf numFmtId="0" fontId="1" fillId="0" borderId="8" xfId="0" applyFont="1" applyBorder="1" applyAlignment="1" applyProtection="1">
      <alignment horizontal="center" vertical="center"/>
    </xf>
    <xf numFmtId="0" fontId="18" fillId="0" borderId="10" xfId="0" applyFont="1" applyBorder="1" applyAlignment="1" applyProtection="1">
      <alignment horizontal="center" vertical="center"/>
    </xf>
    <xf numFmtId="0" fontId="1" fillId="0" borderId="12" xfId="0" applyFont="1" applyBorder="1" applyAlignment="1" applyProtection="1">
      <alignment horizontal="center" vertical="center"/>
    </xf>
    <xf numFmtId="0" fontId="92" fillId="0" borderId="9" xfId="0" applyFont="1" applyBorder="1" applyAlignment="1">
      <alignment horizontal="right" vertical="center"/>
    </xf>
    <xf numFmtId="0" fontId="92" fillId="0" borderId="0" xfId="0" applyFont="1" applyBorder="1" applyAlignment="1">
      <alignment horizontal="right" vertical="center"/>
    </xf>
    <xf numFmtId="0" fontId="23" fillId="0" borderId="0" xfId="0" applyFont="1" applyBorder="1" applyAlignment="1">
      <alignment horizontal="left" vertical="center"/>
    </xf>
    <xf numFmtId="2" fontId="0" fillId="0" borderId="0" xfId="0" applyNumberFormat="1" applyAlignment="1">
      <alignment horizontal="center" vertical="center"/>
    </xf>
    <xf numFmtId="0" fontId="71" fillId="0" borderId="0" xfId="0" applyFont="1" applyAlignment="1">
      <alignment horizontal="left" vertical="center" wrapText="1"/>
    </xf>
    <xf numFmtId="0" fontId="93" fillId="0" borderId="0" xfId="0" applyFont="1" applyAlignment="1">
      <alignment horizontal="left" vertical="center" wrapText="1"/>
    </xf>
    <xf numFmtId="0" fontId="93" fillId="0" borderId="0" xfId="0" applyFont="1" applyAlignment="1">
      <alignment horizontal="left" vertical="center"/>
    </xf>
    <xf numFmtId="0" fontId="73" fillId="0" borderId="0" xfId="0" applyFont="1" applyFill="1" applyBorder="1" applyAlignment="1">
      <alignment horizontal="left" vertical="center" wrapText="1"/>
    </xf>
    <xf numFmtId="2" fontId="23" fillId="0" borderId="0" xfId="0" applyNumberFormat="1" applyFont="1" applyFill="1" applyAlignment="1">
      <alignment horizontal="center"/>
    </xf>
    <xf numFmtId="2" fontId="11" fillId="0" borderId="0" xfId="0" applyNumberFormat="1" applyFont="1" applyAlignment="1">
      <alignment horizontal="center" vertical="center"/>
    </xf>
    <xf numFmtId="2" fontId="23" fillId="0" borderId="0" xfId="0" applyNumberFormat="1" applyFont="1" applyFill="1" applyAlignment="1">
      <alignment horizontal="center" vertical="center"/>
    </xf>
    <xf numFmtId="2" fontId="23" fillId="0" borderId="0" xfId="0" applyNumberFormat="1" applyFont="1" applyAlignment="1">
      <alignment horizontal="center" vertical="center"/>
    </xf>
    <xf numFmtId="2" fontId="23" fillId="0" borderId="0" xfId="0" applyNumberFormat="1" applyFont="1" applyAlignment="1">
      <alignment horizontal="right"/>
    </xf>
    <xf numFmtId="2" fontId="5" fillId="0" borderId="0" xfId="0" applyNumberFormat="1" applyFont="1" applyAlignment="1">
      <alignment horizontal="right"/>
    </xf>
    <xf numFmtId="2" fontId="23" fillId="0" borderId="0" xfId="0" applyNumberFormat="1" applyFont="1" applyAlignment="1">
      <alignment horizontal="center"/>
    </xf>
    <xf numFmtId="2" fontId="39" fillId="0" borderId="0" xfId="0" applyNumberFormat="1" applyFont="1" applyAlignment="1">
      <alignment horizontal="center" vertical="center"/>
    </xf>
    <xf numFmtId="2" fontId="23" fillId="0" borderId="0" xfId="0" applyNumberFormat="1" applyFont="1"/>
    <xf numFmtId="0" fontId="21" fillId="0" borderId="0" xfId="0" applyFont="1" applyAlignment="1">
      <alignment horizontal="lef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18" fillId="0" borderId="49" xfId="0" applyFont="1" applyFill="1" applyBorder="1" applyAlignment="1">
      <alignment horizontal="center" vertical="center" wrapText="1"/>
    </xf>
    <xf numFmtId="0" fontId="27" fillId="0" borderId="0" xfId="0" applyFont="1" applyAlignment="1">
      <alignment horizontal="center" vertical="center"/>
    </xf>
    <xf numFmtId="0" fontId="3" fillId="0" borderId="0" xfId="0" applyFont="1" applyBorder="1" applyAlignment="1">
      <alignment horizontal="center" vertical="center" wrapText="1"/>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xf>
    <xf numFmtId="0" fontId="27" fillId="0" borderId="0" xfId="0" applyFont="1"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wrapText="1"/>
    </xf>
    <xf numFmtId="0" fontId="18" fillId="0" borderId="0" xfId="0" applyFont="1" applyAlignment="1">
      <alignment horizontal="center" vertical="center" wrapText="1"/>
    </xf>
    <xf numFmtId="0" fontId="3" fillId="0" borderId="0" xfId="0" applyFont="1" applyBorder="1" applyAlignment="1">
      <alignment horizontal="center" vertical="center" wrapText="1"/>
    </xf>
    <xf numFmtId="0" fontId="18" fillId="0" borderId="0" xfId="0" applyFont="1" applyAlignment="1">
      <alignment horizontal="center" vertical="center"/>
    </xf>
    <xf numFmtId="0" fontId="27" fillId="0" borderId="0" xfId="0" applyFont="1" applyAlignment="1">
      <alignment horizontal="center" vertical="center"/>
    </xf>
    <xf numFmtId="0" fontId="2"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34" fillId="0" borderId="0" xfId="0" applyFont="1" applyBorder="1" applyAlignment="1">
      <alignment horizontal="center" vertical="center" wrapText="1"/>
    </xf>
    <xf numFmtId="0" fontId="1" fillId="0" borderId="16" xfId="0" applyFont="1" applyFill="1" applyBorder="1" applyAlignment="1">
      <alignment horizontal="left" vertical="center"/>
    </xf>
    <xf numFmtId="165" fontId="0" fillId="0" borderId="1" xfId="0" applyNumberFormat="1" applyFill="1" applyBorder="1" applyAlignment="1">
      <alignment horizontal="center" vertical="center"/>
    </xf>
    <xf numFmtId="1" fontId="0" fillId="0" borderId="54" xfId="0" applyNumberFormat="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2"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5" fillId="0" borderId="0" xfId="0" applyFont="1" applyFill="1" applyBorder="1" applyAlignment="1" applyProtection="1">
      <alignment horizontal="center" vertical="center"/>
    </xf>
    <xf numFmtId="3" fontId="2" fillId="0" borderId="0" xfId="0" applyNumberFormat="1" applyFont="1" applyBorder="1" applyAlignment="1" applyProtection="1">
      <alignment horizontal="center" vertical="center"/>
    </xf>
    <xf numFmtId="3" fontId="54" fillId="0" borderId="0" xfId="0" applyNumberFormat="1" applyFont="1" applyBorder="1" applyAlignment="1" applyProtection="1">
      <alignment horizontal="center" vertical="center"/>
    </xf>
    <xf numFmtId="0" fontId="2" fillId="0" borderId="0" xfId="0" applyFont="1" applyAlignment="1" applyProtection="1">
      <alignment horizontal="left" vertical="center"/>
    </xf>
    <xf numFmtId="0" fontId="2" fillId="0" borderId="0" xfId="0" applyFont="1" applyBorder="1" applyAlignment="1" applyProtection="1">
      <alignment horizontal="left" vertical="center"/>
    </xf>
    <xf numFmtId="0" fontId="1" fillId="0" borderId="45"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1" fillId="2" borderId="39"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xf>
    <xf numFmtId="165" fontId="0" fillId="0" borderId="3" xfId="0" applyNumberFormat="1" applyFill="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3" fillId="0" borderId="0" xfId="0" applyFont="1" applyBorder="1" applyAlignment="1">
      <alignment horizontal="center" vertical="center" wrapText="1"/>
    </xf>
    <xf numFmtId="0" fontId="0" fillId="0" borderId="0" xfId="0" applyAlignment="1">
      <alignment vertical="center"/>
    </xf>
    <xf numFmtId="0" fontId="27" fillId="0" borderId="0" xfId="0" applyFont="1" applyAlignment="1">
      <alignment vertical="center"/>
    </xf>
    <xf numFmtId="0" fontId="0" fillId="0" borderId="0" xfId="0" applyAlignment="1">
      <alignment horizontal="center" vertical="center"/>
    </xf>
    <xf numFmtId="0" fontId="27" fillId="0" borderId="0" xfId="0" applyFont="1" applyBorder="1" applyAlignment="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0" fillId="0" borderId="0" xfId="0" applyBorder="1" applyAlignment="1">
      <alignment horizontal="center" vertical="center" wrapText="1"/>
    </xf>
    <xf numFmtId="0" fontId="27" fillId="0" borderId="0" xfId="0" applyFont="1" applyBorder="1" applyAlignment="1">
      <alignment horizontal="center" vertical="center"/>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18" fillId="0" borderId="0" xfId="0" applyFont="1" applyAlignment="1">
      <alignment horizontal="center" vertical="center" wrapText="1"/>
    </xf>
    <xf numFmtId="0" fontId="18" fillId="0" borderId="1" xfId="0" applyFont="1" applyBorder="1" applyAlignment="1">
      <alignment horizontal="center" vertical="center" wrapText="1"/>
    </xf>
    <xf numFmtId="0" fontId="18" fillId="0" borderId="0" xfId="0" applyFont="1" applyAlignment="1">
      <alignment horizontal="center" vertical="center"/>
    </xf>
    <xf numFmtId="0" fontId="27" fillId="0" borderId="0" xfId="0" applyFont="1" applyAlignment="1">
      <alignment horizontal="center" vertical="center"/>
    </xf>
    <xf numFmtId="0" fontId="27" fillId="0" borderId="13" xfId="0" applyFont="1" applyBorder="1" applyAlignment="1">
      <alignment horizontal="center" vertical="center" wrapText="1"/>
    </xf>
    <xf numFmtId="0" fontId="34" fillId="0" borderId="0" xfId="0" applyFont="1" applyBorder="1" applyAlignment="1">
      <alignment horizontal="center" vertical="center" wrapText="1"/>
    </xf>
    <xf numFmtId="0" fontId="40" fillId="0" borderId="0"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Border="1" applyAlignment="1" applyProtection="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34"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34" fillId="0" borderId="0" xfId="0" applyFont="1" applyBorder="1" applyAlignment="1">
      <alignment horizontal="center" vertical="center" wrapText="1"/>
    </xf>
    <xf numFmtId="0" fontId="3" fillId="0" borderId="0" xfId="0" applyFont="1" applyBorder="1" applyAlignment="1">
      <alignment horizontal="center" vertical="center" wrapText="1"/>
    </xf>
    <xf numFmtId="20"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34"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0" xfId="0" applyFont="1" applyBorder="1" applyAlignment="1">
      <alignment horizontal="center" vertical="center"/>
    </xf>
    <xf numFmtId="0" fontId="34" fillId="0" borderId="0" xfId="0" applyFont="1" applyBorder="1" applyAlignment="1">
      <alignment horizontal="center" vertical="center" wrapText="1"/>
    </xf>
    <xf numFmtId="0" fontId="27" fillId="0" borderId="1" xfId="0" applyFont="1" applyBorder="1" applyAlignment="1">
      <alignment horizontal="center" vertical="center" wrapText="1"/>
    </xf>
    <xf numFmtId="0" fontId="0" fillId="0" borderId="0" xfId="0" applyAlignment="1">
      <alignment horizontal="center" vertical="center" wrapText="1"/>
    </xf>
    <xf numFmtId="0" fontId="32"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7" fillId="0" borderId="13" xfId="0" applyFont="1" applyBorder="1" applyAlignment="1">
      <alignment horizontal="center" vertical="center" wrapText="1"/>
    </xf>
    <xf numFmtId="0" fontId="18" fillId="0" borderId="0" xfId="0" applyFont="1" applyAlignment="1">
      <alignment horizontal="center" vertical="center" wrapText="1"/>
    </xf>
    <xf numFmtId="0" fontId="39" fillId="0" borderId="1" xfId="0" applyFont="1" applyBorder="1" applyAlignment="1">
      <alignment horizontal="center" vertical="center" wrapText="1"/>
    </xf>
    <xf numFmtId="0" fontId="0" fillId="0" borderId="0" xfId="0" applyAlignment="1">
      <alignment vertical="center" wrapText="1"/>
    </xf>
    <xf numFmtId="0" fontId="23" fillId="0" borderId="1" xfId="0" applyFont="1" applyBorder="1" applyAlignment="1">
      <alignment horizontal="center" vertical="center" wrapText="1"/>
    </xf>
    <xf numFmtId="0" fontId="27"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18" fillId="0" borderId="1" xfId="0" applyFont="1" applyBorder="1" applyAlignment="1">
      <alignment horizontal="center" vertical="center" wrapText="1"/>
    </xf>
    <xf numFmtId="0" fontId="34" fillId="0" borderId="0" xfId="0" applyFont="1" applyBorder="1" applyAlignment="1">
      <alignment horizontal="center" vertical="center" wrapText="1"/>
    </xf>
    <xf numFmtId="0" fontId="18" fillId="0" borderId="0" xfId="0" applyFont="1" applyAlignment="1">
      <alignment horizontal="center" vertical="center" wrapText="1"/>
    </xf>
    <xf numFmtId="0" fontId="0" fillId="0" borderId="1" xfId="0" applyBorder="1" applyAlignment="1">
      <alignment vertical="center" wrapText="1"/>
    </xf>
    <xf numFmtId="0" fontId="47" fillId="0" borderId="0" xfId="0" applyFont="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27" fillId="0" borderId="0" xfId="0" applyFont="1" applyBorder="1" applyAlignment="1">
      <alignment horizontal="center" vertical="center" wrapText="1"/>
    </xf>
    <xf numFmtId="0" fontId="0" fillId="0" borderId="0" xfId="0" applyBorder="1" applyAlignment="1" applyProtection="1">
      <alignment horizontal="center" vertical="center" wrapText="1"/>
    </xf>
    <xf numFmtId="0" fontId="34" fillId="0" borderId="0" xfId="0" applyFont="1" applyBorder="1" applyAlignment="1">
      <alignment horizontal="center" vertical="center" wrapText="1"/>
    </xf>
    <xf numFmtId="0" fontId="18" fillId="0" borderId="0" xfId="0" applyFont="1" applyAlignment="1">
      <alignment horizontal="center" vertical="center" wrapText="1"/>
    </xf>
    <xf numFmtId="1" fontId="0" fillId="0" borderId="0" xfId="0" applyNumberFormat="1" applyFill="1" applyBorder="1" applyAlignment="1">
      <alignment horizontal="center" vertical="center"/>
    </xf>
    <xf numFmtId="0" fontId="27" fillId="0" borderId="0"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0" fillId="0" borderId="0" xfId="0" applyBorder="1" applyAlignment="1" applyProtection="1">
      <alignment horizontal="center" vertical="center"/>
    </xf>
    <xf numFmtId="0" fontId="18" fillId="0" borderId="1" xfId="0" applyFont="1" applyBorder="1" applyAlignment="1">
      <alignment horizontal="center" vertical="center" wrapText="1"/>
    </xf>
    <xf numFmtId="1" fontId="18" fillId="0" borderId="1" xfId="0" applyNumberFormat="1" applyFont="1" applyFill="1" applyBorder="1" applyAlignment="1">
      <alignment horizontal="center" vertical="center"/>
    </xf>
    <xf numFmtId="1" fontId="18" fillId="0" borderId="1" xfId="0" applyNumberFormat="1" applyFont="1" applyBorder="1" applyAlignment="1">
      <alignment horizontal="center" vertical="center"/>
    </xf>
    <xf numFmtId="0" fontId="18" fillId="0" borderId="0" xfId="0" applyFont="1" applyAlignment="1">
      <alignment horizontal="center" vertical="center" wrapText="1"/>
    </xf>
    <xf numFmtId="167" fontId="0" fillId="0" borderId="0" xfId="0" applyNumberFormat="1" applyBorder="1" applyAlignment="1">
      <alignment horizontal="center" vertical="center"/>
    </xf>
    <xf numFmtId="167" fontId="1" fillId="0" borderId="63" xfId="0" applyNumberFormat="1" applyFont="1" applyFill="1" applyBorder="1" applyAlignment="1">
      <alignment horizontal="center" vertical="center"/>
    </xf>
    <xf numFmtId="167" fontId="1" fillId="0" borderId="55" xfId="0" applyNumberFormat="1" applyFont="1" applyFill="1" applyBorder="1" applyAlignment="1">
      <alignment horizontal="center" vertical="center"/>
    </xf>
    <xf numFmtId="167" fontId="1" fillId="0" borderId="0" xfId="0" applyNumberFormat="1" applyFont="1" applyFill="1" applyBorder="1" applyAlignment="1">
      <alignment horizontal="center" vertical="center"/>
    </xf>
    <xf numFmtId="0" fontId="13" fillId="0" borderId="0" xfId="0" applyFont="1" applyBorder="1" applyAlignment="1" applyProtection="1">
      <alignment horizontal="center" vertical="center" wrapText="1"/>
    </xf>
    <xf numFmtId="0" fontId="26" fillId="0" borderId="1" xfId="0" applyFont="1" applyBorder="1" applyAlignment="1">
      <alignment horizontal="center" vertical="center" wrapText="1"/>
    </xf>
    <xf numFmtId="1" fontId="0" fillId="0" borderId="1" xfId="0" applyNumberFormat="1" applyBorder="1" applyAlignment="1">
      <alignment horizontal="center" vertical="center"/>
    </xf>
    <xf numFmtId="0" fontId="39" fillId="0" borderId="0" xfId="0" applyFont="1" applyBorder="1" applyAlignment="1">
      <alignment horizontal="center" vertical="center"/>
    </xf>
    <xf numFmtId="0" fontId="5" fillId="0" borderId="0" xfId="0" applyFont="1" applyBorder="1" applyAlignment="1">
      <alignment horizontal="center" vertical="center" wrapText="1"/>
    </xf>
    <xf numFmtId="1" fontId="32" fillId="0" borderId="1" xfId="0" applyNumberFormat="1" applyFont="1" applyBorder="1" applyAlignment="1">
      <alignment horizontal="center" vertical="center"/>
    </xf>
    <xf numFmtId="1" fontId="11" fillId="0" borderId="25" xfId="0" applyNumberFormat="1" applyFont="1" applyBorder="1" applyAlignment="1">
      <alignment horizontal="center" vertical="center"/>
    </xf>
    <xf numFmtId="1" fontId="36" fillId="0" borderId="1" xfId="0" applyNumberFormat="1" applyFont="1" applyBorder="1" applyAlignment="1">
      <alignment horizontal="center" vertical="center"/>
    </xf>
    <xf numFmtId="0" fontId="103" fillId="0" borderId="1" xfId="0" applyFont="1" applyBorder="1" applyAlignment="1">
      <alignment horizontal="center" vertical="center" wrapText="1"/>
    </xf>
    <xf numFmtId="0" fontId="102" fillId="0" borderId="1" xfId="0" applyFont="1" applyBorder="1" applyAlignment="1">
      <alignment horizontal="center" vertical="center" wrapText="1"/>
    </xf>
    <xf numFmtId="3" fontId="2" fillId="0" borderId="0" xfId="0" applyNumberFormat="1" applyFont="1" applyBorder="1" applyAlignment="1">
      <alignment horizontal="left" vertical="center"/>
    </xf>
    <xf numFmtId="0" fontId="0" fillId="0" borderId="0" xfId="0" applyFont="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18" fillId="0" borderId="20" xfId="0" applyFont="1" applyFill="1" applyBorder="1" applyAlignment="1">
      <alignment horizontal="center" vertical="center" wrapText="1"/>
    </xf>
    <xf numFmtId="0" fontId="27" fillId="0" borderId="0" xfId="0" applyFont="1" applyBorder="1" applyAlignment="1">
      <alignment horizontal="center" vertical="center"/>
    </xf>
    <xf numFmtId="1" fontId="102" fillId="0" borderId="1" xfId="0" applyNumberFormat="1" applyFont="1" applyBorder="1" applyAlignment="1">
      <alignment horizontal="center" vertical="center"/>
    </xf>
    <xf numFmtId="1" fontId="32" fillId="0" borderId="1" xfId="0" applyNumberFormat="1" applyFont="1" applyFill="1" applyBorder="1" applyAlignment="1">
      <alignment horizontal="center" vertical="center"/>
    </xf>
    <xf numFmtId="165" fontId="27" fillId="0" borderId="0" xfId="0" applyNumberFormat="1" applyFont="1" applyFill="1" applyBorder="1" applyAlignment="1">
      <alignment horizontal="center" vertical="center"/>
    </xf>
    <xf numFmtId="165" fontId="18" fillId="0" borderId="0" xfId="0" applyNumberFormat="1" applyFont="1" applyFill="1" applyBorder="1" applyAlignment="1">
      <alignment horizontal="center" vertical="center"/>
    </xf>
    <xf numFmtId="165" fontId="18" fillId="0" borderId="12" xfId="0" applyNumberFormat="1" applyFont="1" applyFill="1" applyBorder="1" applyAlignment="1">
      <alignment horizontal="center" vertical="center"/>
    </xf>
    <xf numFmtId="165" fontId="18" fillId="0" borderId="3" xfId="0" applyNumberFormat="1" applyFont="1" applyFill="1" applyBorder="1" applyAlignment="1">
      <alignment horizontal="center" vertical="center"/>
    </xf>
    <xf numFmtId="0" fontId="32" fillId="0" borderId="1" xfId="0" applyFont="1" applyBorder="1" applyAlignment="1">
      <alignment horizontal="center" vertical="center"/>
    </xf>
    <xf numFmtId="1" fontId="32" fillId="0" borderId="1" xfId="0" applyNumberFormat="1" applyFont="1" applyBorder="1" applyAlignment="1" applyProtection="1">
      <alignment horizontal="center" vertical="center"/>
    </xf>
    <xf numFmtId="1" fontId="102" fillId="0" borderId="1" xfId="0" applyNumberFormat="1" applyFont="1" applyBorder="1" applyAlignment="1" applyProtection="1">
      <alignment horizontal="center" vertical="center"/>
    </xf>
    <xf numFmtId="0" fontId="0" fillId="0" borderId="0" xfId="0" applyAlignment="1">
      <alignment horizontal="left" vertical="center" wrapText="1"/>
    </xf>
    <xf numFmtId="0" fontId="0" fillId="0" borderId="0" xfId="0" applyBorder="1" applyAlignment="1">
      <alignment horizontal="center" vertical="center" wrapText="1"/>
    </xf>
    <xf numFmtId="0" fontId="26" fillId="0" borderId="0" xfId="0" applyFont="1" applyBorder="1" applyAlignment="1">
      <alignment horizontal="center" vertical="center" wrapText="1"/>
    </xf>
    <xf numFmtId="0" fontId="26" fillId="0" borderId="0" xfId="0" applyFont="1" applyAlignment="1">
      <alignment horizontal="center" vertical="center" wrapText="1"/>
    </xf>
    <xf numFmtId="0" fontId="27" fillId="0" borderId="0" xfId="0" applyFont="1" applyBorder="1" applyAlignment="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18" fillId="0" borderId="0" xfId="0" applyFont="1" applyFill="1" applyBorder="1" applyAlignment="1">
      <alignment horizontal="center" vertical="center" wrapText="1"/>
    </xf>
    <xf numFmtId="0" fontId="11" fillId="0" borderId="1" xfId="0" applyFont="1" applyBorder="1" applyAlignment="1">
      <alignment horizontal="center" vertical="center" wrapText="1"/>
    </xf>
    <xf numFmtId="0" fontId="27" fillId="0" borderId="0" xfId="0" applyFont="1" applyBorder="1" applyAlignment="1">
      <alignment horizontal="center" vertical="center"/>
    </xf>
    <xf numFmtId="0" fontId="0" fillId="0" borderId="0" xfId="0" applyAlignment="1">
      <alignment vertical="center" wrapText="1"/>
    </xf>
    <xf numFmtId="0" fontId="0" fillId="0" borderId="0" xfId="0" applyBorder="1" applyAlignment="1">
      <alignment horizontal="left"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39" fillId="0" borderId="0" xfId="0" applyFont="1" applyBorder="1" applyAlignment="1">
      <alignment horizontal="center" vertical="center" wrapText="1"/>
    </xf>
    <xf numFmtId="0" fontId="0" fillId="0" borderId="23" xfId="0" applyBorder="1" applyAlignment="1">
      <alignment horizontal="center" vertical="center"/>
    </xf>
    <xf numFmtId="0" fontId="1" fillId="0" borderId="19" xfId="0" applyFont="1" applyBorder="1" applyAlignment="1">
      <alignment horizontal="center" vertical="center"/>
    </xf>
    <xf numFmtId="0" fontId="0" fillId="0" borderId="20" xfId="0" applyBorder="1" applyAlignment="1">
      <alignment vertical="center"/>
    </xf>
    <xf numFmtId="0" fontId="1" fillId="0" borderId="20" xfId="0" applyFont="1" applyBorder="1" applyAlignment="1" applyProtection="1">
      <alignment horizontal="center" vertical="center"/>
    </xf>
    <xf numFmtId="0" fontId="27" fillId="0" borderId="20" xfId="0" applyFont="1" applyBorder="1" applyAlignment="1">
      <alignment horizontal="center" vertical="center"/>
    </xf>
    <xf numFmtId="0" fontId="27" fillId="0" borderId="46" xfId="0" applyFont="1" applyBorder="1" applyAlignment="1">
      <alignment horizontal="center" vertical="center"/>
    </xf>
    <xf numFmtId="0" fontId="18" fillId="0" borderId="0" xfId="0" applyFont="1" applyBorder="1" applyAlignment="1">
      <alignment horizontal="center" vertical="center" wrapText="1"/>
    </xf>
    <xf numFmtId="0" fontId="27" fillId="0" borderId="1" xfId="0" applyFont="1" applyBorder="1" applyAlignment="1">
      <alignment horizontal="center" vertical="center" wrapText="1"/>
    </xf>
    <xf numFmtId="0" fontId="0" fillId="0" borderId="0" xfId="0" applyAlignment="1">
      <alignment horizontal="center" vertical="center" wrapText="1"/>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3" fillId="0" borderId="0" xfId="0" applyFont="1" applyAlignment="1">
      <alignment horizontal="center"/>
    </xf>
    <xf numFmtId="0" fontId="0" fillId="0" borderId="1" xfId="0" applyFont="1" applyBorder="1"/>
    <xf numFmtId="0" fontId="27" fillId="0" borderId="0" xfId="0" applyFont="1" applyBorder="1" applyAlignment="1">
      <alignment vertical="center" wrapText="1"/>
    </xf>
    <xf numFmtId="0" fontId="18" fillId="0" borderId="0" xfId="0" applyFont="1" applyBorder="1" applyAlignment="1">
      <alignment vertical="center" wrapText="1"/>
    </xf>
    <xf numFmtId="0" fontId="1" fillId="10" borderId="1" xfId="0" applyFont="1" applyFill="1" applyBorder="1" applyAlignment="1">
      <alignment horizontal="center" vertical="center"/>
    </xf>
    <xf numFmtId="0" fontId="91" fillId="10" borderId="1" xfId="0" applyFont="1" applyFill="1" applyBorder="1" applyAlignment="1">
      <alignment horizontal="center" vertical="center" wrapText="1"/>
    </xf>
    <xf numFmtId="0" fontId="32" fillId="0" borderId="0" xfId="0" applyFont="1" applyBorder="1" applyAlignment="1">
      <alignment horizontal="right" vertical="center"/>
    </xf>
    <xf numFmtId="0" fontId="32" fillId="0" borderId="0" xfId="0" applyFont="1" applyAlignment="1">
      <alignment horizontal="center" vertical="center" wrapText="1"/>
    </xf>
    <xf numFmtId="0" fontId="21" fillId="0" borderId="0" xfId="0" applyFont="1" applyBorder="1" applyAlignment="1">
      <alignment horizontal="center" vertical="center" wrapText="1"/>
    </xf>
    <xf numFmtId="167" fontId="18" fillId="0" borderId="0" xfId="0" applyNumberFormat="1" applyFont="1" applyBorder="1" applyAlignment="1">
      <alignment horizontal="center" vertical="center"/>
    </xf>
    <xf numFmtId="9" fontId="8" fillId="0" borderId="0" xfId="4" applyFont="1" applyBorder="1" applyAlignment="1">
      <alignment horizontal="center" vertical="center"/>
    </xf>
    <xf numFmtId="0" fontId="5" fillId="2" borderId="74" xfId="0" applyFont="1" applyFill="1" applyBorder="1" applyAlignment="1" applyProtection="1">
      <alignment horizontal="center" vertical="center" wrapText="1"/>
      <protection locked="0"/>
    </xf>
    <xf numFmtId="167" fontId="18" fillId="0" borderId="51" xfId="0" applyNumberFormat="1" applyFont="1" applyFill="1" applyBorder="1" applyAlignment="1">
      <alignment horizontal="center" vertical="center"/>
    </xf>
    <xf numFmtId="0" fontId="1" fillId="0" borderId="27" xfId="0" applyFont="1" applyBorder="1" applyAlignment="1">
      <alignment vertical="center"/>
    </xf>
    <xf numFmtId="9" fontId="8" fillId="0" borderId="22" xfId="4" applyFont="1" applyBorder="1" applyAlignment="1">
      <alignment horizontal="center" vertical="center" wrapText="1"/>
    </xf>
    <xf numFmtId="9" fontId="8" fillId="0" borderId="23" xfId="4" applyFont="1" applyBorder="1" applyAlignment="1">
      <alignment horizontal="center" vertical="center"/>
    </xf>
    <xf numFmtId="0" fontId="1" fillId="0" borderId="23" xfId="0" applyFont="1" applyBorder="1" applyAlignment="1">
      <alignment horizontal="left" vertical="center" wrapText="1"/>
    </xf>
    <xf numFmtId="0" fontId="0" fillId="0" borderId="23" xfId="0" applyBorder="1" applyAlignment="1">
      <alignment vertical="center" wrapText="1"/>
    </xf>
    <xf numFmtId="1" fontId="1" fillId="0" borderId="24" xfId="0" applyNumberFormat="1" applyFont="1" applyFill="1" applyBorder="1" applyAlignment="1">
      <alignment horizontal="right" vertical="center"/>
    </xf>
    <xf numFmtId="0" fontId="1" fillId="0" borderId="27" xfId="0" applyFont="1" applyFill="1" applyBorder="1" applyAlignment="1">
      <alignment vertical="center"/>
    </xf>
    <xf numFmtId="0" fontId="1" fillId="0" borderId="27" xfId="0" applyFont="1" applyFill="1" applyBorder="1" applyAlignment="1">
      <alignment horizontal="left" vertical="center"/>
    </xf>
    <xf numFmtId="0" fontId="0" fillId="0" borderId="22" xfId="0" applyBorder="1" applyAlignment="1">
      <alignment horizontal="center" vertical="center"/>
    </xf>
    <xf numFmtId="0" fontId="1" fillId="0" borderId="23" xfId="0" applyFont="1" applyFill="1" applyBorder="1" applyAlignment="1">
      <alignment horizontal="center" vertical="center"/>
    </xf>
    <xf numFmtId="0" fontId="18" fillId="0" borderId="0" xfId="0" applyFont="1" applyBorder="1" applyAlignment="1">
      <alignment horizontal="center" vertical="center" wrapText="1"/>
    </xf>
    <xf numFmtId="0" fontId="18" fillId="0" borderId="1" xfId="0" applyFont="1" applyBorder="1" applyAlignment="1">
      <alignment horizontal="center" vertical="center" wrapText="1"/>
    </xf>
    <xf numFmtId="165" fontId="1" fillId="0" borderId="0" xfId="0" applyNumberFormat="1" applyFont="1" applyBorder="1" applyAlignment="1">
      <alignment horizontal="center" vertical="center"/>
    </xf>
    <xf numFmtId="3" fontId="18" fillId="0" borderId="0" xfId="0" applyNumberFormat="1" applyFont="1" applyFill="1" applyBorder="1" applyAlignment="1">
      <alignment horizontal="center" vertical="center"/>
    </xf>
    <xf numFmtId="3" fontId="41" fillId="0" borderId="0" xfId="0" applyNumberFormat="1" applyFont="1" applyFill="1" applyBorder="1" applyAlignment="1">
      <alignment horizontal="center" vertical="center"/>
    </xf>
    <xf numFmtId="0" fontId="27" fillId="0" borderId="0" xfId="0" applyFont="1" applyFill="1" applyBorder="1" applyAlignment="1">
      <alignment horizontal="center"/>
    </xf>
    <xf numFmtId="2" fontId="27" fillId="0" borderId="0" xfId="0" applyNumberFormat="1" applyFont="1" applyFill="1" applyBorder="1" applyAlignment="1">
      <alignment horizontal="center"/>
    </xf>
    <xf numFmtId="3"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top"/>
    </xf>
    <xf numFmtId="0" fontId="89" fillId="0" borderId="0" xfId="0" applyFont="1" applyFill="1" applyBorder="1" applyAlignment="1">
      <alignment horizontal="center"/>
    </xf>
    <xf numFmtId="1" fontId="18" fillId="0" borderId="0" xfId="0" applyNumberFormat="1" applyFont="1" applyFill="1" applyBorder="1" applyAlignment="1">
      <alignment horizontal="center" vertical="center"/>
    </xf>
    <xf numFmtId="3" fontId="107" fillId="0" borderId="0" xfId="0" applyNumberFormat="1" applyFont="1" applyFill="1" applyBorder="1" applyAlignment="1">
      <alignment horizontal="center" vertical="center"/>
    </xf>
    <xf numFmtId="0" fontId="42" fillId="0" borderId="0" xfId="0" applyFont="1" applyFill="1" applyBorder="1" applyAlignment="1">
      <alignment horizontal="center"/>
    </xf>
    <xf numFmtId="0" fontId="18" fillId="0" borderId="0" xfId="0" applyFont="1" applyFill="1" applyBorder="1" applyAlignment="1">
      <alignment horizontal="center"/>
    </xf>
    <xf numFmtId="0" fontId="107" fillId="0" borderId="0" xfId="0" applyFont="1" applyFill="1" applyBorder="1" applyAlignment="1">
      <alignment horizontal="center"/>
    </xf>
    <xf numFmtId="165" fontId="18" fillId="0" borderId="0" xfId="0" applyNumberFormat="1" applyFont="1" applyFill="1" applyBorder="1" applyAlignment="1">
      <alignment horizontal="center"/>
    </xf>
    <xf numFmtId="165" fontId="107" fillId="0" borderId="0" xfId="0" applyNumberFormat="1" applyFont="1" applyFill="1" applyBorder="1" applyAlignment="1">
      <alignment horizontal="center"/>
    </xf>
    <xf numFmtId="1" fontId="27" fillId="0" borderId="0" xfId="0" applyNumberFormat="1" applyFont="1" applyFill="1" applyBorder="1" applyAlignment="1">
      <alignment horizontal="center"/>
    </xf>
    <xf numFmtId="0" fontId="32" fillId="0" borderId="0" xfId="0" applyFont="1" applyFill="1" applyBorder="1" applyAlignment="1">
      <alignment horizontal="center"/>
    </xf>
    <xf numFmtId="0" fontId="34" fillId="0" borderId="0" xfId="0" applyFont="1" applyFill="1" applyBorder="1" applyAlignment="1">
      <alignment horizontal="center"/>
    </xf>
    <xf numFmtId="0" fontId="34" fillId="0" borderId="0" xfId="0" applyFont="1" applyFill="1" applyBorder="1" applyAlignment="1">
      <alignment horizontal="center" wrapText="1"/>
    </xf>
    <xf numFmtId="0" fontId="34" fillId="0" borderId="0" xfId="0" applyFont="1" applyFill="1" applyBorder="1" applyAlignment="1">
      <alignment horizontal="center" wrapText="1"/>
    </xf>
    <xf numFmtId="0" fontId="32" fillId="0" borderId="0" xfId="0" applyFont="1" applyFill="1" applyBorder="1" applyAlignment="1">
      <alignment horizontal="center" vertical="center" wrapText="1"/>
    </xf>
    <xf numFmtId="170" fontId="34" fillId="0" borderId="0" xfId="1" applyNumberFormat="1" applyFont="1" applyFill="1" applyBorder="1" applyAlignment="1">
      <alignment horizontal="center" vertical="center"/>
    </xf>
    <xf numFmtId="1" fontId="34" fillId="0" borderId="0" xfId="0" applyNumberFormat="1" applyFont="1" applyFill="1" applyBorder="1" applyAlignment="1">
      <alignment horizontal="center"/>
    </xf>
    <xf numFmtId="3" fontId="34"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pplyAlignment="1">
      <alignment horizontal="center"/>
    </xf>
    <xf numFmtId="3" fontId="36" fillId="0" borderId="0"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xf>
    <xf numFmtId="0" fontId="39" fillId="0" borderId="0" xfId="0" applyFont="1" applyFill="1" applyBorder="1" applyAlignment="1">
      <alignment horizontal="center"/>
    </xf>
    <xf numFmtId="0" fontId="18" fillId="0" borderId="47" xfId="0" applyFont="1" applyBorder="1" applyAlignment="1">
      <alignment horizontal="center" vertical="center" wrapText="1"/>
    </xf>
    <xf numFmtId="1" fontId="18" fillId="0" borderId="34" xfId="0" applyNumberFormat="1" applyFont="1" applyFill="1" applyBorder="1" applyAlignment="1">
      <alignment horizontal="center" vertical="center"/>
    </xf>
    <xf numFmtId="3" fontId="18" fillId="0" borderId="49" xfId="0" applyNumberFormat="1" applyFont="1" applyFill="1" applyBorder="1" applyAlignment="1">
      <alignment horizontal="center" vertical="center" wrapText="1"/>
    </xf>
    <xf numFmtId="3" fontId="32" fillId="0" borderId="62" xfId="0" applyNumberFormat="1" applyFont="1" applyFill="1" applyBorder="1" applyAlignment="1">
      <alignment horizontal="center" vertical="center"/>
    </xf>
    <xf numFmtId="3" fontId="11" fillId="0" borderId="62" xfId="0" applyNumberFormat="1" applyFont="1" applyFill="1" applyBorder="1" applyAlignment="1">
      <alignment horizontal="center" vertical="center"/>
    </xf>
    <xf numFmtId="0" fontId="27" fillId="0" borderId="0" xfId="0" applyFont="1" applyAlignment="1">
      <alignment vertical="center"/>
    </xf>
    <xf numFmtId="0" fontId="21" fillId="0" borderId="0" xfId="0" applyFont="1" applyAlignment="1">
      <alignment horizontal="left" vertical="center"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27" fillId="0" borderId="0" xfId="0" applyFont="1" applyBorder="1" applyAlignment="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0" xfId="0" applyFont="1" applyBorder="1" applyAlignment="1">
      <alignment horizontal="center" vertical="center" wrapText="1"/>
    </xf>
    <xf numFmtId="0" fontId="27" fillId="0" borderId="0" xfId="0" applyFont="1" applyAlignment="1">
      <alignment horizontal="center" vertical="center" wrapText="1"/>
    </xf>
    <xf numFmtId="0" fontId="0" fillId="0" borderId="16" xfId="0" applyBorder="1" applyAlignment="1">
      <alignment horizontal="center" vertical="center"/>
    </xf>
    <xf numFmtId="0" fontId="0" fillId="0" borderId="20" xfId="0"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pplyProtection="1">
      <alignment horizontal="center" vertical="center"/>
    </xf>
    <xf numFmtId="0" fontId="0" fillId="0" borderId="18" xfId="0" applyBorder="1" applyAlignment="1">
      <alignment horizontal="center" vertical="center"/>
    </xf>
    <xf numFmtId="0" fontId="0" fillId="0" borderId="28" xfId="0" applyBorder="1" applyAlignment="1">
      <alignment horizontal="center" vertical="center"/>
    </xf>
    <xf numFmtId="0" fontId="27" fillId="0" borderId="0" xfId="0" applyFont="1" applyBorder="1" applyAlignment="1">
      <alignment horizontal="center" vertical="center"/>
    </xf>
    <xf numFmtId="0" fontId="18" fillId="0" borderId="49"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18" fillId="0" borderId="1" xfId="0" applyFont="1" applyBorder="1" applyAlignment="1">
      <alignment horizontal="center" vertical="center" wrapText="1"/>
    </xf>
    <xf numFmtId="0" fontId="40" fillId="0" borderId="0" xfId="0" applyFont="1" applyBorder="1" applyAlignment="1">
      <alignment horizontal="center" vertical="center" wrapText="1"/>
    </xf>
    <xf numFmtId="0" fontId="2" fillId="0" borderId="0" xfId="0" applyFont="1" applyBorder="1" applyAlignment="1">
      <alignment horizontal="center" vertical="center" wrapText="1"/>
    </xf>
    <xf numFmtId="1" fontId="18" fillId="0" borderId="1" xfId="0" applyNumberFormat="1" applyFont="1" applyFill="1" applyBorder="1" applyAlignment="1">
      <alignment horizontal="center" vertical="center"/>
    </xf>
    <xf numFmtId="0" fontId="0" fillId="0" borderId="0" xfId="0" applyAlignment="1">
      <alignment horizontal="right" vertical="center"/>
    </xf>
    <xf numFmtId="0" fontId="0" fillId="0" borderId="23" xfId="0" applyBorder="1" applyAlignment="1">
      <alignment horizontal="center" vertical="center"/>
    </xf>
    <xf numFmtId="1" fontId="18" fillId="0" borderId="25" xfId="0" applyNumberFormat="1" applyFont="1" applyBorder="1" applyAlignment="1">
      <alignment horizontal="center" vertical="center"/>
    </xf>
    <xf numFmtId="1" fontId="18" fillId="0" borderId="1" xfId="0" applyNumberFormat="1" applyFont="1" applyBorder="1" applyAlignment="1">
      <alignment horizontal="center" vertical="center"/>
    </xf>
    <xf numFmtId="0" fontId="26" fillId="0" borderId="0" xfId="0" applyFont="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13" fillId="0" borderId="1" xfId="0" applyFont="1" applyFill="1" applyBorder="1" applyAlignment="1">
      <alignment horizontal="center" vertical="center" wrapText="1"/>
    </xf>
    <xf numFmtId="1" fontId="27" fillId="0" borderId="1" xfId="0" applyNumberFormat="1" applyFont="1" applyBorder="1" applyAlignment="1">
      <alignment horizontal="center" vertical="center"/>
    </xf>
    <xf numFmtId="1" fontId="27" fillId="0" borderId="1" xfId="0" applyNumberFormat="1" applyFont="1" applyFill="1" applyBorder="1" applyAlignment="1">
      <alignment horizontal="center" vertical="center"/>
    </xf>
    <xf numFmtId="3" fontId="111" fillId="0" borderId="21" xfId="0" applyNumberFormat="1" applyFont="1" applyFill="1" applyBorder="1" applyAlignment="1">
      <alignment horizontal="center" vertical="center" wrapText="1"/>
    </xf>
    <xf numFmtId="3" fontId="111" fillId="0" borderId="0"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0" fontId="27" fillId="0" borderId="16" xfId="0" applyFont="1" applyFill="1" applyBorder="1" applyAlignment="1">
      <alignment horizontal="center"/>
    </xf>
    <xf numFmtId="0" fontId="40" fillId="0" borderId="0" xfId="0" applyFont="1" applyFill="1" applyBorder="1" applyAlignment="1">
      <alignment horizontal="center" vertical="center"/>
    </xf>
    <xf numFmtId="0" fontId="18" fillId="0" borderId="0" xfId="0" applyFont="1" applyBorder="1" applyAlignment="1">
      <alignment horizontal="center" vertical="center" wrapText="1"/>
    </xf>
    <xf numFmtId="0" fontId="27" fillId="0" borderId="0" xfId="0" applyFont="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18" fillId="0" borderId="0" xfId="0" applyFont="1" applyAlignment="1">
      <alignment horizontal="center" vertical="center" wrapText="1"/>
    </xf>
    <xf numFmtId="0" fontId="27" fillId="0" borderId="0" xfId="0" applyFont="1" applyFill="1" applyAlignment="1">
      <alignment horizontal="left" vertical="center" wrapText="1"/>
    </xf>
    <xf numFmtId="0" fontId="41" fillId="0" borderId="1" xfId="0" applyFont="1" applyBorder="1" applyAlignment="1">
      <alignment horizontal="center" vertical="center" wrapText="1"/>
    </xf>
    <xf numFmtId="0" fontId="27" fillId="0" borderId="1" xfId="0" applyFont="1" applyBorder="1" applyAlignment="1">
      <alignment horizontal="center" vertical="center"/>
    </xf>
    <xf numFmtId="0" fontId="18" fillId="0" borderId="1" xfId="0" applyFont="1" applyBorder="1" applyAlignment="1">
      <alignment horizontal="center" vertical="center" wrapText="1"/>
    </xf>
    <xf numFmtId="0" fontId="0" fillId="0" borderId="0" xfId="0" applyAlignment="1">
      <alignment horizontal="center" vertical="center" wrapText="1"/>
    </xf>
    <xf numFmtId="0" fontId="40" fillId="0" borderId="0" xfId="0" applyFont="1" applyBorder="1" applyAlignment="1">
      <alignment horizontal="center" vertical="center" wrapText="1"/>
    </xf>
    <xf numFmtId="0" fontId="40" fillId="0" borderId="0" xfId="0" applyFont="1" applyAlignment="1">
      <alignment horizontal="center" vertical="center" wrapText="1"/>
    </xf>
    <xf numFmtId="0" fontId="82" fillId="0" borderId="0" xfId="0" applyFont="1" applyBorder="1" applyAlignment="1">
      <alignment horizontal="center" vertical="center" wrapText="1"/>
    </xf>
    <xf numFmtId="3" fontId="18" fillId="0" borderId="1" xfId="0" applyNumberFormat="1" applyFont="1" applyBorder="1" applyAlignment="1">
      <alignment horizontal="center" vertical="center" wrapText="1"/>
    </xf>
    <xf numFmtId="0" fontId="18" fillId="3" borderId="1" xfId="0" applyFont="1" applyFill="1" applyBorder="1" applyAlignment="1" applyProtection="1">
      <alignment horizontal="center" vertical="center"/>
      <protection locked="0"/>
    </xf>
    <xf numFmtId="1" fontId="5" fillId="0" borderId="1" xfId="0" applyNumberFormat="1" applyFont="1" applyBorder="1" applyAlignment="1">
      <alignment horizontal="center" vertical="center" wrapText="1"/>
    </xf>
    <xf numFmtId="0" fontId="117" fillId="0" borderId="1" xfId="0" applyFont="1" applyBorder="1" applyAlignment="1">
      <alignment horizontal="center" vertical="center" wrapText="1"/>
    </xf>
    <xf numFmtId="1" fontId="43" fillId="0" borderId="1" xfId="0" applyNumberFormat="1" applyFont="1" applyBorder="1" applyAlignment="1">
      <alignment horizontal="center" vertical="center" wrapText="1"/>
    </xf>
    <xf numFmtId="0" fontId="1" fillId="2" borderId="70" xfId="0" applyFont="1" applyFill="1" applyBorder="1" applyAlignment="1" applyProtection="1">
      <alignment horizontal="center" vertical="center"/>
      <protection locked="0"/>
    </xf>
    <xf numFmtId="0" fontId="18" fillId="0" borderId="0" xfId="0" applyFont="1" applyFill="1" applyBorder="1" applyAlignment="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18" fillId="0" borderId="1" xfId="0" applyFont="1" applyBorder="1" applyAlignment="1">
      <alignment horizontal="center" vertical="center" wrapText="1"/>
    </xf>
    <xf numFmtId="0" fontId="27" fillId="0" borderId="0"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7" fillId="0" borderId="0" xfId="0" applyFont="1" applyAlignment="1">
      <alignment horizontal="center" vertical="center" wrapText="1"/>
    </xf>
    <xf numFmtId="0" fontId="1" fillId="0" borderId="1" xfId="0" applyFont="1" applyBorder="1" applyAlignment="1">
      <alignment horizontal="center" vertical="center" wrapText="1"/>
    </xf>
    <xf numFmtId="0" fontId="0" fillId="0" borderId="0" xfId="0" applyAlignment="1">
      <alignment horizontal="right" vertical="center"/>
    </xf>
    <xf numFmtId="1" fontId="18" fillId="0" borderId="1" xfId="0" applyNumberFormat="1" applyFont="1" applyBorder="1" applyAlignment="1">
      <alignment horizontal="center" vertical="center"/>
    </xf>
    <xf numFmtId="1" fontId="18" fillId="0" borderId="25" xfId="0" applyNumberFormat="1" applyFont="1" applyBorder="1" applyAlignment="1">
      <alignment horizontal="center" vertical="center"/>
    </xf>
    <xf numFmtId="0" fontId="26" fillId="0" borderId="0" xfId="0" applyFont="1" applyAlignment="1">
      <alignment horizontal="center" vertical="center" wrapText="1"/>
    </xf>
    <xf numFmtId="0" fontId="0" fillId="0" borderId="0" xfId="0" applyFill="1" applyAlignment="1">
      <alignment horizontal="left" vertical="center" wrapText="1"/>
    </xf>
    <xf numFmtId="0" fontId="23" fillId="0" borderId="0" xfId="0" applyFont="1" applyAlignment="1">
      <alignment horizontal="left" vertical="center"/>
    </xf>
    <xf numFmtId="0" fontId="0" fillId="0" borderId="0" xfId="0" applyBorder="1" applyAlignment="1" applyProtection="1">
      <alignment horizontal="center" vertical="center"/>
    </xf>
    <xf numFmtId="0" fontId="0" fillId="0" borderId="0" xfId="0" applyAlignment="1" applyProtection="1">
      <alignment horizontal="left" vertical="center" wrapText="1"/>
    </xf>
    <xf numFmtId="169" fontId="27" fillId="3" borderId="1" xfId="0" applyNumberFormat="1" applyFont="1"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27" fillId="0" borderId="1" xfId="0" applyFont="1"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1" fillId="0" borderId="16" xfId="0" applyFont="1" applyFill="1" applyBorder="1" applyAlignment="1" applyProtection="1">
      <alignment horizontal="right" vertical="center"/>
    </xf>
    <xf numFmtId="0" fontId="0" fillId="0" borderId="16" xfId="0" applyBorder="1" applyAlignment="1" applyProtection="1">
      <alignment vertical="center"/>
    </xf>
    <xf numFmtId="3" fontId="1" fillId="0" borderId="16" xfId="0" applyNumberFormat="1" applyFont="1" applyBorder="1" applyAlignment="1" applyProtection="1">
      <alignment horizontal="center" vertical="center"/>
    </xf>
    <xf numFmtId="0" fontId="0" fillId="0" borderId="0" xfId="0" applyBorder="1" applyAlignment="1" applyProtection="1">
      <alignment vertical="center"/>
    </xf>
    <xf numFmtId="0" fontId="1" fillId="0" borderId="0" xfId="0" applyFont="1" applyFill="1" applyBorder="1" applyAlignment="1" applyProtection="1">
      <alignment horizontal="center" vertical="center"/>
    </xf>
    <xf numFmtId="3" fontId="1" fillId="0" borderId="0" xfId="0" applyNumberFormat="1" applyFont="1" applyBorder="1" applyAlignment="1" applyProtection="1">
      <alignment horizontal="center" vertical="center"/>
    </xf>
    <xf numFmtId="0" fontId="1" fillId="0" borderId="19" xfId="0" applyFont="1" applyBorder="1" applyAlignment="1" applyProtection="1">
      <alignment horizontal="center" vertical="center"/>
    </xf>
    <xf numFmtId="0" fontId="0" fillId="0" borderId="20" xfId="0" applyBorder="1" applyAlignment="1" applyProtection="1">
      <alignment vertical="center"/>
    </xf>
    <xf numFmtId="0" fontId="27" fillId="0" borderId="20" xfId="0" applyFont="1" applyBorder="1" applyAlignment="1" applyProtection="1">
      <alignment horizontal="center" vertical="center"/>
    </xf>
    <xf numFmtId="0" fontId="27" fillId="0" borderId="0"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0" fillId="0" borderId="0" xfId="0" applyFill="1" applyBorder="1" applyAlignment="1" applyProtection="1">
      <alignment horizontal="center" vertical="center"/>
    </xf>
    <xf numFmtId="2" fontId="23" fillId="0" borderId="0" xfId="0" applyNumberFormat="1" applyFont="1" applyAlignment="1" applyProtection="1">
      <alignment horizontal="center" vertical="center"/>
    </xf>
    <xf numFmtId="0" fontId="18" fillId="0" borderId="0" xfId="0" applyFont="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23" fillId="0" borderId="0" xfId="0" applyFont="1" applyAlignment="1" applyProtection="1">
      <alignment horizontal="center" vertical="center"/>
    </xf>
    <xf numFmtId="2" fontId="23" fillId="0" borderId="0" xfId="0" applyNumberFormat="1" applyFont="1" applyAlignment="1" applyProtection="1">
      <alignment horizontal="right"/>
    </xf>
    <xf numFmtId="2" fontId="5" fillId="0" borderId="0" xfId="0" applyNumberFormat="1" applyFont="1" applyAlignment="1" applyProtection="1">
      <alignment horizontal="right"/>
    </xf>
    <xf numFmtId="0" fontId="18" fillId="0" borderId="21" xfId="0"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xf>
    <xf numFmtId="3" fontId="18" fillId="0" borderId="0" xfId="0" applyNumberFormat="1"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2" fontId="23" fillId="0" borderId="0" xfId="0" applyNumberFormat="1" applyFont="1" applyAlignment="1" applyProtection="1">
      <alignment horizontal="center"/>
    </xf>
    <xf numFmtId="2" fontId="39" fillId="0" borderId="0" xfId="0" applyNumberFormat="1" applyFont="1" applyAlignment="1" applyProtection="1">
      <alignment horizontal="center" vertical="center"/>
    </xf>
    <xf numFmtId="0" fontId="1" fillId="0" borderId="52" xfId="0" applyFont="1" applyFill="1" applyBorder="1" applyAlignment="1" applyProtection="1">
      <alignment horizontal="center" vertical="center"/>
    </xf>
    <xf numFmtId="1" fontId="0" fillId="0" borderId="54" xfId="0" applyNumberFormat="1" applyFill="1" applyBorder="1" applyAlignment="1" applyProtection="1">
      <alignment horizontal="center" vertical="center"/>
    </xf>
    <xf numFmtId="1" fontId="1" fillId="0" borderId="9" xfId="0" applyNumberFormat="1" applyFont="1" applyFill="1" applyBorder="1" applyAlignment="1" applyProtection="1">
      <alignment horizontal="center" vertical="center"/>
    </xf>
    <xf numFmtId="165" fontId="0" fillId="0" borderId="0" xfId="0" applyNumberFormat="1" applyFill="1" applyBorder="1" applyAlignment="1" applyProtection="1">
      <alignment horizontal="center" vertical="center"/>
    </xf>
    <xf numFmtId="1" fontId="27" fillId="0" borderId="1" xfId="0" applyNumberFormat="1" applyFont="1" applyBorder="1" applyAlignment="1" applyProtection="1">
      <alignment horizontal="center" vertical="center"/>
    </xf>
    <xf numFmtId="1" fontId="18" fillId="0" borderId="1" xfId="0" applyNumberFormat="1" applyFont="1" applyFill="1" applyBorder="1" applyAlignment="1" applyProtection="1">
      <alignment horizontal="center" vertical="center"/>
    </xf>
    <xf numFmtId="1" fontId="27" fillId="0" borderId="1" xfId="0" applyNumberFormat="1" applyFont="1" applyFill="1" applyBorder="1" applyAlignment="1" applyProtection="1">
      <alignment horizontal="center" vertical="center"/>
    </xf>
    <xf numFmtId="1" fontId="32" fillId="0" borderId="1" xfId="0" applyNumberFormat="1" applyFont="1" applyFill="1" applyBorder="1" applyAlignment="1" applyProtection="1">
      <alignment horizontal="center" vertical="center"/>
    </xf>
    <xf numFmtId="165" fontId="27" fillId="0" borderId="0" xfId="0" applyNumberFormat="1" applyFon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0" fontId="23" fillId="0" borderId="0" xfId="0" applyFont="1" applyAlignment="1" applyProtection="1">
      <alignment horizontal="center" vertical="center" wrapText="1"/>
    </xf>
    <xf numFmtId="0" fontId="39" fillId="0" borderId="0" xfId="0" applyFont="1" applyAlignment="1" applyProtection="1">
      <alignment horizontal="center" vertical="center"/>
    </xf>
    <xf numFmtId="0" fontId="1" fillId="0" borderId="39" xfId="0" applyFont="1" applyFill="1" applyBorder="1" applyAlignment="1" applyProtection="1">
      <alignment horizontal="center" vertical="center"/>
    </xf>
    <xf numFmtId="1" fontId="0" fillId="0" borderId="45" xfId="0" applyNumberFormat="1" applyFill="1" applyBorder="1" applyAlignment="1" applyProtection="1">
      <alignment horizontal="center" vertical="center"/>
    </xf>
    <xf numFmtId="2" fontId="23" fillId="0" borderId="0" xfId="0" applyNumberFormat="1" applyFont="1" applyProtection="1"/>
    <xf numFmtId="0" fontId="3" fillId="0" borderId="0" xfId="0" applyFont="1" applyBorder="1" applyAlignment="1" applyProtection="1">
      <alignment vertical="center" wrapText="1"/>
    </xf>
    <xf numFmtId="1" fontId="0" fillId="0" borderId="0" xfId="0" applyNumberFormat="1" applyBorder="1" applyAlignment="1" applyProtection="1">
      <alignment horizontal="center" vertical="center"/>
    </xf>
    <xf numFmtId="0" fontId="1" fillId="0" borderId="49" xfId="0" applyFont="1" applyFill="1" applyBorder="1" applyAlignment="1" applyProtection="1">
      <alignment horizontal="center" vertical="center"/>
    </xf>
    <xf numFmtId="0" fontId="18" fillId="0" borderId="0" xfId="0" applyFont="1" applyAlignment="1" applyProtection="1">
      <alignment horizontal="center" vertical="center"/>
    </xf>
    <xf numFmtId="0" fontId="32" fillId="0" borderId="0" xfId="0" applyFont="1" applyAlignment="1" applyProtection="1">
      <alignment horizontal="center" vertical="center"/>
    </xf>
    <xf numFmtId="3" fontId="18" fillId="0" borderId="0" xfId="0" applyNumberFormat="1" applyFont="1" applyBorder="1" applyAlignment="1" applyProtection="1">
      <alignment horizontal="right" vertical="center"/>
    </xf>
    <xf numFmtId="3" fontId="2" fillId="0" borderId="0" xfId="0" applyNumberFormat="1" applyFont="1" applyBorder="1" applyAlignment="1" applyProtection="1">
      <alignment horizontal="left" vertical="center"/>
    </xf>
    <xf numFmtId="1" fontId="21" fillId="0" borderId="0" xfId="0" applyNumberFormat="1" applyFont="1" applyFill="1" applyBorder="1" applyAlignment="1" applyProtection="1">
      <alignment horizontal="center" vertical="center"/>
    </xf>
    <xf numFmtId="0" fontId="1" fillId="0" borderId="16" xfId="0" applyFont="1" applyFill="1" applyBorder="1" applyAlignment="1" applyProtection="1">
      <alignment horizontal="left" vertical="center"/>
    </xf>
    <xf numFmtId="167" fontId="1" fillId="0" borderId="0" xfId="0" applyNumberFormat="1" applyFont="1" applyFill="1" applyBorder="1" applyAlignment="1" applyProtection="1">
      <alignment horizontal="center" vertical="center"/>
    </xf>
    <xf numFmtId="1" fontId="1" fillId="0" borderId="0" xfId="0" applyNumberFormat="1" applyFont="1" applyBorder="1" applyAlignment="1" applyProtection="1">
      <alignment horizontal="center" vertical="center"/>
    </xf>
    <xf numFmtId="167" fontId="18" fillId="0" borderId="0" xfId="0" applyNumberFormat="1" applyFont="1" applyBorder="1" applyAlignment="1" applyProtection="1">
      <alignment horizontal="center" vertical="center"/>
    </xf>
    <xf numFmtId="3" fontId="0" fillId="0" borderId="0" xfId="0" applyNumberFormat="1" applyAlignment="1" applyProtection="1">
      <alignment horizontal="center" vertical="center"/>
    </xf>
    <xf numFmtId="3" fontId="2" fillId="0" borderId="0" xfId="0" applyNumberFormat="1" applyFont="1" applyBorder="1" applyAlignment="1" applyProtection="1">
      <alignment horizontal="right" vertical="center"/>
    </xf>
    <xf numFmtId="1" fontId="18" fillId="0" borderId="0" xfId="0" applyNumberFormat="1" applyFont="1" applyBorder="1" applyAlignment="1" applyProtection="1">
      <alignment horizontal="center" vertical="center"/>
    </xf>
    <xf numFmtId="2" fontId="21" fillId="0" borderId="0" xfId="0" applyNumberFormat="1" applyFont="1" applyFill="1" applyBorder="1" applyAlignment="1" applyProtection="1">
      <alignment horizontal="center" vertical="center"/>
    </xf>
    <xf numFmtId="0" fontId="0" fillId="0" borderId="0" xfId="0" applyFont="1" applyAlignment="1" applyProtection="1">
      <alignment horizontal="right" vertical="center"/>
    </xf>
    <xf numFmtId="3" fontId="22" fillId="0" borderId="0" xfId="0" applyNumberFormat="1" applyFont="1" applyBorder="1" applyAlignment="1" applyProtection="1">
      <alignment horizontal="center" vertical="center"/>
    </xf>
    <xf numFmtId="0" fontId="0" fillId="0" borderId="0" xfId="0" applyBorder="1" applyAlignment="1" applyProtection="1">
      <alignment horizontal="left" vertical="center" wrapText="1"/>
    </xf>
    <xf numFmtId="0" fontId="18" fillId="0" borderId="0" xfId="0" applyFont="1" applyBorder="1" applyAlignment="1" applyProtection="1">
      <alignment vertical="center"/>
    </xf>
    <xf numFmtId="0" fontId="34" fillId="0" borderId="0" xfId="0" applyFont="1" applyBorder="1" applyAlignment="1" applyProtection="1">
      <alignment horizontal="center" vertical="center"/>
    </xf>
    <xf numFmtId="0" fontId="32" fillId="0" borderId="0" xfId="0" applyFont="1" applyBorder="1" applyAlignment="1" applyProtection="1">
      <alignment horizontal="center" vertical="center" wrapText="1"/>
    </xf>
    <xf numFmtId="0" fontId="27" fillId="0" borderId="0" xfId="0" applyFont="1" applyBorder="1" applyAlignment="1" applyProtection="1">
      <alignment vertical="center"/>
    </xf>
    <xf numFmtId="0" fontId="34" fillId="0" borderId="0" xfId="0" applyFont="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27" fillId="0" borderId="0" xfId="0" applyFont="1" applyBorder="1" applyAlignment="1" applyProtection="1">
      <alignment horizontal="left" vertical="center"/>
    </xf>
    <xf numFmtId="0" fontId="21" fillId="0" borderId="0" xfId="0" applyFont="1" applyBorder="1" applyAlignment="1" applyProtection="1">
      <alignment horizontal="center" vertical="center" wrapText="1"/>
    </xf>
    <xf numFmtId="0" fontId="21" fillId="0" borderId="0" xfId="0" applyFont="1" applyAlignment="1" applyProtection="1">
      <alignment horizontal="center" vertical="center" wrapText="1"/>
    </xf>
    <xf numFmtId="0" fontId="18" fillId="0" borderId="0" xfId="0" applyFont="1" applyBorder="1" applyAlignment="1" applyProtection="1">
      <alignment horizontal="right" vertical="center"/>
    </xf>
    <xf numFmtId="0" fontId="18" fillId="0" borderId="0" xfId="0" applyFont="1" applyBorder="1" applyAlignment="1" applyProtection="1">
      <alignment horizontal="left" vertical="center"/>
    </xf>
    <xf numFmtId="0" fontId="18" fillId="0" borderId="0" xfId="0" applyFont="1" applyAlignment="1" applyProtection="1">
      <alignment horizontal="left" vertical="center"/>
    </xf>
    <xf numFmtId="0" fontId="18" fillId="0" borderId="0" xfId="0" applyFont="1" applyAlignment="1" applyProtection="1">
      <alignment horizontal="center" vertical="center" wrapText="1"/>
    </xf>
    <xf numFmtId="1" fontId="2" fillId="0" borderId="31" xfId="0" applyNumberFormat="1" applyFont="1" applyBorder="1" applyAlignment="1" applyProtection="1">
      <alignment horizontal="center" vertical="center"/>
      <protection locked="0"/>
    </xf>
    <xf numFmtId="0" fontId="11" fillId="3" borderId="64" xfId="0" applyFont="1" applyFill="1" applyBorder="1" applyAlignment="1" applyProtection="1">
      <alignment horizontal="center" vertical="center"/>
      <protection locked="0"/>
    </xf>
    <xf numFmtId="0" fontId="11" fillId="3" borderId="25" xfId="0" applyFont="1" applyFill="1" applyBorder="1" applyAlignment="1" applyProtection="1">
      <alignment horizontal="center" vertical="center"/>
      <protection locked="0"/>
    </xf>
    <xf numFmtId="0" fontId="11" fillId="3" borderId="9" xfId="0" applyFont="1" applyFill="1" applyBorder="1" applyAlignment="1" applyProtection="1">
      <alignment horizontal="center" vertical="center"/>
      <protection locked="0"/>
    </xf>
    <xf numFmtId="0" fontId="0" fillId="0" borderId="0" xfId="0" applyAlignment="1">
      <alignment horizontal="center" vertical="center" wrapText="1"/>
    </xf>
    <xf numFmtId="0" fontId="9" fillId="0" borderId="0" xfId="0" applyFont="1"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wrapText="1"/>
    </xf>
    <xf numFmtId="165" fontId="0" fillId="3" borderId="1" xfId="0" applyNumberFormat="1" applyFill="1" applyBorder="1" applyAlignment="1" applyProtection="1">
      <alignment horizontal="center" vertical="center"/>
      <protection locked="0"/>
    </xf>
    <xf numFmtId="0" fontId="5" fillId="2" borderId="69" xfId="0" applyFont="1" applyFill="1" applyBorder="1" applyAlignment="1" applyProtection="1">
      <alignment horizontal="center" vertical="center" wrapText="1"/>
      <protection locked="0"/>
    </xf>
    <xf numFmtId="0" fontId="1" fillId="0" borderId="5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57" xfId="0" applyFont="1" applyFill="1" applyBorder="1" applyAlignment="1">
      <alignment horizontal="center" vertical="center"/>
    </xf>
    <xf numFmtId="0" fontId="5" fillId="2" borderId="33"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1" fillId="2" borderId="32" xfId="0" applyFont="1" applyFill="1" applyBorder="1" applyAlignment="1" applyProtection="1">
      <alignment horizontal="center" vertical="center" wrapText="1"/>
      <protection locked="0"/>
    </xf>
    <xf numFmtId="0" fontId="1" fillId="0" borderId="29" xfId="0" applyFont="1" applyBorder="1" applyAlignment="1">
      <alignment horizontal="center" vertical="center"/>
    </xf>
    <xf numFmtId="0" fontId="0" fillId="3" borderId="31" xfId="0" applyFill="1" applyBorder="1" applyAlignment="1" applyProtection="1">
      <alignment horizontal="center" vertical="center"/>
      <protection locked="0"/>
    </xf>
    <xf numFmtId="0" fontId="0" fillId="3" borderId="32" xfId="0" applyFill="1" applyBorder="1" applyAlignment="1" applyProtection="1">
      <alignment horizontal="center" vertical="center"/>
      <protection locked="0"/>
    </xf>
    <xf numFmtId="0" fontId="58" fillId="3" borderId="32" xfId="0" applyFont="1" applyFill="1" applyBorder="1" applyAlignment="1" applyProtection="1">
      <alignment horizontal="center" vertical="center"/>
      <protection locked="0"/>
    </xf>
    <xf numFmtId="0" fontId="0" fillId="3" borderId="33" xfId="0" applyFill="1" applyBorder="1" applyAlignment="1" applyProtection="1">
      <alignment horizontal="center" vertical="center"/>
      <protection locked="0"/>
    </xf>
    <xf numFmtId="1" fontId="0" fillId="3" borderId="1" xfId="0" applyNumberFormat="1" applyFill="1" applyBorder="1" applyAlignment="1" applyProtection="1">
      <alignment horizontal="center" vertical="center"/>
      <protection locked="0"/>
    </xf>
    <xf numFmtId="165" fontId="0" fillId="3" borderId="39" xfId="0" applyNumberFormat="1" applyFill="1" applyBorder="1" applyAlignment="1" applyProtection="1">
      <alignment horizontal="center" vertical="center"/>
      <protection locked="0"/>
    </xf>
    <xf numFmtId="165" fontId="0" fillId="3" borderId="49" xfId="0" applyNumberFormat="1" applyFill="1" applyBorder="1" applyAlignment="1" applyProtection="1">
      <alignment horizontal="center" vertical="center"/>
      <protection locked="0"/>
    </xf>
    <xf numFmtId="1" fontId="0" fillId="3" borderId="21" xfId="0" applyNumberFormat="1" applyFill="1" applyBorder="1" applyAlignment="1" applyProtection="1">
      <alignment horizontal="center" vertical="center"/>
      <protection locked="0"/>
    </xf>
    <xf numFmtId="1" fontId="11" fillId="0" borderId="1" xfId="0" applyNumberFormat="1" applyFont="1" applyBorder="1" applyAlignment="1" applyProtection="1">
      <alignment horizontal="center" vertical="center"/>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xf>
    <xf numFmtId="0" fontId="0" fillId="0" borderId="16" xfId="0" applyBorder="1" applyAlignment="1">
      <alignment horizontal="center" vertical="center"/>
    </xf>
    <xf numFmtId="0" fontId="27" fillId="0" borderId="0" xfId="0" applyFont="1" applyBorder="1" applyAlignment="1">
      <alignment horizontal="center" vertical="center"/>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27" fillId="0" borderId="0" xfId="0" applyFont="1" applyBorder="1" applyAlignment="1" applyProtection="1">
      <alignment horizontal="center" vertical="center"/>
    </xf>
    <xf numFmtId="0" fontId="0" fillId="0" borderId="16" xfId="0" applyBorder="1" applyAlignment="1" applyProtection="1">
      <alignment horizontal="center" vertical="center"/>
    </xf>
    <xf numFmtId="0" fontId="40" fillId="0" borderId="0" xfId="0" applyFont="1" applyAlignment="1">
      <alignment horizontal="center" vertical="center" wrapText="1"/>
    </xf>
    <xf numFmtId="1" fontId="18" fillId="0" borderId="1" xfId="0" applyNumberFormat="1" applyFont="1" applyBorder="1" applyAlignment="1">
      <alignment horizontal="center" vertical="center"/>
    </xf>
    <xf numFmtId="0" fontId="26" fillId="0" borderId="0" xfId="0" applyFont="1" applyAlignment="1">
      <alignment horizontal="center" vertical="center" wrapText="1"/>
    </xf>
    <xf numFmtId="0" fontId="18" fillId="0" borderId="0" xfId="0" applyFont="1" applyAlignment="1">
      <alignment horizontal="center" vertical="center" wrapText="1"/>
    </xf>
    <xf numFmtId="3" fontId="11" fillId="0" borderId="65" xfId="0" applyNumberFormat="1" applyFont="1" applyFill="1" applyBorder="1" applyAlignment="1">
      <alignment horizontal="center" vertical="center" wrapText="1"/>
    </xf>
    <xf numFmtId="3" fontId="11" fillId="0" borderId="13" xfId="0" applyNumberFormat="1" applyFont="1" applyFill="1" applyBorder="1" applyAlignment="1">
      <alignment horizontal="center" vertical="center" wrapText="1"/>
    </xf>
    <xf numFmtId="3" fontId="32" fillId="0" borderId="13" xfId="0" applyNumberFormat="1" applyFont="1" applyFill="1" applyBorder="1" applyAlignment="1">
      <alignment horizontal="center" vertical="center" wrapText="1"/>
    </xf>
    <xf numFmtId="3" fontId="111" fillId="0" borderId="75" xfId="0" applyNumberFormat="1" applyFont="1" applyFill="1" applyBorder="1" applyAlignment="1">
      <alignment horizontal="center" vertical="center"/>
    </xf>
    <xf numFmtId="3" fontId="27" fillId="0" borderId="65" xfId="0" applyNumberFormat="1" applyFont="1" applyFill="1" applyBorder="1" applyAlignment="1">
      <alignment horizontal="center" vertical="center" wrapText="1"/>
    </xf>
    <xf numFmtId="3" fontId="27" fillId="0" borderId="8" xfId="0" applyNumberFormat="1" applyFont="1" applyFill="1" applyBorder="1" applyAlignment="1">
      <alignment horizontal="center" vertical="center" wrapText="1"/>
    </xf>
    <xf numFmtId="0" fontId="1" fillId="3" borderId="57" xfId="0" applyFont="1" applyFill="1" applyBorder="1" applyAlignment="1" applyProtection="1">
      <alignment horizontal="center" vertical="center"/>
      <protection locked="0"/>
    </xf>
    <xf numFmtId="0" fontId="0" fillId="0" borderId="49" xfId="0" applyBorder="1" applyAlignment="1">
      <alignment horizontal="center" vertical="center"/>
    </xf>
    <xf numFmtId="1" fontId="1" fillId="0" borderId="60" xfId="0" applyNumberFormat="1" applyFont="1" applyBorder="1" applyAlignment="1">
      <alignment horizontal="center" vertical="center"/>
    </xf>
    <xf numFmtId="0" fontId="3" fillId="2" borderId="49" xfId="0" applyFont="1" applyFill="1" applyBorder="1" applyAlignment="1" applyProtection="1">
      <alignment horizontal="center" vertical="center"/>
      <protection locked="0"/>
    </xf>
    <xf numFmtId="0" fontId="0" fillId="0" borderId="55" xfId="0" applyFont="1" applyFill="1" applyBorder="1" applyAlignment="1">
      <alignment horizontal="center" vertical="center"/>
    </xf>
    <xf numFmtId="0" fontId="3" fillId="2" borderId="57" xfId="0" applyFont="1" applyFill="1" applyBorder="1" applyAlignment="1" applyProtection="1">
      <alignment horizontal="center" vertical="center"/>
      <protection locked="0"/>
    </xf>
    <xf numFmtId="0" fontId="0" fillId="0" borderId="60" xfId="0" applyFont="1" applyFill="1" applyBorder="1" applyAlignment="1">
      <alignment horizontal="center" vertical="center"/>
    </xf>
    <xf numFmtId="1" fontId="2" fillId="0" borderId="33" xfId="0" applyNumberFormat="1" applyFont="1" applyBorder="1" applyAlignment="1">
      <alignment horizontal="center" vertical="center"/>
    </xf>
    <xf numFmtId="3" fontId="1" fillId="0" borderId="35" xfId="0" applyNumberFormat="1" applyFont="1" applyBorder="1" applyAlignment="1">
      <alignment horizontal="center" vertical="center"/>
    </xf>
    <xf numFmtId="1" fontId="0" fillId="0" borderId="49" xfId="0" applyNumberFormat="1" applyBorder="1" applyAlignment="1">
      <alignment horizontal="center" vertical="center"/>
    </xf>
    <xf numFmtId="1" fontId="0" fillId="0" borderId="55" xfId="0" applyNumberFormat="1" applyBorder="1" applyAlignment="1">
      <alignment horizontal="center" vertical="center"/>
    </xf>
    <xf numFmtId="0" fontId="27" fillId="0" borderId="5" xfId="0" applyFont="1" applyBorder="1" applyAlignment="1">
      <alignment horizontal="center" vertical="center" wrapText="1"/>
    </xf>
    <xf numFmtId="0" fontId="56" fillId="0" borderId="5" xfId="0" applyFont="1" applyFill="1" applyBorder="1" applyAlignment="1">
      <alignment horizontal="center" vertical="center" wrapText="1"/>
    </xf>
    <xf numFmtId="0" fontId="18" fillId="0" borderId="5" xfId="0" applyFont="1" applyBorder="1" applyAlignment="1">
      <alignment horizontal="center" vertical="center" wrapText="1"/>
    </xf>
    <xf numFmtId="165" fontId="0" fillId="0" borderId="5" xfId="0" applyNumberFormat="1" applyFill="1" applyBorder="1" applyAlignment="1">
      <alignment horizontal="center" vertical="center"/>
    </xf>
    <xf numFmtId="0" fontId="26" fillId="0" borderId="49" xfId="0" applyFont="1" applyFill="1" applyBorder="1" applyAlignment="1">
      <alignment horizontal="center" vertical="center" wrapText="1"/>
    </xf>
    <xf numFmtId="0" fontId="0" fillId="0" borderId="0" xfId="0" applyAlignment="1" applyProtection="1"/>
    <xf numFmtId="0" fontId="36" fillId="0" borderId="25"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23" fillId="0" borderId="1" xfId="0" applyFont="1" applyBorder="1" applyAlignment="1" applyProtection="1">
      <alignment horizontal="center" vertical="center"/>
    </xf>
    <xf numFmtId="0" fontId="106" fillId="0" borderId="1" xfId="0" applyFont="1" applyBorder="1" applyAlignment="1" applyProtection="1">
      <alignment horizontal="center" vertical="center" wrapText="1"/>
    </xf>
    <xf numFmtId="165" fontId="1" fillId="0" borderId="1" xfId="0" applyNumberFormat="1" applyFont="1" applyBorder="1" applyAlignment="1" applyProtection="1">
      <alignment horizontal="center" vertical="center"/>
    </xf>
    <xf numFmtId="0" fontId="36" fillId="0" borderId="1" xfId="0" applyFont="1" applyBorder="1" applyAlignment="1" applyProtection="1">
      <alignment horizontal="center" vertical="center" wrapText="1"/>
    </xf>
    <xf numFmtId="0" fontId="0" fillId="0" borderId="1" xfId="0" applyFont="1" applyBorder="1" applyAlignment="1" applyProtection="1">
      <alignment horizontal="center" vertical="center"/>
    </xf>
    <xf numFmtId="0" fontId="23" fillId="0" borderId="0" xfId="0" applyFont="1" applyFill="1" applyAlignment="1">
      <alignment vertical="center"/>
    </xf>
    <xf numFmtId="1" fontId="123" fillId="0" borderId="1" xfId="0" applyNumberFormat="1" applyFont="1" applyFill="1" applyBorder="1" applyAlignment="1">
      <alignment horizontal="center" vertical="center"/>
    </xf>
    <xf numFmtId="0" fontId="131" fillId="0" borderId="0" xfId="0" applyFont="1" applyAlignment="1">
      <alignment horizontal="center" vertical="center"/>
    </xf>
    <xf numFmtId="0" fontId="132" fillId="0" borderId="0" xfId="0" applyFont="1" applyAlignment="1">
      <alignment horizontal="center" vertical="center"/>
    </xf>
    <xf numFmtId="0" fontId="0" fillId="0" borderId="0" xfId="0" applyBorder="1" applyAlignment="1" applyProtection="1">
      <alignment horizontal="center" vertical="center"/>
    </xf>
    <xf numFmtId="0" fontId="18" fillId="0" borderId="1"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1" fontId="117" fillId="0" borderId="1" xfId="0" applyNumberFormat="1" applyFont="1" applyBorder="1" applyAlignment="1" applyProtection="1">
      <alignment horizontal="center" vertical="center"/>
    </xf>
    <xf numFmtId="165" fontId="0" fillId="3" borderId="4" xfId="0" applyNumberFormat="1" applyFill="1" applyBorder="1" applyAlignment="1" applyProtection="1">
      <alignment horizontal="center" vertical="center"/>
      <protection locked="0"/>
    </xf>
    <xf numFmtId="165" fontId="0" fillId="3" borderId="57" xfId="0" applyNumberFormat="1" applyFill="1" applyBorder="1" applyAlignment="1" applyProtection="1">
      <alignment horizontal="center" vertical="center"/>
      <protection locked="0"/>
    </xf>
    <xf numFmtId="165" fontId="0" fillId="3" borderId="10" xfId="0" applyNumberFormat="1" applyFill="1" applyBorder="1" applyAlignment="1" applyProtection="1">
      <alignment horizontal="center" vertical="center"/>
      <protection locked="0"/>
    </xf>
    <xf numFmtId="1" fontId="0" fillId="3" borderId="25" xfId="0" applyNumberFormat="1" applyFill="1" applyBorder="1" applyAlignment="1" applyProtection="1">
      <alignment horizontal="center" vertical="center"/>
      <protection locked="0"/>
    </xf>
    <xf numFmtId="165" fontId="0" fillId="3" borderId="25" xfId="0" applyNumberFormat="1" applyFill="1" applyBorder="1" applyAlignment="1" applyProtection="1">
      <alignment horizontal="center" vertical="center"/>
      <protection locked="0"/>
    </xf>
    <xf numFmtId="165" fontId="3" fillId="3" borderId="64" xfId="0" applyNumberFormat="1"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wrapText="1"/>
    </xf>
    <xf numFmtId="0" fontId="71" fillId="0" borderId="0" xfId="0" applyFont="1" applyAlignment="1" applyProtection="1">
      <alignment horizontal="center" vertical="center"/>
    </xf>
    <xf numFmtId="0" fontId="58" fillId="0" borderId="0" xfId="0" applyFont="1" applyAlignment="1" applyProtection="1">
      <alignment horizontal="right"/>
    </xf>
    <xf numFmtId="0" fontId="59" fillId="0" borderId="0" xfId="0" applyFont="1" applyAlignment="1" applyProtection="1">
      <alignment horizontal="right"/>
    </xf>
    <xf numFmtId="0" fontId="1" fillId="0" borderId="0" xfId="0" applyFont="1" applyBorder="1" applyAlignment="1" applyProtection="1">
      <alignment horizontal="center" vertical="center" wrapText="1"/>
    </xf>
    <xf numFmtId="0" fontId="73" fillId="0" borderId="0" xfId="0" applyFont="1" applyAlignment="1" applyProtection="1">
      <alignment horizontal="center" vertical="center"/>
    </xf>
    <xf numFmtId="0" fontId="1" fillId="0" borderId="23" xfId="0" applyFont="1" applyFill="1" applyBorder="1" applyAlignment="1" applyProtection="1">
      <alignment horizontal="center" vertical="center" wrapText="1"/>
    </xf>
    <xf numFmtId="0" fontId="0" fillId="0" borderId="61" xfId="0" applyBorder="1" applyAlignment="1" applyProtection="1">
      <alignment horizontal="center" vertical="center" wrapText="1"/>
    </xf>
    <xf numFmtId="0" fontId="0" fillId="0" borderId="62" xfId="0" applyBorder="1" applyAlignment="1" applyProtection="1">
      <alignment horizontal="center" vertical="center" wrapText="1"/>
    </xf>
    <xf numFmtId="0" fontId="0" fillId="0" borderId="63" xfId="0" applyBorder="1" applyAlignment="1" applyProtection="1">
      <alignment horizontal="center" vertical="center" wrapText="1"/>
    </xf>
    <xf numFmtId="0" fontId="1" fillId="0" borderId="29" xfId="0" applyFont="1" applyBorder="1" applyAlignment="1" applyProtection="1">
      <alignment horizontal="center" vertical="center"/>
    </xf>
    <xf numFmtId="0" fontId="0" fillId="0" borderId="69" xfId="0" applyFill="1" applyBorder="1" applyAlignment="1" applyProtection="1">
      <alignment horizontal="center" vertical="center"/>
    </xf>
    <xf numFmtId="168" fontId="0" fillId="0" borderId="38" xfId="0" applyNumberFormat="1" applyFill="1" applyBorder="1" applyAlignment="1" applyProtection="1">
      <alignment horizontal="center" vertical="center"/>
    </xf>
    <xf numFmtId="165" fontId="0" fillId="0" borderId="37" xfId="0" applyNumberFormat="1" applyFill="1" applyBorder="1" applyAlignment="1" applyProtection="1">
      <alignment horizontal="center" vertical="center"/>
    </xf>
    <xf numFmtId="165" fontId="0" fillId="0" borderId="45" xfId="0" applyNumberFormat="1" applyFill="1" applyBorder="1" applyAlignment="1" applyProtection="1">
      <alignment horizontal="center" vertical="center"/>
    </xf>
    <xf numFmtId="0" fontId="0" fillId="0" borderId="0" xfId="0" applyAlignment="1" applyProtection="1">
      <alignment horizontal="right"/>
    </xf>
    <xf numFmtId="165" fontId="0" fillId="0" borderId="55" xfId="0" applyNumberFormat="1" applyFill="1" applyBorder="1" applyAlignment="1" applyProtection="1">
      <alignment horizontal="center" vertical="center"/>
    </xf>
    <xf numFmtId="0" fontId="18" fillId="0" borderId="27" xfId="0" applyFont="1" applyFill="1" applyBorder="1" applyAlignment="1" applyProtection="1">
      <alignment horizontal="center" vertical="center" wrapText="1"/>
      <protection locked="0"/>
    </xf>
    <xf numFmtId="0" fontId="71" fillId="0" borderId="0" xfId="0" applyFont="1" applyBorder="1" applyAlignment="1">
      <alignment horizontal="center" vertical="center" wrapText="1"/>
    </xf>
    <xf numFmtId="0" fontId="2" fillId="0" borderId="17" xfId="0" applyFont="1" applyFill="1" applyBorder="1" applyAlignment="1" applyProtection="1">
      <alignment horizontal="center" vertical="center" wrapText="1"/>
    </xf>
    <xf numFmtId="0" fontId="1" fillId="0" borderId="72"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xf>
    <xf numFmtId="0" fontId="1" fillId="0" borderId="13" xfId="0" applyFont="1" applyBorder="1" applyAlignment="1" applyProtection="1">
      <alignment horizontal="center" vertical="center" wrapText="1"/>
    </xf>
    <xf numFmtId="0" fontId="1" fillId="0" borderId="20" xfId="0" applyFont="1" applyFill="1" applyBorder="1" applyAlignment="1" applyProtection="1">
      <alignment horizontal="center" vertical="center"/>
    </xf>
    <xf numFmtId="1" fontId="0" fillId="0" borderId="55" xfId="0" applyNumberFormat="1" applyFill="1" applyBorder="1" applyAlignment="1" applyProtection="1">
      <alignment horizontal="center" vertical="center"/>
    </xf>
    <xf numFmtId="0" fontId="1" fillId="2" borderId="47" xfId="0" applyFont="1" applyFill="1" applyBorder="1" applyAlignment="1" applyProtection="1">
      <alignment horizontal="center" vertical="center" wrapText="1"/>
      <protection locked="0"/>
    </xf>
    <xf numFmtId="0" fontId="1" fillId="2" borderId="40" xfId="0" applyFont="1" applyFill="1" applyBorder="1" applyAlignment="1" applyProtection="1">
      <alignment horizontal="center" vertical="center" wrapText="1"/>
      <protection locked="0"/>
    </xf>
    <xf numFmtId="0" fontId="48" fillId="0" borderId="0" xfId="0" applyFont="1" applyFill="1" applyBorder="1" applyAlignment="1"/>
    <xf numFmtId="0" fontId="2" fillId="0" borderId="0" xfId="0" applyFont="1" applyFill="1" applyBorder="1" applyAlignment="1">
      <alignment horizontal="center" vertical="center" wrapText="1"/>
    </xf>
    <xf numFmtId="0" fontId="27" fillId="0" borderId="0" xfId="0" applyFont="1" applyFill="1" applyBorder="1" applyAlignment="1">
      <alignment horizontal="left" vertical="center"/>
    </xf>
    <xf numFmtId="0" fontId="41" fillId="0" borderId="0" xfId="0" applyFont="1" applyFill="1" applyBorder="1" applyAlignment="1">
      <alignment horizontal="left" vertical="center"/>
    </xf>
    <xf numFmtId="0" fontId="18" fillId="0" borderId="0" xfId="0" applyFont="1" applyBorder="1" applyAlignment="1">
      <alignment horizontal="left" vertical="center" wrapText="1"/>
    </xf>
    <xf numFmtId="3" fontId="48" fillId="0" borderId="0" xfId="0" applyNumberFormat="1" applyFont="1" applyFill="1" applyBorder="1" applyAlignment="1">
      <alignment horizontal="right" vertical="center"/>
    </xf>
    <xf numFmtId="3" fontId="2" fillId="0" borderId="0" xfId="0" applyNumberFormat="1" applyFont="1" applyFill="1" applyBorder="1" applyAlignment="1">
      <alignment horizontal="center" vertical="center"/>
    </xf>
    <xf numFmtId="3" fontId="32" fillId="0" borderId="0" xfId="0" applyNumberFormat="1" applyFont="1" applyFill="1" applyBorder="1" applyAlignment="1">
      <alignment horizontal="left" vertical="center"/>
    </xf>
    <xf numFmtId="3" fontId="115" fillId="0" borderId="0" xfId="0" applyNumberFormat="1" applyFont="1" applyFill="1" applyBorder="1" applyAlignment="1">
      <alignment horizontal="center" vertical="center"/>
    </xf>
    <xf numFmtId="3" fontId="118" fillId="0" borderId="0" xfId="0" applyNumberFormat="1" applyFont="1" applyFill="1" applyBorder="1" applyAlignment="1">
      <alignment horizontal="center" vertical="center"/>
    </xf>
    <xf numFmtId="3" fontId="48" fillId="0" borderId="0" xfId="0" applyNumberFormat="1" applyFont="1" applyFill="1" applyBorder="1" applyAlignment="1">
      <alignment horizontal="center" vertical="center"/>
    </xf>
    <xf numFmtId="0" fontId="0" fillId="0" borderId="0" xfId="0" applyBorder="1" applyAlignment="1">
      <alignment horizontal="center" vertical="center"/>
    </xf>
    <xf numFmtId="0" fontId="2" fillId="0" borderId="0" xfId="0" applyFont="1" applyFill="1" applyBorder="1" applyAlignment="1">
      <alignment horizontal="center" vertical="center" wrapText="1"/>
    </xf>
    <xf numFmtId="0" fontId="47" fillId="0" borderId="0" xfId="0" applyFont="1" applyAlignment="1" applyProtection="1">
      <alignment vertical="center"/>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xf>
    <xf numFmtId="2" fontId="0" fillId="0" borderId="1" xfId="0" applyNumberFormat="1" applyFont="1" applyBorder="1" applyAlignment="1" applyProtection="1">
      <alignment horizontal="center" vertical="center"/>
    </xf>
    <xf numFmtId="165" fontId="0" fillId="0" borderId="1" xfId="0" applyNumberFormat="1" applyFont="1" applyBorder="1" applyAlignment="1" applyProtection="1">
      <alignment horizontal="center" vertical="center"/>
    </xf>
    <xf numFmtId="165" fontId="108" fillId="0" borderId="1" xfId="0" applyNumberFormat="1" applyFont="1" applyBorder="1" applyAlignment="1" applyProtection="1">
      <alignment horizontal="center" vertical="center"/>
    </xf>
    <xf numFmtId="0" fontId="0" fillId="0" borderId="0" xfId="0" applyFont="1" applyFill="1" applyBorder="1" applyAlignment="1" applyProtection="1">
      <alignment horizontal="center" vertical="center"/>
    </xf>
    <xf numFmtId="0" fontId="48" fillId="0" borderId="12" xfId="0" applyFont="1" applyBorder="1" applyAlignment="1" applyProtection="1">
      <alignment horizontal="center" vertical="center" wrapText="1"/>
    </xf>
    <xf numFmtId="0" fontId="47" fillId="0" borderId="0" xfId="0" applyFont="1" applyAlignment="1" applyProtection="1">
      <alignment horizontal="center" vertical="center"/>
    </xf>
    <xf numFmtId="0" fontId="47" fillId="0" borderId="0" xfId="0" applyFont="1" applyAlignment="1" applyProtection="1">
      <alignment horizontal="left" vertical="center"/>
    </xf>
    <xf numFmtId="0" fontId="48" fillId="0" borderId="0" xfId="0" applyFont="1" applyAlignment="1" applyProtection="1">
      <alignment horizontal="center" vertical="center"/>
    </xf>
    <xf numFmtId="0" fontId="45" fillId="0" borderId="0" xfId="0" applyFont="1" applyAlignment="1" applyProtection="1">
      <alignment horizontal="center" vertical="center"/>
    </xf>
    <xf numFmtId="0" fontId="0" fillId="0" borderId="0" xfId="0" applyFont="1" applyAlignment="1" applyProtection="1">
      <alignment vertical="center"/>
    </xf>
    <xf numFmtId="0" fontId="18" fillId="0" borderId="0" xfId="0" applyFont="1" applyAlignment="1" applyProtection="1">
      <alignment vertical="center"/>
    </xf>
    <xf numFmtId="0" fontId="130" fillId="0" borderId="0" xfId="0" applyFont="1" applyAlignment="1" applyProtection="1">
      <alignment horizontal="center" vertical="center"/>
    </xf>
    <xf numFmtId="0" fontId="22" fillId="0" borderId="0" xfId="0" applyFont="1" applyAlignment="1" applyProtection="1">
      <alignment vertical="center"/>
    </xf>
    <xf numFmtId="0" fontId="22" fillId="0" borderId="0" xfId="0" applyFont="1" applyAlignment="1" applyProtection="1">
      <alignment horizontal="center" vertical="center"/>
    </xf>
    <xf numFmtId="165" fontId="22" fillId="0" borderId="0" xfId="0" applyNumberFormat="1" applyFont="1" applyAlignment="1" applyProtection="1">
      <alignment horizontal="center" vertical="center"/>
    </xf>
    <xf numFmtId="165" fontId="130" fillId="0" borderId="0" xfId="0" applyNumberFormat="1" applyFont="1" applyAlignment="1" applyProtection="1">
      <alignment horizontal="center" vertical="center"/>
    </xf>
    <xf numFmtId="165" fontId="48" fillId="0" borderId="0" xfId="0" applyNumberFormat="1" applyFont="1" applyAlignment="1" applyProtection="1">
      <alignment horizontal="center" vertical="center"/>
    </xf>
    <xf numFmtId="0" fontId="48" fillId="0" borderId="0" xfId="0" applyFont="1" applyAlignment="1" applyProtection="1">
      <alignment horizontal="right" vertical="center"/>
    </xf>
    <xf numFmtId="0" fontId="1" fillId="0" borderId="0" xfId="0" applyFont="1" applyAlignment="1" applyProtection="1">
      <alignment horizontal="right" vertical="center"/>
    </xf>
    <xf numFmtId="3" fontId="18" fillId="0" borderId="0" xfId="0" applyNumberFormat="1" applyFont="1" applyAlignment="1" applyProtection="1">
      <alignment horizontal="center" vertical="center"/>
    </xf>
    <xf numFmtId="165" fontId="18" fillId="9" borderId="27" xfId="0" applyNumberFormat="1" applyFont="1" applyFill="1" applyBorder="1" applyAlignment="1" applyProtection="1">
      <alignment horizontal="center" vertical="center"/>
    </xf>
    <xf numFmtId="1" fontId="1" fillId="0" borderId="48" xfId="0" applyNumberFormat="1" applyFont="1" applyFill="1" applyBorder="1" applyAlignment="1" applyProtection="1">
      <alignment horizontal="center" vertical="center"/>
    </xf>
    <xf numFmtId="1" fontId="1" fillId="0" borderId="41" xfId="0" applyNumberFormat="1" applyFont="1" applyFill="1" applyBorder="1" applyAlignment="1" applyProtection="1">
      <alignment horizontal="center" vertical="center"/>
    </xf>
    <xf numFmtId="0" fontId="1" fillId="2" borderId="31" xfId="0" applyFont="1" applyFill="1" applyBorder="1" applyAlignment="1" applyProtection="1">
      <alignment horizontal="center" vertical="center"/>
      <protection locked="0"/>
    </xf>
    <xf numFmtId="0" fontId="1" fillId="2" borderId="32" xfId="0" applyFont="1" applyFill="1" applyBorder="1" applyAlignment="1" applyProtection="1">
      <alignment horizontal="center" vertical="center"/>
      <protection locked="0"/>
    </xf>
    <xf numFmtId="0" fontId="18" fillId="0" borderId="0" xfId="0" applyFont="1" applyAlignment="1" applyProtection="1">
      <alignment horizontal="center"/>
    </xf>
    <xf numFmtId="0" fontId="1" fillId="0" borderId="0" xfId="0" applyFont="1" applyAlignment="1" applyProtection="1">
      <alignment horizontal="left"/>
    </xf>
    <xf numFmtId="0" fontId="0" fillId="6" borderId="0" xfId="0" applyFill="1" applyAlignment="1" applyProtection="1">
      <alignment horizontal="center"/>
    </xf>
    <xf numFmtId="0" fontId="0" fillId="3" borderId="0" xfId="0" applyFill="1" applyAlignment="1" applyProtection="1">
      <alignment horizontal="center"/>
    </xf>
    <xf numFmtId="0" fontId="0" fillId="7" borderId="0" xfId="0" applyFill="1" applyAlignment="1" applyProtection="1">
      <alignment horizontal="center"/>
    </xf>
    <xf numFmtId="0" fontId="0" fillId="8" borderId="0" xfId="0" applyFill="1" applyAlignment="1" applyProtection="1">
      <alignment horizontal="center"/>
    </xf>
    <xf numFmtId="0" fontId="23" fillId="8" borderId="0" xfId="0" applyFont="1" applyFill="1" applyAlignment="1" applyProtection="1">
      <alignment horizontal="center"/>
    </xf>
    <xf numFmtId="0" fontId="27"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0" xfId="0" applyBorder="1" applyAlignment="1">
      <alignment horizontal="center" vertical="center" wrapText="1"/>
    </xf>
    <xf numFmtId="0" fontId="0" fillId="0" borderId="20" xfId="0" applyBorder="1" applyAlignment="1">
      <alignment horizontal="center" vertical="center" wrapText="1"/>
    </xf>
    <xf numFmtId="4" fontId="18" fillId="0" borderId="6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171" fontId="11" fillId="0" borderId="61" xfId="0" applyNumberFormat="1" applyFont="1" applyFill="1" applyBorder="1" applyAlignment="1">
      <alignment horizontal="center" vertical="center"/>
    </xf>
    <xf numFmtId="171" fontId="11" fillId="0" borderId="63" xfId="0" applyNumberFormat="1" applyFont="1" applyFill="1" applyBorder="1" applyAlignment="1">
      <alignment horizontal="center" vertical="center"/>
    </xf>
    <xf numFmtId="0" fontId="135" fillId="0" borderId="0" xfId="0" applyFont="1" applyBorder="1" applyAlignment="1">
      <alignment horizontal="center" vertical="center" wrapText="1"/>
    </xf>
    <xf numFmtId="3" fontId="18" fillId="0" borderId="12" xfId="0" applyNumberFormat="1" applyFont="1" applyFill="1" applyBorder="1" applyAlignment="1">
      <alignment horizontal="center" vertical="center"/>
    </xf>
    <xf numFmtId="3" fontId="11" fillId="0" borderId="12" xfId="0" applyNumberFormat="1" applyFont="1" applyFill="1" applyBorder="1" applyAlignment="1">
      <alignment horizontal="center" vertical="center"/>
    </xf>
    <xf numFmtId="3" fontId="111" fillId="0" borderId="13" xfId="0" applyNumberFormat="1" applyFont="1" applyFill="1" applyBorder="1" applyAlignment="1">
      <alignment horizontal="center" vertical="center" wrapText="1"/>
    </xf>
    <xf numFmtId="3" fontId="122" fillId="0" borderId="20" xfId="0" applyNumberFormat="1" applyFont="1" applyFill="1" applyBorder="1" applyAlignment="1">
      <alignment horizontal="center" vertical="center"/>
    </xf>
    <xf numFmtId="3" fontId="136" fillId="0" borderId="20" xfId="0" applyNumberFormat="1" applyFont="1" applyFill="1" applyBorder="1" applyAlignment="1">
      <alignment horizontal="center" vertical="center"/>
    </xf>
    <xf numFmtId="3" fontId="11" fillId="0" borderId="0" xfId="0" applyNumberFormat="1" applyFont="1" applyFill="1" applyBorder="1" applyAlignment="1">
      <alignment horizontal="center" vertical="center" wrapText="1"/>
    </xf>
    <xf numFmtId="3" fontId="32" fillId="0" borderId="0" xfId="0" applyNumberFormat="1" applyFont="1" applyFill="1" applyBorder="1" applyAlignment="1">
      <alignment horizontal="center" vertical="center" wrapText="1"/>
    </xf>
    <xf numFmtId="3" fontId="111" fillId="0" borderId="65" xfId="0" applyNumberFormat="1" applyFont="1" applyFill="1" applyBorder="1" applyAlignment="1">
      <alignment horizontal="center" vertical="center" wrapText="1"/>
    </xf>
    <xf numFmtId="3" fontId="111" fillId="0" borderId="72" xfId="0" applyNumberFormat="1" applyFont="1" applyFill="1" applyBorder="1" applyAlignment="1">
      <alignment horizontal="center" vertical="center" wrapText="1"/>
    </xf>
    <xf numFmtId="3" fontId="117" fillId="0" borderId="13" xfId="0" applyNumberFormat="1" applyFont="1" applyFill="1" applyBorder="1" applyAlignment="1">
      <alignment horizontal="center" vertical="center" wrapText="1"/>
    </xf>
    <xf numFmtId="3" fontId="117" fillId="0" borderId="0" xfId="0" applyNumberFormat="1" applyFont="1" applyFill="1" applyBorder="1" applyAlignment="1">
      <alignment horizontal="center" vertical="center" wrapText="1"/>
    </xf>
    <xf numFmtId="165" fontId="18" fillId="3" borderId="4" xfId="0" applyNumberFormat="1" applyFont="1" applyFill="1" applyBorder="1" applyAlignment="1" applyProtection="1">
      <alignment horizontal="center" vertical="center"/>
      <protection locked="0"/>
    </xf>
    <xf numFmtId="0" fontId="41" fillId="0" borderId="0" xfId="0" applyFont="1" applyFill="1" applyBorder="1" applyAlignment="1">
      <alignment horizontal="center" vertical="center" wrapText="1"/>
    </xf>
    <xf numFmtId="3" fontId="2" fillId="0" borderId="61" xfId="0" applyNumberFormat="1" applyFont="1" applyFill="1" applyBorder="1" applyAlignment="1">
      <alignment horizontal="center" vertical="center" wrapText="1"/>
    </xf>
    <xf numFmtId="3" fontId="2" fillId="0" borderId="62" xfId="0" applyNumberFormat="1" applyFont="1" applyFill="1" applyBorder="1" applyAlignment="1">
      <alignment horizontal="center" vertical="center" wrapText="1"/>
    </xf>
    <xf numFmtId="3" fontId="2" fillId="0" borderId="63" xfId="0" applyNumberFormat="1" applyFont="1" applyFill="1" applyBorder="1" applyAlignment="1">
      <alignment horizontal="center" vertical="center" wrapText="1"/>
    </xf>
    <xf numFmtId="0" fontId="53" fillId="0" borderId="0" xfId="0" applyFont="1" applyAlignment="1">
      <alignment horizontal="center"/>
    </xf>
    <xf numFmtId="0" fontId="23" fillId="0" borderId="1" xfId="0" applyFont="1" applyBorder="1" applyAlignment="1">
      <alignment horizontal="center" vertical="center"/>
    </xf>
    <xf numFmtId="0" fontId="39" fillId="0" borderId="1" xfId="0" applyFont="1" applyBorder="1" applyAlignment="1">
      <alignment horizontal="center" vertical="center"/>
    </xf>
    <xf numFmtId="0" fontId="11" fillId="0" borderId="0" xfId="0" applyFont="1" applyBorder="1" applyAlignment="1">
      <alignment horizontal="center" vertical="center"/>
    </xf>
    <xf numFmtId="4" fontId="2" fillId="0" borderId="19" xfId="0" applyNumberFormat="1" applyFont="1" applyFill="1" applyBorder="1" applyAlignment="1">
      <alignment horizontal="center" vertical="center" wrapText="1"/>
    </xf>
    <xf numFmtId="3" fontId="1" fillId="0" borderId="1" xfId="0" applyNumberFormat="1" applyFont="1" applyFill="1" applyBorder="1" applyAlignment="1">
      <alignment horizontal="center" vertical="center" wrapText="1"/>
    </xf>
    <xf numFmtId="0" fontId="36" fillId="0" borderId="0" xfId="0" applyFont="1" applyFill="1" applyBorder="1" applyAlignment="1">
      <alignment horizontal="center" vertical="center" wrapText="1"/>
    </xf>
    <xf numFmtId="0" fontId="117" fillId="0" borderId="0" xfId="0" quotePrefix="1" applyFont="1" applyFill="1" applyBorder="1" applyAlignment="1">
      <alignment horizontal="center"/>
    </xf>
    <xf numFmtId="3" fontId="116" fillId="0"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vertical="center"/>
    </xf>
    <xf numFmtId="0" fontId="127" fillId="0" borderId="0" xfId="0" applyFont="1" applyFill="1" applyBorder="1" applyAlignment="1">
      <alignment horizontal="center" vertical="center" wrapText="1"/>
    </xf>
    <xf numFmtId="0" fontId="119" fillId="0" borderId="0" xfId="0" applyFont="1" applyBorder="1" applyAlignment="1">
      <alignment horizontal="center" vertical="center" wrapText="1"/>
    </xf>
    <xf numFmtId="3" fontId="109" fillId="0" borderId="0" xfId="0" applyNumberFormat="1" applyFont="1" applyFill="1" applyBorder="1" applyAlignment="1">
      <alignment horizontal="center" vertical="center"/>
    </xf>
    <xf numFmtId="0" fontId="0" fillId="0" borderId="0" xfId="0" applyBorder="1" applyAlignment="1">
      <alignment horizontal="center" wrapText="1"/>
    </xf>
    <xf numFmtId="0" fontId="2" fillId="0" borderId="28" xfId="0" applyFont="1" applyFill="1" applyBorder="1" applyAlignment="1">
      <alignment horizontal="center" vertical="center" wrapText="1"/>
    </xf>
    <xf numFmtId="0" fontId="2" fillId="0" borderId="18" xfId="0" applyFont="1" applyFill="1" applyBorder="1" applyAlignment="1">
      <alignment horizontal="center" vertical="center" wrapText="1"/>
    </xf>
    <xf numFmtId="3" fontId="5" fillId="0" borderId="25" xfId="0" applyNumberFormat="1" applyFont="1" applyFill="1" applyBorder="1" applyAlignment="1">
      <alignment horizontal="center" vertical="center" wrapText="1"/>
    </xf>
    <xf numFmtId="3" fontId="102" fillId="0" borderId="0" xfId="0" applyNumberFormat="1" applyFont="1" applyFill="1" applyBorder="1" applyAlignment="1">
      <alignment horizontal="center" vertical="center" wrapText="1"/>
    </xf>
    <xf numFmtId="0" fontId="40" fillId="0" borderId="16" xfId="0" applyFont="1" applyFill="1" applyBorder="1" applyAlignment="1">
      <alignment horizontal="center" vertical="center"/>
    </xf>
    <xf numFmtId="3" fontId="11" fillId="0" borderId="18" xfId="0" applyNumberFormat="1" applyFont="1" applyFill="1" applyBorder="1" applyAlignment="1">
      <alignment horizontal="center" vertical="center" wrapText="1"/>
    </xf>
    <xf numFmtId="3" fontId="11" fillId="0" borderId="18" xfId="0" applyNumberFormat="1" applyFont="1" applyFill="1" applyBorder="1" applyAlignment="1">
      <alignment horizontal="center" vertical="center"/>
    </xf>
    <xf numFmtId="0" fontId="23" fillId="0" borderId="20" xfId="0" applyFont="1" applyBorder="1" applyAlignment="1">
      <alignment horizontal="center" vertical="center" wrapText="1"/>
    </xf>
    <xf numFmtId="0" fontId="42" fillId="0" borderId="20" xfId="0" applyFont="1" applyFill="1" applyBorder="1" applyAlignment="1">
      <alignment horizontal="center"/>
    </xf>
    <xf numFmtId="3" fontId="32" fillId="0" borderId="20" xfId="0" applyNumberFormat="1" applyFont="1" applyFill="1" applyBorder="1" applyAlignment="1">
      <alignment horizontal="center" vertical="center"/>
    </xf>
    <xf numFmtId="0" fontId="140" fillId="0" borderId="0" xfId="0" applyFont="1" applyFill="1" applyBorder="1" applyAlignment="1">
      <alignment horizontal="center" vertical="center" wrapText="1"/>
    </xf>
    <xf numFmtId="0" fontId="139" fillId="0" borderId="0" xfId="0" applyFont="1" applyBorder="1" applyAlignment="1">
      <alignment horizontal="center" vertical="center" wrapText="1"/>
    </xf>
    <xf numFmtId="3" fontId="2" fillId="0"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vertical="center"/>
    </xf>
    <xf numFmtId="3" fontId="143" fillId="20" borderId="1" xfId="0" applyNumberFormat="1" applyFont="1" applyFill="1" applyBorder="1" applyAlignment="1">
      <alignment horizontal="center" vertical="center"/>
    </xf>
    <xf numFmtId="0" fontId="144" fillId="0" borderId="0" xfId="0" applyFont="1" applyFill="1" applyBorder="1" applyAlignment="1">
      <alignment horizontal="center"/>
    </xf>
    <xf numFmtId="3" fontId="143" fillId="21" borderId="1" xfId="0" applyNumberFormat="1" applyFont="1" applyFill="1" applyBorder="1" applyAlignment="1">
      <alignment horizontal="center" vertical="center"/>
    </xf>
    <xf numFmtId="3" fontId="143" fillId="0" borderId="20" xfId="0" applyNumberFormat="1" applyFont="1" applyFill="1" applyBorder="1" applyAlignment="1">
      <alignment horizontal="center" vertical="center"/>
    </xf>
    <xf numFmtId="3" fontId="143" fillId="21" borderId="21" xfId="0" applyNumberFormat="1" applyFont="1" applyFill="1" applyBorder="1" applyAlignment="1">
      <alignment horizontal="center" vertical="center"/>
    </xf>
    <xf numFmtId="0" fontId="144" fillId="0" borderId="20" xfId="0" applyFont="1" applyFill="1" applyBorder="1" applyAlignment="1">
      <alignment horizontal="center"/>
    </xf>
    <xf numFmtId="0" fontId="142" fillId="20" borderId="39" xfId="0" applyFont="1" applyFill="1" applyBorder="1" applyAlignment="1">
      <alignment horizontal="center" vertical="center" wrapText="1"/>
    </xf>
    <xf numFmtId="0" fontId="142" fillId="21" borderId="39" xfId="0" applyFont="1" applyFill="1" applyBorder="1" applyAlignment="1">
      <alignment horizontal="center" vertical="center" wrapText="1"/>
    </xf>
    <xf numFmtId="0" fontId="143" fillId="21" borderId="49" xfId="0" applyFont="1" applyFill="1" applyBorder="1" applyAlignment="1">
      <alignment horizontal="center" vertical="center" wrapText="1"/>
    </xf>
    <xf numFmtId="3" fontId="11" fillId="0" borderId="75" xfId="0" applyNumberFormat="1" applyFont="1" applyFill="1" applyBorder="1" applyAlignment="1">
      <alignment horizontal="center" vertical="center"/>
    </xf>
    <xf numFmtId="3" fontId="122" fillId="0" borderId="0" xfId="0" applyNumberFormat="1" applyFont="1" applyFill="1" applyBorder="1" applyAlignment="1">
      <alignment horizontal="center" vertical="center"/>
    </xf>
    <xf numFmtId="3" fontId="11" fillId="0" borderId="72" xfId="0" applyNumberFormat="1" applyFont="1" applyFill="1" applyBorder="1" applyAlignment="1">
      <alignment horizontal="center" vertical="center" wrapText="1"/>
    </xf>
    <xf numFmtId="3" fontId="60" fillId="0" borderId="20" xfId="0" applyNumberFormat="1" applyFont="1" applyFill="1" applyBorder="1" applyAlignment="1">
      <alignment horizontal="right" vertical="center"/>
    </xf>
    <xf numFmtId="171" fontId="11" fillId="0" borderId="62" xfId="0" applyNumberFormat="1" applyFont="1" applyFill="1" applyBorder="1" applyAlignment="1">
      <alignment horizontal="center" vertical="center"/>
    </xf>
    <xf numFmtId="0" fontId="18" fillId="0" borderId="68" xfId="0" applyFont="1" applyBorder="1" applyAlignment="1">
      <alignment horizontal="center" vertical="center" wrapText="1"/>
    </xf>
    <xf numFmtId="1" fontId="18" fillId="0" borderId="35" xfId="0" applyNumberFormat="1" applyFont="1" applyFill="1" applyBorder="1" applyAlignment="1">
      <alignment horizontal="center" vertical="center"/>
    </xf>
    <xf numFmtId="0" fontId="18" fillId="0" borderId="76" xfId="0" applyFont="1" applyFill="1" applyBorder="1" applyAlignment="1">
      <alignment horizontal="center" vertical="top"/>
    </xf>
    <xf numFmtId="1" fontId="18" fillId="0" borderId="76" xfId="0" applyNumberFormat="1" applyFont="1" applyFill="1" applyBorder="1" applyAlignment="1">
      <alignment horizontal="center" vertical="center"/>
    </xf>
    <xf numFmtId="0" fontId="27" fillId="0" borderId="30" xfId="0" applyFont="1" applyFill="1" applyBorder="1" applyAlignment="1">
      <alignment horizontal="center"/>
    </xf>
    <xf numFmtId="3" fontId="60" fillId="0" borderId="20" xfId="0" applyNumberFormat="1" applyFont="1" applyFill="1" applyBorder="1" applyAlignment="1">
      <alignment horizontal="center" vertical="center"/>
    </xf>
    <xf numFmtId="3" fontId="145" fillId="0" borderId="20" xfId="0" applyNumberFormat="1" applyFont="1" applyFill="1" applyBorder="1" applyAlignment="1">
      <alignment horizontal="right" vertical="center"/>
    </xf>
    <xf numFmtId="3" fontId="122" fillId="0" borderId="68" xfId="0" applyNumberFormat="1" applyFont="1" applyFill="1" applyBorder="1" applyAlignment="1">
      <alignment horizontal="center" vertical="center"/>
    </xf>
    <xf numFmtId="3" fontId="60" fillId="14" borderId="44" xfId="0" applyNumberFormat="1" applyFont="1" applyFill="1" applyBorder="1" applyAlignment="1">
      <alignment horizontal="center" vertical="center"/>
    </xf>
    <xf numFmtId="3" fontId="32" fillId="14" borderId="62" xfId="0" applyNumberFormat="1" applyFont="1" applyFill="1" applyBorder="1" applyAlignment="1">
      <alignment horizontal="center" vertical="center"/>
    </xf>
    <xf numFmtId="3" fontId="32" fillId="14" borderId="61" xfId="0" applyNumberFormat="1" applyFont="1" applyFill="1" applyBorder="1" applyAlignment="1">
      <alignment horizontal="center" vertical="center"/>
    </xf>
    <xf numFmtId="171" fontId="60" fillId="14" borderId="44" xfId="0" applyNumberFormat="1" applyFont="1" applyFill="1" applyBorder="1" applyAlignment="1">
      <alignment horizontal="center" vertical="center"/>
    </xf>
    <xf numFmtId="3" fontId="60" fillId="0" borderId="44" xfId="0" applyNumberFormat="1" applyFont="1" applyFill="1" applyBorder="1" applyAlignment="1">
      <alignment horizontal="right" vertical="center"/>
    </xf>
    <xf numFmtId="3" fontId="60" fillId="14" borderId="58" xfId="0" applyNumberFormat="1" applyFont="1" applyFill="1" applyBorder="1" applyAlignment="1">
      <alignment horizontal="center" vertical="center"/>
    </xf>
    <xf numFmtId="3" fontId="122" fillId="14" borderId="20" xfId="0" applyNumberFormat="1" applyFont="1" applyFill="1" applyBorder="1" applyAlignment="1">
      <alignment horizontal="center" vertical="center"/>
    </xf>
    <xf numFmtId="0" fontId="120" fillId="14" borderId="59" xfId="0" applyFont="1" applyFill="1" applyBorder="1" applyAlignment="1">
      <alignment horizontal="right" vertical="center"/>
    </xf>
    <xf numFmtId="3" fontId="136" fillId="0" borderId="56" xfId="0" quotePrefix="1" applyNumberFormat="1" applyFont="1" applyFill="1" applyBorder="1" applyAlignment="1">
      <alignment horizontal="center" vertical="center"/>
    </xf>
    <xf numFmtId="3" fontId="18" fillId="0" borderId="27" xfId="0" applyNumberFormat="1" applyFont="1" applyFill="1" applyBorder="1" applyAlignment="1">
      <alignment horizontal="center" vertical="center"/>
    </xf>
    <xf numFmtId="4" fontId="18" fillId="0" borderId="79" xfId="0" applyNumberFormat="1" applyFont="1" applyFill="1" applyBorder="1" applyAlignment="1">
      <alignment horizontal="center" vertical="center"/>
    </xf>
    <xf numFmtId="3" fontId="18" fillId="0" borderId="23" xfId="0" applyNumberFormat="1" applyFont="1" applyFill="1" applyBorder="1" applyAlignment="1">
      <alignment horizontal="center" vertical="center"/>
    </xf>
    <xf numFmtId="0" fontId="18" fillId="0" borderId="31" xfId="0" applyFont="1" applyBorder="1" applyAlignment="1">
      <alignment horizontal="center" vertical="center" wrapText="1"/>
    </xf>
    <xf numFmtId="3" fontId="144" fillId="0" borderId="72" xfId="0" applyNumberFormat="1" applyFont="1" applyFill="1" applyBorder="1" applyAlignment="1">
      <alignment horizontal="center" vertical="center" wrapText="1"/>
    </xf>
    <xf numFmtId="171" fontId="143" fillId="0" borderId="63" xfId="0" applyNumberFormat="1" applyFont="1" applyFill="1" applyBorder="1" applyAlignment="1">
      <alignment horizontal="center" vertical="center"/>
    </xf>
    <xf numFmtId="3" fontId="143" fillId="0" borderId="75" xfId="0" applyNumberFormat="1" applyFont="1" applyFill="1" applyBorder="1" applyAlignment="1">
      <alignment horizontal="center" vertical="center"/>
    </xf>
    <xf numFmtId="3" fontId="143" fillId="0" borderId="55" xfId="0" applyNumberFormat="1" applyFont="1" applyFill="1" applyBorder="1" applyAlignment="1">
      <alignment horizontal="center" vertical="center" wrapText="1"/>
    </xf>
    <xf numFmtId="3" fontId="118" fillId="0" borderId="0" xfId="0" applyNumberFormat="1" applyFont="1" applyFill="1" applyBorder="1" applyAlignment="1">
      <alignment horizontal="center" vertical="top"/>
    </xf>
    <xf numFmtId="0" fontId="0" fillId="0" borderId="16" xfId="0" applyFill="1" applyBorder="1" applyAlignment="1">
      <alignment horizontal="center" vertical="center" wrapText="1"/>
    </xf>
    <xf numFmtId="3" fontId="45" fillId="21" borderId="44" xfId="0" applyNumberFormat="1" applyFont="1" applyFill="1" applyBorder="1" applyAlignment="1">
      <alignment horizontal="center" vertical="center"/>
    </xf>
    <xf numFmtId="3" fontId="32" fillId="0" borderId="16" xfId="0" applyNumberFormat="1" applyFont="1" applyFill="1" applyBorder="1" applyAlignment="1">
      <alignment horizontal="left" vertical="center"/>
    </xf>
    <xf numFmtId="3" fontId="115" fillId="0" borderId="16" xfId="0" applyNumberFormat="1" applyFont="1" applyFill="1" applyBorder="1" applyAlignment="1">
      <alignment horizontal="center" vertical="center"/>
    </xf>
    <xf numFmtId="3" fontId="45" fillId="20" borderId="44" xfId="0" applyNumberFormat="1" applyFont="1" applyFill="1" applyBorder="1" applyAlignment="1">
      <alignment horizontal="center" vertical="center"/>
    </xf>
    <xf numFmtId="3" fontId="118" fillId="0" borderId="16" xfId="0" applyNumberFormat="1" applyFont="1" applyFill="1" applyBorder="1" applyAlignment="1">
      <alignment horizontal="center" vertical="center"/>
    </xf>
    <xf numFmtId="3" fontId="45" fillId="20" borderId="54" xfId="0" applyNumberFormat="1" applyFont="1" applyFill="1" applyBorder="1" applyAlignment="1">
      <alignment horizontal="center" vertical="center"/>
    </xf>
    <xf numFmtId="3" fontId="153" fillId="0" borderId="0" xfId="0" applyNumberFormat="1" applyFont="1" applyFill="1" applyBorder="1" applyAlignment="1">
      <alignment horizontal="center" vertical="top" wrapText="1"/>
    </xf>
    <xf numFmtId="3" fontId="153" fillId="0" borderId="18" xfId="0" applyNumberFormat="1" applyFont="1" applyFill="1" applyBorder="1" applyAlignment="1">
      <alignment horizontal="center" vertical="top" wrapText="1"/>
    </xf>
    <xf numFmtId="0" fontId="151" fillId="0" borderId="0" xfId="0" applyFont="1" applyBorder="1" applyAlignment="1">
      <alignment horizontal="center" vertical="top" wrapText="1"/>
    </xf>
    <xf numFmtId="0" fontId="141" fillId="0" borderId="47" xfId="0" applyFont="1" applyBorder="1" applyAlignment="1">
      <alignment horizontal="center" vertical="center" wrapText="1"/>
    </xf>
    <xf numFmtId="3" fontId="140" fillId="0" borderId="19" xfId="0" applyNumberFormat="1" applyFont="1" applyFill="1" applyBorder="1" applyAlignment="1">
      <alignment horizontal="center" vertical="center"/>
    </xf>
    <xf numFmtId="3" fontId="143" fillId="0" borderId="44" xfId="0" applyNumberFormat="1" applyFont="1" applyFill="1" applyBorder="1" applyAlignment="1">
      <alignment horizontal="center" vertical="center" wrapText="1"/>
    </xf>
    <xf numFmtId="3" fontId="149" fillId="0" borderId="21" xfId="0" applyNumberFormat="1" applyFont="1" applyFill="1" applyBorder="1" applyAlignment="1">
      <alignment horizontal="center" vertical="center"/>
    </xf>
    <xf numFmtId="0" fontId="2" fillId="0" borderId="15" xfId="0" applyFont="1" applyFill="1" applyBorder="1" applyAlignment="1">
      <alignment horizontal="center" vertical="center" wrapText="1"/>
    </xf>
    <xf numFmtId="3" fontId="48" fillId="0" borderId="16" xfId="0" applyNumberFormat="1" applyFont="1" applyFill="1" applyBorder="1" applyAlignment="1">
      <alignment horizontal="right" vertical="center"/>
    </xf>
    <xf numFmtId="3" fontId="143" fillId="0" borderId="54" xfId="0" applyNumberFormat="1" applyFont="1" applyFill="1" applyBorder="1" applyAlignment="1">
      <alignment horizontal="center" vertical="center" wrapText="1"/>
    </xf>
    <xf numFmtId="0" fontId="141" fillId="0" borderId="52" xfId="0"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165" fontId="18" fillId="3" borderId="52" xfId="0" applyNumberFormat="1" applyFont="1" applyFill="1" applyBorder="1" applyAlignment="1" applyProtection="1">
      <alignment horizontal="center" vertical="center"/>
      <protection locked="0"/>
    </xf>
    <xf numFmtId="165" fontId="18" fillId="3" borderId="39" xfId="0" applyNumberFormat="1" applyFont="1" applyFill="1" applyBorder="1" applyAlignment="1" applyProtection="1">
      <alignment horizontal="center" vertical="center"/>
      <protection locked="0"/>
    </xf>
    <xf numFmtId="165" fontId="18" fillId="3" borderId="49" xfId="0" applyNumberFormat="1" applyFont="1" applyFill="1" applyBorder="1" applyAlignment="1" applyProtection="1">
      <alignment horizontal="center" vertical="center"/>
      <protection locked="0"/>
    </xf>
    <xf numFmtId="165" fontId="18" fillId="3" borderId="48" xfId="0" applyNumberFormat="1" applyFont="1" applyFill="1" applyBorder="1" applyAlignment="1" applyProtection="1">
      <alignment horizontal="center" vertical="center"/>
      <protection locked="0"/>
    </xf>
    <xf numFmtId="165" fontId="18" fillId="3" borderId="41" xfId="0" applyNumberFormat="1" applyFont="1" applyFill="1" applyBorder="1" applyAlignment="1" applyProtection="1">
      <alignment horizontal="center" vertical="center"/>
      <protection locked="0"/>
    </xf>
    <xf numFmtId="165" fontId="18" fillId="3" borderId="36" xfId="0" applyNumberFormat="1" applyFont="1" applyFill="1" applyBorder="1" applyAlignment="1" applyProtection="1">
      <alignment horizontal="center" vertical="center"/>
      <protection locked="0"/>
    </xf>
    <xf numFmtId="165" fontId="1" fillId="3" borderId="68" xfId="0" applyNumberFormat="1" applyFont="1" applyFill="1" applyBorder="1" applyAlignment="1" applyProtection="1">
      <alignment horizontal="center" vertical="center"/>
      <protection locked="0"/>
    </xf>
    <xf numFmtId="165" fontId="1" fillId="3" borderId="3" xfId="0" applyNumberFormat="1" applyFont="1" applyFill="1" applyBorder="1" applyAlignment="1" applyProtection="1">
      <alignment horizontal="center" vertical="center"/>
      <protection locked="0"/>
    </xf>
    <xf numFmtId="165" fontId="1" fillId="3" borderId="35" xfId="0" applyNumberFormat="1" applyFont="1" applyFill="1" applyBorder="1" applyAlignment="1" applyProtection="1">
      <alignment horizontal="center" vertical="center"/>
      <protection locked="0"/>
    </xf>
    <xf numFmtId="167" fontId="1" fillId="3" borderId="58" xfId="0" applyNumberFormat="1" applyFont="1" applyFill="1" applyBorder="1" applyAlignment="1" applyProtection="1">
      <alignment horizontal="center" vertical="center"/>
      <protection locked="0"/>
    </xf>
    <xf numFmtId="167" fontId="1" fillId="3" borderId="2" xfId="0" applyNumberFormat="1" applyFont="1" applyFill="1" applyBorder="1" applyAlignment="1" applyProtection="1">
      <alignment horizontal="center" vertical="center"/>
      <protection locked="0"/>
    </xf>
    <xf numFmtId="167" fontId="1" fillId="3" borderId="60" xfId="0" applyNumberFormat="1" applyFont="1" applyFill="1" applyBorder="1" applyAlignment="1" applyProtection="1">
      <alignment horizontal="center" vertical="center"/>
      <protection locked="0"/>
    </xf>
    <xf numFmtId="165" fontId="27" fillId="3" borderId="10" xfId="0" applyNumberFormat="1" applyFont="1" applyFill="1" applyBorder="1" applyAlignment="1" applyProtection="1">
      <alignment horizontal="center" vertical="center"/>
      <protection locked="0"/>
    </xf>
    <xf numFmtId="165" fontId="27" fillId="3" borderId="4" xfId="0" applyNumberFormat="1" applyFont="1" applyFill="1" applyBorder="1" applyAlignment="1" applyProtection="1">
      <alignment horizontal="center" vertical="center"/>
      <protection locked="0"/>
    </xf>
    <xf numFmtId="165" fontId="0" fillId="3" borderId="40" xfId="1" applyNumberFormat="1" applyFont="1" applyFill="1" applyBorder="1" applyAlignment="1" applyProtection="1">
      <alignment horizontal="center" vertical="center"/>
      <protection locked="0"/>
    </xf>
    <xf numFmtId="167" fontId="1" fillId="3" borderId="54" xfId="0" applyNumberFormat="1" applyFont="1" applyFill="1" applyBorder="1" applyAlignment="1" applyProtection="1">
      <alignment horizontal="center" vertical="center"/>
      <protection locked="0"/>
    </xf>
    <xf numFmtId="167" fontId="1" fillId="3" borderId="45" xfId="0" applyNumberFormat="1" applyFont="1" applyFill="1" applyBorder="1" applyAlignment="1" applyProtection="1">
      <alignment horizontal="center" vertical="center"/>
      <protection locked="0"/>
    </xf>
    <xf numFmtId="165" fontId="18" fillId="3" borderId="53" xfId="0" applyNumberFormat="1" applyFont="1" applyFill="1" applyBorder="1" applyAlignment="1" applyProtection="1">
      <alignment horizontal="center" vertical="center"/>
      <protection locked="0"/>
    </xf>
    <xf numFmtId="165" fontId="1" fillId="3" borderId="44" xfId="0" applyNumberFormat="1" applyFont="1" applyFill="1" applyBorder="1" applyAlignment="1" applyProtection="1">
      <alignment horizontal="center" vertical="center"/>
      <protection locked="0"/>
    </xf>
    <xf numFmtId="165" fontId="1" fillId="3" borderId="1" xfId="0" applyNumberFormat="1" applyFont="1" applyFill="1" applyBorder="1" applyAlignment="1" applyProtection="1">
      <alignment horizontal="center" vertical="center"/>
      <protection locked="0"/>
    </xf>
    <xf numFmtId="165" fontId="18" fillId="3" borderId="57" xfId="0" applyNumberFormat="1" applyFont="1" applyFill="1" applyBorder="1" applyAlignment="1" applyProtection="1">
      <alignment horizontal="center" vertical="center"/>
      <protection locked="0"/>
    </xf>
    <xf numFmtId="165" fontId="1" fillId="3" borderId="21" xfId="0" applyNumberFormat="1" applyFont="1" applyFill="1" applyBorder="1" applyAlignment="1" applyProtection="1">
      <alignment horizontal="center" vertical="center"/>
      <protection locked="0"/>
    </xf>
    <xf numFmtId="165" fontId="0" fillId="3" borderId="47" xfId="0" applyNumberFormat="1" applyFill="1" applyBorder="1" applyAlignment="1" applyProtection="1">
      <alignment horizontal="center" vertical="center"/>
      <protection locked="0"/>
    </xf>
    <xf numFmtId="165" fontId="0" fillId="3" borderId="40" xfId="0" applyNumberFormat="1" applyFill="1" applyBorder="1" applyAlignment="1" applyProtection="1">
      <alignment horizontal="center" vertical="center"/>
      <protection locked="0"/>
    </xf>
    <xf numFmtId="165" fontId="0" fillId="3" borderId="34" xfId="0" applyNumberFormat="1" applyFill="1" applyBorder="1" applyAlignment="1" applyProtection="1">
      <alignment horizontal="center" vertical="center"/>
      <protection locked="0"/>
    </xf>
    <xf numFmtId="1" fontId="0" fillId="3" borderId="44" xfId="0" applyNumberFormat="1" applyFill="1" applyBorder="1" applyAlignment="1" applyProtection="1">
      <alignment horizontal="center" vertical="center"/>
      <protection locked="0"/>
    </xf>
    <xf numFmtId="1" fontId="0" fillId="3" borderId="54" xfId="0" applyNumberFormat="1" applyFill="1" applyBorder="1" applyAlignment="1" applyProtection="1">
      <alignment horizontal="center" vertical="center"/>
      <protection locked="0"/>
    </xf>
    <xf numFmtId="1" fontId="0" fillId="3" borderId="45" xfId="0" applyNumberFormat="1" applyFill="1" applyBorder="1" applyAlignment="1" applyProtection="1">
      <alignment horizontal="center" vertical="center"/>
      <protection locked="0"/>
    </xf>
    <xf numFmtId="1" fontId="0" fillId="3" borderId="55" xfId="0" applyNumberFormat="1" applyFill="1" applyBorder="1" applyAlignment="1" applyProtection="1">
      <alignment horizontal="center" vertical="center"/>
      <protection locked="0"/>
    </xf>
    <xf numFmtId="167" fontId="1" fillId="3" borderId="55" xfId="0" applyNumberFormat="1" applyFont="1" applyFill="1" applyBorder="1" applyAlignment="1" applyProtection="1">
      <alignment horizontal="center" vertical="center"/>
      <protection locked="0"/>
    </xf>
    <xf numFmtId="1" fontId="27" fillId="3" borderId="52" xfId="0" applyNumberFormat="1" applyFont="1" applyFill="1" applyBorder="1" applyAlignment="1" applyProtection="1">
      <alignment horizontal="center" vertical="center"/>
      <protection locked="0"/>
    </xf>
    <xf numFmtId="1" fontId="27" fillId="3" borderId="39" xfId="0" applyNumberFormat="1" applyFont="1" applyFill="1" applyBorder="1" applyAlignment="1" applyProtection="1">
      <alignment horizontal="center" vertical="center"/>
      <protection locked="0"/>
    </xf>
    <xf numFmtId="165" fontId="0" fillId="3" borderId="73" xfId="1" applyNumberFormat="1" applyFont="1" applyFill="1" applyBorder="1" applyAlignment="1" applyProtection="1">
      <alignment horizontal="center" vertical="center"/>
      <protection locked="0"/>
    </xf>
    <xf numFmtId="165" fontId="27" fillId="3" borderId="52" xfId="0" applyNumberFormat="1" applyFont="1" applyFill="1" applyBorder="1" applyAlignment="1" applyProtection="1">
      <alignment horizontal="center" vertical="center"/>
      <protection locked="0"/>
    </xf>
    <xf numFmtId="165" fontId="0" fillId="3" borderId="44" xfId="0" applyNumberFormat="1" applyFill="1" applyBorder="1" applyAlignment="1" applyProtection="1">
      <alignment horizontal="center" vertical="center"/>
      <protection locked="0"/>
    </xf>
    <xf numFmtId="165" fontId="27" fillId="3" borderId="39" xfId="0" applyNumberFormat="1" applyFont="1" applyFill="1" applyBorder="1" applyAlignment="1" applyProtection="1">
      <alignment horizontal="center" vertical="center"/>
      <protection locked="0"/>
    </xf>
    <xf numFmtId="1" fontId="0" fillId="5" borderId="1" xfId="0" applyNumberFormat="1" applyFont="1" applyFill="1" applyBorder="1" applyAlignment="1" applyProtection="1">
      <alignment horizontal="center" vertical="center"/>
      <protection locked="0"/>
    </xf>
    <xf numFmtId="1" fontId="23" fillId="5" borderId="1" xfId="0" applyNumberFormat="1" applyFont="1" applyFill="1" applyBorder="1" applyAlignment="1" applyProtection="1">
      <alignment horizontal="center" vertical="center"/>
      <protection locked="0"/>
    </xf>
    <xf numFmtId="167" fontId="18" fillId="3" borderId="0" xfId="0" applyNumberFormat="1" applyFont="1" applyFill="1" applyAlignment="1" applyProtection="1">
      <alignment horizontal="center" vertical="center"/>
      <protection locked="0"/>
    </xf>
    <xf numFmtId="1" fontId="0" fillId="3" borderId="6" xfId="0" applyNumberFormat="1" applyFill="1" applyBorder="1" applyAlignment="1" applyProtection="1">
      <alignment horizontal="center" vertical="center" wrapText="1"/>
      <protection locked="0"/>
    </xf>
    <xf numFmtId="1" fontId="0" fillId="0" borderId="6" xfId="0" applyNumberFormat="1" applyBorder="1" applyAlignment="1">
      <alignment horizontal="center" vertical="center" wrapText="1"/>
    </xf>
    <xf numFmtId="1" fontId="27" fillId="3" borderId="1" xfId="0" applyNumberFormat="1" applyFont="1" applyFill="1" applyBorder="1" applyAlignment="1" applyProtection="1">
      <alignment horizontal="center" vertical="center"/>
      <protection locked="0"/>
    </xf>
    <xf numFmtId="165" fontId="18" fillId="3" borderId="1" xfId="0" applyNumberFormat="1" applyFont="1" applyFill="1" applyBorder="1" applyAlignment="1" applyProtection="1">
      <alignment horizontal="center" vertical="center"/>
      <protection locked="0"/>
    </xf>
    <xf numFmtId="3" fontId="48" fillId="0" borderId="62" xfId="0" applyNumberFormat="1" applyFont="1" applyFill="1" applyBorder="1" applyAlignment="1">
      <alignment horizontal="center" vertical="center" wrapText="1"/>
    </xf>
    <xf numFmtId="3" fontId="48" fillId="0" borderId="0" xfId="0" applyNumberFormat="1" applyFont="1" applyFill="1" applyBorder="1" applyAlignment="1">
      <alignment horizontal="center" vertical="center" wrapText="1"/>
    </xf>
    <xf numFmtId="3" fontId="48" fillId="21" borderId="44" xfId="0" applyNumberFormat="1" applyFont="1" applyFill="1" applyBorder="1" applyAlignment="1">
      <alignment horizontal="center" vertical="center"/>
    </xf>
    <xf numFmtId="0" fontId="156" fillId="0" borderId="0" xfId="0" applyFont="1" applyAlignment="1">
      <alignment horizontal="center" vertical="center"/>
    </xf>
    <xf numFmtId="0" fontId="0" fillId="0" borderId="0" xfId="0" applyBorder="1" applyAlignment="1">
      <alignment horizontal="center" vertical="center"/>
    </xf>
    <xf numFmtId="0" fontId="18" fillId="0" borderId="1" xfId="0" applyFont="1" applyBorder="1" applyAlignment="1">
      <alignment horizontal="center" vertical="center" wrapText="1"/>
    </xf>
    <xf numFmtId="0" fontId="0" fillId="0" borderId="0" xfId="0" applyBorder="1" applyAlignment="1">
      <alignment horizontal="center" vertical="center" wrapText="1"/>
    </xf>
    <xf numFmtId="0" fontId="27" fillId="0" borderId="0" xfId="0" applyFont="1" applyBorder="1" applyAlignment="1">
      <alignment horizontal="center" vertical="center"/>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27" fillId="0" borderId="0" xfId="0" applyFont="1" applyBorder="1" applyAlignment="1" applyProtection="1">
      <alignment horizontal="center" vertical="center"/>
    </xf>
    <xf numFmtId="0" fontId="18" fillId="0" borderId="49" xfId="0" applyFont="1" applyFill="1" applyBorder="1" applyAlignment="1">
      <alignment horizontal="center" vertical="center" wrapText="1"/>
    </xf>
    <xf numFmtId="0" fontId="0" fillId="0" borderId="0" xfId="0" applyAlignment="1"/>
    <xf numFmtId="1" fontId="18" fillId="0" borderId="1" xfId="0" applyNumberFormat="1" applyFont="1" applyBorder="1" applyAlignment="1">
      <alignment horizontal="center" vertical="center"/>
    </xf>
    <xf numFmtId="1" fontId="18" fillId="0" borderId="25" xfId="0" applyNumberFormat="1"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wrapText="1"/>
    </xf>
    <xf numFmtId="0" fontId="18" fillId="0" borderId="0" xfId="0" applyFont="1" applyFill="1" applyBorder="1" applyAlignment="1" applyProtection="1">
      <alignment horizontal="center" vertical="center" wrapText="1"/>
    </xf>
    <xf numFmtId="0" fontId="26" fillId="3" borderId="39" xfId="0" applyFont="1" applyFill="1" applyBorder="1" applyAlignment="1" applyProtection="1">
      <alignment horizontal="center" vertical="center"/>
      <protection locked="0"/>
    </xf>
    <xf numFmtId="0" fontId="26" fillId="0" borderId="4" xfId="0" applyFont="1" applyFill="1" applyBorder="1" applyAlignment="1">
      <alignment horizontal="center" vertical="center"/>
    </xf>
    <xf numFmtId="0" fontId="26" fillId="0" borderId="45" xfId="0" applyFont="1" applyFill="1" applyBorder="1" applyAlignment="1">
      <alignment horizontal="center" vertical="center"/>
    </xf>
    <xf numFmtId="3" fontId="26" fillId="0" borderId="55" xfId="0" applyNumberFormat="1" applyFont="1" applyBorder="1" applyAlignment="1">
      <alignment horizontal="center" vertical="center"/>
    </xf>
    <xf numFmtId="0" fontId="26" fillId="0" borderId="59" xfId="0" applyFont="1" applyFill="1" applyBorder="1" applyAlignment="1">
      <alignment horizontal="center" vertical="center"/>
    </xf>
    <xf numFmtId="167" fontId="26" fillId="0" borderId="51" xfId="0" applyNumberFormat="1" applyFont="1" applyFill="1" applyBorder="1" applyAlignment="1">
      <alignment horizontal="center" vertical="center"/>
    </xf>
    <xf numFmtId="0" fontId="3" fillId="0" borderId="20" xfId="0" applyFont="1" applyBorder="1" applyAlignment="1">
      <alignment horizontal="center" vertical="center"/>
    </xf>
    <xf numFmtId="0" fontId="3" fillId="0" borderId="20" xfId="0" applyFont="1" applyFill="1" applyBorder="1" applyAlignment="1">
      <alignment horizontal="center" vertical="center"/>
    </xf>
    <xf numFmtId="3" fontId="26" fillId="0" borderId="20" xfId="0" applyNumberFormat="1" applyFont="1" applyBorder="1" applyAlignment="1">
      <alignment horizontal="center" vertical="center"/>
    </xf>
    <xf numFmtId="3" fontId="26" fillId="0" borderId="30" xfId="0" applyNumberFormat="1" applyFont="1" applyBorder="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1" fontId="26" fillId="0" borderId="0" xfId="0" applyNumberFormat="1" applyFont="1" applyBorder="1" applyAlignment="1">
      <alignment horizontal="center" vertical="center"/>
    </xf>
    <xf numFmtId="0" fontId="14" fillId="0" borderId="0" xfId="0" applyFont="1" applyAlignment="1">
      <alignment horizontal="center" vertical="center"/>
    </xf>
    <xf numFmtId="3" fontId="3" fillId="0" borderId="0" xfId="0" applyNumberFormat="1" applyFont="1" applyBorder="1" applyAlignment="1">
      <alignment horizontal="center" vertical="center"/>
    </xf>
    <xf numFmtId="0" fontId="3" fillId="0" borderId="0" xfId="0" applyFont="1" applyBorder="1" applyAlignment="1">
      <alignment horizontal="center" vertical="center"/>
    </xf>
    <xf numFmtId="167" fontId="3" fillId="0" borderId="0" xfId="0" applyNumberFormat="1" applyFont="1" applyBorder="1" applyAlignment="1">
      <alignment horizontal="center" vertical="center"/>
    </xf>
    <xf numFmtId="0" fontId="14" fillId="0" borderId="0" xfId="0" applyFont="1" applyBorder="1" applyAlignment="1">
      <alignment horizontal="right" vertical="center"/>
    </xf>
    <xf numFmtId="3" fontId="26" fillId="0" borderId="0" xfId="0" applyNumberFormat="1" applyFont="1" applyBorder="1" applyAlignment="1">
      <alignment horizontal="center" vertical="center"/>
    </xf>
    <xf numFmtId="0" fontId="1" fillId="0" borderId="0" xfId="0" applyFont="1" applyAlignment="1">
      <alignment horizontal="left" vertical="center" wrapText="1"/>
    </xf>
    <xf numFmtId="0" fontId="0" fillId="0" borderId="0" xfId="0" applyAlignment="1">
      <alignment vertical="center"/>
    </xf>
    <xf numFmtId="0" fontId="0" fillId="0" borderId="0" xfId="0" applyBorder="1" applyAlignment="1">
      <alignment horizontal="center" vertical="center"/>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0" fontId="18" fillId="0" borderId="0" xfId="0" applyFont="1" applyBorder="1" applyAlignment="1">
      <alignment horizontal="center" vertical="center" wrapText="1"/>
    </xf>
    <xf numFmtId="0" fontId="18" fillId="0" borderId="0" xfId="0" applyFont="1" applyAlignment="1">
      <alignment horizontal="center" vertical="center" wrapText="1"/>
    </xf>
    <xf numFmtId="0" fontId="0" fillId="0" borderId="0" xfId="0" applyAlignment="1"/>
    <xf numFmtId="1" fontId="23" fillId="0" borderId="44" xfId="0" applyNumberFormat="1"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horizontal="center" vertical="center" wrapText="1"/>
    </xf>
    <xf numFmtId="0" fontId="1" fillId="0" borderId="11" xfId="0" applyFont="1" applyBorder="1" applyAlignment="1">
      <alignment horizontal="center" vertical="center" wrapText="1"/>
    </xf>
    <xf numFmtId="0" fontId="23" fillId="0" borderId="0" xfId="0" applyFont="1" applyAlignment="1">
      <alignment horizontal="center" vertical="center" wrapText="1"/>
    </xf>
    <xf numFmtId="0" fontId="40" fillId="0" borderId="0" xfId="0" applyFont="1" applyAlignment="1">
      <alignment horizontal="center" vertical="center" wrapText="1"/>
    </xf>
    <xf numFmtId="0" fontId="0" fillId="0" borderId="6" xfId="0" applyBorder="1"/>
    <xf numFmtId="0" fontId="0" fillId="0" borderId="9" xfId="0" applyBorder="1"/>
    <xf numFmtId="0" fontId="0" fillId="0" borderId="7" xfId="0" applyBorder="1"/>
    <xf numFmtId="0" fontId="74" fillId="0" borderId="1" xfId="0" applyFont="1" applyBorder="1" applyAlignment="1">
      <alignment horizontal="right" vertical="center" wrapText="1"/>
    </xf>
    <xf numFmtId="0" fontId="6" fillId="0" borderId="0" xfId="0" applyFont="1" applyBorder="1" applyAlignment="1">
      <alignment horizontal="left" vertical="center"/>
    </xf>
    <xf numFmtId="0" fontId="6" fillId="0" borderId="14" xfId="0" applyFont="1" applyBorder="1" applyAlignment="1">
      <alignment horizontal="left" vertical="center"/>
    </xf>
    <xf numFmtId="0" fontId="36" fillId="0" borderId="13" xfId="0" applyFont="1" applyFill="1" applyBorder="1" applyAlignment="1">
      <alignment horizontal="left" vertical="center"/>
    </xf>
    <xf numFmtId="44" fontId="1" fillId="0" borderId="14" xfId="2" applyFont="1" applyBorder="1" applyAlignment="1">
      <alignment horizontal="left" vertical="center"/>
    </xf>
    <xf numFmtId="0" fontId="1" fillId="0" borderId="14" xfId="0" applyFont="1" applyBorder="1" applyAlignment="1">
      <alignment horizontal="left" vertical="center"/>
    </xf>
    <xf numFmtId="0" fontId="18" fillId="0" borderId="25" xfId="0" applyFont="1" applyBorder="1" applyAlignment="1">
      <alignment horizontal="left" vertical="center"/>
    </xf>
    <xf numFmtId="0" fontId="74" fillId="0" borderId="1" xfId="0" applyFont="1" applyBorder="1" applyAlignment="1">
      <alignment horizontal="left" vertical="center" wrapText="1"/>
    </xf>
    <xf numFmtId="0" fontId="74" fillId="0" borderId="2" xfId="0" applyFont="1" applyBorder="1" applyAlignment="1">
      <alignment horizontal="right" vertical="center" wrapText="1"/>
    </xf>
    <xf numFmtId="0" fontId="81" fillId="0" borderId="4" xfId="0" applyFont="1" applyBorder="1" applyAlignment="1">
      <alignment horizontal="left" vertical="center" wrapText="1"/>
    </xf>
    <xf numFmtId="0" fontId="1" fillId="0" borderId="6" xfId="0" applyFont="1" applyBorder="1" applyAlignment="1">
      <alignment vertical="center"/>
    </xf>
    <xf numFmtId="0" fontId="0" fillId="3" borderId="5" xfId="0" applyFill="1" applyBorder="1" applyAlignment="1" applyProtection="1">
      <alignment horizontal="center" vertical="center" wrapText="1"/>
      <protection locked="0"/>
    </xf>
    <xf numFmtId="0" fontId="0" fillId="11" borderId="0" xfId="0" applyFill="1" applyBorder="1" applyAlignment="1" applyProtection="1">
      <alignment horizontal="center" vertical="center" wrapText="1"/>
      <protection locked="0"/>
    </xf>
    <xf numFmtId="0" fontId="15" fillId="11" borderId="11" xfId="0" applyFont="1" applyFill="1" applyBorder="1" applyAlignment="1" applyProtection="1">
      <alignment horizontal="center" vertical="center" wrapText="1"/>
      <protection locked="0"/>
    </xf>
    <xf numFmtId="0" fontId="50" fillId="11" borderId="11"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21" fillId="11" borderId="11" xfId="0" applyFont="1" applyFill="1" applyBorder="1" applyAlignment="1" applyProtection="1">
      <alignment horizontal="center" vertical="center" wrapText="1"/>
      <protection locked="0"/>
    </xf>
    <xf numFmtId="0" fontId="51" fillId="11" borderId="11" xfId="0" applyFont="1" applyFill="1" applyBorder="1" applyAlignment="1" applyProtection="1">
      <alignment horizontal="center" vertical="center" wrapText="1"/>
      <protection locked="0"/>
    </xf>
    <xf numFmtId="0" fontId="15" fillId="11" borderId="1" xfId="0" applyFont="1" applyFill="1" applyBorder="1" applyAlignment="1" applyProtection="1">
      <alignment horizontal="center" vertical="center" wrapText="1"/>
      <protection locked="0"/>
    </xf>
    <xf numFmtId="1" fontId="15" fillId="11" borderId="1" xfId="0" applyNumberFormat="1" applyFont="1" applyFill="1" applyBorder="1" applyAlignment="1" applyProtection="1">
      <alignment horizontal="center" vertical="center" wrapText="1"/>
      <protection locked="0"/>
    </xf>
    <xf numFmtId="0" fontId="52" fillId="0" borderId="1" xfId="0" applyFont="1" applyBorder="1" applyAlignment="1">
      <alignment horizontal="center" vertical="center" wrapText="1"/>
    </xf>
    <xf numFmtId="1" fontId="21" fillId="0" borderId="1" xfId="0" applyNumberFormat="1" applyFont="1" applyBorder="1" applyAlignment="1">
      <alignment horizontal="center" vertical="center"/>
    </xf>
    <xf numFmtId="1" fontId="32" fillId="0" borderId="25" xfId="0" applyNumberFormat="1" applyFont="1" applyBorder="1" applyAlignment="1">
      <alignment horizontal="center" vertical="center"/>
    </xf>
    <xf numFmtId="0" fontId="133" fillId="0" borderId="1" xfId="0" applyFont="1" applyBorder="1" applyAlignment="1">
      <alignment horizontal="center" vertical="center" wrapText="1"/>
    </xf>
    <xf numFmtId="1" fontId="156" fillId="0" borderId="1" xfId="0" applyNumberFormat="1" applyFont="1" applyBorder="1" applyAlignment="1">
      <alignment horizontal="center" vertical="center"/>
    </xf>
    <xf numFmtId="1" fontId="117" fillId="0" borderId="25" xfId="0" applyNumberFormat="1" applyFont="1" applyBorder="1" applyAlignment="1">
      <alignment horizontal="center" vertical="center"/>
    </xf>
    <xf numFmtId="1" fontId="161" fillId="0" borderId="1" xfId="0" applyNumberFormat="1" applyFont="1" applyBorder="1" applyAlignment="1">
      <alignment horizontal="center" vertical="center"/>
    </xf>
    <xf numFmtId="1" fontId="123" fillId="0" borderId="0" xfId="0" applyNumberFormat="1" applyFont="1" applyFill="1" applyBorder="1" applyAlignment="1">
      <alignment horizontal="right" vertical="center"/>
    </xf>
    <xf numFmtId="1" fontId="117" fillId="0" borderId="1" xfId="0" applyNumberFormat="1" applyFont="1" applyBorder="1" applyAlignment="1">
      <alignment horizontal="center" vertical="center"/>
    </xf>
    <xf numFmtId="0" fontId="156" fillId="0" borderId="0" xfId="0" applyFont="1" applyBorder="1" applyAlignment="1">
      <alignment horizontal="center" vertical="center"/>
    </xf>
    <xf numFmtId="1" fontId="34" fillId="0" borderId="1" xfId="0" applyNumberFormat="1" applyFont="1" applyBorder="1" applyAlignment="1" applyProtection="1">
      <alignment horizontal="center" vertical="center"/>
    </xf>
    <xf numFmtId="3" fontId="117" fillId="0" borderId="0" xfId="0" applyNumberFormat="1" applyFont="1" applyBorder="1" applyAlignment="1" applyProtection="1">
      <alignment horizontal="center" vertical="center"/>
    </xf>
    <xf numFmtId="0" fontId="161" fillId="0" borderId="0" xfId="0" applyFont="1" applyAlignment="1">
      <alignment horizontal="center" vertical="center"/>
    </xf>
    <xf numFmtId="1" fontId="161" fillId="0" borderId="1" xfId="0" applyNumberFormat="1" applyFont="1" applyFill="1" applyBorder="1" applyAlignment="1">
      <alignment horizontal="center" vertical="center"/>
    </xf>
    <xf numFmtId="0" fontId="117" fillId="0" borderId="0" xfId="0" applyFont="1" applyAlignment="1">
      <alignment horizontal="center" vertical="center"/>
    </xf>
    <xf numFmtId="0" fontId="52" fillId="0" borderId="1" xfId="0" applyFont="1" applyBorder="1" applyAlignment="1" applyProtection="1">
      <alignment horizontal="center" vertical="center" wrapText="1"/>
    </xf>
    <xf numFmtId="0" fontId="11" fillId="0" borderId="1" xfId="0" applyFont="1" applyBorder="1" applyAlignment="1" applyProtection="1">
      <alignment horizontal="center" vertical="center" wrapText="1"/>
    </xf>
    <xf numFmtId="1" fontId="39" fillId="0" borderId="1" xfId="0" applyNumberFormat="1" applyFont="1" applyBorder="1" applyAlignment="1">
      <alignment horizontal="center" vertical="center"/>
    </xf>
    <xf numFmtId="1" fontId="34" fillId="0" borderId="1" xfId="0" applyNumberFormat="1" applyFont="1" applyBorder="1" applyAlignment="1">
      <alignment horizontal="center" vertical="center"/>
    </xf>
    <xf numFmtId="0" fontId="0" fillId="0" borderId="0" xfId="0" applyFill="1" applyBorder="1" applyAlignment="1">
      <alignment horizontal="center" vertical="center" wrapText="1"/>
    </xf>
    <xf numFmtId="0" fontId="37" fillId="0" borderId="0" xfId="3"/>
    <xf numFmtId="0" fontId="0" fillId="0" borderId="0" xfId="0" applyAlignment="1">
      <alignment horizontal="left" vertical="center" indent="1"/>
    </xf>
    <xf numFmtId="4" fontId="18" fillId="0" borderId="12" xfId="0" applyNumberFormat="1" applyFont="1" applyFill="1" applyBorder="1" applyAlignment="1">
      <alignment horizontal="center" vertical="center"/>
    </xf>
    <xf numFmtId="3" fontId="18" fillId="0" borderId="52" xfId="0" applyNumberFormat="1" applyFont="1" applyFill="1" applyBorder="1" applyAlignment="1">
      <alignment horizontal="center" vertical="center"/>
    </xf>
    <xf numFmtId="171" fontId="11" fillId="0" borderId="52" xfId="0" applyNumberFormat="1" applyFont="1" applyFill="1" applyBorder="1" applyAlignment="1">
      <alignment horizontal="center" vertical="center"/>
    </xf>
    <xf numFmtId="171" fontId="143" fillId="0" borderId="54" xfId="0" applyNumberFormat="1" applyFont="1" applyFill="1" applyBorder="1" applyAlignment="1">
      <alignment horizontal="center" vertical="center"/>
    </xf>
    <xf numFmtId="3" fontId="18" fillId="0" borderId="76" xfId="0" applyNumberFormat="1" applyFont="1" applyFill="1" applyBorder="1" applyAlignment="1">
      <alignment horizontal="center" vertical="center"/>
    </xf>
    <xf numFmtId="3" fontId="18" fillId="0" borderId="73" xfId="0" applyNumberFormat="1" applyFont="1" applyFill="1" applyBorder="1" applyAlignment="1">
      <alignment horizontal="center" vertical="center"/>
    </xf>
    <xf numFmtId="3" fontId="143" fillId="0" borderId="2" xfId="0" applyNumberFormat="1" applyFont="1" applyFill="1" applyBorder="1" applyAlignment="1">
      <alignment horizontal="center" vertical="center"/>
    </xf>
    <xf numFmtId="171" fontId="11" fillId="0" borderId="39" xfId="0" applyNumberFormat="1" applyFont="1" applyFill="1" applyBorder="1" applyAlignment="1">
      <alignment horizontal="center" vertical="center"/>
    </xf>
    <xf numFmtId="171" fontId="143" fillId="0" borderId="45" xfId="0" applyNumberFormat="1" applyFont="1" applyFill="1" applyBorder="1" applyAlignment="1">
      <alignment horizontal="center" vertical="center"/>
    </xf>
    <xf numFmtId="171" fontId="11" fillId="0" borderId="1" xfId="0" applyNumberFormat="1" applyFont="1" applyFill="1" applyBorder="1" applyAlignment="1">
      <alignment horizontal="center" vertical="center"/>
    </xf>
    <xf numFmtId="171" fontId="11" fillId="0" borderId="45" xfId="0" applyNumberFormat="1" applyFont="1" applyFill="1" applyBorder="1" applyAlignment="1">
      <alignment horizontal="center" vertical="center"/>
    </xf>
    <xf numFmtId="3" fontId="18" fillId="0" borderId="64" xfId="0" applyNumberFormat="1" applyFont="1" applyFill="1" applyBorder="1" applyAlignment="1">
      <alignment horizontal="center" vertical="center"/>
    </xf>
    <xf numFmtId="3" fontId="143" fillId="0" borderId="9" xfId="0" applyNumberFormat="1" applyFont="1" applyFill="1" applyBorder="1" applyAlignment="1">
      <alignment horizontal="center" vertical="center"/>
    </xf>
    <xf numFmtId="3" fontId="11" fillId="0" borderId="76" xfId="0" applyNumberFormat="1" applyFont="1" applyFill="1" applyBorder="1" applyAlignment="1">
      <alignment horizontal="center" vertical="center"/>
    </xf>
    <xf numFmtId="4" fontId="11" fillId="0" borderId="3" xfId="0" applyNumberFormat="1" applyFont="1" applyFill="1" applyBorder="1" applyAlignment="1">
      <alignment horizontal="center" vertical="center"/>
    </xf>
    <xf numFmtId="3" fontId="11" fillId="0" borderId="39" xfId="0" quotePrefix="1" applyNumberFormat="1" applyFont="1" applyFill="1" applyBorder="1" applyAlignment="1">
      <alignment horizontal="center" vertical="center"/>
    </xf>
    <xf numFmtId="3" fontId="11" fillId="0" borderId="39" xfId="0" applyNumberFormat="1" applyFont="1" applyFill="1" applyBorder="1" applyAlignment="1">
      <alignment horizontal="center" vertical="center"/>
    </xf>
    <xf numFmtId="3" fontId="11" fillId="0" borderId="1" xfId="0" applyNumberFormat="1" applyFont="1" applyFill="1" applyBorder="1" applyAlignment="1">
      <alignment horizontal="center" vertical="center"/>
    </xf>
    <xf numFmtId="3" fontId="11" fillId="0" borderId="2" xfId="0" applyNumberFormat="1" applyFont="1" applyFill="1" applyBorder="1" applyAlignment="1">
      <alignment horizontal="center" vertical="center"/>
    </xf>
    <xf numFmtId="4" fontId="18" fillId="0" borderId="11" xfId="0" applyNumberFormat="1" applyFont="1" applyFill="1" applyBorder="1" applyAlignment="1">
      <alignment horizontal="center" vertical="center"/>
    </xf>
    <xf numFmtId="3" fontId="18" fillId="0" borderId="65" xfId="0" applyNumberFormat="1" applyFont="1" applyFill="1" applyBorder="1" applyAlignment="1">
      <alignment horizontal="center" vertical="center"/>
    </xf>
    <xf numFmtId="3" fontId="143" fillId="0" borderId="7" xfId="0" applyNumberFormat="1" applyFont="1" applyFill="1" applyBorder="1" applyAlignment="1">
      <alignment horizontal="center" vertical="center"/>
    </xf>
    <xf numFmtId="4" fontId="18" fillId="0" borderId="73" xfId="0" applyNumberFormat="1" applyFont="1" applyFill="1" applyBorder="1" applyAlignment="1">
      <alignment horizontal="center" vertical="center"/>
    </xf>
    <xf numFmtId="3" fontId="143" fillId="0" borderId="58" xfId="0" applyNumberFormat="1" applyFont="1" applyFill="1" applyBorder="1" applyAlignment="1">
      <alignment horizontal="center" vertical="center"/>
    </xf>
    <xf numFmtId="4" fontId="18" fillId="0" borderId="40" xfId="0" applyNumberFormat="1" applyFont="1" applyFill="1" applyBorder="1" applyAlignment="1">
      <alignment horizontal="center" vertical="center"/>
    </xf>
    <xf numFmtId="3" fontId="18" fillId="0" borderId="39" xfId="0" quotePrefix="1" applyNumberFormat="1" applyFont="1" applyFill="1" applyBorder="1" applyAlignment="1">
      <alignment horizontal="center" vertical="center"/>
    </xf>
    <xf numFmtId="4" fontId="18" fillId="0" borderId="71" xfId="0" applyNumberFormat="1" applyFont="1" applyFill="1" applyBorder="1" applyAlignment="1">
      <alignment horizontal="center" vertical="center"/>
    </xf>
    <xf numFmtId="0" fontId="18" fillId="22" borderId="16" xfId="0" applyFont="1" applyFill="1" applyBorder="1" applyAlignment="1">
      <alignment horizontal="center" vertical="top"/>
    </xf>
    <xf numFmtId="3" fontId="60" fillId="14" borderId="20" xfId="0" applyNumberFormat="1" applyFont="1" applyFill="1" applyBorder="1" applyAlignment="1">
      <alignment horizontal="center" vertical="center"/>
    </xf>
    <xf numFmtId="3" fontId="60" fillId="0" borderId="19" xfId="0" applyNumberFormat="1" applyFont="1" applyFill="1" applyBorder="1" applyAlignment="1">
      <alignment horizontal="center" vertical="center"/>
    </xf>
    <xf numFmtId="171" fontId="32" fillId="14" borderId="62"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22" fillId="0" borderId="14" xfId="0" applyNumberFormat="1" applyFont="1" applyFill="1" applyBorder="1" applyAlignment="1">
      <alignment horizontal="center" vertical="center"/>
    </xf>
    <xf numFmtId="3" fontId="136" fillId="0" borderId="14" xfId="0" quotePrefix="1" applyNumberFormat="1" applyFont="1" applyFill="1" applyBorder="1" applyAlignment="1">
      <alignment horizontal="center" vertical="center"/>
    </xf>
    <xf numFmtId="3" fontId="137" fillId="0" borderId="14"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0" fontId="120" fillId="0" borderId="0" xfId="0" applyFont="1" applyFill="1" applyBorder="1" applyAlignment="1">
      <alignment horizontal="center" vertical="center" wrapText="1"/>
    </xf>
    <xf numFmtId="171" fontId="60" fillId="0" borderId="68" xfId="0" applyNumberFormat="1" applyFont="1" applyFill="1" applyBorder="1" applyAlignment="1">
      <alignment horizontal="center" vertical="center"/>
    </xf>
    <xf numFmtId="3" fontId="60" fillId="0" borderId="44" xfId="0" applyNumberFormat="1" applyFont="1" applyFill="1" applyBorder="1" applyAlignment="1">
      <alignment horizontal="center" vertical="center"/>
    </xf>
    <xf numFmtId="3" fontId="145" fillId="0" borderId="60" xfId="0" applyNumberFormat="1" applyFont="1" applyFill="1" applyBorder="1" applyAlignment="1">
      <alignment horizontal="center" vertical="center"/>
    </xf>
    <xf numFmtId="3" fontId="145" fillId="0" borderId="20" xfId="0" applyNumberFormat="1" applyFont="1" applyFill="1" applyBorder="1" applyAlignment="1">
      <alignment horizontal="center" vertical="center"/>
    </xf>
    <xf numFmtId="3" fontId="145" fillId="0" borderId="46" xfId="0" applyNumberFormat="1" applyFont="1" applyFill="1" applyBorder="1" applyAlignment="1">
      <alignment horizontal="center" vertical="center"/>
    </xf>
    <xf numFmtId="0" fontId="120" fillId="14" borderId="15" xfId="0" applyFont="1" applyFill="1" applyBorder="1" applyAlignment="1">
      <alignment vertical="center" wrapText="1"/>
    </xf>
    <xf numFmtId="0" fontId="0" fillId="0" borderId="0" xfId="0" applyFill="1" applyBorder="1" applyAlignment="1">
      <alignment horizontal="center" vertical="center" wrapText="1"/>
    </xf>
    <xf numFmtId="171" fontId="32" fillId="14" borderId="61" xfId="0" applyNumberFormat="1" applyFont="1" applyFill="1" applyBorder="1" applyAlignment="1">
      <alignment horizontal="center" vertical="center"/>
    </xf>
    <xf numFmtId="0" fontId="18" fillId="17" borderId="29" xfId="0" applyFont="1" applyFill="1" applyBorder="1" applyAlignment="1">
      <alignment horizontal="center" vertical="top"/>
    </xf>
    <xf numFmtId="0" fontId="18" fillId="0" borderId="0" xfId="0" applyFont="1" applyBorder="1" applyAlignment="1">
      <alignment horizontal="center" vertical="center" wrapText="1"/>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27" fillId="0" borderId="0" xfId="0" applyFont="1" applyBorder="1" applyAlignment="1" applyProtection="1">
      <alignment horizontal="center" vertical="center"/>
    </xf>
    <xf numFmtId="0" fontId="0" fillId="0" borderId="0" xfId="0" applyBorder="1" applyAlignment="1">
      <alignment horizontal="center" vertical="center"/>
    </xf>
    <xf numFmtId="0" fontId="18" fillId="0" borderId="1" xfId="0" applyFont="1" applyBorder="1" applyAlignment="1">
      <alignment horizontal="center" vertical="center" wrapText="1"/>
    </xf>
    <xf numFmtId="0" fontId="0" fillId="0" borderId="0" xfId="0" applyBorder="1" applyAlignment="1">
      <alignment horizontal="center" vertical="center" wrapText="1"/>
    </xf>
    <xf numFmtId="0" fontId="27" fillId="0" borderId="0" xfId="0" applyFont="1" applyBorder="1" applyAlignment="1">
      <alignment horizontal="center" vertical="center"/>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1" fillId="0" borderId="16" xfId="0" applyFont="1" applyBorder="1" applyAlignment="1" applyProtection="1">
      <alignment horizontal="center" vertical="center"/>
    </xf>
    <xf numFmtId="0" fontId="1" fillId="0" borderId="0" xfId="0" applyFont="1" applyBorder="1" applyAlignment="1" applyProtection="1">
      <alignment horizontal="center" vertical="center"/>
    </xf>
    <xf numFmtId="0" fontId="27" fillId="0" borderId="0" xfId="0" applyFont="1" applyBorder="1" applyAlignment="1" applyProtection="1">
      <alignment horizontal="center" vertical="center"/>
    </xf>
    <xf numFmtId="0" fontId="1" fillId="0" borderId="44" xfId="0" applyFont="1" applyBorder="1" applyAlignment="1">
      <alignment horizontal="center" vertical="center"/>
    </xf>
    <xf numFmtId="0" fontId="1" fillId="0" borderId="1" xfId="0" applyFont="1" applyBorder="1" applyAlignment="1">
      <alignment horizontal="center" vertical="center"/>
    </xf>
    <xf numFmtId="1" fontId="18" fillId="0" borderId="1" xfId="0" applyNumberFormat="1" applyFont="1" applyBorder="1" applyAlignment="1">
      <alignment horizontal="center" vertical="center"/>
    </xf>
    <xf numFmtId="1" fontId="18" fillId="0" borderId="25" xfId="0" applyNumberFormat="1"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wrapText="1"/>
    </xf>
    <xf numFmtId="165" fontId="1" fillId="2" borderId="39" xfId="0" applyNumberFormat="1" applyFont="1" applyFill="1" applyBorder="1" applyAlignment="1" applyProtection="1">
      <alignment horizontal="center" vertical="center"/>
      <protection locked="0"/>
    </xf>
    <xf numFmtId="1" fontId="2" fillId="0" borderId="39" xfId="0" applyNumberFormat="1" applyFont="1" applyFill="1" applyBorder="1" applyAlignment="1">
      <alignment horizontal="center" vertical="center"/>
    </xf>
    <xf numFmtId="1" fontId="165" fillId="0" borderId="5" xfId="0" applyNumberFormat="1" applyFont="1" applyBorder="1" applyAlignment="1">
      <alignment horizontal="center" vertical="center" wrapText="1"/>
    </xf>
    <xf numFmtId="1" fontId="165" fillId="0" borderId="10" xfId="0" applyNumberFormat="1" applyFont="1" applyBorder="1" applyAlignment="1">
      <alignment horizontal="center" vertical="center" wrapText="1"/>
    </xf>
    <xf numFmtId="1" fontId="166" fillId="0" borderId="3" xfId="0" applyNumberFormat="1" applyFont="1" applyBorder="1" applyAlignment="1">
      <alignment horizontal="center" vertical="center" wrapText="1"/>
    </xf>
    <xf numFmtId="1" fontId="166" fillId="0" borderId="4" xfId="0" applyNumberFormat="1" applyFont="1" applyBorder="1" applyAlignment="1">
      <alignment horizontal="center" vertical="center" wrapText="1"/>
    </xf>
    <xf numFmtId="3" fontId="117" fillId="3" borderId="62" xfId="0" applyNumberFormat="1" applyFont="1" applyFill="1" applyBorder="1" applyAlignment="1">
      <alignment horizontal="center" vertical="center"/>
    </xf>
    <xf numFmtId="3" fontId="146" fillId="3" borderId="21" xfId="0" applyNumberFormat="1" applyFont="1" applyFill="1" applyBorder="1" applyAlignment="1">
      <alignment horizontal="center" vertical="center"/>
    </xf>
    <xf numFmtId="3" fontId="146" fillId="3" borderId="20" xfId="0" applyNumberFormat="1" applyFont="1" applyFill="1" applyBorder="1" applyAlignment="1">
      <alignment horizontal="center" vertical="center"/>
    </xf>
    <xf numFmtId="171" fontId="117" fillId="3" borderId="62" xfId="0" applyNumberFormat="1" applyFont="1" applyFill="1" applyBorder="1" applyAlignment="1">
      <alignment horizontal="center" vertical="center"/>
    </xf>
    <xf numFmtId="171" fontId="118" fillId="3" borderId="62" xfId="0" applyNumberFormat="1" applyFont="1" applyFill="1" applyBorder="1" applyAlignment="1">
      <alignment horizontal="center" vertical="center"/>
    </xf>
    <xf numFmtId="0" fontId="162" fillId="3" borderId="19" xfId="0" applyFont="1" applyFill="1" applyBorder="1" applyAlignment="1">
      <alignment vertical="center" wrapText="1"/>
    </xf>
    <xf numFmtId="0" fontId="26" fillId="0" borderId="37" xfId="0" applyFont="1" applyFill="1" applyBorder="1" applyAlignment="1">
      <alignment horizontal="center" vertical="center"/>
    </xf>
    <xf numFmtId="0" fontId="26" fillId="0" borderId="64" xfId="0" applyFont="1" applyFill="1" applyBorder="1" applyAlignment="1">
      <alignment horizontal="center" vertical="center"/>
    </xf>
    <xf numFmtId="0" fontId="26" fillId="2" borderId="39" xfId="0" applyFont="1" applyFill="1" applyBorder="1" applyAlignment="1" applyProtection="1">
      <alignment horizontal="center" vertical="center"/>
      <protection locked="0"/>
    </xf>
    <xf numFmtId="0" fontId="18" fillId="0" borderId="0" xfId="0" applyFont="1" applyBorder="1" applyAlignment="1">
      <alignment horizontal="center" vertical="center"/>
    </xf>
    <xf numFmtId="0" fontId="23" fillId="0" borderId="0" xfId="0" applyFont="1" applyBorder="1" applyAlignment="1">
      <alignment horizontal="center"/>
    </xf>
    <xf numFmtId="0" fontId="23" fillId="0" borderId="0" xfId="0" applyFont="1" applyFill="1" applyBorder="1" applyAlignment="1">
      <alignment horizontal="center" vertical="top" wrapText="1"/>
    </xf>
    <xf numFmtId="2" fontId="23" fillId="0" borderId="0" xfId="0" applyNumberFormat="1" applyFont="1" applyFill="1" applyBorder="1" applyAlignment="1">
      <alignment horizontal="center" vertical="top" wrapText="1"/>
    </xf>
    <xf numFmtId="1" fontId="23" fillId="0" borderId="0" xfId="0" applyNumberFormat="1" applyFont="1" applyBorder="1" applyAlignment="1">
      <alignment horizontal="center"/>
    </xf>
    <xf numFmtId="2" fontId="23" fillId="0" borderId="0" xfId="0" applyNumberFormat="1" applyFont="1" applyBorder="1" applyAlignment="1">
      <alignment horizontal="center"/>
    </xf>
    <xf numFmtId="2" fontId="23" fillId="0" borderId="0" xfId="0" applyNumberFormat="1" applyFont="1" applyFill="1" applyBorder="1" applyAlignment="1">
      <alignment horizontal="center" wrapText="1"/>
    </xf>
    <xf numFmtId="1" fontId="23"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1" fontId="23" fillId="0" borderId="0" xfId="0" applyNumberFormat="1" applyFont="1" applyFill="1" applyBorder="1" applyAlignment="1">
      <alignment horizontal="center" vertical="top" wrapText="1"/>
    </xf>
    <xf numFmtId="1" fontId="23" fillId="23" borderId="0" xfId="0" applyNumberFormat="1" applyFont="1" applyFill="1" applyBorder="1" applyAlignment="1">
      <alignment horizontal="center"/>
    </xf>
    <xf numFmtId="2" fontId="23" fillId="23" borderId="0" xfId="0" applyNumberFormat="1" applyFont="1" applyFill="1" applyBorder="1" applyAlignment="1">
      <alignment horizontal="center"/>
    </xf>
    <xf numFmtId="0" fontId="0" fillId="23" borderId="0" xfId="0" applyFill="1" applyBorder="1" applyAlignment="1">
      <alignment horizontal="center"/>
    </xf>
    <xf numFmtId="167" fontId="23" fillId="0" borderId="0" xfId="0" applyNumberFormat="1" applyFont="1" applyBorder="1" applyAlignment="1">
      <alignment horizontal="center"/>
    </xf>
    <xf numFmtId="0" fontId="23" fillId="0" borderId="0" xfId="0" applyNumberFormat="1" applyFont="1" applyFill="1" applyBorder="1" applyAlignment="1" applyProtection="1">
      <alignment horizontal="center" vertical="top" wrapText="1"/>
    </xf>
    <xf numFmtId="2" fontId="23" fillId="0" borderId="0" xfId="0" applyNumberFormat="1" applyFont="1" applyFill="1" applyBorder="1" applyAlignment="1" applyProtection="1">
      <alignment horizontal="center" vertical="top" wrapText="1"/>
    </xf>
    <xf numFmtId="1" fontId="23" fillId="0" borderId="0" xfId="0" applyNumberFormat="1" applyFont="1" applyFill="1" applyBorder="1" applyAlignment="1">
      <alignment horizontal="center"/>
    </xf>
    <xf numFmtId="2" fontId="23" fillId="0" borderId="0" xfId="0" applyNumberFormat="1" applyFont="1" applyFill="1" applyBorder="1" applyAlignment="1">
      <alignment horizontal="center"/>
    </xf>
    <xf numFmtId="0" fontId="0" fillId="24" borderId="0" xfId="0" applyFill="1" applyBorder="1" applyAlignment="1">
      <alignment horizontal="center"/>
    </xf>
    <xf numFmtId="2" fontId="34" fillId="0" borderId="0" xfId="5" applyNumberFormat="1" applyFont="1" applyBorder="1" applyAlignment="1">
      <alignment horizontal="center"/>
    </xf>
    <xf numFmtId="1" fontId="26" fillId="0" borderId="1" xfId="0" applyNumberFormat="1" applyFont="1" applyFill="1" applyBorder="1" applyAlignment="1">
      <alignment horizontal="center" vertical="center"/>
    </xf>
    <xf numFmtId="1" fontId="26" fillId="0" borderId="39" xfId="0" applyNumberFormat="1" applyFont="1" applyFill="1" applyBorder="1" applyAlignment="1">
      <alignment horizontal="center" vertical="center"/>
    </xf>
    <xf numFmtId="1" fontId="26" fillId="0" borderId="21" xfId="0" applyNumberFormat="1" applyFont="1" applyFill="1" applyBorder="1" applyAlignment="1">
      <alignment horizontal="center" vertical="center"/>
    </xf>
    <xf numFmtId="165" fontId="26" fillId="0" borderId="37" xfId="0" applyNumberFormat="1" applyFont="1" applyFill="1" applyBorder="1" applyAlignment="1" applyProtection="1">
      <alignment horizontal="center" vertical="center"/>
      <protection locked="0"/>
    </xf>
    <xf numFmtId="165" fontId="1" fillId="2" borderId="49" xfId="0" applyNumberFormat="1" applyFont="1" applyFill="1" applyBorder="1" applyAlignment="1" applyProtection="1">
      <alignment horizontal="center" vertical="center"/>
      <protection locked="0"/>
    </xf>
    <xf numFmtId="3" fontId="26" fillId="0" borderId="45" xfId="0" applyNumberFormat="1" applyFont="1" applyBorder="1" applyAlignment="1">
      <alignment horizontal="center" vertical="center"/>
    </xf>
    <xf numFmtId="1" fontId="15" fillId="0" borderId="1" xfId="0" applyNumberFormat="1" applyFont="1" applyBorder="1" applyAlignment="1">
      <alignment horizontal="center" vertical="center"/>
    </xf>
    <xf numFmtId="2" fontId="39" fillId="0" borderId="0" xfId="5" applyNumberFormat="1" applyFont="1" applyBorder="1" applyAlignment="1">
      <alignment horizontal="center"/>
    </xf>
    <xf numFmtId="2" fontId="39" fillId="0" borderId="0" xfId="5" applyNumberFormat="1" applyFont="1" applyFill="1" applyBorder="1" applyAlignment="1">
      <alignment horizontal="center"/>
    </xf>
    <xf numFmtId="0" fontId="1" fillId="0" borderId="65" xfId="0" applyFont="1" applyFill="1" applyBorder="1" applyAlignment="1">
      <alignment horizontal="center" vertical="center" wrapText="1"/>
    </xf>
    <xf numFmtId="0" fontId="1" fillId="0" borderId="72" xfId="0" applyFont="1" applyFill="1" applyBorder="1" applyAlignment="1">
      <alignment horizontal="center" vertical="center" wrapText="1"/>
    </xf>
    <xf numFmtId="0" fontId="26" fillId="0" borderId="30" xfId="0" applyFont="1" applyFill="1" applyBorder="1" applyAlignment="1">
      <alignment vertical="center"/>
    </xf>
    <xf numFmtId="0" fontId="26" fillId="0" borderId="1" xfId="0" applyFont="1" applyFill="1" applyBorder="1" applyAlignment="1">
      <alignment horizontal="center" vertical="center"/>
    </xf>
    <xf numFmtId="165" fontId="26" fillId="3" borderId="1" xfId="0" applyNumberFormat="1" applyFont="1" applyFill="1" applyBorder="1" applyAlignment="1" applyProtection="1">
      <alignment horizontal="center" vertical="center"/>
      <protection locked="0"/>
    </xf>
    <xf numFmtId="165" fontId="26" fillId="3" borderId="21" xfId="0" applyNumberFormat="1" applyFont="1" applyFill="1" applyBorder="1" applyAlignment="1" applyProtection="1">
      <alignment horizontal="center" vertical="center"/>
      <protection locked="0"/>
    </xf>
    <xf numFmtId="1" fontId="26" fillId="0" borderId="2" xfId="0" applyNumberFormat="1" applyFont="1" applyFill="1" applyBorder="1" applyAlignment="1">
      <alignment horizontal="center" vertical="center"/>
    </xf>
    <xf numFmtId="1" fontId="26" fillId="0" borderId="60" xfId="0" applyNumberFormat="1" applyFont="1" applyFill="1" applyBorder="1" applyAlignment="1">
      <alignment horizontal="center" vertical="center"/>
    </xf>
    <xf numFmtId="0" fontId="26" fillId="3" borderId="64" xfId="0" applyFont="1" applyFill="1" applyBorder="1" applyAlignment="1" applyProtection="1">
      <alignment horizontal="center" vertical="center"/>
      <protection locked="0"/>
    </xf>
    <xf numFmtId="0" fontId="26" fillId="0" borderId="10" xfId="0" applyFont="1" applyFill="1" applyBorder="1" applyAlignment="1">
      <alignment horizontal="center" vertical="center"/>
    </xf>
    <xf numFmtId="0" fontId="26" fillId="0" borderId="25" xfId="0" applyFont="1" applyFill="1" applyBorder="1" applyAlignment="1">
      <alignment horizontal="center" vertical="center"/>
    </xf>
    <xf numFmtId="165" fontId="26" fillId="3" borderId="25" xfId="0" applyNumberFormat="1" applyFont="1" applyFill="1" applyBorder="1" applyAlignment="1" applyProtection="1">
      <alignment horizontal="center" vertical="center"/>
      <protection locked="0"/>
    </xf>
    <xf numFmtId="1" fontId="26" fillId="0" borderId="25" xfId="0" applyNumberFormat="1" applyFont="1" applyFill="1" applyBorder="1" applyAlignment="1">
      <alignment horizontal="center" vertical="center"/>
    </xf>
    <xf numFmtId="1" fontId="26" fillId="0" borderId="9" xfId="0" applyNumberFormat="1" applyFont="1" applyFill="1" applyBorder="1" applyAlignment="1">
      <alignment horizontal="center" vertical="center"/>
    </xf>
    <xf numFmtId="3" fontId="26" fillId="0" borderId="37" xfId="0" applyNumberFormat="1" applyFont="1" applyBorder="1" applyAlignment="1">
      <alignment horizontal="center" vertical="center"/>
    </xf>
    <xf numFmtId="0" fontId="18" fillId="0" borderId="44" xfId="0" applyFont="1" applyFill="1" applyBorder="1" applyAlignment="1">
      <alignment vertical="center"/>
    </xf>
    <xf numFmtId="0" fontId="1" fillId="0" borderId="21" xfId="0" applyFont="1" applyFill="1" applyBorder="1" applyAlignment="1">
      <alignment horizontal="center" vertical="center" wrapText="1"/>
    </xf>
    <xf numFmtId="165" fontId="1" fillId="2" borderId="64" xfId="0" applyNumberFormat="1" applyFont="1" applyFill="1" applyBorder="1" applyAlignment="1" applyProtection="1">
      <alignment horizontal="center" vertical="center"/>
      <protection locked="0"/>
    </xf>
    <xf numFmtId="0" fontId="26" fillId="0" borderId="55" xfId="0" applyFont="1" applyFill="1" applyBorder="1" applyAlignment="1">
      <alignment horizontal="center" vertical="center"/>
    </xf>
    <xf numFmtId="0" fontId="26" fillId="0" borderId="49" xfId="0" applyFont="1" applyFill="1" applyBorder="1" applyAlignment="1">
      <alignment horizontal="center" vertical="center"/>
    </xf>
    <xf numFmtId="165" fontId="26" fillId="3" borderId="9" xfId="0" applyNumberFormat="1"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49" xfId="0" applyFont="1" applyFill="1" applyBorder="1" applyAlignment="1" applyProtection="1">
      <alignment horizontal="center" vertical="center"/>
      <protection locked="0"/>
    </xf>
    <xf numFmtId="165" fontId="26" fillId="3" borderId="69" xfId="0" applyNumberFormat="1" applyFont="1" applyFill="1" applyBorder="1" applyAlignment="1" applyProtection="1">
      <alignment horizontal="center" vertical="center"/>
      <protection locked="0"/>
    </xf>
    <xf numFmtId="165" fontId="26" fillId="3" borderId="32" xfId="0" applyNumberFormat="1" applyFont="1" applyFill="1" applyBorder="1" applyAlignment="1" applyProtection="1">
      <alignment horizontal="center" vertical="center"/>
      <protection locked="0"/>
    </xf>
    <xf numFmtId="165" fontId="26" fillId="3" borderId="33" xfId="0" applyNumberFormat="1" applyFont="1" applyFill="1" applyBorder="1" applyAlignment="1" applyProtection="1">
      <alignment horizontal="center" vertical="center"/>
      <protection locked="0"/>
    </xf>
    <xf numFmtId="165" fontId="26" fillId="0" borderId="45" xfId="0" applyNumberFormat="1" applyFont="1" applyFill="1" applyBorder="1" applyAlignment="1" applyProtection="1">
      <alignment horizontal="center" vertical="center"/>
      <protection locked="0"/>
    </xf>
    <xf numFmtId="165" fontId="26" fillId="0" borderId="55" xfId="0" applyNumberFormat="1" applyFont="1" applyFill="1" applyBorder="1" applyAlignment="1" applyProtection="1">
      <alignment horizontal="center" vertical="center"/>
      <protection locked="0"/>
    </xf>
    <xf numFmtId="165" fontId="1" fillId="0" borderId="37" xfId="0" applyNumberFormat="1" applyFont="1" applyFill="1" applyBorder="1" applyAlignment="1" applyProtection="1">
      <alignment horizontal="center" vertical="center"/>
      <protection locked="0"/>
    </xf>
    <xf numFmtId="1" fontId="26" fillId="0" borderId="64" xfId="0" applyNumberFormat="1" applyFont="1" applyFill="1" applyBorder="1" applyAlignment="1">
      <alignment horizontal="center" vertical="center"/>
    </xf>
    <xf numFmtId="1" fontId="23" fillId="0" borderId="0" xfId="0" applyNumberFormat="1" applyFont="1" applyAlignment="1">
      <alignment horizontal="center" vertical="center"/>
    </xf>
    <xf numFmtId="0" fontId="167" fillId="0" borderId="0" xfId="5" applyAlignment="1">
      <alignment horizontal="center" vertical="center"/>
    </xf>
    <xf numFmtId="0" fontId="0" fillId="0" borderId="0" xfId="0" applyAlignment="1">
      <alignment textRotation="180"/>
    </xf>
    <xf numFmtId="0" fontId="1" fillId="0" borderId="0" xfId="0" applyFont="1" applyAlignment="1">
      <alignment textRotation="180"/>
    </xf>
    <xf numFmtId="2" fontId="36" fillId="0" borderId="1" xfId="0" applyNumberFormat="1" applyFont="1" applyBorder="1" applyAlignment="1">
      <alignment horizontal="center" vertical="center"/>
    </xf>
    <xf numFmtId="0" fontId="1" fillId="4" borderId="25" xfId="0" applyFont="1" applyFill="1" applyBorder="1" applyAlignment="1">
      <alignment horizontal="center" vertical="center"/>
    </xf>
    <xf numFmtId="1" fontId="1" fillId="0" borderId="1" xfId="0" applyNumberFormat="1" applyFont="1" applyBorder="1" applyAlignment="1">
      <alignment horizontal="center" vertical="center"/>
    </xf>
    <xf numFmtId="0" fontId="26" fillId="0" borderId="0" xfId="0" applyFont="1" applyFill="1" applyBorder="1" applyAlignment="1">
      <alignment horizontal="center" vertical="center" wrapText="1"/>
    </xf>
    <xf numFmtId="0" fontId="169" fillId="0" borderId="0" xfId="5" applyFont="1"/>
    <xf numFmtId="0" fontId="1" fillId="3" borderId="45" xfId="0" applyFont="1" applyFill="1" applyBorder="1" applyAlignment="1">
      <alignment horizontal="center"/>
    </xf>
    <xf numFmtId="0" fontId="1" fillId="3" borderId="55" xfId="0" applyFont="1" applyFill="1" applyBorder="1" applyAlignment="1">
      <alignment horizontal="center"/>
    </xf>
    <xf numFmtId="0" fontId="1" fillId="2" borderId="4" xfId="0" applyFont="1" applyFill="1" applyBorder="1" applyAlignment="1">
      <alignment horizontal="center"/>
    </xf>
    <xf numFmtId="0" fontId="0" fillId="0" borderId="13" xfId="0" applyFont="1" applyBorder="1" applyAlignment="1">
      <alignment horizontal="center" vertical="center" wrapText="1"/>
    </xf>
    <xf numFmtId="0" fontId="0" fillId="4" borderId="13" xfId="0" applyFont="1" applyFill="1" applyBorder="1" applyAlignment="1">
      <alignment horizontal="center" vertical="center" wrapText="1"/>
    </xf>
    <xf numFmtId="0" fontId="1" fillId="4" borderId="52" xfId="0" applyFont="1" applyFill="1" applyBorder="1" applyAlignment="1">
      <alignment horizontal="center" vertical="center"/>
    </xf>
    <xf numFmtId="0" fontId="1" fillId="4" borderId="54" xfId="0" applyFont="1" applyFill="1" applyBorder="1" applyAlignment="1">
      <alignment horizontal="center" vertical="center"/>
    </xf>
    <xf numFmtId="0" fontId="1" fillId="4" borderId="39" xfId="0" applyFont="1" applyFill="1" applyBorder="1" applyAlignment="1">
      <alignment horizontal="center" vertical="center"/>
    </xf>
    <xf numFmtId="0" fontId="1" fillId="4" borderId="45" xfId="0" applyFont="1" applyFill="1" applyBorder="1" applyAlignment="1">
      <alignment horizontal="center" vertical="center"/>
    </xf>
    <xf numFmtId="0" fontId="1" fillId="3" borderId="52" xfId="0" applyFont="1" applyFill="1" applyBorder="1" applyAlignment="1">
      <alignment horizontal="center" vertical="center"/>
    </xf>
    <xf numFmtId="0" fontId="1" fillId="4" borderId="44" xfId="0" applyFont="1" applyFill="1" applyBorder="1" applyAlignment="1">
      <alignment horizontal="center" vertical="center"/>
    </xf>
    <xf numFmtId="1" fontId="5" fillId="0" borderId="54" xfId="0" applyNumberFormat="1" applyFont="1" applyBorder="1" applyAlignment="1">
      <alignment horizontal="center" vertical="center"/>
    </xf>
    <xf numFmtId="0" fontId="1" fillId="3" borderId="39" xfId="0" applyFont="1" applyFill="1" applyBorder="1" applyAlignment="1">
      <alignment horizontal="center" vertical="center"/>
    </xf>
    <xf numFmtId="1" fontId="5" fillId="0" borderId="45" xfId="0" applyNumberFormat="1" applyFont="1" applyBorder="1" applyAlignment="1">
      <alignment horizontal="center" vertical="center"/>
    </xf>
    <xf numFmtId="0" fontId="1" fillId="3" borderId="49" xfId="0" applyFont="1" applyFill="1" applyBorder="1" applyAlignment="1">
      <alignment horizontal="center" vertical="center"/>
    </xf>
    <xf numFmtId="0" fontId="1" fillId="4" borderId="56" xfId="0" applyFont="1" applyFill="1" applyBorder="1" applyAlignment="1">
      <alignment horizontal="center" vertical="center"/>
    </xf>
    <xf numFmtId="0" fontId="1" fillId="0" borderId="21" xfId="0" applyFont="1" applyBorder="1" applyAlignment="1">
      <alignment horizontal="center" vertical="center"/>
    </xf>
    <xf numFmtId="1" fontId="5" fillId="0" borderId="55" xfId="0" applyNumberFormat="1" applyFont="1" applyBorder="1" applyAlignment="1">
      <alignment horizontal="center" vertical="center"/>
    </xf>
    <xf numFmtId="0" fontId="1" fillId="2" borderId="52" xfId="0" applyFont="1" applyFill="1" applyBorder="1" applyAlignment="1">
      <alignment horizontal="center"/>
    </xf>
    <xf numFmtId="0" fontId="1" fillId="2" borderId="39" xfId="0" applyFont="1" applyFill="1" applyBorder="1" applyAlignment="1">
      <alignment horizontal="center"/>
    </xf>
    <xf numFmtId="0" fontId="1" fillId="2" borderId="49" xfId="0" applyFont="1" applyFill="1" applyBorder="1" applyAlignment="1">
      <alignment horizontal="center"/>
    </xf>
    <xf numFmtId="0" fontId="1" fillId="0" borderId="55" xfId="0" applyFont="1" applyBorder="1" applyAlignment="1">
      <alignment horizontal="center" vertical="center"/>
    </xf>
    <xf numFmtId="0" fontId="1" fillId="2" borderId="52" xfId="0" applyFont="1" applyFill="1" applyBorder="1"/>
    <xf numFmtId="0" fontId="1" fillId="0" borderId="54" xfId="0" applyFont="1" applyBorder="1" applyAlignment="1">
      <alignment horizontal="center"/>
    </xf>
    <xf numFmtId="0" fontId="1" fillId="2" borderId="39" xfId="0" applyFont="1" applyFill="1" applyBorder="1"/>
    <xf numFmtId="0" fontId="1" fillId="0" borderId="45" xfId="0" applyFont="1" applyBorder="1" applyAlignment="1">
      <alignment horizontal="center"/>
    </xf>
    <xf numFmtId="0" fontId="1" fillId="2" borderId="49" xfId="0" applyFont="1" applyFill="1" applyBorder="1"/>
    <xf numFmtId="0" fontId="1" fillId="0" borderId="55" xfId="0" applyFont="1" applyBorder="1" applyAlignment="1">
      <alignment horizontal="center"/>
    </xf>
    <xf numFmtId="0" fontId="1" fillId="0" borderId="52" xfId="0" applyFont="1" applyBorder="1" applyAlignment="1">
      <alignment horizontal="center"/>
    </xf>
    <xf numFmtId="0" fontId="1" fillId="0" borderId="39" xfId="0" applyFont="1" applyBorder="1" applyAlignment="1">
      <alignment horizontal="center"/>
    </xf>
    <xf numFmtId="0" fontId="1" fillId="0" borderId="49" xfId="0" applyFont="1" applyBorder="1" applyAlignment="1">
      <alignment horizontal="center"/>
    </xf>
    <xf numFmtId="3" fontId="1" fillId="0" borderId="49" xfId="0" applyNumberFormat="1" applyFont="1" applyBorder="1" applyAlignment="1">
      <alignment horizontal="center" vertical="center" wrapText="1"/>
    </xf>
    <xf numFmtId="3" fontId="1" fillId="0" borderId="55" xfId="0" applyNumberFormat="1" applyFont="1" applyBorder="1" applyAlignment="1">
      <alignment horizontal="center" vertical="center" wrapText="1"/>
    </xf>
    <xf numFmtId="0" fontId="18" fillId="0" borderId="24" xfId="0" applyFont="1" applyBorder="1" applyAlignment="1">
      <alignment horizontal="center" vertical="center" wrapText="1"/>
    </xf>
    <xf numFmtId="0" fontId="1" fillId="3" borderId="37" xfId="0" applyFont="1" applyFill="1" applyBorder="1" applyAlignment="1">
      <alignment horizontal="center"/>
    </xf>
    <xf numFmtId="0" fontId="1" fillId="0" borderId="22" xfId="0" applyFont="1" applyBorder="1" applyAlignment="1">
      <alignment horizontal="center" vertical="center" wrapText="1"/>
    </xf>
    <xf numFmtId="0" fontId="1" fillId="0" borderId="63" xfId="0" applyFont="1" applyBorder="1" applyAlignment="1">
      <alignment horizontal="center" vertical="center"/>
    </xf>
    <xf numFmtId="0" fontId="1" fillId="0" borderId="22" xfId="0" applyFont="1" applyBorder="1"/>
    <xf numFmtId="0" fontId="1" fillId="0" borderId="23" xfId="0" applyFont="1" applyBorder="1"/>
    <xf numFmtId="0" fontId="1" fillId="0" borderId="23" xfId="0" applyFont="1" applyBorder="1" applyAlignment="1">
      <alignment textRotation="180"/>
    </xf>
    <xf numFmtId="167" fontId="1" fillId="0" borderId="61" xfId="0" applyNumberFormat="1" applyFont="1" applyFill="1" applyBorder="1" applyAlignment="1">
      <alignment horizontal="center" vertical="center"/>
    </xf>
    <xf numFmtId="3" fontId="1" fillId="0" borderId="31" xfId="0" applyNumberFormat="1" applyFont="1" applyBorder="1" applyAlignment="1">
      <alignment horizontal="center" vertical="center"/>
    </xf>
    <xf numFmtId="3" fontId="1" fillId="0" borderId="33" xfId="0" applyNumberFormat="1" applyFont="1" applyBorder="1" applyAlignment="1">
      <alignment horizontal="center" vertical="center" wrapText="1"/>
    </xf>
    <xf numFmtId="0" fontId="1" fillId="2" borderId="53" xfId="0" applyFont="1" applyFill="1" applyBorder="1" applyAlignment="1">
      <alignment horizontal="center"/>
    </xf>
    <xf numFmtId="0" fontId="1" fillId="2" borderId="57" xfId="0" applyFont="1" applyFill="1" applyBorder="1" applyAlignment="1">
      <alignment horizontal="center"/>
    </xf>
    <xf numFmtId="0" fontId="1" fillId="0" borderId="20" xfId="0" applyFont="1" applyBorder="1"/>
    <xf numFmtId="0" fontId="123" fillId="0" borderId="0" xfId="0" applyFont="1"/>
    <xf numFmtId="1" fontId="123" fillId="0" borderId="1" xfId="0" applyNumberFormat="1" applyFont="1" applyBorder="1" applyAlignment="1">
      <alignment horizontal="center" vertical="center"/>
    </xf>
    <xf numFmtId="2" fontId="117" fillId="0" borderId="1" xfId="0" applyNumberFormat="1" applyFont="1" applyBorder="1" applyAlignment="1">
      <alignment horizontal="center" vertical="center"/>
    </xf>
    <xf numFmtId="171" fontId="11" fillId="0" borderId="64" xfId="0" applyNumberFormat="1" applyFont="1" applyFill="1" applyBorder="1" applyAlignment="1">
      <alignment horizontal="center" vertical="center"/>
    </xf>
    <xf numFmtId="171" fontId="143" fillId="0" borderId="37" xfId="0" applyNumberFormat="1" applyFont="1" applyFill="1" applyBorder="1" applyAlignment="1">
      <alignment horizontal="center" vertical="center"/>
    </xf>
    <xf numFmtId="171" fontId="11" fillId="0" borderId="25" xfId="0" applyNumberFormat="1" applyFont="1" applyFill="1" applyBorder="1" applyAlignment="1">
      <alignment horizontal="center" vertical="center"/>
    </xf>
    <xf numFmtId="171" fontId="11" fillId="0" borderId="37" xfId="0" applyNumberFormat="1" applyFont="1" applyFill="1" applyBorder="1" applyAlignment="1">
      <alignment horizontal="center" vertical="center"/>
    </xf>
    <xf numFmtId="171" fontId="11" fillId="0" borderId="70" xfId="0" applyNumberFormat="1" applyFont="1" applyFill="1" applyBorder="1" applyAlignment="1">
      <alignment horizontal="center" vertical="center"/>
    </xf>
    <xf numFmtId="171" fontId="11" fillId="0" borderId="49" xfId="0" applyNumberFormat="1" applyFont="1" applyFill="1" applyBorder="1" applyAlignment="1">
      <alignment horizontal="center" vertical="center"/>
    </xf>
    <xf numFmtId="171" fontId="143" fillId="0" borderId="55" xfId="0" applyNumberFormat="1" applyFont="1" applyFill="1" applyBorder="1" applyAlignment="1">
      <alignment horizontal="center" vertical="center"/>
    </xf>
    <xf numFmtId="3" fontId="18" fillId="0" borderId="49" xfId="0" applyNumberFormat="1" applyFont="1" applyFill="1" applyBorder="1" applyAlignment="1">
      <alignment horizontal="center" vertical="center"/>
    </xf>
    <xf numFmtId="3" fontId="18" fillId="0" borderId="65" xfId="0" applyNumberFormat="1" applyFont="1" applyFill="1" applyBorder="1" applyAlignment="1">
      <alignment horizontal="center" vertical="center" wrapText="1"/>
    </xf>
    <xf numFmtId="3" fontId="143" fillId="0" borderId="7" xfId="0" applyNumberFormat="1" applyFont="1" applyFill="1" applyBorder="1" applyAlignment="1">
      <alignment horizontal="center" vertical="center" wrapText="1"/>
    </xf>
    <xf numFmtId="3" fontId="143" fillId="0" borderId="51" xfId="0" applyNumberFormat="1" applyFont="1" applyFill="1" applyBorder="1" applyAlignment="1">
      <alignment horizontal="center" vertical="center"/>
    </xf>
    <xf numFmtId="3" fontId="18" fillId="0" borderId="39" xfId="0" applyNumberFormat="1" applyFont="1" applyFill="1" applyBorder="1" applyAlignment="1">
      <alignment horizontal="center" vertical="center"/>
    </xf>
    <xf numFmtId="3" fontId="143" fillId="0" borderId="60" xfId="0" applyNumberFormat="1" applyFont="1" applyFill="1" applyBorder="1" applyAlignment="1">
      <alignment horizontal="center" vertical="center"/>
    </xf>
    <xf numFmtId="171" fontId="11" fillId="0" borderId="59" xfId="0" applyNumberFormat="1" applyFont="1" applyFill="1" applyBorder="1" applyAlignment="1">
      <alignment horizontal="center" vertical="center"/>
    </xf>
    <xf numFmtId="171" fontId="143" fillId="0" borderId="67" xfId="0" applyNumberFormat="1" applyFont="1" applyFill="1" applyBorder="1" applyAlignment="1">
      <alignment horizontal="center" vertical="center"/>
    </xf>
    <xf numFmtId="3" fontId="11" fillId="0" borderId="49" xfId="0" applyNumberFormat="1" applyFont="1" applyFill="1" applyBorder="1" applyAlignment="1">
      <alignment horizontal="center" vertical="center" wrapText="1"/>
    </xf>
    <xf numFmtId="3" fontId="11" fillId="0" borderId="21" xfId="0" applyNumberFormat="1" applyFont="1" applyFill="1" applyBorder="1" applyAlignment="1">
      <alignment horizontal="center" vertical="center" wrapText="1"/>
    </xf>
    <xf numFmtId="3" fontId="11" fillId="0" borderId="55" xfId="0" applyNumberFormat="1" applyFont="1" applyFill="1" applyBorder="1" applyAlignment="1">
      <alignment horizontal="center" vertical="center" wrapText="1"/>
    </xf>
    <xf numFmtId="3" fontId="11" fillId="0" borderId="64" xfId="0" applyNumberFormat="1" applyFont="1" applyFill="1" applyBorder="1" applyAlignment="1">
      <alignment horizontal="center" vertical="center"/>
    </xf>
    <xf numFmtId="3" fontId="11" fillId="0" borderId="25" xfId="0" applyNumberFormat="1" applyFont="1" applyFill="1" applyBorder="1" applyAlignment="1">
      <alignment horizontal="center" vertical="center"/>
    </xf>
    <xf numFmtId="3" fontId="11" fillId="0" borderId="9" xfId="0" applyNumberFormat="1" applyFont="1" applyFill="1" applyBorder="1" applyAlignment="1">
      <alignment horizontal="center" vertical="center"/>
    </xf>
    <xf numFmtId="3" fontId="11" fillId="0" borderId="73" xfId="0" applyNumberFormat="1" applyFont="1" applyFill="1" applyBorder="1" applyAlignment="1">
      <alignment horizontal="center" vertical="center"/>
    </xf>
    <xf numFmtId="3" fontId="11" fillId="0" borderId="65" xfId="0" applyNumberFormat="1" applyFont="1" applyFill="1" applyBorder="1" applyAlignment="1">
      <alignment horizontal="center" vertical="center"/>
    </xf>
    <xf numFmtId="3" fontId="11" fillId="0" borderId="13" xfId="0" applyNumberFormat="1" applyFont="1" applyFill="1" applyBorder="1" applyAlignment="1">
      <alignment horizontal="center" vertical="center"/>
    </xf>
    <xf numFmtId="3" fontId="11" fillId="0" borderId="7" xfId="0" applyNumberFormat="1" applyFont="1" applyFill="1" applyBorder="1" applyAlignment="1">
      <alignment horizontal="center" vertical="center"/>
    </xf>
    <xf numFmtId="3" fontId="11" fillId="4" borderId="25" xfId="0" applyNumberFormat="1" applyFont="1" applyFill="1" applyBorder="1" applyAlignment="1">
      <alignment horizontal="center" vertical="center"/>
    </xf>
    <xf numFmtId="3" fontId="11" fillId="4" borderId="1" xfId="0" applyNumberFormat="1" applyFont="1" applyFill="1" applyBorder="1" applyAlignment="1">
      <alignment horizontal="center" vertical="center"/>
    </xf>
    <xf numFmtId="3" fontId="11" fillId="4" borderId="13" xfId="0" applyNumberFormat="1" applyFont="1" applyFill="1" applyBorder="1" applyAlignment="1">
      <alignment horizontal="center" vertical="center"/>
    </xf>
    <xf numFmtId="171" fontId="11" fillId="0" borderId="80" xfId="0" applyNumberFormat="1" applyFont="1" applyFill="1" applyBorder="1" applyAlignment="1">
      <alignment horizontal="center" vertical="center"/>
    </xf>
    <xf numFmtId="171" fontId="11" fillId="0" borderId="66" xfId="0" applyNumberFormat="1" applyFont="1" applyFill="1" applyBorder="1" applyAlignment="1">
      <alignment horizontal="center" vertical="center"/>
    </xf>
    <xf numFmtId="171" fontId="11" fillId="0" borderId="21" xfId="0" applyNumberFormat="1" applyFont="1" applyFill="1" applyBorder="1" applyAlignment="1">
      <alignment horizontal="center" vertical="center"/>
    </xf>
    <xf numFmtId="171" fontId="11" fillId="0" borderId="55" xfId="0" applyNumberFormat="1" applyFont="1" applyFill="1" applyBorder="1" applyAlignment="1">
      <alignment horizontal="center" vertical="center"/>
    </xf>
    <xf numFmtId="1" fontId="39" fillId="3" borderId="1" xfId="0" applyNumberFormat="1" applyFont="1" applyFill="1" applyBorder="1" applyAlignment="1" applyProtection="1">
      <alignment horizontal="center" vertical="center"/>
      <protection locked="0"/>
    </xf>
    <xf numFmtId="165" fontId="11" fillId="3" borderId="1" xfId="0" applyNumberFormat="1" applyFont="1" applyFill="1" applyBorder="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1" fillId="0" borderId="16" xfId="0" applyFont="1" applyBorder="1" applyAlignment="1" applyProtection="1">
      <alignment horizontal="center" vertical="center"/>
    </xf>
    <xf numFmtId="0" fontId="1" fillId="0" borderId="0" xfId="0" applyFont="1" applyBorder="1" applyAlignment="1" applyProtection="1">
      <alignment horizontal="center" vertical="center"/>
    </xf>
    <xf numFmtId="0" fontId="18" fillId="0" borderId="3" xfId="0" applyFont="1" applyBorder="1" applyAlignment="1">
      <alignment horizontal="center" vertical="center" wrapText="1"/>
    </xf>
    <xf numFmtId="1" fontId="165" fillId="0" borderId="8" xfId="0" applyNumberFormat="1" applyFont="1" applyBorder="1" applyAlignment="1">
      <alignment horizontal="center" vertical="center" wrapText="1"/>
    </xf>
    <xf numFmtId="1" fontId="166" fillId="0" borderId="10" xfId="0" applyNumberFormat="1" applyFont="1" applyBorder="1" applyAlignment="1">
      <alignment horizontal="center" vertical="center" wrapText="1"/>
    </xf>
    <xf numFmtId="0" fontId="107" fillId="0" borderId="4" xfId="0" applyFont="1" applyBorder="1" applyAlignment="1">
      <alignment horizontal="center" vertical="center" wrapText="1"/>
    </xf>
    <xf numFmtId="0" fontId="23" fillId="11" borderId="3" xfId="0" applyFont="1" applyFill="1" applyBorder="1" applyAlignment="1" applyProtection="1">
      <alignment horizontal="center" vertical="center" wrapText="1"/>
      <protection locked="0"/>
    </xf>
    <xf numFmtId="0" fontId="107" fillId="0" borderId="8" xfId="0" applyFont="1" applyBorder="1" applyAlignment="1">
      <alignment horizontal="center" vertical="center" wrapText="1"/>
    </xf>
    <xf numFmtId="0" fontId="23" fillId="11" borderId="11" xfId="0" applyFont="1" applyFill="1" applyBorder="1" applyAlignment="1" applyProtection="1">
      <alignment horizontal="center" vertical="center" wrapText="1"/>
      <protection locked="0"/>
    </xf>
    <xf numFmtId="1" fontId="23" fillId="0" borderId="1" xfId="0" applyNumberFormat="1" applyFont="1" applyBorder="1" applyAlignment="1">
      <alignment horizontal="center" vertical="center" wrapText="1"/>
    </xf>
    <xf numFmtId="0" fontId="18" fillId="0" borderId="0" xfId="0" applyFont="1" applyAlignment="1">
      <alignment vertical="center"/>
    </xf>
    <xf numFmtId="0" fontId="1" fillId="0" borderId="63" xfId="0" applyFont="1" applyBorder="1" applyAlignment="1">
      <alignment horizontal="center" vertical="center" wrapText="1"/>
    </xf>
    <xf numFmtId="0" fontId="1" fillId="0" borderId="57" xfId="0" applyFont="1" applyFill="1" applyBorder="1" applyAlignment="1">
      <alignment horizontal="center" vertical="center" wrapText="1"/>
    </xf>
    <xf numFmtId="0" fontId="18"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vertical="center"/>
    </xf>
    <xf numFmtId="0" fontId="18" fillId="0" borderId="0" xfId="0" applyFont="1" applyBorder="1" applyAlignment="1">
      <alignment horizontal="center" vertical="center"/>
    </xf>
    <xf numFmtId="0" fontId="26" fillId="0" borderId="39" xfId="0" applyFont="1" applyFill="1" applyBorder="1" applyAlignment="1">
      <alignment horizontal="center" vertical="center" wrapText="1"/>
    </xf>
    <xf numFmtId="0" fontId="1" fillId="0" borderId="1" xfId="0" applyFont="1" applyBorder="1" applyAlignment="1">
      <alignment horizontal="center" vertical="center" wrapText="1"/>
    </xf>
    <xf numFmtId="0" fontId="0" fillId="0" borderId="1" xfId="0" applyBorder="1" applyAlignment="1">
      <alignment horizontal="center"/>
    </xf>
    <xf numFmtId="165" fontId="0" fillId="0" borderId="1" xfId="0" applyNumberFormat="1" applyBorder="1" applyAlignment="1">
      <alignment horizontal="center"/>
    </xf>
    <xf numFmtId="167" fontId="13" fillId="0" borderId="1"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0" xfId="0" applyBorder="1" applyAlignment="1" applyProtection="1">
      <alignment horizontal="center" vertical="center"/>
    </xf>
    <xf numFmtId="0" fontId="1" fillId="0" borderId="1" xfId="0" applyFont="1" applyBorder="1" applyAlignment="1">
      <alignment horizontal="center" vertical="center" wrapText="1"/>
    </xf>
    <xf numFmtId="3" fontId="32" fillId="0" borderId="21" xfId="0" applyNumberFormat="1" applyFont="1" applyFill="1" applyBorder="1" applyAlignment="1">
      <alignment horizontal="center" vertical="center" wrapText="1"/>
    </xf>
    <xf numFmtId="3" fontId="26" fillId="0" borderId="64" xfId="0" applyNumberFormat="1" applyFont="1" applyBorder="1" applyAlignment="1">
      <alignment horizontal="center" vertical="center"/>
    </xf>
    <xf numFmtId="3" fontId="26" fillId="0" borderId="39" xfId="0" applyNumberFormat="1" applyFont="1" applyBorder="1" applyAlignment="1">
      <alignment horizontal="center" vertical="center"/>
    </xf>
    <xf numFmtId="0" fontId="23" fillId="0" borderId="0" xfId="0" applyFont="1" applyFill="1" applyAlignment="1">
      <alignment horizontal="center" vertical="center"/>
    </xf>
    <xf numFmtId="0" fontId="5" fillId="0" borderId="0" xfId="0" applyFont="1" applyAlignment="1" applyProtection="1">
      <alignment horizontal="center" vertical="center"/>
    </xf>
    <xf numFmtId="0" fontId="99" fillId="0" borderId="0" xfId="0" applyFont="1" applyAlignment="1" applyProtection="1">
      <alignment horizontal="center" vertical="center"/>
    </xf>
    <xf numFmtId="0" fontId="99" fillId="0" borderId="0" xfId="0" applyFont="1" applyBorder="1" applyAlignment="1" applyProtection="1">
      <alignment horizontal="center" vertical="center"/>
    </xf>
    <xf numFmtId="0" fontId="0" fillId="0" borderId="41" xfId="0" applyFont="1" applyFill="1" applyBorder="1" applyAlignment="1">
      <alignment horizontal="center" vertical="center"/>
    </xf>
    <xf numFmtId="0" fontId="3" fillId="2" borderId="70" xfId="0" applyFont="1" applyFill="1" applyBorder="1" applyAlignment="1" applyProtection="1">
      <alignment horizontal="center" vertical="center"/>
      <protection locked="0"/>
    </xf>
    <xf numFmtId="0" fontId="3" fillId="2" borderId="64" xfId="0" applyFont="1" applyFill="1" applyBorder="1" applyAlignment="1" applyProtection="1">
      <alignment horizontal="center" vertical="center"/>
      <protection locked="0"/>
    </xf>
    <xf numFmtId="0" fontId="18" fillId="0" borderId="0" xfId="0" applyFont="1" applyAlignment="1">
      <alignment horizontal="center" vertical="center"/>
    </xf>
    <xf numFmtId="0" fontId="1" fillId="0" borderId="49"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1" fillId="0" borderId="0"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1" xfId="0" applyFont="1" applyBorder="1" applyAlignment="1">
      <alignment horizontal="center" vertical="center" wrapText="1"/>
    </xf>
    <xf numFmtId="0" fontId="23" fillId="0" borderId="0" xfId="0" applyFont="1" applyAlignment="1">
      <alignment horizontal="center" vertical="center" wrapText="1"/>
    </xf>
    <xf numFmtId="0" fontId="0" fillId="0" borderId="3" xfId="0" applyBorder="1" applyAlignment="1">
      <alignment horizontal="center" vertical="center" wrapText="1"/>
    </xf>
    <xf numFmtId="0" fontId="40" fillId="0" borderId="0" xfId="0" applyFont="1" applyAlignment="1">
      <alignment horizontal="center" vertical="center" wrapText="1"/>
    </xf>
    <xf numFmtId="0" fontId="1" fillId="0" borderId="6" xfId="0" applyFont="1" applyBorder="1" applyAlignment="1">
      <alignment horizontal="center" vertical="center" wrapText="1"/>
    </xf>
    <xf numFmtId="0" fontId="1" fillId="3" borderId="2" xfId="0" applyFont="1" applyFill="1" applyBorder="1" applyAlignment="1">
      <alignment horizontal="center"/>
    </xf>
    <xf numFmtId="0" fontId="1" fillId="4" borderId="4" xfId="0" applyFont="1" applyFill="1" applyBorder="1" applyAlignment="1">
      <alignment horizontal="center" vertical="center"/>
    </xf>
    <xf numFmtId="0" fontId="1" fillId="3" borderId="9" xfId="0" applyFont="1" applyFill="1" applyBorder="1" applyAlignment="1">
      <alignment horizontal="center"/>
    </xf>
    <xf numFmtId="0" fontId="1" fillId="3" borderId="60" xfId="0" applyFont="1" applyFill="1" applyBorder="1" applyAlignment="1">
      <alignment horizontal="center"/>
    </xf>
    <xf numFmtId="0" fontId="1" fillId="4" borderId="53"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33" xfId="0" applyFont="1" applyFill="1" applyBorder="1" applyAlignment="1">
      <alignment horizontal="center" vertical="center"/>
    </xf>
    <xf numFmtId="0" fontId="167" fillId="0" borderId="0" xfId="5" applyFont="1" applyAlignment="1">
      <alignment horizontal="center"/>
    </xf>
    <xf numFmtId="0" fontId="5" fillId="0" borderId="0" xfId="0" applyFont="1" applyAlignment="1">
      <alignment horizontal="center" vertical="center"/>
    </xf>
    <xf numFmtId="0" fontId="23" fillId="0" borderId="0" xfId="0" applyFont="1" applyFill="1" applyBorder="1" applyAlignment="1" applyProtection="1">
      <alignment horizontal="center" vertical="center" wrapText="1"/>
    </xf>
    <xf numFmtId="2" fontId="23" fillId="0" borderId="0"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center" vertical="center" wrapText="1"/>
    </xf>
    <xf numFmtId="2" fontId="21" fillId="0" borderId="0" xfId="0" applyNumberFormat="1" applyFont="1" applyFill="1" applyBorder="1" applyAlignment="1" applyProtection="1">
      <alignment horizontal="center" vertical="center" wrapText="1"/>
    </xf>
    <xf numFmtId="0" fontId="23" fillId="0" borderId="0" xfId="0" applyNumberFormat="1"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167" fillId="0" borderId="0" xfId="5" applyFont="1" applyAlignment="1">
      <alignment horizontal="center" vertical="center"/>
    </xf>
    <xf numFmtId="2" fontId="21" fillId="0" borderId="0" xfId="0" applyNumberFormat="1" applyFont="1" applyFill="1" applyAlignment="1" applyProtection="1">
      <alignment horizontal="center" vertical="center" wrapText="1"/>
    </xf>
    <xf numFmtId="2" fontId="35" fillId="0" borderId="0" xfId="0" applyNumberFormat="1" applyFont="1" applyFill="1" applyBorder="1" applyAlignment="1" applyProtection="1">
      <alignment horizontal="center" vertical="center" wrapText="1"/>
    </xf>
    <xf numFmtId="49" fontId="23" fillId="0" borderId="0" xfId="0" applyNumberFormat="1" applyFont="1" applyFill="1" applyBorder="1" applyAlignment="1">
      <alignment horizontal="center" shrinkToFit="1"/>
    </xf>
    <xf numFmtId="49" fontId="23" fillId="0" borderId="0" xfId="0" applyNumberFormat="1" applyFont="1" applyAlignment="1">
      <alignment horizontal="center" shrinkToFit="1"/>
    </xf>
    <xf numFmtId="49" fontId="21" fillId="0" borderId="0" xfId="0" applyNumberFormat="1" applyFont="1" applyFill="1" applyBorder="1" applyAlignment="1">
      <alignment horizontal="center" shrinkToFit="1"/>
    </xf>
    <xf numFmtId="49" fontId="21" fillId="0" borderId="0" xfId="0" applyNumberFormat="1" applyFont="1" applyAlignment="1">
      <alignment horizontal="center" shrinkToFit="1"/>
    </xf>
    <xf numFmtId="1" fontId="21" fillId="0" borderId="0" xfId="0" applyNumberFormat="1" applyFont="1" applyAlignment="1">
      <alignment horizontal="center"/>
    </xf>
    <xf numFmtId="1" fontId="23" fillId="0" borderId="0" xfId="0" applyNumberFormat="1" applyFont="1" applyFill="1" applyAlignment="1">
      <alignment horizontal="center"/>
    </xf>
    <xf numFmtId="167" fontId="23" fillId="0" borderId="0" xfId="0" applyNumberFormat="1" applyFont="1" applyAlignment="1">
      <alignment horizontal="center"/>
    </xf>
    <xf numFmtId="0" fontId="23" fillId="0" borderId="0" xfId="0" applyFont="1" applyFill="1" applyAlignment="1">
      <alignment horizontal="center"/>
    </xf>
    <xf numFmtId="2" fontId="21" fillId="0" borderId="0" xfId="0" applyNumberFormat="1" applyFont="1" applyAlignment="1">
      <alignment horizontal="center"/>
    </xf>
    <xf numFmtId="0" fontId="11" fillId="0" borderId="0" xfId="0" applyFont="1" applyAlignment="1">
      <alignment horizontal="center"/>
    </xf>
    <xf numFmtId="167" fontId="23" fillId="0" borderId="0" xfId="5" applyNumberFormat="1" applyFont="1" applyAlignment="1">
      <alignment horizontal="center"/>
    </xf>
    <xf numFmtId="1" fontId="23" fillId="0" borderId="0" xfId="5" applyNumberFormat="1" applyFont="1" applyAlignment="1">
      <alignment horizontal="center"/>
    </xf>
    <xf numFmtId="0" fontId="23" fillId="0" borderId="0" xfId="0" applyFont="1" applyFill="1" applyBorder="1" applyAlignment="1" applyProtection="1">
      <alignment horizontal="center" wrapText="1"/>
    </xf>
    <xf numFmtId="1" fontId="21" fillId="0" borderId="0" xfId="0" applyNumberFormat="1" applyFont="1" applyFill="1" applyBorder="1" applyAlignment="1" applyProtection="1">
      <alignment horizontal="center" wrapText="1"/>
    </xf>
    <xf numFmtId="0" fontId="21" fillId="0" borderId="0" xfId="0" applyFont="1" applyFill="1" applyBorder="1" applyAlignment="1" applyProtection="1">
      <alignment horizontal="center" wrapText="1"/>
    </xf>
    <xf numFmtId="2" fontId="23" fillId="0" borderId="0" xfId="0" applyNumberFormat="1" applyFont="1" applyFill="1" applyBorder="1" applyAlignment="1" applyProtection="1">
      <alignment horizontal="center" wrapText="1"/>
    </xf>
    <xf numFmtId="1" fontId="23" fillId="0" borderId="0" xfId="0" applyNumberFormat="1" applyFont="1" applyFill="1" applyBorder="1" applyAlignment="1">
      <alignment horizontal="center" wrapText="1"/>
    </xf>
    <xf numFmtId="2" fontId="21" fillId="0" borderId="0" xfId="0" applyNumberFormat="1" applyFont="1" applyFill="1" applyBorder="1" applyAlignment="1" applyProtection="1">
      <alignment horizontal="center" wrapText="1"/>
    </xf>
    <xf numFmtId="1" fontId="23" fillId="0" borderId="0" xfId="0" applyNumberFormat="1" applyFont="1" applyFill="1" applyBorder="1" applyAlignment="1" applyProtection="1">
      <alignment horizontal="center" wrapText="1"/>
    </xf>
    <xf numFmtId="0" fontId="23" fillId="0" borderId="0" xfId="0" applyFont="1" applyFill="1" applyBorder="1" applyAlignment="1">
      <alignment horizontal="center" shrinkToFit="1"/>
    </xf>
    <xf numFmtId="0" fontId="23" fillId="0" borderId="0" xfId="0" applyFont="1" applyFill="1" applyBorder="1" applyAlignment="1">
      <alignment horizontal="center" wrapText="1"/>
    </xf>
    <xf numFmtId="0" fontId="21" fillId="0" borderId="0" xfId="0" applyNumberFormat="1" applyFont="1" applyFill="1" applyBorder="1" applyAlignment="1" applyProtection="1">
      <alignment horizontal="center" wrapText="1"/>
    </xf>
    <xf numFmtId="1" fontId="21" fillId="0" borderId="0" xfId="0" applyNumberFormat="1" applyFont="1" applyFill="1" applyBorder="1" applyAlignment="1">
      <alignment horizontal="center" wrapText="1"/>
    </xf>
    <xf numFmtId="2" fontId="21" fillId="0" borderId="0" xfId="0" applyNumberFormat="1" applyFont="1" applyFill="1" applyBorder="1" applyAlignment="1">
      <alignment horizontal="center" wrapText="1"/>
    </xf>
    <xf numFmtId="0" fontId="23" fillId="0" borderId="0" xfId="0" applyNumberFormat="1" applyFont="1" applyFill="1" applyBorder="1" applyAlignment="1" applyProtection="1">
      <alignment horizontal="center" wrapText="1"/>
    </xf>
    <xf numFmtId="2" fontId="35" fillId="0" borderId="0" xfId="0" applyNumberFormat="1" applyFont="1" applyFill="1" applyBorder="1" applyAlignment="1" applyProtection="1">
      <alignment horizontal="center" wrapText="1"/>
    </xf>
    <xf numFmtId="0" fontId="39" fillId="0" borderId="0" xfId="0" applyFont="1" applyAlignment="1">
      <alignment horizontal="center"/>
    </xf>
    <xf numFmtId="1" fontId="39" fillId="0" borderId="0" xfId="0" applyNumberFormat="1" applyFont="1" applyAlignment="1">
      <alignment horizontal="center"/>
    </xf>
    <xf numFmtId="167" fontId="26" fillId="3" borderId="9" xfId="0" applyNumberFormat="1" applyFont="1" applyFill="1" applyBorder="1" applyAlignment="1" applyProtection="1">
      <alignment horizontal="center" vertical="center"/>
      <protection locked="0"/>
    </xf>
    <xf numFmtId="167" fontId="26" fillId="3" borderId="2" xfId="0" applyNumberFormat="1" applyFont="1" applyFill="1" applyBorder="1" applyAlignment="1" applyProtection="1">
      <alignment horizontal="center" vertical="center"/>
      <protection locked="0"/>
    </xf>
    <xf numFmtId="167" fontId="26" fillId="3" borderId="60" xfId="0" applyNumberFormat="1"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32" xfId="0" applyFont="1" applyFill="1" applyBorder="1" applyAlignment="1" applyProtection="1">
      <alignment horizontal="center" vertical="center" wrapText="1"/>
      <protection locked="0"/>
    </xf>
    <xf numFmtId="0" fontId="52" fillId="2" borderId="33"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 fillId="0" borderId="49" xfId="0" applyFont="1" applyFill="1" applyBorder="1" applyAlignment="1">
      <alignment horizontal="center" vertical="center" wrapText="1"/>
    </xf>
    <xf numFmtId="165" fontId="26" fillId="3" borderId="55" xfId="0" applyNumberFormat="1" applyFont="1" applyFill="1" applyBorder="1" applyAlignment="1" applyProtection="1">
      <alignment horizontal="center" vertical="center"/>
      <protection locked="0"/>
    </xf>
    <xf numFmtId="0" fontId="23" fillId="0" borderId="0" xfId="0" applyFont="1" applyAlignment="1">
      <alignment horizontal="center" vertical="center" wrapText="1"/>
    </xf>
    <xf numFmtId="1" fontId="0" fillId="3" borderId="5" xfId="0" applyNumberFormat="1" applyFill="1" applyBorder="1" applyAlignment="1" applyProtection="1">
      <alignment horizontal="center" vertical="center" wrapText="1"/>
      <protection locked="0"/>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1" fillId="0" borderId="16" xfId="0" applyFont="1" applyBorder="1" applyAlignment="1" applyProtection="1">
      <alignment horizontal="center" vertical="center"/>
    </xf>
    <xf numFmtId="0" fontId="1" fillId="0" borderId="0"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27" fillId="0" borderId="0" xfId="0" applyFont="1" applyBorder="1" applyAlignment="1" applyProtection="1">
      <alignment horizontal="center" vertical="center"/>
    </xf>
    <xf numFmtId="0" fontId="0" fillId="0" borderId="0" xfId="0" applyBorder="1" applyAlignment="1" applyProtection="1">
      <alignment horizontal="center" vertical="center" wrapText="1"/>
    </xf>
    <xf numFmtId="0" fontId="1" fillId="0" borderId="1" xfId="0" applyFont="1" applyBorder="1" applyAlignment="1">
      <alignment horizontal="center" vertical="center" wrapText="1"/>
    </xf>
    <xf numFmtId="0" fontId="32" fillId="0" borderId="0" xfId="0" applyFont="1" applyAlignment="1" applyProtection="1">
      <alignment horizontal="center" vertical="center" wrapText="1"/>
    </xf>
    <xf numFmtId="0" fontId="0" fillId="0" borderId="0" xfId="0" applyAlignment="1" applyProtection="1">
      <alignment horizontal="left" vertical="center" wrapText="1"/>
    </xf>
    <xf numFmtId="165" fontId="1" fillId="3" borderId="54" xfId="0" applyNumberFormat="1" applyFont="1" applyFill="1" applyBorder="1" applyAlignment="1">
      <alignment horizontal="center"/>
    </xf>
    <xf numFmtId="165" fontId="1" fillId="3" borderId="45" xfId="0" applyNumberFormat="1" applyFont="1" applyFill="1" applyBorder="1" applyAlignment="1">
      <alignment horizontal="center"/>
    </xf>
    <xf numFmtId="165" fontId="1" fillId="3" borderId="55" xfId="0" applyNumberFormat="1" applyFont="1" applyFill="1" applyBorder="1" applyAlignment="1">
      <alignment horizontal="center"/>
    </xf>
    <xf numFmtId="165" fontId="0" fillId="3" borderId="52" xfId="1" applyNumberFormat="1" applyFont="1" applyFill="1" applyBorder="1" applyAlignment="1" applyProtection="1">
      <alignment horizontal="center" vertical="center"/>
      <protection locked="0"/>
    </xf>
    <xf numFmtId="165" fontId="0" fillId="3" borderId="39" xfId="1" applyNumberFormat="1" applyFont="1" applyFill="1" applyBorder="1" applyAlignment="1" applyProtection="1">
      <alignment horizontal="center" vertical="center"/>
      <protection locked="0"/>
    </xf>
    <xf numFmtId="0" fontId="0" fillId="0" borderId="20" xfId="0" applyBorder="1"/>
    <xf numFmtId="0" fontId="0" fillId="0" borderId="23" xfId="0" applyBorder="1"/>
    <xf numFmtId="165" fontId="0" fillId="3" borderId="31" xfId="1" applyNumberFormat="1" applyFont="1" applyFill="1" applyBorder="1" applyAlignment="1" applyProtection="1">
      <alignment horizontal="center" vertical="center"/>
      <protection locked="0"/>
    </xf>
    <xf numFmtId="165" fontId="0" fillId="3" borderId="32" xfId="1" applyNumberFormat="1" applyFont="1" applyFill="1" applyBorder="1" applyAlignment="1" applyProtection="1">
      <alignment horizontal="center" vertical="center"/>
      <protection locked="0"/>
    </xf>
    <xf numFmtId="3" fontId="136" fillId="0" borderId="51" xfId="0" quotePrefix="1" applyNumberFormat="1" applyFont="1" applyFill="1" applyBorder="1" applyAlignment="1">
      <alignment horizontal="center" vertical="center"/>
    </xf>
    <xf numFmtId="3" fontId="2" fillId="0" borderId="17" xfId="0" applyNumberFormat="1" applyFont="1" applyFill="1" applyBorder="1" applyAlignment="1">
      <alignment horizontal="center" vertical="center"/>
    </xf>
    <xf numFmtId="167" fontId="1" fillId="0" borderId="60" xfId="0" applyNumberFormat="1" applyFont="1" applyFill="1" applyBorder="1" applyAlignment="1" applyProtection="1">
      <alignment horizontal="center" vertical="center"/>
    </xf>
    <xf numFmtId="0" fontId="1" fillId="2" borderId="33" xfId="0" applyFont="1" applyFill="1" applyBorder="1" applyAlignment="1" applyProtection="1">
      <alignment horizontal="center" vertical="center" wrapText="1"/>
      <protection locked="0"/>
    </xf>
    <xf numFmtId="165" fontId="0" fillId="3" borderId="68" xfId="1" applyNumberFormat="1" applyFont="1" applyFill="1" applyBorder="1" applyAlignment="1" applyProtection="1">
      <alignment horizontal="center" vertical="center"/>
      <protection locked="0"/>
    </xf>
    <xf numFmtId="165" fontId="0" fillId="3" borderId="3" xfId="1" applyNumberFormat="1" applyFont="1" applyFill="1" applyBorder="1" applyAlignment="1" applyProtection="1">
      <alignment horizontal="center" vertical="center"/>
      <protection locked="0"/>
    </xf>
    <xf numFmtId="3" fontId="2" fillId="0" borderId="65" xfId="0" applyNumberFormat="1" applyFont="1" applyBorder="1" applyAlignment="1" applyProtection="1">
      <alignment horizontal="center" vertical="center" wrapText="1"/>
    </xf>
    <xf numFmtId="3" fontId="18" fillId="0" borderId="72" xfId="0" applyNumberFormat="1" applyFont="1" applyBorder="1" applyAlignment="1" applyProtection="1">
      <alignment horizontal="center" vertical="center" wrapText="1"/>
    </xf>
    <xf numFmtId="0" fontId="0" fillId="0" borderId="30" xfId="0" applyBorder="1" applyAlignment="1" applyProtection="1">
      <alignment horizontal="center" vertical="center"/>
    </xf>
    <xf numFmtId="3" fontId="18" fillId="0" borderId="30" xfId="0" applyNumberFormat="1" applyFont="1" applyBorder="1" applyAlignment="1" applyProtection="1">
      <alignment horizontal="center" vertical="center"/>
    </xf>
    <xf numFmtId="3" fontId="1" fillId="0" borderId="54" xfId="0" applyNumberFormat="1" applyFont="1" applyBorder="1" applyAlignment="1" applyProtection="1">
      <alignment horizontal="center" vertical="center"/>
    </xf>
    <xf numFmtId="3" fontId="1" fillId="0" borderId="45" xfId="0" applyNumberFormat="1" applyFont="1" applyBorder="1" applyAlignment="1" applyProtection="1">
      <alignment horizontal="center" vertical="center"/>
    </xf>
    <xf numFmtId="3" fontId="1" fillId="0" borderId="55" xfId="0" applyNumberFormat="1" applyFont="1" applyBorder="1" applyAlignment="1" applyProtection="1">
      <alignment horizontal="center" vertical="center"/>
    </xf>
    <xf numFmtId="1" fontId="0" fillId="0" borderId="53" xfId="0" applyNumberFormat="1" applyBorder="1" applyAlignment="1" applyProtection="1">
      <alignment horizontal="center" vertical="center"/>
    </xf>
    <xf numFmtId="1" fontId="0" fillId="0" borderId="4" xfId="0" applyNumberFormat="1" applyBorder="1" applyAlignment="1" applyProtection="1">
      <alignment horizontal="center" vertical="center"/>
    </xf>
    <xf numFmtId="1" fontId="0" fillId="0" borderId="57" xfId="0" applyNumberFormat="1" applyBorder="1" applyAlignment="1" applyProtection="1">
      <alignment horizontal="center" vertical="center"/>
    </xf>
    <xf numFmtId="166" fontId="2" fillId="0" borderId="30" xfId="0" applyNumberFormat="1" applyFont="1" applyFill="1" applyBorder="1" applyAlignment="1" applyProtection="1">
      <alignment horizontal="center" vertical="center"/>
    </xf>
    <xf numFmtId="0" fontId="15" fillId="0" borderId="0" xfId="0" applyFont="1" applyAlignment="1" applyProtection="1">
      <alignment horizontal="center" vertical="center"/>
    </xf>
    <xf numFmtId="0" fontId="21" fillId="0" borderId="0" xfId="0" applyFont="1" applyAlignment="1" applyProtection="1">
      <alignment horizontal="center" vertical="center"/>
    </xf>
    <xf numFmtId="3" fontId="21" fillId="0" borderId="0" xfId="0" applyNumberFormat="1" applyFont="1" applyAlignment="1" applyProtection="1">
      <alignment horizontal="center" vertical="center"/>
    </xf>
    <xf numFmtId="0" fontId="21" fillId="0" borderId="0" xfId="0" applyFont="1" applyAlignment="1" applyProtection="1">
      <alignment horizontal="left" vertical="center" wrapText="1"/>
    </xf>
    <xf numFmtId="0" fontId="0" fillId="0" borderId="0" xfId="0" applyAlignment="1">
      <alignment horizontal="center" vertical="center" wrapText="1"/>
    </xf>
    <xf numFmtId="0" fontId="23" fillId="0" borderId="0" xfId="0" applyFont="1" applyAlignment="1">
      <alignment horizontal="center" vertical="center" wrapText="1"/>
    </xf>
    <xf numFmtId="0" fontId="2" fillId="0" borderId="1" xfId="0" applyFont="1" applyFill="1" applyBorder="1" applyAlignment="1">
      <alignment horizontal="center" vertical="center" wrapText="1"/>
    </xf>
    <xf numFmtId="0" fontId="0" fillId="0" borderId="0" xfId="0" applyBorder="1" applyAlignment="1" applyProtection="1">
      <alignment horizontal="left" vertical="center"/>
    </xf>
    <xf numFmtId="3" fontId="18" fillId="0" borderId="54" xfId="0" applyNumberFormat="1" applyFont="1" applyBorder="1" applyAlignment="1" applyProtection="1">
      <alignment horizontal="center" vertical="center"/>
    </xf>
    <xf numFmtId="3" fontId="18" fillId="0" borderId="45" xfId="0" applyNumberFormat="1" applyFont="1" applyBorder="1" applyAlignment="1" applyProtection="1">
      <alignment horizontal="center" vertical="center"/>
    </xf>
    <xf numFmtId="166" fontId="27" fillId="0" borderId="39" xfId="0" applyNumberFormat="1" applyFont="1" applyFill="1" applyBorder="1" applyAlignment="1" applyProtection="1">
      <alignment horizontal="center" vertical="center"/>
    </xf>
    <xf numFmtId="166" fontId="40" fillId="0" borderId="52" xfId="0" applyNumberFormat="1" applyFont="1" applyFill="1" applyBorder="1" applyAlignment="1" applyProtection="1">
      <alignment horizontal="center" vertical="center"/>
    </xf>
    <xf numFmtId="166" fontId="40" fillId="0" borderId="39" xfId="0" applyNumberFormat="1" applyFont="1" applyFill="1" applyBorder="1" applyAlignment="1" applyProtection="1">
      <alignment horizontal="center" vertical="center"/>
    </xf>
    <xf numFmtId="166" fontId="40" fillId="0" borderId="49" xfId="0" applyNumberFormat="1" applyFont="1" applyFill="1" applyBorder="1" applyAlignment="1" applyProtection="1">
      <alignment horizontal="center" vertical="center"/>
    </xf>
    <xf numFmtId="0" fontId="0" fillId="0" borderId="30" xfId="0" applyBorder="1" applyAlignment="1">
      <alignment horizontal="center" vertical="center"/>
    </xf>
    <xf numFmtId="0" fontId="165" fillId="0" borderId="12" xfId="0" applyFont="1" applyFill="1" applyBorder="1" applyAlignment="1">
      <alignment vertical="center" wrapText="1"/>
    </xf>
    <xf numFmtId="0" fontId="5" fillId="4" borderId="11" xfId="0" applyFont="1" applyFill="1" applyBorder="1" applyAlignment="1" applyProtection="1">
      <alignment horizontal="center" vertical="center" wrapText="1"/>
      <protection locked="0"/>
    </xf>
    <xf numFmtId="3" fontId="18" fillId="0" borderId="72" xfId="0" applyNumberFormat="1" applyFont="1" applyBorder="1" applyAlignment="1">
      <alignment horizontal="center" vertical="center" wrapText="1"/>
    </xf>
    <xf numFmtId="3" fontId="18" fillId="0" borderId="30" xfId="0" applyNumberFormat="1" applyFont="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26" fillId="0" borderId="0" xfId="0" applyFont="1" applyAlignment="1">
      <alignment horizontal="center" vertical="center" wrapText="1"/>
    </xf>
    <xf numFmtId="0" fontId="18" fillId="0" borderId="0" xfId="0" applyFont="1" applyAlignment="1">
      <alignment horizontal="center" vertical="center" wrapText="1"/>
    </xf>
    <xf numFmtId="0" fontId="18" fillId="0" borderId="49" xfId="0" applyFont="1" applyFill="1" applyBorder="1" applyAlignment="1" applyProtection="1">
      <alignment horizontal="center" vertical="center" wrapText="1"/>
    </xf>
    <xf numFmtId="0" fontId="0" fillId="0" borderId="0" xfId="0" applyBorder="1" applyAlignment="1">
      <alignment horizontal="center" vertical="center"/>
    </xf>
    <xf numFmtId="0" fontId="2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1" fillId="0" borderId="16" xfId="0" applyFont="1" applyBorder="1" applyAlignment="1" applyProtection="1">
      <alignment horizontal="center" vertical="center"/>
    </xf>
    <xf numFmtId="0" fontId="1" fillId="0" borderId="0" xfId="0" applyFont="1" applyBorder="1" applyAlignment="1" applyProtection="1">
      <alignment horizontal="center" vertical="center"/>
    </xf>
    <xf numFmtId="1" fontId="11" fillId="0" borderId="0" xfId="0" applyNumberFormat="1" applyFont="1" applyAlignment="1">
      <alignment horizontal="center" vertical="center"/>
    </xf>
    <xf numFmtId="0" fontId="18" fillId="0" borderId="1" xfId="0" applyFont="1" applyBorder="1" applyAlignment="1" applyProtection="1">
      <alignment horizontal="center" vertical="center" wrapText="1"/>
    </xf>
    <xf numFmtId="3" fontId="18" fillId="0" borderId="29" xfId="0" applyNumberFormat="1" applyFont="1" applyBorder="1" applyAlignment="1" applyProtection="1">
      <alignment horizontal="center" vertical="center" wrapText="1"/>
    </xf>
    <xf numFmtId="0" fontId="0" fillId="0" borderId="30" xfId="0" applyBorder="1" applyAlignment="1" applyProtection="1">
      <alignment horizontal="center" vertical="center" wrapText="1"/>
    </xf>
    <xf numFmtId="0" fontId="27" fillId="0" borderId="0" xfId="0" applyFont="1" applyBorder="1" applyAlignment="1" applyProtection="1">
      <alignment horizontal="center" vertical="center"/>
    </xf>
    <xf numFmtId="0" fontId="18" fillId="0" borderId="52" xfId="0" applyFont="1" applyBorder="1" applyAlignment="1" applyProtection="1">
      <alignment horizontal="center" vertical="center"/>
    </xf>
    <xf numFmtId="0" fontId="0" fillId="0" borderId="0" xfId="0" applyBorder="1" applyAlignment="1" applyProtection="1">
      <alignment horizontal="center" vertical="center" wrapText="1"/>
    </xf>
    <xf numFmtId="0" fontId="34" fillId="0" borderId="0" xfId="0" applyFont="1" applyBorder="1" applyAlignment="1" applyProtection="1">
      <alignment horizontal="center" vertical="center"/>
    </xf>
    <xf numFmtId="0" fontId="21" fillId="0" borderId="0" xfId="0" applyFont="1" applyBorder="1" applyAlignment="1" applyProtection="1">
      <alignment horizontal="center" vertical="center"/>
    </xf>
    <xf numFmtId="0" fontId="1" fillId="0" borderId="65"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0" fillId="0" borderId="0" xfId="0" applyAlignment="1" applyProtection="1">
      <alignment horizontal="left" vertical="center" wrapText="1"/>
    </xf>
    <xf numFmtId="0" fontId="0" fillId="0" borderId="0" xfId="0" applyAlignment="1"/>
    <xf numFmtId="0" fontId="11" fillId="0" borderId="7" xfId="0" applyFont="1" applyBorder="1" applyAlignment="1">
      <alignment horizontal="right" vertical="center" wrapText="1"/>
    </xf>
    <xf numFmtId="0" fontId="11" fillId="0" borderId="8" xfId="0" applyFont="1" applyBorder="1" applyAlignment="1">
      <alignment horizontal="left" vertical="center" wrapText="1"/>
    </xf>
    <xf numFmtId="0" fontId="11" fillId="0" borderId="6" xfId="0" applyFont="1" applyBorder="1" applyAlignment="1">
      <alignment horizontal="right" vertical="center" wrapText="1"/>
    </xf>
    <xf numFmtId="0" fontId="11" fillId="0" borderId="5" xfId="0" applyFont="1" applyBorder="1" applyAlignment="1">
      <alignment horizontal="left" vertical="center" wrapText="1"/>
    </xf>
    <xf numFmtId="0" fontId="179" fillId="0" borderId="2" xfId="0" applyFont="1" applyBorder="1" applyAlignment="1">
      <alignment horizontal="right" vertical="center" wrapText="1"/>
    </xf>
    <xf numFmtId="0" fontId="179" fillId="0" borderId="2" xfId="0" applyFont="1" applyBorder="1" applyAlignment="1">
      <alignment horizontal="left" vertical="center" wrapText="1"/>
    </xf>
    <xf numFmtId="0" fontId="175" fillId="0" borderId="0" xfId="0" applyFont="1" applyBorder="1" applyAlignment="1" applyProtection="1">
      <alignment horizontal="center" vertical="center"/>
    </xf>
    <xf numFmtId="49" fontId="11" fillId="0" borderId="0" xfId="0" applyNumberFormat="1" applyFont="1" applyBorder="1" applyAlignment="1">
      <alignment horizontal="center" vertical="center"/>
    </xf>
    <xf numFmtId="3" fontId="18" fillId="0" borderId="47" xfId="0" applyNumberFormat="1" applyFont="1" applyBorder="1" applyAlignment="1" applyProtection="1">
      <alignment horizontal="center" vertical="center"/>
    </xf>
    <xf numFmtId="0" fontId="18" fillId="0" borderId="48" xfId="0" applyFont="1" applyBorder="1" applyAlignment="1" applyProtection="1">
      <alignment horizontal="center" vertical="center"/>
    </xf>
    <xf numFmtId="0" fontId="18" fillId="0" borderId="49" xfId="0" applyFont="1" applyFill="1" applyBorder="1" applyAlignment="1" applyProtection="1">
      <alignment horizontal="center" vertical="center"/>
    </xf>
    <xf numFmtId="0" fontId="1" fillId="0" borderId="65" xfId="0" applyFont="1" applyFill="1" applyBorder="1" applyAlignment="1" applyProtection="1">
      <alignment horizontal="center" vertical="center"/>
    </xf>
    <xf numFmtId="0" fontId="2" fillId="0" borderId="17" xfId="0" applyFont="1" applyFill="1" applyBorder="1" applyAlignment="1" applyProtection="1">
      <alignment horizontal="center" vertical="center"/>
    </xf>
    <xf numFmtId="3" fontId="2" fillId="0" borderId="65" xfId="0" applyNumberFormat="1" applyFont="1" applyBorder="1" applyAlignment="1" applyProtection="1">
      <alignment horizontal="center" vertical="center"/>
    </xf>
    <xf numFmtId="1" fontId="27" fillId="0" borderId="0" xfId="0" applyNumberFormat="1" applyFont="1" applyBorder="1" applyAlignment="1" applyProtection="1">
      <alignment horizontal="center" vertical="center"/>
    </xf>
    <xf numFmtId="0" fontId="181" fillId="0" borderId="0" xfId="0" applyFont="1" applyBorder="1" applyAlignment="1" applyProtection="1">
      <alignment horizontal="center" vertical="center"/>
    </xf>
    <xf numFmtId="0" fontId="182" fillId="0" borderId="0" xfId="0" applyFont="1" applyBorder="1" applyAlignment="1" applyProtection="1">
      <alignment horizontal="center" vertical="center" wrapText="1"/>
    </xf>
    <xf numFmtId="0" fontId="175" fillId="0" borderId="0" xfId="0" applyFont="1" applyBorder="1" applyAlignment="1" applyProtection="1">
      <alignment vertical="center"/>
    </xf>
    <xf numFmtId="0" fontId="175" fillId="0" borderId="20" xfId="0" applyFont="1" applyBorder="1" applyAlignment="1" applyProtection="1">
      <alignment vertical="center"/>
    </xf>
    <xf numFmtId="0" fontId="52" fillId="2" borderId="64" xfId="0" applyFont="1" applyFill="1" applyBorder="1" applyAlignment="1" applyProtection="1">
      <alignment horizontal="center" vertical="center" wrapText="1"/>
      <protection locked="0"/>
    </xf>
    <xf numFmtId="165" fontId="5" fillId="2" borderId="25" xfId="0" applyNumberFormat="1" applyFont="1" applyFill="1" applyBorder="1" applyAlignment="1" applyProtection="1">
      <alignment horizontal="center" vertical="center"/>
      <protection locked="0"/>
    </xf>
    <xf numFmtId="1" fontId="52" fillId="0" borderId="9" xfId="0" applyNumberFormat="1" applyFont="1" applyFill="1" applyBorder="1" applyAlignment="1">
      <alignment horizontal="center" vertical="center"/>
    </xf>
    <xf numFmtId="165" fontId="5" fillId="2" borderId="47" xfId="0" applyNumberFormat="1" applyFont="1" applyFill="1" applyBorder="1" applyAlignment="1" applyProtection="1">
      <alignment horizontal="center" vertical="center"/>
      <protection locked="0"/>
    </xf>
    <xf numFmtId="1" fontId="52" fillId="0" borderId="54" xfId="0" applyNumberFormat="1" applyFont="1" applyFill="1" applyBorder="1" applyAlignment="1">
      <alignment horizontal="center" vertical="center"/>
    </xf>
    <xf numFmtId="0" fontId="52" fillId="0" borderId="64" xfId="0" applyFont="1" applyFill="1" applyBorder="1" applyAlignment="1">
      <alignment horizontal="center" vertical="center"/>
    </xf>
    <xf numFmtId="165" fontId="52" fillId="3" borderId="37" xfId="0" applyNumberFormat="1" applyFont="1" applyFill="1" applyBorder="1" applyAlignment="1" applyProtection="1">
      <alignment horizontal="center" vertical="center"/>
      <protection locked="0"/>
    </xf>
    <xf numFmtId="165" fontId="5" fillId="2" borderId="40" xfId="0" applyNumberFormat="1" applyFont="1" applyFill="1" applyBorder="1" applyAlignment="1" applyProtection="1">
      <alignment horizontal="center" vertical="center"/>
      <protection locked="0"/>
    </xf>
    <xf numFmtId="1" fontId="52" fillId="0" borderId="45" xfId="0" applyNumberFormat="1" applyFont="1" applyFill="1" applyBorder="1" applyAlignment="1">
      <alignment horizontal="center" vertical="center"/>
    </xf>
    <xf numFmtId="165" fontId="5" fillId="2" borderId="21" xfId="0" applyNumberFormat="1" applyFont="1" applyFill="1" applyBorder="1" applyAlignment="1" applyProtection="1">
      <alignment horizontal="center" vertical="center"/>
      <protection locked="0"/>
    </xf>
    <xf numFmtId="165" fontId="5" fillId="2" borderId="34" xfId="0" applyNumberFormat="1" applyFont="1" applyFill="1" applyBorder="1" applyAlignment="1" applyProtection="1">
      <alignment horizontal="center" vertical="center"/>
      <protection locked="0"/>
    </xf>
    <xf numFmtId="1" fontId="52" fillId="0" borderId="55" xfId="0" applyNumberFormat="1" applyFont="1" applyFill="1" applyBorder="1" applyAlignment="1">
      <alignment horizontal="center" vertical="center"/>
    </xf>
    <xf numFmtId="0" fontId="52" fillId="0" borderId="59" xfId="0" applyFont="1" applyFill="1" applyBorder="1" applyAlignment="1">
      <alignment horizontal="center" vertical="center"/>
    </xf>
    <xf numFmtId="165" fontId="52" fillId="3" borderId="55" xfId="0" applyNumberFormat="1" applyFont="1" applyFill="1" applyBorder="1" applyAlignment="1" applyProtection="1">
      <alignment horizontal="center" vertical="center"/>
      <protection locked="0"/>
    </xf>
    <xf numFmtId="0" fontId="23" fillId="0" borderId="23" xfId="0" applyFont="1" applyBorder="1" applyAlignment="1" applyProtection="1">
      <alignment horizontal="center" vertical="center"/>
    </xf>
    <xf numFmtId="0" fontId="23" fillId="0" borderId="20" xfId="0" applyFont="1" applyBorder="1" applyAlignment="1" applyProtection="1">
      <alignment horizontal="center" vertical="center"/>
    </xf>
    <xf numFmtId="0" fontId="1" fillId="0" borderId="44" xfId="0" applyFont="1" applyFill="1" applyBorder="1" applyAlignment="1" applyProtection="1">
      <alignment horizontal="center" vertical="center"/>
    </xf>
    <xf numFmtId="0" fontId="1" fillId="0" borderId="45" xfId="0" applyFont="1" applyBorder="1" applyAlignment="1" applyProtection="1">
      <alignment horizontal="center" vertical="center"/>
    </xf>
    <xf numFmtId="0" fontId="1" fillId="2" borderId="49" xfId="0" applyFont="1" applyFill="1" applyBorder="1" applyAlignment="1" applyProtection="1">
      <alignment horizontal="center" vertical="center"/>
      <protection locked="0"/>
    </xf>
    <xf numFmtId="0" fontId="1" fillId="0" borderId="55" xfId="0" applyFont="1" applyBorder="1" applyAlignment="1" applyProtection="1">
      <alignment horizontal="center" vertical="center"/>
    </xf>
    <xf numFmtId="0" fontId="11"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0" fillId="0" borderId="27" xfId="0" applyBorder="1" applyAlignment="1" applyProtection="1">
      <alignment horizontal="center" vertical="center"/>
    </xf>
    <xf numFmtId="0" fontId="1" fillId="0" borderId="23" xfId="0" applyFont="1" applyFill="1" applyBorder="1" applyAlignment="1" applyProtection="1">
      <alignment horizontal="center" vertical="center"/>
    </xf>
    <xf numFmtId="0" fontId="1" fillId="0" borderId="44" xfId="0" applyFont="1" applyBorder="1" applyAlignment="1">
      <alignment horizontal="center" vertical="center"/>
    </xf>
    <xf numFmtId="0" fontId="21" fillId="0" borderId="0" xfId="0" applyFont="1" applyFill="1" applyBorder="1" applyAlignment="1">
      <alignment horizontal="center" shrinkToFit="1"/>
    </xf>
    <xf numFmtId="0" fontId="48" fillId="0" borderId="0" xfId="0" applyFont="1" applyBorder="1" applyAlignment="1" applyProtection="1">
      <alignment horizontal="left" vertical="center"/>
    </xf>
    <xf numFmtId="0" fontId="21" fillId="0" borderId="0" xfId="0" applyFont="1" applyBorder="1" applyAlignment="1" applyProtection="1">
      <alignment horizontal="left" vertical="center" wrapText="1"/>
    </xf>
    <xf numFmtId="0" fontId="32" fillId="0" borderId="0" xfId="0" applyFont="1" applyBorder="1" applyAlignment="1" applyProtection="1">
      <alignment vertical="center"/>
    </xf>
    <xf numFmtId="0" fontId="34" fillId="0" borderId="0" xfId="0" applyFont="1" applyBorder="1" applyAlignment="1" applyProtection="1">
      <alignment vertical="center"/>
    </xf>
    <xf numFmtId="0" fontId="21" fillId="0" borderId="0" xfId="0" applyFont="1" applyFill="1" applyBorder="1" applyAlignment="1">
      <alignment horizontal="center" wrapText="1"/>
    </xf>
    <xf numFmtId="1" fontId="21"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165" fontId="23" fillId="0" borderId="0" xfId="0" applyNumberFormat="1" applyFont="1" applyFill="1" applyBorder="1" applyAlignment="1">
      <alignment horizontal="center" vertical="top" wrapText="1"/>
    </xf>
    <xf numFmtId="165" fontId="23" fillId="0" borderId="0" xfId="0" applyNumberFormat="1" applyFont="1" applyAlignment="1">
      <alignment horizontal="center"/>
    </xf>
    <xf numFmtId="165" fontId="23" fillId="0" borderId="0" xfId="0" applyNumberFormat="1" applyFont="1" applyFill="1" applyBorder="1" applyAlignment="1" applyProtection="1">
      <alignment horizontal="center" vertical="top" wrapText="1"/>
    </xf>
    <xf numFmtId="165" fontId="23" fillId="0" borderId="0" xfId="0" applyNumberFormat="1" applyFont="1" applyFill="1" applyBorder="1" applyAlignment="1">
      <alignment horizontal="center"/>
    </xf>
    <xf numFmtId="165" fontId="23" fillId="0" borderId="0" xfId="0" applyNumberFormat="1" applyFont="1" applyFill="1" applyBorder="1" applyAlignment="1" applyProtection="1">
      <alignment horizontal="center"/>
    </xf>
    <xf numFmtId="0" fontId="0" fillId="0" borderId="0" xfId="0"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1" fontId="18" fillId="0" borderId="1" xfId="0" applyNumberFormat="1" applyFont="1" applyFill="1" applyBorder="1" applyAlignment="1">
      <alignment horizontal="center" vertical="center"/>
    </xf>
    <xf numFmtId="0" fontId="0" fillId="0" borderId="0" xfId="0" applyAlignment="1">
      <alignment horizontal="right" vertical="center"/>
    </xf>
    <xf numFmtId="1" fontId="18" fillId="0" borderId="1" xfId="0" applyNumberFormat="1" applyFont="1" applyBorder="1" applyAlignment="1">
      <alignment horizontal="center" vertical="center"/>
    </xf>
    <xf numFmtId="165" fontId="18" fillId="3" borderId="4" xfId="0" applyNumberFormat="1" applyFont="1" applyFill="1" applyBorder="1" applyAlignment="1" applyProtection="1">
      <alignment horizontal="center" vertical="center"/>
      <protection locked="0"/>
    </xf>
    <xf numFmtId="0" fontId="1" fillId="2" borderId="29" xfId="0" applyFont="1" applyFill="1" applyBorder="1" applyAlignment="1" applyProtection="1">
      <alignment horizontal="center" vertical="center" wrapText="1"/>
      <protection locked="0"/>
    </xf>
    <xf numFmtId="0" fontId="1" fillId="0" borderId="53" xfId="0" applyFont="1" applyFill="1" applyBorder="1" applyAlignment="1" applyProtection="1">
      <alignment horizontal="center" vertical="center"/>
    </xf>
    <xf numFmtId="1" fontId="26" fillId="0" borderId="52" xfId="0" applyNumberFormat="1" applyFont="1" applyFill="1" applyBorder="1" applyAlignment="1">
      <alignment horizontal="center" vertical="center"/>
    </xf>
    <xf numFmtId="1" fontId="26" fillId="0" borderId="44" xfId="0" applyNumberFormat="1" applyFont="1" applyFill="1" applyBorder="1" applyAlignment="1">
      <alignment horizontal="center" vertical="center"/>
    </xf>
    <xf numFmtId="165" fontId="27" fillId="3" borderId="48" xfId="0" applyNumberFormat="1"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xf>
    <xf numFmtId="0" fontId="1" fillId="2" borderId="76" xfId="0" applyFont="1" applyFill="1" applyBorder="1" applyAlignment="1" applyProtection="1">
      <alignment horizontal="center" vertical="center" wrapText="1"/>
      <protection locked="0"/>
    </xf>
    <xf numFmtId="0" fontId="1" fillId="2" borderId="74" xfId="0" applyFont="1" applyFill="1" applyBorder="1" applyAlignment="1" applyProtection="1">
      <alignment horizontal="center" vertical="center" wrapText="1"/>
      <protection locked="0"/>
    </xf>
    <xf numFmtId="0" fontId="1" fillId="2" borderId="69" xfId="0" applyFont="1" applyFill="1" applyBorder="1" applyAlignment="1" applyProtection="1">
      <alignment horizontal="center" vertical="center" wrapText="1"/>
      <protection locked="0"/>
    </xf>
    <xf numFmtId="0" fontId="1" fillId="0" borderId="57" xfId="0" applyFont="1" applyFill="1" applyBorder="1" applyAlignment="1" applyProtection="1">
      <alignment horizontal="center" vertical="center"/>
    </xf>
    <xf numFmtId="1" fontId="26" fillId="0" borderId="59" xfId="0" applyNumberFormat="1" applyFont="1" applyFill="1" applyBorder="1" applyAlignment="1">
      <alignment horizontal="center" vertical="center"/>
    </xf>
    <xf numFmtId="1" fontId="26" fillId="0" borderId="56" xfId="0" applyNumberFormat="1" applyFont="1" applyFill="1" applyBorder="1" applyAlignment="1">
      <alignment horizontal="center" vertical="center"/>
    </xf>
    <xf numFmtId="0" fontId="1" fillId="0" borderId="1" xfId="0" applyFont="1" applyFill="1" applyBorder="1" applyAlignment="1" applyProtection="1">
      <alignment horizontal="center" vertical="center"/>
    </xf>
    <xf numFmtId="0" fontId="1" fillId="2" borderId="34"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center" vertical="center"/>
    </xf>
    <xf numFmtId="1" fontId="26" fillId="0" borderId="53" xfId="0" applyNumberFormat="1" applyFont="1" applyFill="1" applyBorder="1" applyAlignment="1">
      <alignment horizontal="center" vertical="center"/>
    </xf>
    <xf numFmtId="0" fontId="1" fillId="0" borderId="54" xfId="0" applyFont="1" applyBorder="1" applyAlignment="1" applyProtection="1">
      <alignment horizontal="center" vertical="center"/>
    </xf>
    <xf numFmtId="1" fontId="26" fillId="0" borderId="4" xfId="0" applyNumberFormat="1" applyFont="1" applyFill="1" applyBorder="1" applyAlignment="1">
      <alignment horizontal="center" vertical="center"/>
    </xf>
    <xf numFmtId="1" fontId="26" fillId="0" borderId="57" xfId="0" applyNumberFormat="1" applyFont="1" applyFill="1" applyBorder="1" applyAlignment="1">
      <alignment horizontal="center" vertical="center"/>
    </xf>
    <xf numFmtId="2" fontId="18" fillId="0" borderId="51" xfId="0" applyNumberFormat="1" applyFont="1" applyFill="1" applyBorder="1" applyAlignment="1">
      <alignment horizontal="center" vertical="center"/>
    </xf>
    <xf numFmtId="0" fontId="18" fillId="0" borderId="44" xfId="0" applyFont="1" applyFill="1" applyBorder="1" applyAlignment="1">
      <alignment horizontal="center" vertical="center"/>
    </xf>
    <xf numFmtId="0" fontId="1" fillId="0" borderId="49" xfId="0" applyFont="1" applyFill="1" applyBorder="1" applyAlignment="1" applyProtection="1">
      <alignment horizontal="center" vertical="center" wrapText="1"/>
    </xf>
    <xf numFmtId="1" fontId="18" fillId="0" borderId="1" xfId="0" applyNumberFormat="1" applyFont="1" applyFill="1" applyBorder="1" applyAlignment="1">
      <alignment horizontal="center" vertical="center"/>
    </xf>
    <xf numFmtId="0" fontId="1" fillId="0" borderId="16" xfId="0" applyFont="1" applyBorder="1" applyAlignment="1" applyProtection="1">
      <alignment horizontal="left" vertical="center"/>
    </xf>
    <xf numFmtId="3" fontId="185" fillId="14" borderId="56" xfId="0" applyNumberFormat="1" applyFont="1" applyFill="1" applyBorder="1" applyAlignment="1">
      <alignment horizontal="center" vertical="center"/>
    </xf>
    <xf numFmtId="3" fontId="185" fillId="14" borderId="61" xfId="0" applyNumberFormat="1" applyFont="1" applyFill="1" applyBorder="1" applyAlignment="1">
      <alignment horizontal="center" vertical="center"/>
    </xf>
    <xf numFmtId="3" fontId="186" fillId="14" borderId="14" xfId="0" applyNumberFormat="1" applyFont="1" applyFill="1" applyBorder="1" applyAlignment="1">
      <alignment horizontal="center" vertical="center"/>
    </xf>
    <xf numFmtId="3" fontId="187" fillId="14" borderId="14" xfId="0" applyNumberFormat="1" applyFont="1" applyFill="1" applyBorder="1" applyAlignment="1">
      <alignment horizontal="center" vertical="center"/>
    </xf>
    <xf numFmtId="3" fontId="185" fillId="14" borderId="62" xfId="0" applyNumberFormat="1" applyFont="1" applyFill="1" applyBorder="1" applyAlignment="1">
      <alignment horizontal="center" vertical="center"/>
    </xf>
    <xf numFmtId="171" fontId="185" fillId="14" borderId="61" xfId="0" applyNumberFormat="1" applyFont="1" applyFill="1" applyBorder="1" applyAlignment="1">
      <alignment horizontal="center" vertical="center"/>
    </xf>
    <xf numFmtId="171" fontId="185" fillId="14" borderId="62" xfId="0" applyNumberFormat="1" applyFont="1" applyFill="1" applyBorder="1" applyAlignment="1">
      <alignment horizontal="center" vertical="center"/>
    </xf>
    <xf numFmtId="0" fontId="0" fillId="0" borderId="16" xfId="0" applyBorder="1" applyAlignment="1" applyProtection="1">
      <alignment horizontal="center" vertical="center"/>
    </xf>
    <xf numFmtId="0" fontId="0" fillId="0" borderId="0" xfId="0" applyBorder="1" applyAlignment="1" applyProtection="1">
      <alignment horizontal="center" vertical="center"/>
    </xf>
    <xf numFmtId="0" fontId="34" fillId="0" borderId="0" xfId="0" applyFont="1" applyBorder="1" applyAlignment="1" applyProtection="1">
      <alignment horizontal="center" vertical="center"/>
    </xf>
    <xf numFmtId="0" fontId="21" fillId="0" borderId="0" xfId="0" applyFont="1" applyBorder="1" applyAlignment="1" applyProtection="1">
      <alignment horizontal="center" vertical="center"/>
    </xf>
    <xf numFmtId="0" fontId="1" fillId="0" borderId="4" xfId="0" applyFont="1" applyBorder="1" applyAlignment="1">
      <alignment horizontal="center"/>
    </xf>
    <xf numFmtId="3" fontId="1" fillId="0" borderId="53" xfId="0" applyNumberFormat="1" applyFont="1" applyBorder="1" applyAlignment="1">
      <alignment horizontal="center" vertical="center"/>
    </xf>
    <xf numFmtId="3" fontId="1" fillId="0" borderId="4" xfId="0" applyNumberFormat="1" applyFont="1" applyBorder="1" applyAlignment="1">
      <alignment horizontal="center" vertical="center"/>
    </xf>
    <xf numFmtId="3" fontId="1" fillId="0" borderId="57" xfId="0" applyNumberFormat="1" applyFont="1" applyBorder="1" applyAlignment="1">
      <alignment horizontal="center" vertical="center"/>
    </xf>
    <xf numFmtId="1" fontId="2" fillId="0" borderId="52" xfId="0" applyNumberFormat="1" applyFont="1" applyFill="1" applyBorder="1" applyAlignment="1">
      <alignment horizontal="center" vertical="center"/>
    </xf>
    <xf numFmtId="3" fontId="1" fillId="0" borderId="54" xfId="0" applyNumberFormat="1" applyFont="1" applyBorder="1" applyAlignment="1">
      <alignment horizontal="center" vertical="center"/>
    </xf>
    <xf numFmtId="3" fontId="1" fillId="0" borderId="45" xfId="0" applyNumberFormat="1" applyFont="1" applyBorder="1" applyAlignment="1">
      <alignment horizontal="center" vertical="center"/>
    </xf>
    <xf numFmtId="1" fontId="2" fillId="0" borderId="49" xfId="0" applyNumberFormat="1" applyFont="1" applyFill="1" applyBorder="1" applyAlignment="1">
      <alignment horizontal="center" vertical="center"/>
    </xf>
    <xf numFmtId="1" fontId="1" fillId="0" borderId="46" xfId="0" applyNumberFormat="1" applyFont="1" applyFill="1" applyBorder="1" applyAlignment="1">
      <alignment horizontal="right" vertical="center"/>
    </xf>
    <xf numFmtId="165" fontId="1" fillId="3" borderId="47" xfId="0" applyNumberFormat="1" applyFont="1" applyFill="1" applyBorder="1" applyAlignment="1">
      <alignment horizontal="center"/>
    </xf>
    <xf numFmtId="165" fontId="1" fillId="3" borderId="40" xfId="0" applyNumberFormat="1" applyFont="1" applyFill="1" applyBorder="1" applyAlignment="1">
      <alignment horizontal="center"/>
    </xf>
    <xf numFmtId="165" fontId="1" fillId="3" borderId="34" xfId="0" applyNumberFormat="1" applyFont="1" applyFill="1" applyBorder="1" applyAlignment="1">
      <alignment horizontal="center"/>
    </xf>
    <xf numFmtId="0" fontId="1" fillId="0" borderId="53" xfId="0" applyFont="1" applyBorder="1" applyAlignment="1">
      <alignment horizontal="center"/>
    </xf>
    <xf numFmtId="3" fontId="1" fillId="0" borderId="72" xfId="0" applyNumberFormat="1" applyFont="1" applyBorder="1" applyAlignment="1">
      <alignment horizontal="center" vertical="center" wrapText="1"/>
    </xf>
    <xf numFmtId="3" fontId="1" fillId="0" borderId="30" xfId="0" applyNumberFormat="1" applyFont="1" applyBorder="1" applyAlignment="1">
      <alignment horizontal="center" vertical="center" wrapText="1"/>
    </xf>
    <xf numFmtId="0" fontId="1" fillId="0" borderId="59" xfId="0" applyFont="1" applyBorder="1" applyAlignment="1">
      <alignment horizontal="center"/>
    </xf>
    <xf numFmtId="0" fontId="1" fillId="0" borderId="67" xfId="0" applyFont="1" applyBorder="1" applyAlignment="1">
      <alignment horizontal="center"/>
    </xf>
    <xf numFmtId="0" fontId="14" fillId="0" borderId="0" xfId="0" applyFont="1" applyBorder="1" applyAlignment="1" applyProtection="1">
      <alignment vertical="center"/>
    </xf>
    <xf numFmtId="166" fontId="27" fillId="0" borderId="52" xfId="0" applyNumberFormat="1" applyFont="1" applyFill="1" applyBorder="1" applyAlignment="1" applyProtection="1">
      <alignment horizontal="center" vertical="center"/>
    </xf>
    <xf numFmtId="166" fontId="27" fillId="0" borderId="49" xfId="0" applyNumberFormat="1" applyFont="1" applyFill="1" applyBorder="1" applyAlignment="1" applyProtection="1">
      <alignment horizontal="center" vertical="center"/>
    </xf>
    <xf numFmtId="3" fontId="18" fillId="0" borderId="55" xfId="0" applyNumberFormat="1" applyFont="1" applyBorder="1" applyAlignment="1" applyProtection="1">
      <alignment horizontal="center" vertical="center"/>
    </xf>
    <xf numFmtId="0" fontId="188" fillId="0" borderId="0" xfId="0" applyFont="1" applyBorder="1" applyAlignment="1" applyProtection="1">
      <alignment horizontal="center" vertical="center"/>
    </xf>
    <xf numFmtId="0" fontId="99" fillId="0" borderId="0" xfId="0" applyFont="1" applyAlignment="1" applyProtection="1">
      <alignment horizontal="left" vertical="center" wrapText="1"/>
    </xf>
    <xf numFmtId="0" fontId="189" fillId="0" borderId="0" xfId="0" applyFont="1" applyBorder="1" applyAlignment="1" applyProtection="1">
      <alignment horizontal="center" vertical="center"/>
    </xf>
    <xf numFmtId="0" fontId="101" fillId="0" borderId="0" xfId="0" applyFont="1" applyBorder="1" applyAlignment="1" applyProtection="1">
      <alignment horizontal="center" vertical="center" wrapText="1"/>
    </xf>
    <xf numFmtId="0" fontId="189"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101" fillId="0" borderId="0" xfId="0" applyFont="1" applyAlignment="1" applyProtection="1">
      <alignment horizontal="left" vertical="center"/>
    </xf>
    <xf numFmtId="0" fontId="101" fillId="0" borderId="0" xfId="0" applyFont="1" applyAlignment="1" applyProtection="1">
      <alignment horizontal="center" vertical="center"/>
    </xf>
    <xf numFmtId="0" fontId="101" fillId="0" borderId="0" xfId="0" applyFont="1" applyAlignment="1" applyProtection="1">
      <alignment horizontal="center" vertical="center" wrapText="1"/>
    </xf>
    <xf numFmtId="3" fontId="23" fillId="0" borderId="0" xfId="0" applyNumberFormat="1" applyFont="1" applyAlignment="1" applyProtection="1">
      <alignment horizontal="center" vertical="center"/>
    </xf>
    <xf numFmtId="167" fontId="23" fillId="0" borderId="0" xfId="0" applyNumberFormat="1" applyFont="1" applyAlignment="1" applyProtection="1">
      <alignment horizontal="center" vertical="center"/>
    </xf>
    <xf numFmtId="0" fontId="11" fillId="0" borderId="0" xfId="0" applyFont="1" applyAlignment="1" applyProtection="1">
      <alignment horizontal="center" vertical="center" wrapText="1"/>
    </xf>
    <xf numFmtId="0" fontId="98" fillId="0" borderId="0" xfId="0" applyFont="1" applyAlignment="1" applyProtection="1">
      <alignment horizontal="center" vertical="center"/>
    </xf>
    <xf numFmtId="0" fontId="98" fillId="0" borderId="0" xfId="0" applyFont="1" applyBorder="1" applyAlignment="1" applyProtection="1">
      <alignment vertical="center"/>
    </xf>
    <xf numFmtId="0" fontId="98" fillId="0" borderId="0" xfId="0" applyFont="1" applyBorder="1" applyAlignment="1" applyProtection="1">
      <alignment horizontal="center" vertical="center"/>
    </xf>
    <xf numFmtId="0" fontId="98" fillId="0" borderId="0" xfId="0" applyFont="1" applyFill="1" applyBorder="1" applyAlignment="1" applyProtection="1">
      <alignment horizontal="center" vertical="center"/>
    </xf>
    <xf numFmtId="3" fontId="99" fillId="0" borderId="0" xfId="0" applyNumberFormat="1" applyFont="1" applyAlignment="1" applyProtection="1">
      <alignment horizontal="center" vertical="center"/>
    </xf>
    <xf numFmtId="3" fontId="98" fillId="0" borderId="0" xfId="0" applyNumberFormat="1" applyFont="1" applyBorder="1" applyAlignment="1" applyProtection="1">
      <alignment horizontal="center" vertical="center"/>
    </xf>
    <xf numFmtId="3" fontId="99" fillId="0" borderId="0" xfId="0" applyNumberFormat="1" applyFont="1" applyBorder="1" applyAlignment="1" applyProtection="1">
      <alignment horizontal="center" vertical="center"/>
    </xf>
    <xf numFmtId="0" fontId="99" fillId="0" borderId="0" xfId="0" applyFont="1" applyFill="1" applyBorder="1" applyAlignment="1" applyProtection="1">
      <alignment horizontal="center" vertical="center"/>
    </xf>
    <xf numFmtId="0" fontId="190" fillId="0" borderId="0" xfId="0" applyFont="1" applyBorder="1" applyAlignment="1" applyProtection="1">
      <alignment horizontal="center" vertical="center" wrapText="1"/>
    </xf>
    <xf numFmtId="167" fontId="99" fillId="0" borderId="0" xfId="0" applyNumberFormat="1" applyFont="1" applyAlignment="1" applyProtection="1">
      <alignment horizontal="center" vertical="center"/>
    </xf>
    <xf numFmtId="1" fontId="98" fillId="0" borderId="0" xfId="0" applyNumberFormat="1" applyFont="1" applyAlignment="1" applyProtection="1">
      <alignment horizontal="center" vertical="center"/>
    </xf>
    <xf numFmtId="1" fontId="99" fillId="0" borderId="0" xfId="0" applyNumberFormat="1" applyFont="1" applyAlignment="1" applyProtection="1">
      <alignment horizontal="center" vertical="center"/>
    </xf>
    <xf numFmtId="0" fontId="1" fillId="0" borderId="0" xfId="0" applyFont="1" applyAlignment="1">
      <alignment horizontal="left" vertical="center" wrapText="1"/>
    </xf>
    <xf numFmtId="0" fontId="0" fillId="0" borderId="0" xfId="0" applyAlignment="1">
      <alignment vertical="center"/>
    </xf>
    <xf numFmtId="0" fontId="27" fillId="12" borderId="0" xfId="0" applyFont="1" applyFill="1" applyAlignment="1">
      <alignment horizontal="left" vertical="center" wrapText="1"/>
    </xf>
    <xf numFmtId="0" fontId="0" fillId="0" borderId="0" xfId="0" applyAlignment="1">
      <alignment horizontal="left" vertical="center" wrapText="1"/>
    </xf>
    <xf numFmtId="0" fontId="27" fillId="0" borderId="0" xfId="0" applyFont="1" applyAlignment="1">
      <alignment horizontal="left" vertical="center" wrapText="1"/>
    </xf>
    <xf numFmtId="0" fontId="26" fillId="2" borderId="0" xfId="0" applyFont="1" applyFill="1" applyAlignment="1">
      <alignment horizontal="center" vertical="center"/>
    </xf>
    <xf numFmtId="0" fontId="3" fillId="0" borderId="0" xfId="0" applyFont="1" applyAlignment="1">
      <alignment vertical="center"/>
    </xf>
    <xf numFmtId="0" fontId="26" fillId="3" borderId="0" xfId="0" applyFont="1" applyFill="1" applyAlignment="1">
      <alignment horizontal="center" vertical="center"/>
    </xf>
    <xf numFmtId="0" fontId="27" fillId="15" borderId="0" xfId="0" applyFont="1" applyFill="1" applyAlignment="1">
      <alignment horizontal="left" vertical="center" wrapText="1"/>
    </xf>
    <xf numFmtId="0" fontId="117" fillId="0" borderId="0" xfId="0" applyFont="1" applyBorder="1" applyAlignment="1">
      <alignment horizontal="left" vertical="center" wrapText="1"/>
    </xf>
    <xf numFmtId="0" fontId="156" fillId="0" borderId="0" xfId="0" applyFont="1" applyBorder="1" applyAlignment="1">
      <alignment vertical="center" wrapText="1"/>
    </xf>
    <xf numFmtId="0" fontId="145" fillId="0" borderId="0" xfId="0" applyFont="1" applyAlignment="1">
      <alignment horizontal="left" vertical="center" wrapText="1"/>
    </xf>
    <xf numFmtId="0" fontId="145" fillId="0" borderId="0" xfId="0" applyFont="1" applyAlignment="1">
      <alignment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34" fillId="13" borderId="0" xfId="0" applyFont="1" applyFill="1" applyAlignment="1">
      <alignment horizontal="left" vertical="center" wrapText="1"/>
    </xf>
    <xf numFmtId="0" fontId="21" fillId="13" borderId="0" xfId="0" applyFont="1" applyFill="1" applyAlignment="1">
      <alignment horizontal="left" vertical="center" wrapText="1"/>
    </xf>
    <xf numFmtId="0" fontId="39" fillId="19" borderId="0" xfId="0" applyFont="1" applyFill="1" applyAlignment="1">
      <alignment horizontal="left" vertical="center" wrapText="1"/>
    </xf>
    <xf numFmtId="0" fontId="27" fillId="18" borderId="0" xfId="0" applyFont="1" applyFill="1" applyAlignment="1">
      <alignment horizontal="left" vertical="center" wrapText="1"/>
    </xf>
    <xf numFmtId="0" fontId="0" fillId="18" borderId="0" xfId="0" applyFill="1" applyAlignment="1">
      <alignment horizontal="left" vertical="center" wrapText="1"/>
    </xf>
    <xf numFmtId="0" fontId="27" fillId="0" borderId="0" xfId="0" applyFont="1" applyFill="1" applyAlignment="1">
      <alignment horizontal="left" vertical="center" wrapText="1"/>
    </xf>
    <xf numFmtId="0" fontId="32" fillId="0" borderId="0" xfId="0" applyFont="1" applyAlignment="1">
      <alignment horizontal="left" vertical="center" wrapText="1"/>
    </xf>
    <xf numFmtId="0" fontId="21" fillId="0" borderId="0" xfId="0" applyFont="1" applyAlignment="1">
      <alignment vertical="center" wrapText="1"/>
    </xf>
    <xf numFmtId="0" fontId="18" fillId="0" borderId="52"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1" fillId="0" borderId="26"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73" xfId="0" applyFont="1" applyFill="1" applyBorder="1" applyAlignment="1">
      <alignment horizontal="center" vertical="center"/>
    </xf>
    <xf numFmtId="0" fontId="18" fillId="0" borderId="38" xfId="0" applyFont="1" applyFill="1" applyBorder="1" applyAlignment="1">
      <alignment horizontal="center" vertical="center"/>
    </xf>
    <xf numFmtId="0" fontId="27" fillId="0" borderId="18" xfId="0" applyFont="1" applyFill="1" applyBorder="1" applyAlignment="1">
      <alignment horizontal="center" vertical="center" textRotation="90" wrapText="1"/>
    </xf>
    <xf numFmtId="0" fontId="27" fillId="0" borderId="46" xfId="0" applyFont="1" applyFill="1" applyBorder="1" applyAlignment="1">
      <alignment horizontal="center" vertical="center" textRotation="90" wrapText="1"/>
    </xf>
    <xf numFmtId="0" fontId="18" fillId="0" borderId="64" xfId="0" applyFont="1" applyFill="1" applyBorder="1" applyAlignment="1">
      <alignment horizontal="center" vertical="center"/>
    </xf>
    <xf numFmtId="0" fontId="18" fillId="0" borderId="37" xfId="0" applyFont="1" applyFill="1" applyBorder="1" applyAlignment="1">
      <alignment horizontal="center" vertical="center"/>
    </xf>
    <xf numFmtId="0" fontId="18" fillId="0" borderId="17"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0" fillId="3" borderId="15" xfId="0" applyFont="1" applyFill="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1" fillId="3" borderId="16" xfId="0" applyFont="1" applyFill="1" applyBorder="1" applyAlignment="1">
      <alignment horizontal="center" vertical="center"/>
    </xf>
    <xf numFmtId="0" fontId="0" fillId="0" borderId="16" xfId="0" applyBorder="1" applyAlignment="1">
      <alignment horizontal="center" vertical="center"/>
    </xf>
    <xf numFmtId="0" fontId="0" fillId="3" borderId="17" xfId="0" applyFont="1" applyFill="1" applyBorder="1" applyAlignment="1" applyProtection="1">
      <alignment horizontal="center" vertical="center" wrapText="1"/>
      <protection locked="0"/>
    </xf>
    <xf numFmtId="0" fontId="0" fillId="0" borderId="18" xfId="0" applyBorder="1" applyAlignment="1" applyProtection="1">
      <alignment horizontal="center" vertical="center"/>
      <protection locked="0"/>
    </xf>
    <xf numFmtId="0" fontId="1" fillId="2" borderId="0" xfId="0" applyFont="1" applyFill="1" applyBorder="1" applyAlignment="1">
      <alignment horizontal="center" vertical="center"/>
    </xf>
    <xf numFmtId="0" fontId="0" fillId="0" borderId="0" xfId="0" applyBorder="1" applyAlignment="1">
      <alignment horizontal="center" vertical="center"/>
    </xf>
    <xf numFmtId="0" fontId="0" fillId="3" borderId="19" xfId="0" applyFont="1" applyFill="1"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9" fillId="0" borderId="17" xfId="0" applyFont="1" applyFill="1" applyBorder="1" applyAlignment="1">
      <alignment horizontal="center" vertical="center" wrapText="1"/>
    </xf>
    <xf numFmtId="0" fontId="9" fillId="0" borderId="0" xfId="0" applyFont="1" applyBorder="1" applyAlignment="1">
      <alignment horizontal="center" vertical="center" wrapText="1"/>
    </xf>
    <xf numFmtId="0" fontId="0" fillId="0" borderId="19" xfId="0" applyBorder="1" applyAlignment="1">
      <alignment wrapText="1"/>
    </xf>
    <xf numFmtId="0" fontId="0" fillId="0" borderId="20" xfId="0" applyBorder="1" applyAlignment="1">
      <alignment wrapText="1"/>
    </xf>
    <xf numFmtId="0" fontId="48"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10" xfId="0" applyFont="1" applyBorder="1" applyAlignment="1">
      <alignment horizontal="center" vertical="center" wrapText="1"/>
    </xf>
    <xf numFmtId="0" fontId="41" fillId="0" borderId="7" xfId="0" applyFont="1" applyBorder="1" applyAlignment="1">
      <alignment horizontal="center" vertical="center" wrapText="1"/>
    </xf>
    <xf numFmtId="0" fontId="42" fillId="0" borderId="11" xfId="0" applyFont="1" applyBorder="1" applyAlignment="1">
      <alignment horizontal="center" vertical="center" wrapText="1"/>
    </xf>
    <xf numFmtId="0" fontId="27" fillId="0" borderId="11" xfId="0" applyFont="1" applyBorder="1" applyAlignment="1">
      <alignment horizontal="center"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42" fillId="0" borderId="6" xfId="0" applyFont="1" applyBorder="1" applyAlignment="1">
      <alignment horizontal="center" vertical="center" wrapText="1"/>
    </xf>
    <xf numFmtId="0" fontId="42"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0" fillId="0" borderId="5" xfId="0" applyBorder="1" applyAlignment="1">
      <alignment horizontal="center" vertical="center"/>
    </xf>
    <xf numFmtId="0" fontId="27" fillId="0" borderId="6"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2" xfId="0"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48" fillId="0" borderId="7" xfId="0" applyFont="1" applyBorder="1" applyAlignment="1" applyProtection="1">
      <alignment horizontal="center" vertical="center" wrapText="1"/>
    </xf>
    <xf numFmtId="0" fontId="47" fillId="0" borderId="8"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41"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0" fillId="0" borderId="1" xfId="0" applyBorder="1" applyAlignment="1">
      <alignment horizontal="center" vertical="center"/>
    </xf>
    <xf numFmtId="3" fontId="18" fillId="0" borderId="29" xfId="0" applyNumberFormat="1" applyFont="1" applyBorder="1" applyAlignment="1">
      <alignment horizontal="center" vertical="center" wrapText="1"/>
    </xf>
    <xf numFmtId="0" fontId="0" fillId="0" borderId="30" xfId="0" applyBorder="1" applyAlignment="1">
      <alignment horizontal="center" vertical="center" wrapText="1"/>
    </xf>
    <xf numFmtId="0" fontId="45" fillId="0" borderId="25" xfId="0" applyFont="1" applyBorder="1" applyAlignment="1">
      <alignment horizontal="center" vertical="center"/>
    </xf>
    <xf numFmtId="0" fontId="23" fillId="0" borderId="25" xfId="0" applyFont="1" applyBorder="1" applyAlignment="1">
      <alignment horizontal="center" vertical="center"/>
    </xf>
    <xf numFmtId="3" fontId="1" fillId="0" borderId="47"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2"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1" fillId="0" borderId="25"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48" fillId="0" borderId="25" xfId="0" applyFont="1" applyBorder="1" applyAlignment="1">
      <alignment horizontal="center" vertical="center" wrapText="1"/>
    </xf>
    <xf numFmtId="0" fontId="23" fillId="0" borderId="25"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0" xfId="0" applyFont="1" applyBorder="1" applyAlignment="1">
      <alignment horizontal="center" vertical="center" wrapText="1"/>
    </xf>
    <xf numFmtId="0" fontId="18" fillId="0" borderId="1" xfId="0" applyFont="1" applyBorder="1" applyAlignment="1">
      <alignment horizontal="center" vertical="center" wrapText="1"/>
    </xf>
    <xf numFmtId="0" fontId="26" fillId="0" borderId="69"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0" fillId="0" borderId="1" xfId="0" applyBorder="1" applyAlignment="1">
      <alignment horizontal="center" vertical="center" wrapText="1"/>
    </xf>
    <xf numFmtId="0" fontId="18" fillId="0" borderId="25"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0" fillId="0" borderId="1" xfId="0" applyFont="1" applyBorder="1" applyAlignment="1">
      <alignment horizontal="center" vertical="center" wrapText="1"/>
    </xf>
    <xf numFmtId="0" fontId="11" fillId="0" borderId="7" xfId="0" applyFont="1" applyBorder="1" applyAlignment="1">
      <alignment horizontal="center" vertical="center"/>
    </xf>
    <xf numFmtId="0" fontId="11" fillId="0" borderId="11"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2" xfId="0" applyFont="1" applyBorder="1" applyAlignment="1">
      <alignment horizontal="center" vertical="center"/>
    </xf>
    <xf numFmtId="0" fontId="11" fillId="0" borderId="10" xfId="0" applyFont="1" applyBorder="1" applyAlignment="1">
      <alignment horizontal="center" vertical="center"/>
    </xf>
    <xf numFmtId="0" fontId="9" fillId="0" borderId="16" xfId="0" applyFont="1" applyBorder="1" applyAlignment="1">
      <alignment horizontal="center" vertical="center" wrapText="1"/>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0" fillId="0" borderId="20" xfId="0" applyBorder="1" applyAlignment="1">
      <alignment horizontal="center" vertical="center" wrapText="1"/>
    </xf>
    <xf numFmtId="0" fontId="27" fillId="0" borderId="0" xfId="0" applyFont="1" applyFill="1" applyBorder="1" applyAlignment="1">
      <alignment horizontal="center" vertical="center" textRotation="90" wrapText="1"/>
    </xf>
    <xf numFmtId="0" fontId="27" fillId="0" borderId="20" xfId="0" applyFont="1" applyFill="1" applyBorder="1" applyAlignment="1">
      <alignment horizontal="center" vertical="center" textRotation="90" wrapText="1"/>
    </xf>
    <xf numFmtId="0" fontId="1" fillId="0" borderId="15" xfId="0" applyFont="1" applyFill="1" applyBorder="1" applyAlignment="1">
      <alignment horizontal="center" vertical="center" textRotation="90" wrapText="1"/>
    </xf>
    <xf numFmtId="0" fontId="1" fillId="0" borderId="19" xfId="0" applyFont="1" applyBorder="1" applyAlignment="1">
      <alignment horizontal="center" vertical="center" textRotation="90" wrapText="1"/>
    </xf>
    <xf numFmtId="0" fontId="18" fillId="0" borderId="54" xfId="0" applyFont="1" applyFill="1" applyBorder="1" applyAlignment="1">
      <alignment horizontal="center" vertical="center" wrapText="1"/>
    </xf>
    <xf numFmtId="0" fontId="18" fillId="0" borderId="55"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27" fillId="0" borderId="16" xfId="0" applyFont="1" applyBorder="1" applyAlignment="1">
      <alignment horizontal="center" vertical="center"/>
    </xf>
    <xf numFmtId="0" fontId="27" fillId="0" borderId="28" xfId="0" applyFont="1" applyBorder="1" applyAlignment="1">
      <alignment horizontal="center" vertical="center"/>
    </xf>
    <xf numFmtId="0" fontId="1" fillId="0" borderId="19" xfId="0" applyFont="1" applyBorder="1" applyAlignment="1">
      <alignment horizontal="center" vertical="center" wrapText="1"/>
    </xf>
    <xf numFmtId="0" fontId="0" fillId="0" borderId="46" xfId="0" applyBorder="1"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27" fillId="0" borderId="0" xfId="0" applyFont="1" applyBorder="1" applyAlignment="1">
      <alignment horizontal="center" vertical="center"/>
    </xf>
    <xf numFmtId="0" fontId="11" fillId="0" borderId="25"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 xfId="0" applyFont="1" applyBorder="1" applyAlignment="1">
      <alignment horizontal="center" vertical="center" wrapText="1"/>
    </xf>
    <xf numFmtId="0" fontId="18" fillId="0" borderId="70"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1" fillId="0" borderId="66" xfId="0" applyFont="1" applyFill="1" applyBorder="1" applyAlignment="1">
      <alignment horizontal="center" vertical="center" wrapText="1"/>
    </xf>
    <xf numFmtId="0" fontId="1" fillId="0" borderId="67"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47" xfId="0" applyFont="1" applyFill="1" applyBorder="1" applyAlignment="1">
      <alignment horizontal="center" vertical="center"/>
    </xf>
    <xf numFmtId="0" fontId="18" fillId="0" borderId="48" xfId="0" applyFont="1" applyFill="1" applyBorder="1" applyAlignment="1">
      <alignment horizontal="center" vertical="center"/>
    </xf>
    <xf numFmtId="0" fontId="24" fillId="16" borderId="1" xfId="0" applyFont="1" applyFill="1" applyBorder="1" applyAlignment="1">
      <alignment horizontal="center" vertical="center" wrapText="1"/>
    </xf>
    <xf numFmtId="0" fontId="113" fillId="16" borderId="1" xfId="0" applyFont="1" applyFill="1" applyBorder="1" applyAlignment="1">
      <alignment vertical="center" wrapText="1"/>
    </xf>
    <xf numFmtId="0" fontId="27" fillId="0" borderId="28" xfId="0" applyFont="1" applyFill="1" applyBorder="1" applyAlignment="1">
      <alignment horizontal="center" vertical="center" textRotation="90" wrapText="1"/>
    </xf>
    <xf numFmtId="0" fontId="26" fillId="0" borderId="29" xfId="0" applyFont="1" applyFill="1" applyBorder="1" applyAlignment="1">
      <alignment horizontal="center" vertical="center" wrapText="1"/>
    </xf>
    <xf numFmtId="0" fontId="26" fillId="0" borderId="30" xfId="0" applyFont="1" applyFill="1" applyBorder="1" applyAlignment="1">
      <alignment horizontal="center" vertical="center" wrapText="1"/>
    </xf>
    <xf numFmtId="0" fontId="1" fillId="0" borderId="70" xfId="0" applyFont="1" applyFill="1" applyBorder="1" applyAlignment="1">
      <alignment horizontal="center" vertical="center" textRotation="90" wrapText="1"/>
    </xf>
    <xf numFmtId="0" fontId="1" fillId="0" borderId="59" xfId="0" applyFont="1" applyFill="1" applyBorder="1" applyAlignment="1">
      <alignment horizontal="center" vertical="center" textRotation="90" wrapText="1"/>
    </xf>
    <xf numFmtId="0" fontId="18" fillId="0" borderId="66" xfId="0" applyFont="1" applyFill="1" applyBorder="1" applyAlignment="1">
      <alignment horizontal="center" vertical="center" wrapText="1"/>
    </xf>
    <xf numFmtId="0" fontId="18" fillId="0" borderId="67" xfId="0" applyFont="1" applyFill="1" applyBorder="1" applyAlignment="1">
      <alignment horizontal="center" vertical="center" wrapText="1"/>
    </xf>
    <xf numFmtId="0" fontId="14" fillId="0" borderId="1" xfId="0" applyFont="1" applyBorder="1" applyAlignment="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0" fillId="0" borderId="1" xfId="0" applyBorder="1" applyAlignment="1">
      <alignment vertical="center" wrapText="1"/>
    </xf>
    <xf numFmtId="3" fontId="18" fillId="0" borderId="76" xfId="0" applyNumberFormat="1" applyFont="1" applyBorder="1" applyAlignment="1">
      <alignment horizontal="center" vertical="center" wrapText="1"/>
    </xf>
    <xf numFmtId="0" fontId="2" fillId="0" borderId="48" xfId="0" applyFont="1" applyBorder="1" applyAlignment="1">
      <alignment horizontal="center" vertical="center" wrapText="1"/>
    </xf>
    <xf numFmtId="3" fontId="1" fillId="0" borderId="48" xfId="0" applyNumberFormat="1" applyFont="1" applyBorder="1" applyAlignment="1">
      <alignment horizontal="center" vertical="center" wrapText="1"/>
    </xf>
    <xf numFmtId="0" fontId="0" fillId="0" borderId="78" xfId="0" applyBorder="1" applyAlignment="1">
      <alignment horizontal="center" vertical="center" wrapText="1"/>
    </xf>
    <xf numFmtId="0" fontId="0" fillId="0" borderId="50" xfId="0" applyBorder="1" applyAlignment="1">
      <alignment horizontal="center" vertical="center" wrapText="1"/>
    </xf>
    <xf numFmtId="1" fontId="11" fillId="0" borderId="0" xfId="0" applyNumberFormat="1" applyFont="1" applyAlignment="1">
      <alignment horizontal="center" vertical="center"/>
    </xf>
    <xf numFmtId="1" fontId="11" fillId="0" borderId="0"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xf numFmtId="0" fontId="11" fillId="0" borderId="0" xfId="0" applyFont="1" applyAlignment="1">
      <alignment horizontal="center" vertical="center" wrapText="1"/>
    </xf>
    <xf numFmtId="0" fontId="11" fillId="0" borderId="0" xfId="0" applyFont="1" applyBorder="1" applyAlignment="1">
      <alignment horizontal="center" vertical="center" wrapText="1"/>
    </xf>
    <xf numFmtId="0" fontId="18" fillId="0" borderId="0" xfId="0" applyFont="1" applyAlignment="1">
      <alignment horizontal="center" vertical="center"/>
    </xf>
    <xf numFmtId="0" fontId="18" fillId="0" borderId="0" xfId="0" applyFont="1" applyBorder="1" applyAlignment="1">
      <alignment horizontal="center" vertical="center"/>
    </xf>
    <xf numFmtId="0" fontId="1" fillId="3" borderId="16" xfId="0" applyFont="1" applyFill="1" applyBorder="1" applyAlignment="1" applyProtection="1">
      <alignment horizontal="center" vertical="center"/>
    </xf>
    <xf numFmtId="0" fontId="0" fillId="0" borderId="16" xfId="0" applyBorder="1" applyAlignment="1" applyProtection="1">
      <alignment horizontal="center" vertical="center"/>
    </xf>
    <xf numFmtId="0" fontId="1" fillId="2" borderId="0"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1" xfId="0"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27" fillId="0" borderId="23" xfId="0" applyFont="1" applyBorder="1" applyAlignment="1" applyProtection="1">
      <alignment horizontal="center" vertical="center" wrapText="1"/>
    </xf>
    <xf numFmtId="0" fontId="27" fillId="0" borderId="23" xfId="0" applyFont="1" applyBorder="1" applyAlignment="1" applyProtection="1">
      <alignment horizontal="center" vertical="center"/>
    </xf>
    <xf numFmtId="0" fontId="27" fillId="0" borderId="24" xfId="0" applyFont="1" applyBorder="1" applyAlignment="1" applyProtection="1">
      <alignment horizontal="center" vertical="center"/>
    </xf>
    <xf numFmtId="0" fontId="1" fillId="0" borderId="19" xfId="0" applyFont="1" applyBorder="1" applyAlignment="1" applyProtection="1">
      <alignment horizontal="center" vertical="center" wrapText="1"/>
    </xf>
    <xf numFmtId="0" fontId="0" fillId="0" borderId="20" xfId="0" applyFont="1" applyBorder="1" applyAlignment="1" applyProtection="1">
      <alignment horizontal="center" vertical="center"/>
    </xf>
    <xf numFmtId="0" fontId="0" fillId="0" borderId="46"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0" fillId="0" borderId="25" xfId="0" applyBorder="1" applyAlignment="1" applyProtection="1">
      <alignment horizontal="center" vertical="center" wrapText="1"/>
    </xf>
    <xf numFmtId="0" fontId="18" fillId="0" borderId="7" xfId="0" applyFont="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0" xfId="0"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05" fillId="0" borderId="1" xfId="0" applyFont="1" applyBorder="1" applyAlignment="1" applyProtection="1">
      <alignment horizontal="center" vertical="center" wrapText="1"/>
    </xf>
    <xf numFmtId="0" fontId="26" fillId="0" borderId="68" xfId="0" applyFont="1" applyFill="1" applyBorder="1" applyAlignment="1" applyProtection="1">
      <alignment horizontal="center" vertical="center" wrapText="1"/>
    </xf>
    <xf numFmtId="0" fontId="26" fillId="0" borderId="35" xfId="0" applyFont="1" applyFill="1" applyBorder="1" applyAlignment="1" applyProtection="1">
      <alignment horizontal="center" vertical="center" wrapText="1"/>
    </xf>
    <xf numFmtId="0" fontId="1" fillId="0" borderId="66" xfId="0" applyFont="1" applyFill="1" applyBorder="1" applyAlignment="1" applyProtection="1">
      <alignment horizontal="center" vertical="center" wrapText="1"/>
    </xf>
    <xf numFmtId="0" fontId="1" fillId="0" borderId="67" xfId="0" applyFont="1" applyFill="1" applyBorder="1" applyAlignment="1" applyProtection="1">
      <alignment horizontal="center" vertical="center" wrapText="1"/>
    </xf>
    <xf numFmtId="0" fontId="18" fillId="0" borderId="16"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45" fillId="0" borderId="25" xfId="0" applyFont="1" applyBorder="1" applyAlignment="1">
      <alignment horizontal="center" vertical="center" wrapText="1"/>
    </xf>
    <xf numFmtId="0" fontId="0" fillId="0" borderId="6" xfId="0" applyBorder="1" applyAlignment="1" applyProtection="1">
      <alignment horizontal="center" vertical="center" wrapText="1"/>
    </xf>
    <xf numFmtId="0" fontId="0" fillId="0" borderId="5" xfId="0" applyBorder="1" applyAlignment="1" applyProtection="1">
      <alignment horizontal="center" vertical="center" wrapText="1"/>
    </xf>
    <xf numFmtId="0" fontId="41" fillId="0" borderId="1" xfId="0" applyFont="1" applyBorder="1" applyAlignment="1" applyProtection="1">
      <alignment horizontal="center" vertical="center" wrapText="1"/>
    </xf>
    <xf numFmtId="0" fontId="27" fillId="0" borderId="1" xfId="0" applyFont="1" applyBorder="1" applyAlignment="1" applyProtection="1">
      <alignment horizontal="center" vertical="center" wrapText="1"/>
    </xf>
    <xf numFmtId="0" fontId="27" fillId="0" borderId="1" xfId="0" applyFont="1" applyBorder="1" applyAlignment="1" applyProtection="1">
      <alignment horizontal="center" vertical="center"/>
    </xf>
    <xf numFmtId="0" fontId="27" fillId="0" borderId="0" xfId="0" applyFont="1" applyBorder="1" applyAlignment="1" applyProtection="1">
      <alignment horizontal="center" vertical="center"/>
    </xf>
    <xf numFmtId="0" fontId="18" fillId="0" borderId="52" xfId="0" applyFont="1" applyBorder="1" applyAlignment="1" applyProtection="1">
      <alignment horizontal="center" vertical="center"/>
    </xf>
    <xf numFmtId="0" fontId="18" fillId="0" borderId="44" xfId="0" applyFont="1" applyBorder="1" applyAlignment="1" applyProtection="1">
      <alignment horizontal="center" vertical="center"/>
    </xf>
    <xf numFmtId="0" fontId="18" fillId="0" borderId="54" xfId="0" applyFont="1" applyBorder="1" applyAlignment="1" applyProtection="1">
      <alignment horizontal="center" vertical="center"/>
    </xf>
    <xf numFmtId="0" fontId="27" fillId="0" borderId="28" xfId="0" applyFont="1" applyFill="1" applyBorder="1" applyAlignment="1" applyProtection="1">
      <alignment horizontal="center" vertical="center" textRotation="90" wrapText="1"/>
    </xf>
    <xf numFmtId="0" fontId="27" fillId="0" borderId="46" xfId="0" applyFont="1" applyFill="1" applyBorder="1" applyAlignment="1" applyProtection="1">
      <alignment horizontal="center" vertical="center" textRotation="90" wrapText="1"/>
    </xf>
    <xf numFmtId="0" fontId="48" fillId="0" borderId="1" xfId="0"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0" fillId="0" borderId="1" xfId="0" applyFont="1" applyBorder="1" applyAlignment="1" applyProtection="1">
      <alignment horizontal="center" vertical="center"/>
    </xf>
    <xf numFmtId="0" fontId="43" fillId="0" borderId="7" xfId="0" applyFont="1" applyBorder="1" applyAlignment="1" applyProtection="1">
      <alignment horizontal="center" vertical="center" wrapText="1"/>
    </xf>
    <xf numFmtId="0" fontId="44" fillId="0" borderId="11" xfId="0" applyFont="1" applyBorder="1" applyAlignment="1" applyProtection="1">
      <alignment horizontal="center" vertical="center" wrapText="1"/>
    </xf>
    <xf numFmtId="0" fontId="0" fillId="0" borderId="11" xfId="0" applyBorder="1" applyAlignment="1" applyProtection="1">
      <alignment horizontal="center" vertical="center"/>
    </xf>
    <xf numFmtId="0" fontId="0" fillId="0" borderId="8" xfId="0" applyBorder="1" applyAlignment="1" applyProtection="1">
      <alignment horizontal="center" vertical="center"/>
    </xf>
    <xf numFmtId="0" fontId="44" fillId="0" borderId="6" xfId="0" applyFont="1" applyBorder="1" applyAlignment="1" applyProtection="1">
      <alignment horizontal="center" vertical="center" wrapText="1"/>
    </xf>
    <xf numFmtId="0" fontId="44" fillId="0" borderId="0" xfId="0" applyFont="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5" xfId="0" applyBorder="1" applyAlignment="1" applyProtection="1">
      <alignment horizontal="center" vertical="center"/>
    </xf>
    <xf numFmtId="0" fontId="0" fillId="0" borderId="9" xfId="0" applyBorder="1" applyAlignment="1" applyProtection="1">
      <alignment horizontal="center" vertical="center"/>
    </xf>
    <xf numFmtId="0" fontId="0" fillId="0" borderId="12" xfId="0" applyBorder="1" applyAlignment="1" applyProtection="1">
      <alignment horizontal="center" vertical="center"/>
    </xf>
    <xf numFmtId="0" fontId="0" fillId="0" borderId="10" xfId="0" applyBorder="1" applyAlignment="1" applyProtection="1">
      <alignment horizontal="center" vertical="center"/>
    </xf>
    <xf numFmtId="3" fontId="18" fillId="0" borderId="29" xfId="0" applyNumberFormat="1" applyFont="1" applyBorder="1" applyAlignment="1" applyProtection="1">
      <alignment horizontal="center" vertical="center" wrapText="1"/>
    </xf>
    <xf numFmtId="0" fontId="0" fillId="0" borderId="30" xfId="0" applyBorder="1" applyAlignment="1" applyProtection="1">
      <alignment horizontal="center" vertical="center" wrapText="1"/>
    </xf>
    <xf numFmtId="0" fontId="2" fillId="0" borderId="47" xfId="0" applyFont="1" applyBorder="1" applyAlignment="1" applyProtection="1">
      <alignment horizontal="center" vertical="center" wrapText="1"/>
    </xf>
    <xf numFmtId="0" fontId="40" fillId="0" borderId="48" xfId="0" applyFont="1" applyBorder="1" applyAlignment="1" applyProtection="1">
      <alignment horizontal="center" vertical="center" wrapText="1"/>
    </xf>
    <xf numFmtId="0" fontId="0" fillId="0" borderId="66" xfId="0" applyFont="1" applyBorder="1" applyAlignment="1">
      <alignment horizontal="center" vertical="center" wrapText="1"/>
    </xf>
    <xf numFmtId="0" fontId="0" fillId="0" borderId="26" xfId="0" applyFont="1" applyBorder="1" applyAlignment="1">
      <alignment horizontal="center" vertical="center" wrapText="1"/>
    </xf>
    <xf numFmtId="0" fontId="18" fillId="0" borderId="0" xfId="0" applyFont="1" applyAlignment="1">
      <alignment horizontal="center" vertical="center" wrapText="1"/>
    </xf>
    <xf numFmtId="0" fontId="11" fillId="0" borderId="0" xfId="0" applyFont="1" applyFill="1" applyBorder="1" applyAlignment="1" applyProtection="1">
      <alignment horizontal="center" vertical="center" wrapText="1"/>
    </xf>
    <xf numFmtId="0" fontId="0" fillId="0" borderId="70"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80" xfId="0" applyFont="1" applyBorder="1" applyAlignment="1">
      <alignment horizontal="center" vertical="center" wrapText="1"/>
    </xf>
    <xf numFmtId="0" fontId="0" fillId="0" borderId="14" xfId="0" applyFont="1" applyBorder="1" applyAlignment="1">
      <alignment horizontal="center" vertical="center" wrapText="1"/>
    </xf>
    <xf numFmtId="3" fontId="18" fillId="0" borderId="47" xfId="0" applyNumberFormat="1" applyFont="1" applyBorder="1" applyAlignment="1" applyProtection="1">
      <alignment horizontal="center" vertical="center" wrapText="1"/>
    </xf>
    <xf numFmtId="0" fontId="18" fillId="0" borderId="48" xfId="0" applyFont="1" applyBorder="1" applyAlignment="1" applyProtection="1">
      <alignment horizontal="center" vertical="center" wrapText="1"/>
    </xf>
    <xf numFmtId="1" fontId="11" fillId="0" borderId="0" xfId="0" applyNumberFormat="1" applyFont="1" applyAlignment="1">
      <alignment horizontal="center" vertical="center" wrapText="1"/>
    </xf>
    <xf numFmtId="0" fontId="18" fillId="0" borderId="0" xfId="0" applyFont="1" applyBorder="1" applyAlignment="1">
      <alignment horizontal="center" vertical="center" wrapText="1"/>
    </xf>
    <xf numFmtId="0" fontId="173" fillId="0" borderId="6" xfId="0" applyFont="1" applyBorder="1" applyAlignment="1" applyProtection="1">
      <alignment horizontal="center" vertical="center" wrapText="1"/>
    </xf>
    <xf numFmtId="0" fontId="173" fillId="0" borderId="0" xfId="0" applyFont="1" applyBorder="1" applyAlignment="1" applyProtection="1">
      <alignment horizontal="center" vertical="center" wrapText="1"/>
    </xf>
    <xf numFmtId="0" fontId="173" fillId="0" borderId="9" xfId="0" applyFont="1" applyBorder="1" applyAlignment="1" applyProtection="1">
      <alignment horizontal="center" vertical="center" wrapText="1"/>
    </xf>
    <xf numFmtId="0" fontId="173" fillId="0" borderId="12" xfId="0" applyFont="1" applyBorder="1" applyAlignment="1" applyProtection="1">
      <alignment horizontal="center" vertical="center" wrapText="1"/>
    </xf>
    <xf numFmtId="0" fontId="18" fillId="0" borderId="22" xfId="0" applyFont="1" applyBorder="1" applyAlignment="1" applyProtection="1">
      <alignment horizontal="center" vertical="center" wrapText="1"/>
    </xf>
    <xf numFmtId="0" fontId="0" fillId="0" borderId="23" xfId="0" applyBorder="1" applyAlignment="1" applyProtection="1">
      <alignment horizontal="center" vertical="center" wrapText="1"/>
    </xf>
    <xf numFmtId="0" fontId="18" fillId="0" borderId="23"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0" fillId="0" borderId="24" xfId="0" applyBorder="1" applyAlignment="1" applyProtection="1">
      <alignment horizontal="center" vertical="center" wrapText="1"/>
    </xf>
    <xf numFmtId="0" fontId="48"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40" fillId="0" borderId="1" xfId="0" applyFont="1" applyBorder="1" applyAlignment="1">
      <alignment horizontal="center" vertical="center"/>
    </xf>
    <xf numFmtId="0" fontId="43" fillId="0" borderId="7"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0" xfId="0" applyFont="1" applyBorder="1" applyAlignment="1">
      <alignment horizontal="center" vertical="center" wrapText="1"/>
    </xf>
    <xf numFmtId="0" fontId="0" fillId="0" borderId="9" xfId="0" applyBorder="1" applyAlignment="1">
      <alignment horizontal="center" vertical="center"/>
    </xf>
    <xf numFmtId="0" fontId="0" fillId="0" borderId="20" xfId="0" applyFont="1" applyBorder="1" applyAlignment="1">
      <alignment horizontal="center" vertical="center"/>
    </xf>
    <xf numFmtId="0" fontId="0" fillId="0" borderId="46" xfId="0" applyFont="1" applyBorder="1" applyAlignment="1">
      <alignment horizontal="center" vertical="center"/>
    </xf>
    <xf numFmtId="0" fontId="18"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3" fontId="18" fillId="0" borderId="47" xfId="0" applyNumberFormat="1" applyFont="1" applyBorder="1" applyAlignment="1">
      <alignment horizontal="center" vertical="center" wrapText="1"/>
    </xf>
    <xf numFmtId="0" fontId="18" fillId="0" borderId="48" xfId="0" applyFont="1" applyBorder="1" applyAlignment="1">
      <alignment horizontal="center" vertical="center" wrapText="1"/>
    </xf>
    <xf numFmtId="0" fontId="18" fillId="0" borderId="52" xfId="0" applyFont="1" applyFill="1" applyBorder="1" applyAlignment="1">
      <alignment horizontal="center" vertical="center" wrapText="1"/>
    </xf>
    <xf numFmtId="0" fontId="18" fillId="0" borderId="49" xfId="0" applyFont="1" applyFill="1" applyBorder="1" applyAlignment="1">
      <alignment horizontal="center" vertical="center" wrapText="1"/>
    </xf>
    <xf numFmtId="165" fontId="18" fillId="0" borderId="16" xfId="0" applyNumberFormat="1" applyFont="1" applyFill="1" applyBorder="1" applyAlignment="1">
      <alignment horizontal="center" vertical="center" wrapText="1"/>
    </xf>
    <xf numFmtId="165" fontId="18" fillId="0" borderId="20" xfId="0" applyNumberFormat="1" applyFont="1" applyFill="1" applyBorder="1" applyAlignment="1">
      <alignment horizontal="center" vertical="center" wrapText="1"/>
    </xf>
    <xf numFmtId="0" fontId="1" fillId="0" borderId="52" xfId="0" applyFont="1" applyBorder="1" applyAlignment="1">
      <alignment horizontal="center" vertical="center"/>
    </xf>
    <xf numFmtId="0" fontId="1" fillId="0" borderId="44" xfId="0" applyFont="1" applyBorder="1" applyAlignment="1">
      <alignment horizontal="center" vertical="center"/>
    </xf>
    <xf numFmtId="0" fontId="0" fillId="0" borderId="54" xfId="0" applyBorder="1" applyAlignment="1">
      <alignment horizontal="center" vertical="center"/>
    </xf>
    <xf numFmtId="0" fontId="18" fillId="0" borderId="53" xfId="0" applyFont="1" applyFill="1" applyBorder="1" applyAlignment="1">
      <alignment horizontal="center" vertical="center" wrapText="1"/>
    </xf>
    <xf numFmtId="0" fontId="0" fillId="0" borderId="44" xfId="0" applyBorder="1" applyAlignment="1">
      <alignment horizontal="center" vertical="center" wrapText="1"/>
    </xf>
    <xf numFmtId="0" fontId="0" fillId="0" borderId="58" xfId="0" applyBorder="1" applyAlignment="1">
      <alignment horizontal="center" vertical="center"/>
    </xf>
    <xf numFmtId="0" fontId="0" fillId="0" borderId="19" xfId="0" applyBorder="1" applyAlignment="1">
      <alignment horizontal="center" vertical="center" wrapText="1"/>
    </xf>
    <xf numFmtId="0" fontId="18" fillId="0" borderId="16" xfId="0" applyFont="1" applyFill="1" applyBorder="1" applyAlignment="1">
      <alignment horizontal="center" vertical="center" wrapText="1"/>
    </xf>
    <xf numFmtId="0" fontId="27" fillId="0" borderId="16" xfId="0" applyFont="1" applyFill="1" applyBorder="1" applyAlignment="1">
      <alignment horizontal="center" vertical="center" textRotation="90" wrapText="1"/>
    </xf>
    <xf numFmtId="0" fontId="26" fillId="0" borderId="31" xfId="0" applyFont="1" applyFill="1" applyBorder="1" applyAlignment="1">
      <alignment horizontal="center" vertical="center" wrapText="1"/>
    </xf>
    <xf numFmtId="0" fontId="40" fillId="0" borderId="68" xfId="0" applyFont="1" applyBorder="1" applyAlignment="1">
      <alignment horizontal="center" vertical="center" wrapText="1"/>
    </xf>
    <xf numFmtId="0" fontId="105" fillId="0" borderId="39" xfId="0" applyFont="1" applyBorder="1" applyAlignment="1">
      <alignment horizontal="center" vertical="center" wrapText="1"/>
    </xf>
    <xf numFmtId="0" fontId="0" fillId="0" borderId="45" xfId="0" applyFont="1" applyBorder="1" applyAlignment="1">
      <alignment horizontal="center" vertical="center" wrapText="1"/>
    </xf>
    <xf numFmtId="0" fontId="2" fillId="0" borderId="1" xfId="0" applyFont="1" applyBorder="1" applyAlignment="1">
      <alignment horizontal="center" vertical="center" wrapText="1"/>
    </xf>
    <xf numFmtId="0" fontId="18" fillId="0" borderId="25" xfId="0" applyFont="1" applyBorder="1" applyAlignment="1">
      <alignment horizontal="center" vertical="center" wrapText="1"/>
    </xf>
    <xf numFmtId="0" fontId="27" fillId="0" borderId="25" xfId="0" applyFont="1" applyBorder="1" applyAlignment="1">
      <alignment horizontal="center" vertical="center" wrapText="1"/>
    </xf>
    <xf numFmtId="0" fontId="18" fillId="0" borderId="52" xfId="0" applyFont="1" applyBorder="1" applyAlignment="1">
      <alignment horizontal="center" vertical="center" wrapText="1"/>
    </xf>
    <xf numFmtId="0" fontId="0" fillId="0" borderId="54" xfId="0" applyBorder="1" applyAlignment="1">
      <alignment horizontal="center" vertical="center" wrapText="1"/>
    </xf>
    <xf numFmtId="0" fontId="114" fillId="0" borderId="44" xfId="0" applyFont="1" applyBorder="1" applyAlignment="1">
      <alignment horizontal="center" vertical="center" wrapText="1"/>
    </xf>
    <xf numFmtId="0" fontId="114" fillId="0" borderId="44" xfId="0" applyFont="1" applyBorder="1" applyAlignment="1">
      <alignment vertical="center" wrapText="1"/>
    </xf>
    <xf numFmtId="0" fontId="0" fillId="0" borderId="44" xfId="0" applyBorder="1" applyAlignment="1">
      <alignment vertical="center" wrapText="1"/>
    </xf>
    <xf numFmtId="0" fontId="0" fillId="0" borderId="54" xfId="0" applyBorder="1" applyAlignment="1">
      <alignment vertical="center" wrapText="1"/>
    </xf>
    <xf numFmtId="0" fontId="0" fillId="0" borderId="45" xfId="0" applyBorder="1" applyAlignment="1">
      <alignment vertical="center" wrapText="1"/>
    </xf>
    <xf numFmtId="0" fontId="24" fillId="16" borderId="52" xfId="0" applyFont="1" applyFill="1" applyBorder="1" applyAlignment="1">
      <alignment horizontal="center" vertical="center" wrapText="1"/>
    </xf>
    <xf numFmtId="0" fontId="0" fillId="0" borderId="44" xfId="0" applyBorder="1" applyAlignment="1">
      <alignment vertical="center"/>
    </xf>
    <xf numFmtId="0" fontId="113" fillId="16" borderId="39" xfId="0" applyFont="1" applyFill="1" applyBorder="1" applyAlignment="1">
      <alignment vertical="center" wrapText="1"/>
    </xf>
    <xf numFmtId="0" fontId="0" fillId="0" borderId="1" xfId="0" applyBorder="1" applyAlignment="1">
      <alignment vertical="center"/>
    </xf>
    <xf numFmtId="0" fontId="18" fillId="0" borderId="39" xfId="0" applyFont="1" applyBorder="1" applyAlignment="1">
      <alignment horizontal="center" vertical="center" wrapText="1"/>
    </xf>
    <xf numFmtId="0" fontId="27" fillId="0" borderId="45" xfId="0" applyFont="1" applyBorder="1" applyAlignment="1">
      <alignment horizontal="center" vertical="center" wrapText="1"/>
    </xf>
    <xf numFmtId="0" fontId="1" fillId="0" borderId="65" xfId="0" applyFont="1" applyFill="1" applyBorder="1" applyAlignment="1" applyProtection="1">
      <alignment horizontal="center" vertical="center" wrapText="1"/>
    </xf>
    <xf numFmtId="0" fontId="1" fillId="0" borderId="64" xfId="0" applyFont="1" applyFill="1" applyBorder="1" applyAlignment="1" applyProtection="1">
      <alignment horizontal="center" vertical="center" wrapText="1"/>
    </xf>
    <xf numFmtId="0" fontId="2" fillId="0" borderId="25" xfId="0" applyFont="1" applyBorder="1" applyAlignment="1">
      <alignment horizontal="center" vertical="center" wrapText="1"/>
    </xf>
    <xf numFmtId="0" fontId="0" fillId="0" borderId="25" xfId="0" applyBorder="1" applyAlignment="1">
      <alignment horizontal="center" vertical="center" wrapText="1"/>
    </xf>
    <xf numFmtId="0" fontId="18" fillId="0" borderId="22" xfId="0" applyFont="1" applyFill="1" applyBorder="1" applyAlignment="1">
      <alignment horizontal="center" vertical="center" wrapTex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18" fillId="0" borderId="52" xfId="0" applyFont="1" applyBorder="1" applyAlignment="1">
      <alignment horizontal="center" vertical="center"/>
    </xf>
    <xf numFmtId="0" fontId="18" fillId="0" borderId="44" xfId="0" applyFont="1" applyBorder="1" applyAlignment="1">
      <alignment horizontal="center" vertical="center"/>
    </xf>
    <xf numFmtId="0" fontId="18" fillId="0" borderId="54" xfId="0" applyFont="1" applyBorder="1" applyAlignment="1">
      <alignment horizontal="center" vertical="center"/>
    </xf>
    <xf numFmtId="0" fontId="26" fillId="0" borderId="47" xfId="0" applyFont="1" applyFill="1" applyBorder="1" applyAlignment="1">
      <alignment horizontal="center" vertical="center" wrapText="1"/>
    </xf>
    <xf numFmtId="0" fontId="26" fillId="0" borderId="34" xfId="0" applyFont="1" applyFill="1" applyBorder="1" applyAlignment="1">
      <alignment horizontal="center" vertical="center" wrapText="1"/>
    </xf>
    <xf numFmtId="0" fontId="18" fillId="0" borderId="7" xfId="0" applyFont="1" applyBorder="1" applyAlignment="1">
      <alignment horizontal="center" vertical="center" wrapText="1"/>
    </xf>
    <xf numFmtId="0" fontId="18"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105"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113" fillId="16" borderId="2" xfId="0" applyFont="1" applyFill="1" applyBorder="1" applyAlignment="1">
      <alignment vertical="center" wrapText="1"/>
    </xf>
    <xf numFmtId="0" fontId="114" fillId="0" borderId="7" xfId="0" applyFont="1" applyBorder="1" applyAlignment="1">
      <alignment horizontal="center" vertical="center" wrapText="1"/>
    </xf>
    <xf numFmtId="0" fontId="0" fillId="0" borderId="11" xfId="0" applyBorder="1" applyAlignment="1">
      <alignment vertical="center" wrapText="1"/>
    </xf>
    <xf numFmtId="0" fontId="0" fillId="0" borderId="8" xfId="0" applyBorder="1" applyAlignment="1">
      <alignment vertical="center" wrapText="1"/>
    </xf>
    <xf numFmtId="0" fontId="0" fillId="0" borderId="6" xfId="0" applyBorder="1" applyAlignment="1">
      <alignment vertical="center" wrapText="1"/>
    </xf>
    <xf numFmtId="0" fontId="0" fillId="0" borderId="0" xfId="0" applyAlignment="1">
      <alignment vertical="center" wrapText="1"/>
    </xf>
    <xf numFmtId="0" fontId="0" fillId="0" borderId="5"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0" fontId="18" fillId="0" borderId="28" xfId="0" applyFont="1" applyFill="1" applyBorder="1" applyAlignment="1" applyProtection="1">
      <alignment horizontal="center" vertical="center" textRotation="90" wrapText="1"/>
    </xf>
    <xf numFmtId="0" fontId="18" fillId="0" borderId="46" xfId="0" applyFont="1" applyFill="1" applyBorder="1" applyAlignment="1" applyProtection="1">
      <alignment horizontal="center" vertical="center" textRotation="90" wrapText="1"/>
    </xf>
    <xf numFmtId="0" fontId="1" fillId="0" borderId="29" xfId="0" applyFont="1" applyFill="1" applyBorder="1" applyAlignment="1" applyProtection="1">
      <alignment horizontal="center" vertical="center" wrapText="1"/>
    </xf>
    <xf numFmtId="0" fontId="0" fillId="0" borderId="30" xfId="0" applyBorder="1" applyAlignment="1">
      <alignment horizontal="center" vertical="center"/>
    </xf>
    <xf numFmtId="0" fontId="2" fillId="0" borderId="15" xfId="0" applyFont="1" applyBorder="1" applyAlignment="1" applyProtection="1">
      <alignment horizontal="center" vertical="center" wrapText="1"/>
    </xf>
    <xf numFmtId="0" fontId="0" fillId="0" borderId="28" xfId="0" applyBorder="1" applyAlignment="1">
      <alignment horizontal="center" vertical="center" wrapText="1"/>
    </xf>
    <xf numFmtId="0" fontId="62" fillId="0" borderId="15" xfId="0" applyFont="1" applyFill="1" applyBorder="1" applyAlignment="1" applyProtection="1">
      <alignment horizontal="center" vertical="top"/>
    </xf>
    <xf numFmtId="0" fontId="63" fillId="0" borderId="17" xfId="0" applyFont="1" applyBorder="1" applyAlignment="1">
      <alignment horizontal="center" vertical="top"/>
    </xf>
    <xf numFmtId="0" fontId="1" fillId="0" borderId="70" xfId="0" applyFont="1" applyFill="1" applyBorder="1" applyAlignment="1" applyProtection="1">
      <alignment horizontal="center" vertical="center" wrapText="1"/>
    </xf>
    <xf numFmtId="0" fontId="0" fillId="0" borderId="43" xfId="0" applyBorder="1" applyAlignment="1">
      <alignment horizontal="center" vertical="center"/>
    </xf>
    <xf numFmtId="0" fontId="18" fillId="0" borderId="17" xfId="0" applyFont="1" applyBorder="1" applyAlignment="1" applyProtection="1">
      <alignment horizontal="center" vertical="center"/>
    </xf>
    <xf numFmtId="0" fontId="0" fillId="0" borderId="18" xfId="0" applyBorder="1" applyAlignment="1">
      <alignment horizontal="center" vertical="center"/>
    </xf>
    <xf numFmtId="0" fontId="32" fillId="0" borderId="6" xfId="0" applyFont="1" applyBorder="1" applyAlignment="1">
      <alignment horizontal="left" vertical="center" wrapText="1"/>
    </xf>
    <xf numFmtId="0" fontId="41" fillId="0" borderId="2" xfId="0" applyFont="1" applyBorder="1" applyAlignment="1" applyProtection="1">
      <alignment horizontal="center" vertical="center" wrapText="1"/>
    </xf>
    <xf numFmtId="0" fontId="41" fillId="0" borderId="3" xfId="0" applyFont="1" applyBorder="1" applyAlignment="1" applyProtection="1">
      <alignment horizontal="center" vertical="center" wrapText="1"/>
    </xf>
    <xf numFmtId="0" fontId="41" fillId="0" borderId="4" xfId="0" applyFont="1" applyBorder="1" applyAlignment="1" applyProtection="1">
      <alignment horizontal="center" vertical="center" wrapText="1"/>
    </xf>
    <xf numFmtId="0" fontId="32" fillId="0" borderId="1" xfId="0" applyFont="1" applyBorder="1" applyAlignment="1" applyProtection="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1" fillId="0" borderId="17"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2" fillId="0" borderId="68" xfId="0" applyFont="1" applyBorder="1" applyAlignment="1">
      <alignment horizontal="center" vertical="center" wrapText="1"/>
    </xf>
    <xf numFmtId="0" fontId="11" fillId="9" borderId="29" xfId="0" applyFont="1" applyFill="1" applyBorder="1" applyAlignment="1" applyProtection="1">
      <alignment horizontal="center" vertical="center" wrapText="1"/>
    </xf>
    <xf numFmtId="0" fontId="0" fillId="9" borderId="30" xfId="0" applyFill="1" applyBorder="1" applyAlignment="1">
      <alignment horizontal="center" vertical="center" wrapText="1"/>
    </xf>
    <xf numFmtId="0" fontId="0" fillId="0" borderId="20" xfId="0" applyBorder="1" applyAlignment="1" applyProtection="1">
      <alignment horizontal="center" vertical="center" wrapText="1"/>
    </xf>
    <xf numFmtId="0" fontId="1" fillId="0" borderId="7"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45"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18" fillId="0" borderId="13"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121" fillId="0" borderId="1" xfId="0" applyFont="1" applyBorder="1" applyAlignment="1">
      <alignment horizontal="center" vertical="center" wrapText="1"/>
    </xf>
    <xf numFmtId="3" fontId="26" fillId="0" borderId="29" xfId="0" applyNumberFormat="1" applyFont="1" applyBorder="1" applyAlignment="1">
      <alignment horizontal="center" vertical="center" wrapText="1"/>
    </xf>
    <xf numFmtId="0" fontId="3" fillId="0" borderId="30"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54" xfId="0" applyFont="1" applyBorder="1" applyAlignment="1">
      <alignment horizontal="center" vertical="center" wrapText="1"/>
    </xf>
    <xf numFmtId="3" fontId="1" fillId="0" borderId="52" xfId="0" applyNumberFormat="1" applyFont="1" applyBorder="1" applyAlignment="1">
      <alignment horizontal="center" vertical="center" wrapText="1"/>
    </xf>
    <xf numFmtId="3" fontId="1" fillId="0" borderId="54" xfId="0" applyNumberFormat="1" applyFont="1" applyBorder="1" applyAlignment="1">
      <alignment horizontal="center" vertical="center" wrapText="1"/>
    </xf>
    <xf numFmtId="0" fontId="1" fillId="0" borderId="16" xfId="0" applyFont="1" applyBorder="1" applyAlignment="1" applyProtection="1">
      <alignment horizontal="center" vertical="center"/>
    </xf>
    <xf numFmtId="0" fontId="1" fillId="0" borderId="0" xfId="0" applyFont="1" applyBorder="1" applyAlignment="1" applyProtection="1">
      <alignment horizontal="center" vertical="center"/>
    </xf>
    <xf numFmtId="0" fontId="43" fillId="0" borderId="1" xfId="0" applyFont="1" applyBorder="1" applyAlignment="1">
      <alignment horizontal="center" vertical="center" wrapText="1"/>
    </xf>
    <xf numFmtId="0" fontId="0" fillId="0" borderId="1" xfId="0" applyFont="1" applyBorder="1" applyAlignment="1">
      <alignment horizontal="center" vertical="center"/>
    </xf>
    <xf numFmtId="0" fontId="18" fillId="0" borderId="31" xfId="0" applyFont="1" applyFill="1" applyBorder="1" applyAlignment="1">
      <alignment horizontal="center" vertical="center" wrapText="1"/>
    </xf>
    <xf numFmtId="0" fontId="18" fillId="0" borderId="74" xfId="0" applyFont="1" applyFill="1" applyBorder="1" applyAlignment="1">
      <alignment horizontal="center" vertical="center" wrapText="1"/>
    </xf>
    <xf numFmtId="0" fontId="18" fillId="0" borderId="52" xfId="0" applyFont="1" applyFill="1" applyBorder="1" applyAlignment="1">
      <alignment horizontal="center" vertical="center"/>
    </xf>
    <xf numFmtId="0" fontId="18" fillId="0" borderId="44" xfId="0" applyFont="1" applyFill="1" applyBorder="1" applyAlignment="1">
      <alignment horizontal="center" vertical="center"/>
    </xf>
    <xf numFmtId="0" fontId="27" fillId="0" borderId="54" xfId="0" applyFont="1" applyFill="1" applyBorder="1" applyAlignment="1">
      <alignment horizontal="center" vertical="center" textRotation="90" wrapText="1"/>
    </xf>
    <xf numFmtId="0" fontId="27" fillId="0" borderId="55" xfId="0" applyFont="1" applyFill="1" applyBorder="1" applyAlignment="1">
      <alignment horizontal="center" vertical="center" textRotation="90" wrapText="1"/>
    </xf>
    <xf numFmtId="0" fontId="18" fillId="0" borderId="57" xfId="0" applyFont="1" applyFill="1" applyBorder="1" applyAlignment="1">
      <alignment horizontal="center" vertical="center" wrapText="1"/>
    </xf>
    <xf numFmtId="0" fontId="1" fillId="0" borderId="52" xfId="0" applyFont="1" applyFill="1" applyBorder="1" applyAlignment="1">
      <alignment horizontal="center" vertical="center" textRotation="90" wrapText="1"/>
    </xf>
    <xf numFmtId="0" fontId="1" fillId="0" borderId="49" xfId="0" applyFont="1" applyFill="1" applyBorder="1" applyAlignment="1">
      <alignment horizontal="center" vertical="center" textRotation="90" wrapText="1"/>
    </xf>
    <xf numFmtId="0" fontId="0" fillId="0" borderId="4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1" xfId="0" applyFont="1" applyBorder="1" applyAlignment="1">
      <alignment horizontal="center" vertical="center"/>
    </xf>
    <xf numFmtId="0" fontId="0" fillId="0" borderId="8"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2" xfId="0" applyFont="1" applyBorder="1" applyAlignment="1">
      <alignment horizontal="center" vertical="center"/>
    </xf>
    <xf numFmtId="0" fontId="0" fillId="0" borderId="10" xfId="0" applyFont="1" applyBorder="1" applyAlignment="1">
      <alignment horizontal="center" vertical="center"/>
    </xf>
    <xf numFmtId="0" fontId="26" fillId="0" borderId="52"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8" fillId="0" borderId="58"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1" fillId="0" borderId="55" xfId="0" applyFont="1" applyFill="1" applyBorder="1" applyAlignment="1">
      <alignment horizontal="center" vertical="center" wrapText="1"/>
    </xf>
    <xf numFmtId="0" fontId="18" fillId="0" borderId="0" xfId="0" applyFont="1" applyAlignment="1">
      <alignment horizontal="center"/>
    </xf>
    <xf numFmtId="0" fontId="18" fillId="0" borderId="0" xfId="0" applyFont="1" applyBorder="1" applyAlignment="1">
      <alignment horizontal="center"/>
    </xf>
    <xf numFmtId="1" fontId="11" fillId="0" borderId="0" xfId="0" applyNumberFormat="1" applyFont="1" applyAlignment="1">
      <alignment horizontal="center"/>
    </xf>
    <xf numFmtId="49" fontId="11" fillId="0" borderId="0" xfId="0" applyNumberFormat="1" applyFont="1" applyBorder="1" applyAlignment="1">
      <alignment horizontal="center" wrapText="1"/>
    </xf>
    <xf numFmtId="1" fontId="11" fillId="0" borderId="11" xfId="0" applyNumberFormat="1" applyFont="1" applyBorder="1" applyAlignment="1">
      <alignment horizontal="center" wrapText="1"/>
    </xf>
    <xf numFmtId="1" fontId="11" fillId="0" borderId="0" xfId="0" applyNumberFormat="1" applyFont="1" applyBorder="1" applyAlignment="1">
      <alignment horizontal="center" wrapText="1"/>
    </xf>
    <xf numFmtId="49" fontId="11" fillId="0" borderId="11" xfId="0" applyNumberFormat="1" applyFont="1" applyBorder="1" applyAlignment="1">
      <alignment horizontal="center" wrapText="1"/>
    </xf>
    <xf numFmtId="0" fontId="11" fillId="0" borderId="0" xfId="0" applyFont="1" applyAlignment="1">
      <alignment horizontal="center" wrapText="1"/>
    </xf>
    <xf numFmtId="0" fontId="11" fillId="0" borderId="0" xfId="0" applyFont="1" applyBorder="1" applyAlignment="1">
      <alignment horizontal="center" wrapText="1"/>
    </xf>
    <xf numFmtId="0" fontId="14" fillId="0" borderId="1" xfId="0" applyFont="1" applyBorder="1" applyAlignment="1" applyProtection="1">
      <alignment horizontal="center" vertical="center" wrapText="1"/>
    </xf>
    <xf numFmtId="0" fontId="172" fillId="16" borderId="15" xfId="6" applyFont="1" applyFill="1" applyBorder="1" applyAlignment="1" applyProtection="1">
      <alignment horizontal="center" vertical="center" wrapText="1"/>
    </xf>
    <xf numFmtId="0" fontId="172" fillId="16" borderId="17" xfId="6" applyFont="1" applyFill="1" applyBorder="1" applyAlignment="1" applyProtection="1">
      <alignment horizontal="center" vertical="center" wrapText="1"/>
    </xf>
    <xf numFmtId="0" fontId="172" fillId="16" borderId="73" xfId="6" applyFont="1" applyFill="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0"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3" fontId="18" fillId="0" borderId="30" xfId="0" applyNumberFormat="1" applyFont="1" applyBorder="1" applyAlignment="1" applyProtection="1">
      <alignment horizontal="center" vertical="center" wrapText="1"/>
    </xf>
    <xf numFmtId="0" fontId="34" fillId="0" borderId="0" xfId="0" applyFont="1" applyBorder="1" applyAlignment="1" applyProtection="1">
      <alignment horizontal="center" vertical="center"/>
    </xf>
    <xf numFmtId="0" fontId="21" fillId="0" borderId="0" xfId="0" applyFont="1" applyBorder="1" applyAlignment="1" applyProtection="1">
      <alignment horizontal="center" vertical="center"/>
    </xf>
    <xf numFmtId="0" fontId="5" fillId="0" borderId="80" xfId="0" applyFont="1" applyBorder="1" applyAlignment="1">
      <alignment horizontal="center" vertical="center" wrapText="1"/>
    </xf>
    <xf numFmtId="0" fontId="5" fillId="0" borderId="56" xfId="0" applyFont="1" applyBorder="1" applyAlignment="1">
      <alignment horizontal="center" vertical="center" wrapText="1"/>
    </xf>
    <xf numFmtId="0" fontId="39" fillId="0" borderId="66" xfId="0" applyFont="1" applyFill="1" applyBorder="1" applyAlignment="1">
      <alignment horizontal="center" vertical="center" textRotation="90"/>
    </xf>
    <xf numFmtId="0" fontId="39" fillId="0" borderId="67" xfId="0" applyFont="1" applyFill="1" applyBorder="1" applyAlignment="1">
      <alignment horizontal="center" vertical="center" textRotation="90"/>
    </xf>
    <xf numFmtId="0" fontId="2" fillId="0" borderId="47" xfId="0" applyFont="1" applyBorder="1" applyAlignment="1" applyProtection="1">
      <alignment horizontal="center" vertical="center"/>
    </xf>
    <xf numFmtId="0" fontId="2" fillId="0" borderId="48" xfId="0" applyFont="1" applyBorder="1" applyAlignment="1" applyProtection="1">
      <alignment horizontal="center" vertical="center"/>
    </xf>
    <xf numFmtId="0" fontId="18" fillId="0" borderId="23" xfId="0" applyFont="1" applyFill="1" applyBorder="1" applyAlignment="1" applyProtection="1">
      <alignment horizontal="center" vertical="center" wrapText="1"/>
    </xf>
    <xf numFmtId="0" fontId="18" fillId="0" borderId="24" xfId="0" applyFont="1" applyFill="1" applyBorder="1" applyAlignment="1" applyProtection="1">
      <alignment horizontal="center" vertical="center" wrapText="1"/>
    </xf>
    <xf numFmtId="0" fontId="1" fillId="0" borderId="22" xfId="0" applyFont="1" applyBorder="1" applyAlignment="1" applyProtection="1">
      <alignment horizontal="center" vertical="center" wrapText="1"/>
    </xf>
    <xf numFmtId="0" fontId="18" fillId="0" borderId="47" xfId="0" applyFont="1" applyBorder="1" applyAlignment="1" applyProtection="1">
      <alignment horizontal="center" vertical="center"/>
    </xf>
    <xf numFmtId="0" fontId="18" fillId="0" borderId="48" xfId="0" applyFont="1" applyBorder="1" applyAlignment="1" applyProtection="1">
      <alignment horizontal="center" vertical="center"/>
    </xf>
    <xf numFmtId="0" fontId="0" fillId="0" borderId="59" xfId="0" applyFont="1" applyBorder="1" applyAlignment="1">
      <alignment horizontal="center" vertical="center" wrapText="1"/>
    </xf>
    <xf numFmtId="0" fontId="0" fillId="0" borderId="56"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59" xfId="0" applyFont="1" applyBorder="1" applyAlignment="1">
      <alignment horizontal="center" vertical="center" wrapText="1"/>
    </xf>
    <xf numFmtId="0" fontId="0" fillId="0" borderId="67" xfId="0" applyFont="1" applyBorder="1" applyAlignment="1">
      <alignment horizontal="center" vertical="center" wrapText="1"/>
    </xf>
    <xf numFmtId="0" fontId="18" fillId="0" borderId="29" xfId="0" applyFont="1" applyFill="1" applyBorder="1" applyAlignment="1" applyProtection="1">
      <alignment horizontal="center" vertical="center" wrapText="1"/>
    </xf>
    <xf numFmtId="0" fontId="18" fillId="0" borderId="30" xfId="0" applyFont="1" applyFill="1" applyBorder="1" applyAlignment="1" applyProtection="1">
      <alignment horizontal="center" vertical="center" wrapText="1"/>
    </xf>
    <xf numFmtId="0" fontId="39" fillId="0" borderId="66" xfId="0" applyFont="1" applyFill="1" applyBorder="1" applyAlignment="1">
      <alignment horizontal="center" vertical="center" textRotation="90" wrapText="1"/>
    </xf>
    <xf numFmtId="0" fontId="39" fillId="0" borderId="67" xfId="0" applyFont="1" applyFill="1" applyBorder="1" applyAlignment="1">
      <alignment horizontal="center" vertical="center" textRotation="90" wrapText="1"/>
    </xf>
    <xf numFmtId="0" fontId="5" fillId="0" borderId="70" xfId="0" applyFont="1" applyFill="1" applyBorder="1" applyAlignment="1">
      <alignment horizontal="center" vertical="center" textRotation="90" wrapText="1"/>
    </xf>
    <xf numFmtId="0" fontId="5" fillId="0" borderId="59" xfId="0" applyFont="1" applyFill="1" applyBorder="1" applyAlignment="1">
      <alignment horizontal="center" vertical="center" textRotation="90" wrapText="1"/>
    </xf>
    <xf numFmtId="0" fontId="11" fillId="0" borderId="66"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26" fillId="0" borderId="29" xfId="0" applyFont="1" applyFill="1" applyBorder="1" applyAlignment="1" applyProtection="1">
      <alignment horizontal="center" vertical="center" wrapText="1"/>
    </xf>
    <xf numFmtId="0" fontId="26" fillId="0" borderId="30" xfId="0" applyFont="1" applyFill="1" applyBorder="1" applyAlignment="1" applyProtection="1">
      <alignment horizontal="center" vertical="center" wrapText="1"/>
    </xf>
    <xf numFmtId="3" fontId="18" fillId="0" borderId="48" xfId="0" applyNumberFormat="1"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3" xfId="0" applyFont="1" applyBorder="1" applyAlignment="1" applyProtection="1">
      <alignment horizontal="center" vertical="center" wrapText="1"/>
    </xf>
    <xf numFmtId="0" fontId="1" fillId="0" borderId="27" xfId="0" applyFont="1" applyBorder="1" applyAlignment="1" applyProtection="1">
      <alignment horizontal="center" vertical="center" wrapText="1"/>
    </xf>
    <xf numFmtId="0" fontId="18" fillId="0" borderId="27" xfId="0" applyFont="1" applyFill="1" applyBorder="1" applyAlignment="1" applyProtection="1">
      <alignment horizontal="center" vertical="center" wrapText="1"/>
    </xf>
    <xf numFmtId="0" fontId="1" fillId="0" borderId="73"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69"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64"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37" xfId="0" applyFont="1" applyFill="1" applyBorder="1" applyAlignment="1">
      <alignment horizontal="center" vertical="center" wrapText="1"/>
    </xf>
    <xf numFmtId="0" fontId="1" fillId="0" borderId="64"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27" fillId="0" borderId="37" xfId="0" applyFont="1" applyFill="1" applyBorder="1" applyAlignment="1">
      <alignment horizontal="center" vertical="center" textRotation="90" wrapText="1"/>
    </xf>
    <xf numFmtId="0" fontId="1" fillId="0" borderId="37" xfId="0" applyFont="1" applyBorder="1" applyAlignment="1">
      <alignment horizontal="center" vertical="center" wrapText="1"/>
    </xf>
    <xf numFmtId="0" fontId="1" fillId="0" borderId="13" xfId="0" applyFont="1" applyFill="1" applyBorder="1" applyAlignment="1" applyProtection="1">
      <alignment horizontal="center" vertical="center" wrapText="1"/>
    </xf>
    <xf numFmtId="3" fontId="1" fillId="0" borderId="64"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46" xfId="0" applyFont="1" applyBorder="1" applyAlignment="1">
      <alignment horizontal="center" vertical="center" wrapText="1"/>
    </xf>
    <xf numFmtId="0" fontId="22" fillId="0" borderId="0" xfId="0" applyFont="1" applyAlignment="1" applyProtection="1">
      <alignment vertical="center" wrapText="1"/>
    </xf>
    <xf numFmtId="0" fontId="130" fillId="0" borderId="0" xfId="0" applyFont="1" applyAlignment="1">
      <alignment vertical="center" wrapText="1"/>
    </xf>
    <xf numFmtId="0" fontId="32" fillId="0" borderId="0" xfId="0" applyFont="1" applyAlignment="1" applyProtection="1">
      <alignment horizontal="center" vertical="center" wrapText="1"/>
    </xf>
    <xf numFmtId="0" fontId="32" fillId="0" borderId="0" xfId="0" applyFont="1" applyAlignment="1">
      <alignment horizontal="center" vertical="center" wrapText="1"/>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wrapText="1"/>
    </xf>
    <xf numFmtId="0" fontId="36" fillId="0" borderId="0" xfId="0" applyFont="1" applyBorder="1" applyAlignment="1">
      <alignment vertical="center" wrapText="1"/>
    </xf>
    <xf numFmtId="0" fontId="36" fillId="0" borderId="0" xfId="0" applyFont="1" applyAlignment="1">
      <alignment vertical="center" wrapText="1"/>
    </xf>
    <xf numFmtId="0" fontId="1" fillId="0" borderId="1" xfId="0" applyFont="1" applyBorder="1" applyAlignment="1">
      <alignment horizontal="center" vertical="center"/>
    </xf>
    <xf numFmtId="0" fontId="5" fillId="0" borderId="2" xfId="0" applyFont="1" applyBorder="1" applyAlignment="1">
      <alignment horizontal="center" vertical="center"/>
    </xf>
    <xf numFmtId="0" fontId="1" fillId="0" borderId="4" xfId="0" applyFont="1" applyBorder="1" applyAlignment="1">
      <alignment horizontal="center" vertical="center"/>
    </xf>
    <xf numFmtId="0" fontId="0" fillId="0" borderId="7" xfId="0" applyBorder="1" applyAlignment="1">
      <alignment vertical="center" wrapText="1"/>
    </xf>
    <xf numFmtId="0" fontId="0" fillId="0" borderId="0" xfId="0" applyBorder="1" applyAlignment="1">
      <alignmen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46" xfId="0" applyFont="1" applyBorder="1" applyAlignment="1">
      <alignment vertical="center" wrapText="1"/>
    </xf>
    <xf numFmtId="0" fontId="106" fillId="10" borderId="1" xfId="0" applyFont="1" applyFill="1" applyBorder="1" applyAlignment="1">
      <alignment horizontal="center" vertical="center" wrapText="1"/>
    </xf>
    <xf numFmtId="0" fontId="99" fillId="0" borderId="0" xfId="0" applyFont="1" applyAlignment="1">
      <alignment horizontal="center" vertical="center"/>
    </xf>
    <xf numFmtId="0" fontId="0" fillId="0" borderId="25" xfId="0" applyFont="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29" fillId="0" borderId="2" xfId="0" applyFont="1" applyFill="1" applyBorder="1" applyAlignment="1">
      <alignment horizontal="center" vertical="center" wrapText="1"/>
    </xf>
    <xf numFmtId="0" fontId="130" fillId="0" borderId="3" xfId="0" applyFont="1" applyBorder="1" applyAlignment="1">
      <alignment horizontal="center" vertical="center" wrapText="1"/>
    </xf>
    <xf numFmtId="0" fontId="130" fillId="0" borderId="4" xfId="0" applyFont="1" applyBorder="1" applyAlignment="1">
      <alignment horizontal="center" vertical="center" wrapText="1"/>
    </xf>
    <xf numFmtId="0" fontId="1" fillId="10" borderId="2" xfId="0" applyFont="1" applyFill="1" applyBorder="1" applyAlignment="1">
      <alignment horizontal="center" vertical="center" wrapText="1"/>
    </xf>
    <xf numFmtId="0" fontId="1" fillId="10" borderId="3"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1" fillId="0" borderId="14" xfId="0" applyFont="1" applyBorder="1" applyAlignment="1">
      <alignment horizontal="center" vertical="center" wrapText="1"/>
    </xf>
    <xf numFmtId="0" fontId="1" fillId="0" borderId="25" xfId="0" applyFont="1" applyBorder="1" applyAlignment="1">
      <alignment horizontal="center" vertical="center" wrapText="1"/>
    </xf>
    <xf numFmtId="3" fontId="11" fillId="0" borderId="6" xfId="0" applyNumberFormat="1" applyFont="1" applyFill="1" applyBorder="1" applyAlignment="1">
      <alignment horizontal="center" vertical="center" wrapText="1"/>
    </xf>
    <xf numFmtId="0" fontId="0" fillId="0" borderId="18" xfId="0" applyBorder="1" applyAlignment="1">
      <alignment horizontal="center" vertical="center" wrapText="1"/>
    </xf>
    <xf numFmtId="0" fontId="0" fillId="0" borderId="51" xfId="0" applyBorder="1" applyAlignment="1">
      <alignment horizontal="center" vertical="center" wrapText="1"/>
    </xf>
    <xf numFmtId="0" fontId="0" fillId="0" borderId="46" xfId="0" applyBorder="1" applyAlignment="1">
      <alignment horizontal="center" vertical="center" wrapText="1"/>
    </xf>
    <xf numFmtId="3" fontId="155" fillId="0" borderId="45" xfId="0" applyNumberFormat="1" applyFont="1" applyFill="1" applyBorder="1" applyAlignment="1">
      <alignment horizontal="center" vertical="center"/>
    </xf>
    <xf numFmtId="0" fontId="152" fillId="0" borderId="55" xfId="0" applyFont="1" applyBorder="1" applyAlignment="1">
      <alignment horizontal="center" vertical="center"/>
    </xf>
    <xf numFmtId="0" fontId="117" fillId="0" borderId="22" xfId="0" applyFont="1" applyFill="1" applyBorder="1" applyAlignment="1">
      <alignment horizontal="center" vertical="center" wrapText="1"/>
    </xf>
    <xf numFmtId="0" fontId="0" fillId="0" borderId="23" xfId="0" applyBorder="1" applyAlignment="1">
      <alignment horizontal="center" wrapText="1"/>
    </xf>
    <xf numFmtId="3" fontId="150" fillId="0" borderId="48" xfId="0" applyNumberFormat="1" applyFont="1" applyFill="1" applyBorder="1" applyAlignment="1">
      <alignment vertical="top" wrapText="1"/>
    </xf>
    <xf numFmtId="0" fontId="0" fillId="0" borderId="36" xfId="0" applyBorder="1" applyAlignment="1">
      <alignment vertical="top" wrapText="1"/>
    </xf>
    <xf numFmtId="0" fontId="18" fillId="0" borderId="16" xfId="0" applyFont="1" applyBorder="1" applyAlignment="1">
      <alignment horizontal="center" vertical="center" wrapText="1"/>
    </xf>
    <xf numFmtId="0" fontId="11" fillId="0" borderId="52" xfId="0" applyFont="1" applyBorder="1" applyAlignment="1">
      <alignment horizontal="center" vertical="center" wrapText="1"/>
    </xf>
    <xf numFmtId="0" fontId="39" fillId="0" borderId="44" xfId="0" applyFont="1" applyBorder="1" applyAlignment="1">
      <alignment horizontal="center" vertical="center" wrapText="1"/>
    </xf>
    <xf numFmtId="0" fontId="39" fillId="0" borderId="54" xfId="0" applyFont="1" applyBorder="1" applyAlignment="1">
      <alignment horizontal="center" vertical="center" wrapText="1"/>
    </xf>
    <xf numFmtId="0" fontId="11" fillId="0" borderId="16"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8" xfId="0" applyFont="1" applyBorder="1" applyAlignment="1">
      <alignment horizontal="center" vertical="center" wrapText="1"/>
    </xf>
    <xf numFmtId="3" fontId="1" fillId="20" borderId="70" xfId="0" applyNumberFormat="1" applyFont="1" applyFill="1" applyBorder="1" applyAlignment="1">
      <alignment horizontal="center" vertical="center" wrapText="1"/>
    </xf>
    <xf numFmtId="0" fontId="0" fillId="0" borderId="64" xfId="0" applyBorder="1" applyAlignment="1">
      <alignment horizontal="center" vertical="center" wrapText="1"/>
    </xf>
    <xf numFmtId="0" fontId="126" fillId="0" borderId="22" xfId="0" applyFont="1" applyFill="1" applyBorder="1" applyAlignment="1">
      <alignment horizontal="center" vertical="center" wrapText="1"/>
    </xf>
    <xf numFmtId="0" fontId="126" fillId="0" borderId="24" xfId="0" applyFont="1" applyBorder="1" applyAlignment="1">
      <alignment horizontal="center" vertical="center" wrapText="1"/>
    </xf>
    <xf numFmtId="0" fontId="140" fillId="0" borderId="23" xfId="0" applyFont="1" applyFill="1" applyBorder="1" applyAlignment="1">
      <alignment horizontal="center" vertical="center" wrapText="1"/>
    </xf>
    <xf numFmtId="0" fontId="139" fillId="0" borderId="24" xfId="0" applyFont="1" applyBorder="1" applyAlignment="1">
      <alignment horizontal="center" vertical="center" wrapText="1"/>
    </xf>
    <xf numFmtId="0" fontId="134" fillId="5" borderId="29" xfId="0" applyFont="1" applyFill="1" applyBorder="1" applyAlignment="1">
      <alignment horizontal="center" vertical="center" wrapText="1"/>
    </xf>
    <xf numFmtId="0" fontId="134" fillId="5" borderId="76" xfId="0" applyFont="1" applyFill="1" applyBorder="1" applyAlignment="1">
      <alignment horizontal="center" vertical="center" wrapText="1"/>
    </xf>
    <xf numFmtId="0" fontId="0" fillId="0" borderId="76" xfId="0" applyBorder="1" applyAlignment="1">
      <alignment horizontal="center" vertical="center" wrapText="1"/>
    </xf>
    <xf numFmtId="0" fontId="62" fillId="22" borderId="29" xfId="0" applyFont="1" applyFill="1" applyBorder="1" applyAlignment="1">
      <alignment horizontal="center" vertical="center" wrapText="1"/>
    </xf>
    <xf numFmtId="0" fontId="62" fillId="22" borderId="76" xfId="0" applyFont="1" applyFill="1" applyBorder="1" applyAlignment="1">
      <alignment horizontal="center" vertical="center" wrapText="1"/>
    </xf>
    <xf numFmtId="0" fontId="0" fillId="22" borderId="76" xfId="0" applyFill="1" applyBorder="1" applyAlignment="1">
      <alignment horizontal="center" vertical="center" wrapText="1"/>
    </xf>
    <xf numFmtId="0" fontId="45" fillId="0" borderId="0" xfId="0" applyFont="1" applyAlignment="1">
      <alignment horizontal="center" vertical="center" wrapText="1"/>
    </xf>
    <xf numFmtId="0" fontId="5" fillId="0" borderId="0" xfId="0" applyFont="1" applyAlignment="1">
      <alignment horizontal="center" vertical="center" wrapText="1"/>
    </xf>
    <xf numFmtId="0" fontId="2"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23" fillId="0" borderId="0" xfId="0" applyFont="1" applyAlignment="1">
      <alignment horizontal="center" vertical="center" wrapText="1"/>
    </xf>
    <xf numFmtId="0" fontId="2" fillId="17" borderId="79" xfId="0" applyFont="1" applyFill="1" applyBorder="1" applyAlignment="1">
      <alignment horizontal="center" vertical="center" wrapText="1"/>
    </xf>
    <xf numFmtId="0" fontId="0" fillId="17" borderId="62" xfId="0" applyFill="1" applyBorder="1" applyAlignment="1">
      <alignment horizontal="center" vertical="center" wrapText="1"/>
    </xf>
    <xf numFmtId="0" fontId="0" fillId="17" borderId="63" xfId="0" applyFill="1" applyBorder="1" applyAlignment="1">
      <alignment horizontal="center" vertical="center" wrapText="1"/>
    </xf>
    <xf numFmtId="0" fontId="62" fillId="17" borderId="29" xfId="0" applyFont="1" applyFill="1" applyBorder="1" applyAlignment="1">
      <alignment horizontal="center" vertical="center" wrapText="1"/>
    </xf>
    <xf numFmtId="0" fontId="62" fillId="17" borderId="76" xfId="0" applyFont="1" applyFill="1" applyBorder="1" applyAlignment="1">
      <alignment horizontal="center" vertical="center" wrapText="1"/>
    </xf>
    <xf numFmtId="0" fontId="0" fillId="17" borderId="30" xfId="0" applyFill="1" applyBorder="1" applyAlignment="1">
      <alignment horizontal="center" vertical="center" wrapText="1"/>
    </xf>
    <xf numFmtId="0" fontId="2" fillId="17" borderId="61" xfId="0" applyFont="1" applyFill="1" applyBorder="1" applyAlignment="1">
      <alignment horizontal="center" vertical="center" wrapText="1"/>
    </xf>
    <xf numFmtId="0" fontId="2" fillId="17" borderId="62" xfId="0" applyFont="1" applyFill="1" applyBorder="1" applyAlignment="1">
      <alignment horizontal="center" wrapText="1"/>
    </xf>
    <xf numFmtId="0" fontId="40" fillId="17" borderId="63" xfId="0" applyFont="1" applyFill="1" applyBorder="1" applyAlignment="1">
      <alignment horizontal="center" wrapText="1"/>
    </xf>
    <xf numFmtId="0" fontId="18" fillId="0" borderId="58" xfId="0" applyFont="1" applyBorder="1" applyAlignment="1">
      <alignment horizontal="center" vertical="center" wrapText="1"/>
    </xf>
    <xf numFmtId="0" fontId="18" fillId="0" borderId="54" xfId="0" applyFont="1" applyBorder="1" applyAlignment="1">
      <alignment horizontal="center" vertical="center" wrapText="1"/>
    </xf>
    <xf numFmtId="0" fontId="2" fillId="22" borderId="61" xfId="0" applyFont="1" applyFill="1" applyBorder="1" applyAlignment="1">
      <alignment horizontal="center" vertical="center" wrapText="1"/>
    </xf>
    <xf numFmtId="0" fontId="2" fillId="22" borderId="62" xfId="0" applyFont="1" applyFill="1" applyBorder="1" applyAlignment="1">
      <alignment horizontal="center" wrapText="1"/>
    </xf>
    <xf numFmtId="0" fontId="40" fillId="22" borderId="63" xfId="0" applyFont="1" applyFill="1" applyBorder="1" applyAlignment="1">
      <alignment horizontal="center" wrapText="1"/>
    </xf>
    <xf numFmtId="0" fontId="18" fillId="0" borderId="53" xfId="0" applyFont="1" applyBorder="1" applyAlignment="1">
      <alignment horizontal="center" vertical="center" wrapText="1"/>
    </xf>
    <xf numFmtId="3" fontId="137" fillId="0" borderId="1" xfId="0" applyNumberFormat="1" applyFont="1" applyFill="1" applyBorder="1" applyAlignment="1">
      <alignment horizontal="center" vertical="center" wrapText="1"/>
    </xf>
    <xf numFmtId="3" fontId="60" fillId="14" borderId="1" xfId="0" applyNumberFormat="1" applyFont="1" applyFill="1" applyBorder="1" applyAlignment="1">
      <alignment horizontal="center" vertical="center" wrapText="1"/>
    </xf>
    <xf numFmtId="3" fontId="145" fillId="3" borderId="1" xfId="0" applyNumberFormat="1" applyFont="1" applyFill="1" applyBorder="1" applyAlignment="1">
      <alignment horizontal="center" vertical="center" wrapText="1"/>
    </xf>
    <xf numFmtId="0" fontId="117" fillId="3" borderId="1" xfId="0" applyFont="1" applyFill="1" applyBorder="1" applyAlignment="1">
      <alignment horizontal="center" vertical="center" wrapText="1"/>
    </xf>
    <xf numFmtId="0" fontId="185" fillId="14" borderId="7" xfId="0" applyFont="1" applyFill="1" applyBorder="1" applyAlignment="1">
      <alignment horizontal="center" vertical="center" wrapText="1"/>
    </xf>
    <xf numFmtId="0" fontId="185" fillId="14" borderId="11" xfId="0" applyFont="1" applyFill="1" applyBorder="1" applyAlignment="1">
      <alignment horizontal="center" vertical="center" wrapText="1"/>
    </xf>
    <xf numFmtId="0" fontId="185" fillId="14" borderId="8" xfId="0" applyFont="1" applyFill="1" applyBorder="1" applyAlignment="1">
      <alignment horizontal="center" vertical="center" wrapText="1"/>
    </xf>
    <xf numFmtId="0" fontId="185" fillId="14" borderId="9" xfId="0" applyFont="1" applyFill="1" applyBorder="1" applyAlignment="1">
      <alignment horizontal="center" vertical="center" wrapText="1"/>
    </xf>
    <xf numFmtId="0" fontId="185" fillId="14" borderId="12" xfId="0" applyFont="1" applyFill="1" applyBorder="1" applyAlignment="1">
      <alignment horizontal="center" vertical="center" wrapText="1"/>
    </xf>
    <xf numFmtId="0" fontId="185" fillId="14" borderId="10" xfId="0" applyFont="1" applyFill="1" applyBorder="1" applyAlignment="1">
      <alignment horizontal="center" vertical="center" wrapText="1"/>
    </xf>
    <xf numFmtId="0" fontId="0" fillId="22" borderId="62" xfId="0" applyFill="1" applyBorder="1" applyAlignment="1">
      <alignment horizontal="center" vertical="center" wrapText="1"/>
    </xf>
    <xf numFmtId="0" fontId="0" fillId="22" borderId="63" xfId="0" applyFill="1" applyBorder="1" applyAlignment="1">
      <alignment horizontal="center" vertical="center" wrapText="1"/>
    </xf>
    <xf numFmtId="0" fontId="32" fillId="14" borderId="1"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78" xfId="0" applyFont="1" applyFill="1" applyBorder="1" applyAlignment="1">
      <alignment horizontal="center" vertical="center" wrapText="1"/>
    </xf>
    <xf numFmtId="0" fontId="27" fillId="0" borderId="2" xfId="0"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5" fillId="0" borderId="0" xfId="0" applyFont="1" applyAlignment="1">
      <alignment horizontal="center" vertical="center" wrapText="1"/>
    </xf>
    <xf numFmtId="0" fontId="23" fillId="0" borderId="6" xfId="0" applyFont="1" applyBorder="1" applyAlignment="1">
      <alignment horizontal="center" vertical="center" wrapText="1"/>
    </xf>
    <xf numFmtId="0" fontId="18" fillId="0" borderId="1" xfId="0" applyFont="1" applyBorder="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0" fontId="18" fillId="10" borderId="1" xfId="0" applyFont="1" applyFill="1" applyBorder="1" applyAlignment="1">
      <alignment horizontal="center" vertical="center" wrapText="1"/>
    </xf>
    <xf numFmtId="0" fontId="0" fillId="0" borderId="5" xfId="0" applyFont="1" applyBorder="1" applyAlignment="1">
      <alignment textRotation="90" wrapText="1"/>
    </xf>
    <xf numFmtId="0" fontId="0" fillId="0" borderId="5" xfId="0" applyBorder="1" applyAlignment="1">
      <alignment textRotation="90" wrapText="1"/>
    </xf>
    <xf numFmtId="0" fontId="1" fillId="0" borderId="1" xfId="0" applyFont="1" applyBorder="1" applyAlignment="1">
      <alignment horizontal="center"/>
    </xf>
    <xf numFmtId="0" fontId="18" fillId="0" borderId="13" xfId="0" applyFont="1" applyBorder="1" applyAlignment="1">
      <alignment horizontal="center" vertical="center" wrapText="1"/>
    </xf>
    <xf numFmtId="0" fontId="47" fillId="0" borderId="12" xfId="0" applyFont="1" applyBorder="1" applyAlignment="1">
      <alignment vertical="center" wrapText="1"/>
    </xf>
    <xf numFmtId="0" fontId="40" fillId="0" borderId="12" xfId="0" applyFont="1" applyBorder="1" applyAlignment="1">
      <alignment wrapText="1"/>
    </xf>
    <xf numFmtId="0" fontId="82" fillId="0" borderId="11"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0" xfId="0" applyFont="1" applyAlignment="1">
      <alignment horizontal="center" vertical="center" wrapText="1"/>
    </xf>
    <xf numFmtId="0" fontId="2" fillId="0" borderId="0" xfId="0" applyFont="1" applyBorder="1" applyAlignment="1">
      <alignment horizontal="center" vertical="center" wrapText="1"/>
    </xf>
    <xf numFmtId="0" fontId="165" fillId="0" borderId="1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9" fillId="0" borderId="11" xfId="0" applyFont="1" applyBorder="1" applyAlignment="1">
      <alignment horizontal="center" vertical="center" wrapText="1"/>
    </xf>
    <xf numFmtId="0" fontId="27" fillId="0" borderId="0" xfId="0" applyFont="1" applyAlignment="1">
      <alignment horizontal="center" vertical="center" wrapText="1"/>
    </xf>
    <xf numFmtId="0" fontId="45"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124" fillId="0" borderId="1" xfId="0" applyFont="1" applyFill="1" applyBorder="1" applyAlignment="1">
      <alignment horizontal="center" vertical="center" wrapText="1"/>
    </xf>
    <xf numFmtId="0" fontId="124" fillId="0" borderId="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8" xfId="0" applyFont="1" applyBorder="1" applyAlignment="1">
      <alignment horizontal="center" vertical="center" wrapText="1"/>
    </xf>
    <xf numFmtId="0" fontId="91" fillId="3" borderId="14" xfId="0" applyFont="1" applyFill="1"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0" fillId="0" borderId="47" xfId="0" applyFont="1" applyBorder="1" applyAlignment="1">
      <alignment horizontal="center" vertical="center" wrapText="1"/>
    </xf>
    <xf numFmtId="0" fontId="0" fillId="0" borderId="48" xfId="0" applyFont="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Font="1" applyAlignment="1">
      <alignment horizontal="center" vertical="center" wrapText="1"/>
    </xf>
    <xf numFmtId="0" fontId="0" fillId="0" borderId="68" xfId="0" applyFont="1" applyBorder="1" applyAlignment="1">
      <alignment horizontal="center" vertical="center" wrapText="1"/>
    </xf>
    <xf numFmtId="0" fontId="57" fillId="0" borderId="65" xfId="0" applyFont="1" applyBorder="1" applyAlignment="1">
      <alignment horizontal="center" vertical="center" wrapText="1"/>
    </xf>
    <xf numFmtId="0" fontId="0" fillId="0" borderId="43" xfId="0" applyBorder="1" applyAlignment="1">
      <alignment horizontal="center" vertical="center" wrapText="1"/>
    </xf>
    <xf numFmtId="0" fontId="9" fillId="0" borderId="71" xfId="0" applyFont="1" applyBorder="1" applyAlignment="1">
      <alignment horizontal="center" vertical="center" wrapText="1"/>
    </xf>
    <xf numFmtId="0" fontId="9" fillId="0" borderId="19" xfId="0" applyFont="1" applyBorder="1" applyAlignment="1">
      <alignment horizontal="center" vertical="center" wrapText="1"/>
    </xf>
    <xf numFmtId="0" fontId="57" fillId="0" borderId="13" xfId="0" applyFont="1" applyBorder="1" applyAlignment="1">
      <alignment horizontal="center" vertical="center" wrapText="1"/>
    </xf>
    <xf numFmtId="0" fontId="0" fillId="0" borderId="56" xfId="0" applyBorder="1" applyAlignment="1">
      <alignment horizontal="center" vertical="center"/>
    </xf>
    <xf numFmtId="0" fontId="9" fillId="0" borderId="1"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55" xfId="0" applyFont="1" applyBorder="1" applyAlignment="1">
      <alignment horizontal="center" vertical="center" wrapText="1"/>
    </xf>
    <xf numFmtId="0" fontId="1" fillId="0" borderId="0" xfId="0" applyFont="1" applyAlignment="1">
      <alignment horizontal="center" vertical="center" wrapText="1"/>
    </xf>
    <xf numFmtId="0" fontId="9" fillId="0" borderId="65" xfId="0" applyFont="1" applyBorder="1" applyAlignment="1">
      <alignment horizontal="center" vertical="center" wrapText="1"/>
    </xf>
    <xf numFmtId="0" fontId="9" fillId="0" borderId="59" xfId="0" applyFont="1" applyBorder="1" applyAlignment="1">
      <alignment horizontal="center" vertical="center" wrapText="1"/>
    </xf>
    <xf numFmtId="0" fontId="57" fillId="0" borderId="8" xfId="0" applyFont="1" applyBorder="1" applyAlignment="1">
      <alignment horizontal="center" vertical="center" wrapText="1"/>
    </xf>
    <xf numFmtId="0" fontId="0" fillId="0" borderId="50" xfId="0" applyBorder="1" applyAlignment="1">
      <alignment horizontal="center" vertical="center"/>
    </xf>
    <xf numFmtId="0" fontId="9" fillId="0" borderId="43" xfId="0" applyFont="1" applyBorder="1" applyAlignment="1">
      <alignment horizontal="center" vertical="center" wrapText="1"/>
    </xf>
    <xf numFmtId="0" fontId="57" fillId="0" borderId="5" xfId="0" applyFont="1" applyBorder="1" applyAlignment="1">
      <alignment horizontal="center" vertical="center" wrapText="1"/>
    </xf>
    <xf numFmtId="49" fontId="5" fillId="0" borderId="0" xfId="0" applyNumberFormat="1" applyFont="1" applyAlignment="1">
      <alignment horizontal="right" vertical="center"/>
    </xf>
    <xf numFmtId="0" fontId="23" fillId="0" borderId="0" xfId="0" applyFont="1" applyAlignment="1">
      <alignment horizontal="right" vertical="center"/>
    </xf>
    <xf numFmtId="49" fontId="5" fillId="0" borderId="0" xfId="0" applyNumberFormat="1" applyFont="1" applyAlignment="1">
      <alignment horizontal="left" vertical="center" wrapText="1"/>
    </xf>
    <xf numFmtId="0" fontId="23" fillId="0" borderId="0" xfId="0" applyFont="1" applyAlignment="1">
      <alignment vertical="center" wrapText="1"/>
    </xf>
    <xf numFmtId="0" fontId="0" fillId="0" borderId="2" xfId="0" applyFont="1" applyBorder="1" applyAlignment="1">
      <alignment horizontal="center" vertical="center" wrapText="1"/>
    </xf>
    <xf numFmtId="0" fontId="0" fillId="0" borderId="41" xfId="0" applyFont="1" applyBorder="1" applyAlignment="1">
      <alignment horizontal="center" vertical="center" wrapText="1"/>
    </xf>
    <xf numFmtId="0" fontId="50" fillId="0" borderId="43" xfId="0" applyFont="1" applyBorder="1" applyAlignment="1">
      <alignment horizontal="left" vertical="center" wrapText="1"/>
    </xf>
    <xf numFmtId="0" fontId="51" fillId="0" borderId="43" xfId="0" applyFont="1" applyBorder="1" applyAlignment="1">
      <alignment horizontal="left" vertical="center" wrapText="1"/>
    </xf>
    <xf numFmtId="49" fontId="1" fillId="0" borderId="0" xfId="0" applyNumberFormat="1" applyFont="1" applyAlignment="1" applyProtection="1">
      <alignment horizontal="left" vertical="center" wrapText="1"/>
    </xf>
    <xf numFmtId="0" fontId="0" fillId="0" borderId="0" xfId="0" applyAlignment="1" applyProtection="1">
      <alignment horizontal="left" vertical="center" wrapText="1"/>
    </xf>
    <xf numFmtId="49" fontId="1" fillId="0" borderId="0" xfId="0" applyNumberFormat="1" applyFont="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wrapText="1"/>
    </xf>
    <xf numFmtId="0" fontId="24" fillId="0" borderId="22" xfId="0"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24" xfId="0" applyFont="1" applyBorder="1" applyAlignment="1" applyProtection="1">
      <alignment horizontal="center" vertical="center"/>
    </xf>
    <xf numFmtId="0" fontId="0" fillId="0" borderId="58" xfId="0" applyFont="1" applyBorder="1" applyAlignment="1" applyProtection="1">
      <alignment horizontal="center" vertical="center" wrapText="1"/>
    </xf>
    <xf numFmtId="0" fontId="0" fillId="0" borderId="48" xfId="0" applyFont="1" applyBorder="1" applyAlignment="1" applyProtection="1">
      <alignment horizontal="center" vertical="center" wrapText="1"/>
    </xf>
    <xf numFmtId="0" fontId="24" fillId="0" borderId="15" xfId="0" applyFont="1" applyBorder="1" applyAlignment="1" applyProtection="1">
      <alignment horizontal="center" vertical="center"/>
    </xf>
    <xf numFmtId="0" fontId="24" fillId="0" borderId="16" xfId="0" applyFont="1" applyBorder="1" applyAlignment="1" applyProtection="1">
      <alignment horizontal="center" vertical="center"/>
    </xf>
    <xf numFmtId="0" fontId="0" fillId="0" borderId="53"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64" xfId="0" applyFont="1" applyBorder="1" applyAlignment="1">
      <alignment horizontal="center" vertical="center" wrapText="1"/>
    </xf>
    <xf numFmtId="0" fontId="57" fillId="0" borderId="5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46" xfId="0" applyFont="1" applyBorder="1" applyAlignment="1">
      <alignment horizontal="center" vertical="center" wrapText="1"/>
    </xf>
    <xf numFmtId="1" fontId="23" fillId="0" borderId="44" xfId="0" applyNumberFormat="1" applyFont="1" applyBorder="1" applyAlignment="1">
      <alignment horizontal="center" vertical="center"/>
    </xf>
    <xf numFmtId="0" fontId="0" fillId="0" borderId="44" xfId="0" applyBorder="1" applyAlignment="1">
      <alignment horizontal="center" vertical="center"/>
    </xf>
    <xf numFmtId="0" fontId="9" fillId="0" borderId="1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20" xfId="0" applyFont="1" applyBorder="1" applyAlignment="1">
      <alignment horizontal="center" vertical="center" wrapText="1"/>
    </xf>
    <xf numFmtId="1" fontId="18" fillId="0" borderId="6" xfId="0" applyNumberFormat="1" applyFont="1" applyBorder="1" applyAlignment="1">
      <alignment horizontal="center" vertical="center"/>
    </xf>
    <xf numFmtId="1" fontId="1" fillId="0" borderId="6" xfId="0" applyNumberFormat="1" applyFont="1" applyBorder="1" applyAlignment="1">
      <alignment horizontal="center" vertical="center"/>
    </xf>
    <xf numFmtId="0" fontId="0" fillId="3" borderId="7" xfId="0" applyFill="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27" fillId="3" borderId="6" xfId="0" applyFont="1" applyFill="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27" fillId="3" borderId="7" xfId="0" applyFont="1" applyFill="1" applyBorder="1" applyAlignment="1" applyProtection="1">
      <alignment horizontal="center" vertical="center"/>
      <protection locked="0"/>
    </xf>
    <xf numFmtId="1" fontId="18" fillId="0" borderId="2" xfId="0" applyNumberFormat="1" applyFont="1" applyBorder="1" applyAlignment="1" applyProtection="1">
      <alignment horizontal="center" vertical="center"/>
    </xf>
    <xf numFmtId="0" fontId="0" fillId="0" borderId="4" xfId="0" applyBorder="1" applyAlignment="1">
      <alignment horizontal="center" vertical="center"/>
    </xf>
    <xf numFmtId="0" fontId="18" fillId="0" borderId="3" xfId="0" applyFont="1" applyBorder="1" applyAlignment="1">
      <alignment horizontal="center" vertical="center" wrapText="1"/>
    </xf>
    <xf numFmtId="0" fontId="0" fillId="0" borderId="0" xfId="0" applyAlignment="1"/>
    <xf numFmtId="1" fontId="6" fillId="0" borderId="2" xfId="0" applyNumberFormat="1" applyFont="1" applyBorder="1" applyAlignment="1" applyProtection="1">
      <alignment horizontal="center" vertical="center"/>
    </xf>
    <xf numFmtId="1" fontId="6" fillId="0" borderId="9" xfId="0" applyNumberFormat="1" applyFont="1" applyFill="1" applyBorder="1" applyAlignment="1">
      <alignment horizontal="center" vertical="center"/>
    </xf>
    <xf numFmtId="1" fontId="6" fillId="0" borderId="22" xfId="0" applyNumberFormat="1" applyFont="1" applyBorder="1" applyAlignment="1">
      <alignment horizontal="center" vertical="center"/>
    </xf>
    <xf numFmtId="0" fontId="0" fillId="0" borderId="24" xfId="0" applyBorder="1" applyAlignment="1">
      <alignment horizontal="center" vertical="center"/>
    </xf>
    <xf numFmtId="0" fontId="48" fillId="0" borderId="9" xfId="0" applyFont="1" applyBorder="1" applyAlignment="1">
      <alignment horizontal="center" vertical="center"/>
    </xf>
    <xf numFmtId="0" fontId="48" fillId="0" borderId="12" xfId="0" applyFont="1" applyBorder="1" applyAlignment="1">
      <alignment horizontal="center" vertical="center"/>
    </xf>
    <xf numFmtId="0" fontId="0" fillId="0" borderId="6" xfId="0" applyBorder="1" applyAlignment="1">
      <alignment horizontal="center" vertical="center"/>
    </xf>
    <xf numFmtId="1" fontId="11" fillId="0" borderId="51" xfId="0" applyNumberFormat="1" applyFont="1" applyFill="1" applyBorder="1" applyAlignment="1">
      <alignment horizontal="center" vertical="center"/>
    </xf>
    <xf numFmtId="1" fontId="11" fillId="0" borderId="6" xfId="0" applyNumberFormat="1" applyFont="1" applyFill="1" applyBorder="1" applyAlignment="1">
      <alignment horizontal="center" vertical="center"/>
    </xf>
    <xf numFmtId="1" fontId="0" fillId="0" borderId="7" xfId="0" applyNumberFormat="1" applyBorder="1" applyAlignment="1">
      <alignment horizontal="center" vertical="center"/>
    </xf>
    <xf numFmtId="1" fontId="0" fillId="0" borderId="6" xfId="0" applyNumberFormat="1" applyBorder="1" applyAlignment="1">
      <alignment horizontal="center" vertical="center"/>
    </xf>
    <xf numFmtId="0" fontId="28" fillId="0" borderId="6" xfId="0" applyFont="1" applyBorder="1" applyAlignment="1">
      <alignment horizontal="center" vertical="center"/>
    </xf>
    <xf numFmtId="0" fontId="9" fillId="0" borderId="1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0" fillId="4" borderId="51" xfId="0" applyFill="1" applyBorder="1" applyAlignment="1">
      <alignment horizontal="center" vertical="center"/>
    </xf>
    <xf numFmtId="0" fontId="0" fillId="4" borderId="6" xfId="0" applyFill="1" applyBorder="1" applyAlignment="1">
      <alignment horizontal="center" vertical="center"/>
    </xf>
    <xf numFmtId="0" fontId="0" fillId="0" borderId="6" xfId="0" applyFill="1" applyBorder="1" applyAlignment="1">
      <alignment horizontal="center"/>
    </xf>
    <xf numFmtId="0" fontId="0" fillId="0" borderId="5" xfId="0" applyBorder="1" applyAlignment="1">
      <alignment horizontal="center"/>
    </xf>
    <xf numFmtId="0" fontId="0" fillId="3" borderId="6" xfId="0" applyFill="1" applyBorder="1" applyAlignment="1" applyProtection="1">
      <alignment horizontal="center"/>
      <protection locked="0"/>
    </xf>
    <xf numFmtId="0" fontId="0" fillId="0" borderId="5" xfId="0" applyBorder="1" applyAlignment="1" applyProtection="1">
      <alignment horizontal="center"/>
      <protection locked="0"/>
    </xf>
    <xf numFmtId="0" fontId="0" fillId="3" borderId="0" xfId="0" applyFill="1" applyBorder="1" applyAlignment="1" applyProtection="1">
      <alignment horizontal="center"/>
      <protection locked="0"/>
    </xf>
    <xf numFmtId="1" fontId="18" fillId="3" borderId="7" xfId="0" applyNumberFormat="1" applyFont="1" applyFill="1" applyBorder="1" applyAlignment="1" applyProtection="1">
      <alignment horizontal="center" vertical="center"/>
      <protection locked="0"/>
    </xf>
    <xf numFmtId="1" fontId="18" fillId="3" borderId="2" xfId="0" applyNumberFormat="1"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8" fillId="0" borderId="7" xfId="0" applyFont="1" applyFill="1" applyBorder="1" applyAlignment="1">
      <alignment horizontal="center"/>
    </xf>
    <xf numFmtId="0" fontId="0" fillId="0" borderId="11" xfId="0" applyBorder="1" applyAlignment="1">
      <alignment horizontal="center"/>
    </xf>
    <xf numFmtId="0" fontId="18" fillId="0" borderId="2" xfId="0" applyFont="1" applyFill="1" applyBorder="1" applyAlignment="1">
      <alignment horizontal="center" vertical="center" wrapText="1"/>
    </xf>
    <xf numFmtId="1" fontId="18" fillId="0" borderId="2"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xf>
    <xf numFmtId="0" fontId="18" fillId="3" borderId="2"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18" fillId="3"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18"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49" fontId="1" fillId="0" borderId="0" xfId="0" applyNumberFormat="1" applyFont="1" applyAlignment="1">
      <alignment horizontal="right" vertical="center"/>
    </xf>
    <xf numFmtId="0" fontId="0" fillId="0" borderId="0" xfId="0" applyAlignment="1">
      <alignment horizontal="right" vertical="center"/>
    </xf>
    <xf numFmtId="1" fontId="23" fillId="3" borderId="6" xfId="0" applyNumberFormat="1" applyFont="1"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9" fillId="0" borderId="11" xfId="0" applyFont="1" applyBorder="1" applyAlignment="1">
      <alignment horizontal="center" vertical="center" wrapText="1"/>
    </xf>
    <xf numFmtId="0" fontId="0" fillId="0" borderId="42" xfId="0" applyBorder="1" applyAlignment="1">
      <alignment horizontal="center" vertical="center"/>
    </xf>
    <xf numFmtId="0" fontId="3" fillId="0" borderId="1" xfId="0" applyFont="1" applyBorder="1" applyAlignment="1">
      <alignment horizontal="center" vertical="center" wrapText="1"/>
    </xf>
    <xf numFmtId="1" fontId="23" fillId="3" borderId="58" xfId="0" applyNumberFormat="1" applyFont="1" applyFill="1" applyBorder="1" applyAlignment="1" applyProtection="1">
      <alignment horizontal="center" vertical="center"/>
      <protection locked="0"/>
    </xf>
    <xf numFmtId="0" fontId="0" fillId="3" borderId="48" xfId="0" applyFill="1" applyBorder="1" applyAlignment="1" applyProtection="1">
      <alignment horizontal="center" vertical="center"/>
      <protection locked="0"/>
    </xf>
    <xf numFmtId="0" fontId="1" fillId="3" borderId="6" xfId="0" applyFont="1" applyFill="1" applyBorder="1" applyAlignment="1" applyProtection="1">
      <alignment horizontal="center" vertical="center"/>
      <protection locked="0"/>
    </xf>
    <xf numFmtId="0" fontId="1" fillId="0" borderId="35" xfId="0" applyFont="1" applyFill="1" applyBorder="1" applyAlignment="1">
      <alignment horizontal="center" vertical="center"/>
    </xf>
    <xf numFmtId="0" fontId="0" fillId="0" borderId="36" xfId="0" applyFill="1" applyBorder="1" applyAlignment="1">
      <alignment horizontal="center" vertical="center"/>
    </xf>
    <xf numFmtId="0" fontId="0" fillId="0" borderId="48" xfId="0" applyBorder="1" applyAlignment="1">
      <alignment horizontal="center" vertical="center" wrapText="1"/>
    </xf>
    <xf numFmtId="0" fontId="15" fillId="0" borderId="17" xfId="0" applyFont="1" applyBorder="1" applyAlignment="1">
      <alignment horizontal="right" vertical="center" wrapText="1"/>
    </xf>
    <xf numFmtId="0" fontId="15" fillId="0" borderId="5" xfId="0" applyFont="1" applyBorder="1" applyAlignment="1">
      <alignment horizontal="right" vertical="center" wrapText="1"/>
    </xf>
    <xf numFmtId="0" fontId="23" fillId="0" borderId="0" xfId="0" applyFont="1" applyAlignment="1">
      <alignment horizontal="left" vertical="center" wrapText="1"/>
    </xf>
    <xf numFmtId="0" fontId="0" fillId="0" borderId="7" xfId="0" applyFont="1" applyBorder="1" applyAlignment="1">
      <alignment horizontal="center" vertical="center" wrapText="1"/>
    </xf>
    <xf numFmtId="0" fontId="0" fillId="0" borderId="42" xfId="0" applyFont="1" applyBorder="1" applyAlignment="1">
      <alignment horizontal="center" vertical="center" wrapText="1"/>
    </xf>
    <xf numFmtId="1" fontId="11" fillId="0" borderId="5" xfId="0" applyNumberFormat="1" applyFont="1" applyFill="1" applyBorder="1" applyAlignment="1">
      <alignment horizontal="center" vertical="center"/>
    </xf>
    <xf numFmtId="1" fontId="179" fillId="0" borderId="7" xfId="0" applyNumberFormat="1" applyFont="1" applyFill="1" applyBorder="1" applyAlignment="1">
      <alignment horizontal="center" vertical="center"/>
    </xf>
    <xf numFmtId="1" fontId="179" fillId="0" borderId="8" xfId="0" applyNumberFormat="1" applyFont="1" applyFill="1" applyBorder="1" applyAlignment="1">
      <alignment horizontal="center" vertical="center"/>
    </xf>
    <xf numFmtId="0" fontId="1" fillId="0" borderId="5" xfId="0" applyFont="1" applyBorder="1" applyAlignment="1">
      <alignment horizontal="left" vertical="center" wrapText="1"/>
    </xf>
    <xf numFmtId="0" fontId="1" fillId="3" borderId="1" xfId="0" applyFont="1"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0" borderId="0" xfId="0" applyFill="1" applyBorder="1" applyAlignment="1">
      <alignment horizontal="center" vertical="center" wrapText="1"/>
    </xf>
    <xf numFmtId="0" fontId="0" fillId="0" borderId="5" xfId="0"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2" xfId="0" applyFont="1" applyFill="1" applyBorder="1" applyAlignment="1">
      <alignment horizontal="center" vertical="center" wrapText="1"/>
    </xf>
    <xf numFmtId="1" fontId="18" fillId="0" borderId="1" xfId="0" applyNumberFormat="1" applyFont="1" applyBorder="1" applyAlignment="1">
      <alignment horizontal="center" vertical="center"/>
    </xf>
    <xf numFmtId="1" fontId="74" fillId="0" borderId="7" xfId="0" applyNumberFormat="1" applyFont="1" applyFill="1" applyBorder="1" applyAlignment="1">
      <alignment horizontal="center" vertical="center"/>
    </xf>
    <xf numFmtId="0" fontId="76" fillId="0" borderId="8" xfId="0" applyFont="1" applyBorder="1" applyAlignment="1">
      <alignment horizontal="center" vertical="center"/>
    </xf>
    <xf numFmtId="1" fontId="11" fillId="2" borderId="7" xfId="0" applyNumberFormat="1" applyFont="1" applyFill="1" applyBorder="1" applyAlignment="1">
      <alignment horizontal="center" vertical="center" wrapText="1"/>
    </xf>
    <xf numFmtId="1" fontId="11" fillId="2" borderId="8" xfId="0" applyNumberFormat="1" applyFont="1" applyFill="1" applyBorder="1" applyAlignment="1">
      <alignment horizontal="center" vertical="center" wrapText="1"/>
    </xf>
    <xf numFmtId="1" fontId="18" fillId="0" borderId="25" xfId="0" applyNumberFormat="1" applyFont="1" applyBorder="1" applyAlignment="1">
      <alignment horizontal="center" vertical="center"/>
    </xf>
    <xf numFmtId="0" fontId="18" fillId="3" borderId="6" xfId="0" applyFont="1" applyFill="1" applyBorder="1" applyAlignment="1" applyProtection="1">
      <alignment horizontal="center" vertical="center"/>
      <protection locked="0"/>
    </xf>
    <xf numFmtId="0" fontId="18" fillId="3" borderId="5" xfId="0" applyFont="1" applyFill="1" applyBorder="1" applyAlignment="1" applyProtection="1">
      <alignment horizontal="center" vertical="center"/>
      <protection locked="0"/>
    </xf>
    <xf numFmtId="1" fontId="6" fillId="3" borderId="7" xfId="0" applyNumberFormat="1" applyFont="1" applyFill="1" applyBorder="1" applyAlignment="1" applyProtection="1">
      <alignment horizontal="center" vertical="center"/>
      <protection locked="0"/>
    </xf>
    <xf numFmtId="1" fontId="6" fillId="3" borderId="8" xfId="0" applyNumberFormat="1" applyFont="1"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1" fontId="6" fillId="0" borderId="1" xfId="0" applyNumberFormat="1" applyFont="1" applyBorder="1" applyAlignment="1">
      <alignment horizontal="center" vertical="center"/>
    </xf>
    <xf numFmtId="1" fontId="6" fillId="0" borderId="1" xfId="0" applyNumberFormat="1" applyFont="1" applyFill="1" applyBorder="1" applyAlignment="1" applyProtection="1">
      <alignment horizontal="center" vertical="center"/>
    </xf>
    <xf numFmtId="0" fontId="18" fillId="0" borderId="22" xfId="0" applyFont="1" applyBorder="1" applyAlignment="1">
      <alignment horizontal="center" vertical="center"/>
    </xf>
    <xf numFmtId="0" fontId="0" fillId="0" borderId="23" xfId="0"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1" fontId="2" fillId="3" borderId="1" xfId="0" applyNumberFormat="1" applyFont="1" applyFill="1" applyBorder="1" applyAlignment="1" applyProtection="1">
      <alignment horizontal="center" vertical="center"/>
      <protection locked="0"/>
    </xf>
    <xf numFmtId="1" fontId="18" fillId="3" borderId="8" xfId="0" applyNumberFormat="1" applyFont="1" applyFill="1" applyBorder="1" applyAlignment="1" applyProtection="1">
      <alignment horizontal="center" vertical="center"/>
      <protection locked="0"/>
    </xf>
    <xf numFmtId="0" fontId="1" fillId="3" borderId="2" xfId="0" applyFont="1" applyFill="1" applyBorder="1" applyAlignment="1" applyProtection="1">
      <alignment horizontal="right" vertical="center"/>
      <protection locked="0"/>
    </xf>
    <xf numFmtId="0" fontId="1" fillId="3" borderId="4" xfId="0" applyFont="1" applyFill="1" applyBorder="1" applyAlignment="1" applyProtection="1">
      <alignment horizontal="right" vertical="center"/>
      <protection locked="0"/>
    </xf>
    <xf numFmtId="0" fontId="1" fillId="0" borderId="5" xfId="0" applyFont="1" applyBorder="1" applyAlignment="1">
      <alignment horizontal="center" vertical="center" wrapText="1"/>
    </xf>
    <xf numFmtId="1" fontId="179" fillId="0" borderId="9" xfId="0" applyNumberFormat="1" applyFont="1" applyFill="1" applyBorder="1" applyAlignment="1">
      <alignment horizontal="center" vertical="center"/>
    </xf>
    <xf numFmtId="1" fontId="179" fillId="0" borderId="10" xfId="0" applyNumberFormat="1" applyFont="1" applyFill="1" applyBorder="1" applyAlignment="1">
      <alignment horizontal="center" vertical="center"/>
    </xf>
    <xf numFmtId="0" fontId="177" fillId="0" borderId="11" xfId="0" applyFont="1" applyBorder="1" applyAlignment="1">
      <alignment horizontal="center" vertical="center" wrapText="1"/>
    </xf>
    <xf numFmtId="165" fontId="18" fillId="3" borderId="2" xfId="0" applyNumberFormat="1" applyFont="1" applyFill="1" applyBorder="1" applyAlignment="1" applyProtection="1">
      <alignment horizontal="center" vertical="center"/>
      <protection locked="0"/>
    </xf>
    <xf numFmtId="165" fontId="18" fillId="3" borderId="4" xfId="0" applyNumberFormat="1" applyFont="1" applyFill="1" applyBorder="1" applyAlignment="1" applyProtection="1">
      <alignment horizontal="center" vertical="center"/>
      <protection locked="0"/>
    </xf>
    <xf numFmtId="1" fontId="18" fillId="0" borderId="6" xfId="0" applyNumberFormat="1" applyFont="1" applyFill="1" applyBorder="1" applyAlignment="1">
      <alignment horizontal="center" vertical="center"/>
    </xf>
    <xf numFmtId="1" fontId="18" fillId="0" borderId="5" xfId="0" applyNumberFormat="1" applyFont="1" applyFill="1" applyBorder="1" applyAlignment="1">
      <alignment horizontal="center" vertical="center"/>
    </xf>
    <xf numFmtId="1" fontId="74" fillId="0" borderId="2" xfId="0" applyNumberFormat="1" applyFont="1" applyFill="1" applyBorder="1" applyAlignment="1">
      <alignment horizontal="center" vertical="center"/>
    </xf>
    <xf numFmtId="0" fontId="76" fillId="0" borderId="4" xfId="0" applyFont="1" applyBorder="1" applyAlignment="1">
      <alignment horizontal="center" vertical="center"/>
    </xf>
    <xf numFmtId="1" fontId="18" fillId="2" borderId="2" xfId="0" applyNumberFormat="1" applyFont="1" applyFill="1" applyBorder="1" applyAlignment="1" applyProtection="1">
      <alignment horizontal="center" vertical="center" wrapText="1"/>
      <protection locked="0"/>
    </xf>
    <xf numFmtId="0" fontId="0" fillId="2" borderId="4" xfId="0" applyFill="1" applyBorder="1" applyAlignment="1" applyProtection="1">
      <alignment horizontal="center" vertical="center" wrapText="1"/>
      <protection locked="0"/>
    </xf>
    <xf numFmtId="0" fontId="2" fillId="0" borderId="61" xfId="0" applyFont="1" applyBorder="1" applyAlignment="1">
      <alignment horizontal="center" vertical="center"/>
    </xf>
    <xf numFmtId="0" fontId="2" fillId="0" borderId="62" xfId="0" applyFont="1" applyBorder="1" applyAlignment="1">
      <alignment horizontal="center" vertical="center"/>
    </xf>
    <xf numFmtId="0" fontId="2" fillId="0" borderId="63" xfId="0" applyFont="1" applyBorder="1" applyAlignment="1">
      <alignment horizontal="center" vertical="center"/>
    </xf>
    <xf numFmtId="1" fontId="18" fillId="3" borderId="1" xfId="0" applyNumberFormat="1" applyFont="1" applyFill="1" applyBorder="1" applyAlignment="1" applyProtection="1">
      <alignment horizontal="center" vertical="center" wrapText="1"/>
      <protection locked="0"/>
    </xf>
    <xf numFmtId="0" fontId="1" fillId="0" borderId="6" xfId="0" applyFont="1" applyBorder="1" applyAlignment="1">
      <alignment horizontal="left" vertical="center" wrapText="1"/>
    </xf>
    <xf numFmtId="1" fontId="74" fillId="0" borderId="4" xfId="0" applyNumberFormat="1" applyFont="1" applyFill="1" applyBorder="1" applyAlignment="1">
      <alignment horizontal="center" vertical="center"/>
    </xf>
    <xf numFmtId="0" fontId="26" fillId="0" borderId="0" xfId="0" applyFont="1" applyAlignment="1">
      <alignment horizontal="center" vertical="center" wrapText="1"/>
    </xf>
    <xf numFmtId="1" fontId="22" fillId="3" borderId="1" xfId="0" applyNumberFormat="1" applyFont="1" applyFill="1" applyBorder="1" applyAlignment="1" applyProtection="1">
      <alignment horizontal="center" vertical="center" wrapText="1"/>
      <protection locked="0"/>
    </xf>
    <xf numFmtId="1" fontId="22" fillId="3" borderId="2" xfId="0" applyNumberFormat="1" applyFont="1" applyFill="1" applyBorder="1" applyAlignment="1" applyProtection="1">
      <alignment horizontal="center" vertical="center" wrapText="1"/>
      <protection locked="0"/>
    </xf>
    <xf numFmtId="1" fontId="22" fillId="3" borderId="4" xfId="0" applyNumberFormat="1" applyFont="1" applyFill="1" applyBorder="1" applyAlignment="1" applyProtection="1">
      <alignment horizontal="center" vertical="center" wrapText="1"/>
      <protection locked="0"/>
    </xf>
    <xf numFmtId="0" fontId="0" fillId="0" borderId="23" xfId="0" applyBorder="1" applyAlignment="1">
      <alignment vertical="center"/>
    </xf>
    <xf numFmtId="0" fontId="0" fillId="0" borderId="24" xfId="0" applyBorder="1" applyAlignment="1">
      <alignment vertical="center"/>
    </xf>
    <xf numFmtId="0" fontId="0" fillId="0" borderId="7" xfId="0" applyFill="1" applyBorder="1" applyAlignment="1" applyProtection="1">
      <alignment horizontal="center" vertical="center" wrapText="1"/>
      <protection locked="0"/>
    </xf>
    <xf numFmtId="0" fontId="0" fillId="0" borderId="8" xfId="0"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9" xfId="0"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1" fontId="1" fillId="0" borderId="9" xfId="0" applyNumberFormat="1" applyFont="1" applyBorder="1" applyAlignment="1">
      <alignment horizontal="center" vertical="center" wrapText="1"/>
    </xf>
    <xf numFmtId="1" fontId="0" fillId="0" borderId="10" xfId="0" applyNumberFormat="1" applyBorder="1" applyAlignment="1">
      <alignment horizontal="center" vertical="center"/>
    </xf>
    <xf numFmtId="1" fontId="0" fillId="0" borderId="10" xfId="0" applyNumberFormat="1" applyBorder="1" applyAlignment="1">
      <alignment horizontal="center" vertical="center" wrapText="1"/>
    </xf>
    <xf numFmtId="0" fontId="18" fillId="0" borderId="4" xfId="0" applyFont="1" applyBorder="1" applyAlignment="1">
      <alignment horizontal="center" vertical="center" wrapText="1"/>
    </xf>
    <xf numFmtId="0" fontId="0" fillId="0" borderId="0" xfId="0" applyAlignment="1">
      <alignment wrapText="1"/>
    </xf>
    <xf numFmtId="1" fontId="6" fillId="0" borderId="2" xfId="0" applyNumberFormat="1" applyFont="1" applyBorder="1" applyAlignment="1">
      <alignment horizontal="center" vertical="center"/>
    </xf>
    <xf numFmtId="1" fontId="6" fillId="0" borderId="4" xfId="0" applyNumberFormat="1" applyFont="1" applyBorder="1" applyAlignment="1">
      <alignment horizontal="center" vertical="center"/>
    </xf>
    <xf numFmtId="0" fontId="0" fillId="6" borderId="0" xfId="0" applyFill="1" applyAlignment="1" applyProtection="1">
      <alignment horizontal="center"/>
    </xf>
    <xf numFmtId="0" fontId="0" fillId="3" borderId="0" xfId="0" applyFill="1" applyAlignment="1" applyProtection="1">
      <alignment horizontal="center"/>
    </xf>
    <xf numFmtId="0" fontId="0" fillId="7" borderId="0" xfId="0" applyFill="1" applyAlignment="1" applyProtection="1">
      <alignment horizontal="center"/>
    </xf>
    <xf numFmtId="0" fontId="0" fillId="8" borderId="0" xfId="0" applyFill="1" applyAlignment="1" applyProtection="1">
      <alignment horizontal="center"/>
    </xf>
    <xf numFmtId="0" fontId="0" fillId="0" borderId="1" xfId="0" applyBorder="1" applyAlignment="1">
      <alignment horizontal="center"/>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3" xfId="0" applyBorder="1" applyAlignment="1">
      <alignment horizontal="center" vertical="center"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cellXfs>
  <cellStyles count="7">
    <cellStyle name="Komma" xfId="1" builtinId="3"/>
    <cellStyle name="Link" xfId="3" builtinId="8"/>
    <cellStyle name="Prozent" xfId="4" builtinId="5"/>
    <cellStyle name="Schlecht" xfId="6" builtinId="27"/>
    <cellStyle name="Standard" xfId="0" builtinId="0"/>
    <cellStyle name="Standard_Grunddatenneu _1" xfId="5"/>
    <cellStyle name="Währung" xfId="2" builtinId="4"/>
  </cellStyles>
  <dxfs count="228">
    <dxf>
      <fill>
        <patternFill>
          <bgColor rgb="FFFFC7CE"/>
        </patternFill>
      </fill>
    </dxf>
    <dxf>
      <fill>
        <patternFill>
          <bgColor rgb="FFFFC7CE"/>
        </patternFill>
      </fill>
    </dxf>
    <dxf>
      <fill>
        <patternFill>
          <bgColor rgb="FFFFC7CE"/>
        </patternFill>
      </fill>
    </dxf>
    <dxf>
      <fill>
        <patternFill>
          <bgColor rgb="FFFFC7CE"/>
        </patternFill>
      </fill>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theme="4"/>
      </font>
    </dxf>
    <dxf>
      <font>
        <color theme="5" tint="-0.2499465926084170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4"/>
      </font>
    </dxf>
    <dxf>
      <font>
        <color theme="5" tint="-0.24994659260841701"/>
      </font>
    </dxf>
    <dxf>
      <font>
        <color rgb="FFFF0000"/>
      </font>
    </dxf>
    <dxf>
      <font>
        <color theme="4"/>
      </font>
    </dxf>
    <dxf>
      <font>
        <color theme="5" tint="-0.24994659260841701"/>
      </font>
    </dxf>
  </dxfs>
  <tableStyles count="0" defaultTableStyle="TableStyleMedium2" defaultPivotStyle="PivotStyleLight16"/>
  <colors>
    <mruColors>
      <color rgb="FFFFFF99"/>
      <color rgb="FFF820EE"/>
      <color rgb="FFF7D5F5"/>
      <color rgb="FF1C21DA"/>
      <color rgb="FFFFABAB"/>
      <color rgb="FFFF5757"/>
      <color rgb="FFFFD3C9"/>
      <color rgb="FFB1A777"/>
      <color rgb="FFDDDAEE"/>
      <color rgb="FFFF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342501150143916E-2"/>
          <c:y val="7.4548702245552642E-2"/>
          <c:w val="0.781615298087739"/>
          <c:h val="0.8326195683872849"/>
        </c:manualLayout>
      </c:layout>
      <c:scatterChart>
        <c:scatterStyle val="lineMarker"/>
        <c:varyColors val="0"/>
        <c:ser>
          <c:idx val="0"/>
          <c:order val="0"/>
          <c:tx>
            <c:strRef>
              <c:f>Wz!$C$92</c:f>
              <c:strCache>
                <c:ptCount val="1"/>
                <c:pt idx="0">
                  <c:v>DüV</c:v>
                </c:pt>
              </c:strCache>
            </c:strRef>
          </c:tx>
          <c:spPr>
            <a:ln w="28575">
              <a:noFill/>
            </a:ln>
          </c:spPr>
          <c:xVal>
            <c:numRef>
              <c:f>Wz!$B$93:$B$101</c:f>
              <c:numCache>
                <c:formatCode>General</c:formatCode>
                <c:ptCount val="9"/>
                <c:pt idx="0">
                  <c:v>50</c:v>
                </c:pt>
                <c:pt idx="1">
                  <c:v>60</c:v>
                </c:pt>
                <c:pt idx="2">
                  <c:v>70</c:v>
                </c:pt>
                <c:pt idx="3">
                  <c:v>80</c:v>
                </c:pt>
                <c:pt idx="4">
                  <c:v>83</c:v>
                </c:pt>
                <c:pt idx="5">
                  <c:v>90</c:v>
                </c:pt>
                <c:pt idx="6">
                  <c:v>99</c:v>
                </c:pt>
                <c:pt idx="7">
                  <c:v>100</c:v>
                </c:pt>
                <c:pt idx="8">
                  <c:v>110</c:v>
                </c:pt>
              </c:numCache>
            </c:numRef>
          </c:xVal>
          <c:yVal>
            <c:numRef>
              <c:f>Wz!$C$93:$C$101</c:f>
              <c:numCache>
                <c:formatCode>General</c:formatCode>
                <c:ptCount val="9"/>
                <c:pt idx="0">
                  <c:v>185</c:v>
                </c:pt>
                <c:pt idx="1">
                  <c:v>200</c:v>
                </c:pt>
                <c:pt idx="2">
                  <c:v>215</c:v>
                </c:pt>
                <c:pt idx="3">
                  <c:v>230</c:v>
                </c:pt>
                <c:pt idx="5">
                  <c:v>240</c:v>
                </c:pt>
                <c:pt idx="7">
                  <c:v>250</c:v>
                </c:pt>
                <c:pt idx="8">
                  <c:v>260</c:v>
                </c:pt>
              </c:numCache>
            </c:numRef>
          </c:yVal>
          <c:smooth val="0"/>
          <c:extLst>
            <c:ext xmlns:c16="http://schemas.microsoft.com/office/drawing/2014/chart" uri="{C3380CC4-5D6E-409C-BE32-E72D297353CC}">
              <c16:uniqueId val="{00000000-07CB-4C92-9FB2-B5372F0A75D7}"/>
            </c:ext>
          </c:extLst>
        </c:ser>
        <c:ser>
          <c:idx val="1"/>
          <c:order val="1"/>
          <c:tx>
            <c:strRef>
              <c:f>Wz!$D$92</c:f>
              <c:strCache>
                <c:ptCount val="1"/>
                <c:pt idx="0">
                  <c:v>Versuche 2010-16</c:v>
                </c:pt>
              </c:strCache>
            </c:strRef>
          </c:tx>
          <c:spPr>
            <a:ln w="28575">
              <a:noFill/>
            </a:ln>
          </c:spPr>
          <c:xVal>
            <c:numRef>
              <c:f>Wz!$B$93:$B$101</c:f>
              <c:numCache>
                <c:formatCode>General</c:formatCode>
                <c:ptCount val="9"/>
                <c:pt idx="0">
                  <c:v>50</c:v>
                </c:pt>
                <c:pt idx="1">
                  <c:v>60</c:v>
                </c:pt>
                <c:pt idx="2">
                  <c:v>70</c:v>
                </c:pt>
                <c:pt idx="3">
                  <c:v>80</c:v>
                </c:pt>
                <c:pt idx="4">
                  <c:v>83</c:v>
                </c:pt>
                <c:pt idx="5">
                  <c:v>90</c:v>
                </c:pt>
                <c:pt idx="6">
                  <c:v>99</c:v>
                </c:pt>
                <c:pt idx="7">
                  <c:v>100</c:v>
                </c:pt>
                <c:pt idx="8">
                  <c:v>110</c:v>
                </c:pt>
              </c:numCache>
            </c:numRef>
          </c:xVal>
          <c:yVal>
            <c:numRef>
              <c:f>Wz!$D$93:$D$101</c:f>
              <c:numCache>
                <c:formatCode>General</c:formatCode>
                <c:ptCount val="9"/>
                <c:pt idx="2">
                  <c:v>187</c:v>
                </c:pt>
                <c:pt idx="4">
                  <c:v>223</c:v>
                </c:pt>
                <c:pt idx="6">
                  <c:v>241</c:v>
                </c:pt>
              </c:numCache>
            </c:numRef>
          </c:yVal>
          <c:smooth val="0"/>
          <c:extLst>
            <c:ext xmlns:c16="http://schemas.microsoft.com/office/drawing/2014/chart" uri="{C3380CC4-5D6E-409C-BE32-E72D297353CC}">
              <c16:uniqueId val="{00000001-07CB-4C92-9FB2-B5372F0A75D7}"/>
            </c:ext>
          </c:extLst>
        </c:ser>
        <c:dLbls>
          <c:showLegendKey val="0"/>
          <c:showVal val="0"/>
          <c:showCatName val="0"/>
          <c:showSerName val="0"/>
          <c:showPercent val="0"/>
          <c:showBubbleSize val="0"/>
        </c:dLbls>
        <c:axId val="194629856"/>
        <c:axId val="194634560"/>
      </c:scatterChart>
      <c:valAx>
        <c:axId val="194629856"/>
        <c:scaling>
          <c:orientation val="minMax"/>
          <c:max val="120"/>
        </c:scaling>
        <c:delete val="0"/>
        <c:axPos val="b"/>
        <c:majorGridlines/>
        <c:minorGridlines>
          <c:spPr>
            <a:ln>
              <a:noFill/>
            </a:ln>
          </c:spPr>
        </c:minorGridlines>
        <c:numFmt formatCode="General" sourceLinked="1"/>
        <c:majorTickMark val="out"/>
        <c:minorTickMark val="none"/>
        <c:tickLblPos val="nextTo"/>
        <c:crossAx val="194634560"/>
        <c:crosses val="autoZero"/>
        <c:crossBetween val="midCat"/>
        <c:majorUnit val="10"/>
      </c:valAx>
      <c:valAx>
        <c:axId val="194634560"/>
        <c:scaling>
          <c:orientation val="minMax"/>
        </c:scaling>
        <c:delete val="0"/>
        <c:axPos val="l"/>
        <c:majorGridlines/>
        <c:numFmt formatCode="General" sourceLinked="1"/>
        <c:majorTickMark val="out"/>
        <c:minorTickMark val="none"/>
        <c:tickLblPos val="nextTo"/>
        <c:crossAx val="194629856"/>
        <c:crosses val="autoZero"/>
        <c:crossBetween val="midCat"/>
      </c:valAx>
    </c:plotArea>
    <c:legend>
      <c:legendPos val="r"/>
      <c:layout>
        <c:manualLayout>
          <c:xMode val="edge"/>
          <c:yMode val="edge"/>
          <c:x val="0.82639125686597925"/>
          <c:y val="0.43480132691746864"/>
          <c:w val="0.17189439455257974"/>
          <c:h val="0.398915864683581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08705161854769E-2"/>
          <c:y val="0.10648148148148148"/>
          <c:w val="0.65977974628171476"/>
          <c:h val="0.78611913094196562"/>
        </c:manualLayout>
      </c:layout>
      <c:scatterChart>
        <c:scatterStyle val="lineMarker"/>
        <c:varyColors val="0"/>
        <c:ser>
          <c:idx val="0"/>
          <c:order val="0"/>
          <c:tx>
            <c:v>P2O5</c:v>
          </c:tx>
          <c:spPr>
            <a:ln w="19050" cap="rnd">
              <a:solidFill>
                <a:srgbClr val="F820EE"/>
              </a:solidFill>
              <a:round/>
            </a:ln>
            <a:effectLst/>
          </c:spPr>
          <c:marker>
            <c:symbol val="circle"/>
            <c:size val="5"/>
            <c:spPr>
              <a:solidFill>
                <a:schemeClr val="accent1"/>
              </a:solidFill>
              <a:ln w="9525">
                <a:solidFill>
                  <a:schemeClr val="accent1"/>
                </a:solidFill>
              </a:ln>
              <a:effectLst/>
            </c:spPr>
          </c:marker>
          <c:trendline>
            <c:spPr>
              <a:ln w="19050" cap="rnd">
                <a:solidFill>
                  <a:srgbClr val="0070C0"/>
                </a:solidFill>
                <a:prstDash val="sysDot"/>
              </a:ln>
              <a:effectLst/>
            </c:spPr>
            <c:trendlineType val="log"/>
            <c:dispRSqr val="1"/>
            <c:dispEq val="1"/>
            <c:trendlineLbl>
              <c:layout>
                <c:manualLayout>
                  <c:x val="-7.5004374453193096E-3"/>
                  <c:y val="-9.6728234573651567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aseline="0">
                        <a:solidFill>
                          <a:srgbClr val="F820EE"/>
                        </a:solidFill>
                      </a:rPr>
                      <a:t>y = 0,4695ln(x) + 0,3494</a:t>
                    </a:r>
                    <a:br>
                      <a:rPr lang="en-US" sz="1600" baseline="0">
                        <a:solidFill>
                          <a:srgbClr val="F820EE"/>
                        </a:solidFill>
                      </a:rPr>
                    </a:br>
                    <a:r>
                      <a:rPr lang="en-US" sz="1600" baseline="0">
                        <a:solidFill>
                          <a:srgbClr val="F820EE"/>
                        </a:solidFill>
                      </a:rPr>
                      <a:t>R² = 0,9479</a:t>
                    </a:r>
                    <a:endParaRPr lang="en-US" sz="1600">
                      <a:solidFill>
                        <a:srgbClr val="F820EE"/>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Funktionen!$L$4:$L$8</c:f>
              <c:numCache>
                <c:formatCode>General</c:formatCode>
                <c:ptCount val="5"/>
                <c:pt idx="0">
                  <c:v>1.38</c:v>
                </c:pt>
                <c:pt idx="1">
                  <c:v>1.82</c:v>
                </c:pt>
                <c:pt idx="2">
                  <c:v>2.4</c:v>
                </c:pt>
                <c:pt idx="3">
                  <c:v>2.7</c:v>
                </c:pt>
                <c:pt idx="4">
                  <c:v>2.8</c:v>
                </c:pt>
              </c:numCache>
            </c:numRef>
          </c:xVal>
          <c:yVal>
            <c:numRef>
              <c:f>Funktionen!$M$4:$M$8</c:f>
              <c:numCache>
                <c:formatCode>General</c:formatCode>
                <c:ptCount val="5"/>
                <c:pt idx="0">
                  <c:v>0.5</c:v>
                </c:pt>
                <c:pt idx="1">
                  <c:v>0.65</c:v>
                </c:pt>
                <c:pt idx="2">
                  <c:v>0.71</c:v>
                </c:pt>
                <c:pt idx="3">
                  <c:v>0.81</c:v>
                </c:pt>
                <c:pt idx="4">
                  <c:v>0.87</c:v>
                </c:pt>
              </c:numCache>
            </c:numRef>
          </c:yVal>
          <c:smooth val="0"/>
          <c:extLst>
            <c:ext xmlns:c16="http://schemas.microsoft.com/office/drawing/2014/chart" uri="{C3380CC4-5D6E-409C-BE32-E72D297353CC}">
              <c16:uniqueId val="{00000000-32BE-4F80-A51E-F3236DFFF1D5}"/>
            </c:ext>
          </c:extLst>
        </c:ser>
        <c:dLbls>
          <c:showLegendKey val="0"/>
          <c:showVal val="0"/>
          <c:showCatName val="0"/>
          <c:showSerName val="0"/>
          <c:showPercent val="0"/>
          <c:showBubbleSize val="0"/>
        </c:dLbls>
        <c:axId val="391580576"/>
        <c:axId val="423083360"/>
      </c:scatterChart>
      <c:valAx>
        <c:axId val="391580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423083360"/>
        <c:crosses val="autoZero"/>
        <c:crossBetween val="midCat"/>
      </c:valAx>
      <c:valAx>
        <c:axId val="42308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t"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P</a:t>
                </a:r>
                <a:r>
                  <a:rPr lang="de-DE" b="1" baseline="-25000">
                    <a:solidFill>
                      <a:sysClr val="windowText" lastClr="000000"/>
                    </a:solidFill>
                  </a:rPr>
                  <a:t>2</a:t>
                </a:r>
                <a:r>
                  <a:rPr lang="de-DE" b="1">
                    <a:solidFill>
                      <a:sysClr val="windowText" lastClr="000000"/>
                    </a:solidFill>
                  </a:rPr>
                  <a:t>O</a:t>
                </a:r>
                <a:r>
                  <a:rPr lang="de-DE" b="1" baseline="-25000">
                    <a:solidFill>
                      <a:sysClr val="windowText" lastClr="000000"/>
                    </a:solidFill>
                  </a:rPr>
                  <a:t>5</a:t>
                </a:r>
              </a:p>
            </c:rich>
          </c:tx>
          <c:layout>
            <c:manualLayout>
              <c:xMode val="edge"/>
              <c:yMode val="edge"/>
              <c:x val="3.0555555555555555E-2"/>
              <c:y val="1.381233595800525E-3"/>
            </c:manualLayout>
          </c:layout>
          <c:overlay val="0"/>
          <c:spPr>
            <a:noFill/>
            <a:ln>
              <a:noFill/>
            </a:ln>
            <a:effectLst/>
          </c:spPr>
          <c:txPr>
            <a:bodyPr rot="0" spcFirstLastPara="1" vertOverflow="ellipsis" wrap="square" anchor="t"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crossAx val="391580576"/>
        <c:crosses val="autoZero"/>
        <c:crossBetween val="midCat"/>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423665791776052E-3"/>
          <c:y val="2.7777777777777776E-2"/>
        </c:manualLayout>
      </c:layout>
      <c:overlay val="0"/>
      <c:txPr>
        <a:bodyPr/>
        <a:lstStyle/>
        <a:p>
          <a:pPr>
            <a:defRPr sz="1200" b="0"/>
          </a:pPr>
          <a:endParaRPr lang="de-DE"/>
        </a:p>
      </c:txPr>
    </c:title>
    <c:autoTitleDeleted val="0"/>
    <c:plotArea>
      <c:layout/>
      <c:scatterChart>
        <c:scatterStyle val="lineMarker"/>
        <c:varyColors val="0"/>
        <c:ser>
          <c:idx val="0"/>
          <c:order val="0"/>
          <c:tx>
            <c:strRef>
              <c:f>'Wi-BrGe'!$C$71</c:f>
              <c:strCache>
                <c:ptCount val="1"/>
                <c:pt idx="0">
                  <c:v>kg N/ha</c:v>
                </c:pt>
              </c:strCache>
            </c:strRef>
          </c:tx>
          <c:spPr>
            <a:ln w="28575">
              <a:noFill/>
            </a:ln>
          </c:spPr>
          <c:trendline>
            <c:trendlineType val="poly"/>
            <c:order val="2"/>
            <c:dispRSqr val="0"/>
            <c:dispEq val="1"/>
            <c:trendlineLbl>
              <c:layout>
                <c:manualLayout>
                  <c:x val="-0.17978674540682416"/>
                  <c:y val="2.3038422280548265E-2"/>
                </c:manualLayout>
              </c:layout>
              <c:numFmt formatCode="#,##0.000000" sourceLinked="0"/>
            </c:trendlineLbl>
          </c:trendline>
          <c:xVal>
            <c:numRef>
              <c:f>'Wi-BrGe'!$B$72:$B$78</c:f>
              <c:numCache>
                <c:formatCode>General</c:formatCode>
                <c:ptCount val="7"/>
                <c:pt idx="0">
                  <c:v>50</c:v>
                </c:pt>
                <c:pt idx="1">
                  <c:v>60</c:v>
                </c:pt>
                <c:pt idx="2">
                  <c:v>70</c:v>
                </c:pt>
                <c:pt idx="3">
                  <c:v>80</c:v>
                </c:pt>
                <c:pt idx="4">
                  <c:v>90</c:v>
                </c:pt>
                <c:pt idx="5">
                  <c:v>100</c:v>
                </c:pt>
                <c:pt idx="6">
                  <c:v>110</c:v>
                </c:pt>
              </c:numCache>
            </c:numRef>
          </c:xVal>
          <c:yVal>
            <c:numRef>
              <c:f>'Wi-BrGe'!$C$72:$C$78</c:f>
              <c:numCache>
                <c:formatCode>General</c:formatCode>
                <c:ptCount val="7"/>
                <c:pt idx="0">
                  <c:v>110</c:v>
                </c:pt>
                <c:pt idx="1">
                  <c:v>124.5</c:v>
                </c:pt>
                <c:pt idx="2">
                  <c:v>138</c:v>
                </c:pt>
                <c:pt idx="3">
                  <c:v>149.5</c:v>
                </c:pt>
                <c:pt idx="4">
                  <c:v>160</c:v>
                </c:pt>
                <c:pt idx="5">
                  <c:v>169.5</c:v>
                </c:pt>
                <c:pt idx="6">
                  <c:v>178</c:v>
                </c:pt>
              </c:numCache>
            </c:numRef>
          </c:yVal>
          <c:smooth val="0"/>
          <c:extLst>
            <c:ext xmlns:c16="http://schemas.microsoft.com/office/drawing/2014/chart" uri="{C3380CC4-5D6E-409C-BE32-E72D297353CC}">
              <c16:uniqueId val="{00000000-461D-4CE4-ABD3-81920E8D0638}"/>
            </c:ext>
          </c:extLst>
        </c:ser>
        <c:dLbls>
          <c:showLegendKey val="0"/>
          <c:showVal val="0"/>
          <c:showCatName val="0"/>
          <c:showSerName val="0"/>
          <c:showPercent val="0"/>
          <c:showBubbleSize val="0"/>
        </c:dLbls>
        <c:axId val="194630248"/>
        <c:axId val="194630640"/>
      </c:scatterChart>
      <c:valAx>
        <c:axId val="194630248"/>
        <c:scaling>
          <c:orientation val="minMax"/>
          <c:min val="30"/>
        </c:scaling>
        <c:delete val="0"/>
        <c:axPos val="b"/>
        <c:numFmt formatCode="General" sourceLinked="1"/>
        <c:majorTickMark val="out"/>
        <c:minorTickMark val="none"/>
        <c:tickLblPos val="nextTo"/>
        <c:crossAx val="194630640"/>
        <c:crosses val="autoZero"/>
        <c:crossBetween val="midCat"/>
      </c:valAx>
      <c:valAx>
        <c:axId val="194630640"/>
        <c:scaling>
          <c:orientation val="minMax"/>
          <c:max val="200"/>
          <c:min val="75"/>
        </c:scaling>
        <c:delete val="0"/>
        <c:axPos val="l"/>
        <c:majorGridlines/>
        <c:numFmt formatCode="General" sourceLinked="1"/>
        <c:majorTickMark val="out"/>
        <c:minorTickMark val="none"/>
        <c:tickLblPos val="nextTo"/>
        <c:crossAx val="194630248"/>
        <c:crosses val="autoZero"/>
        <c:crossBetween val="midCat"/>
        <c:majorUnit val="25"/>
      </c:valAx>
    </c:plotArea>
    <c:plotVisOnly val="1"/>
    <c:dispBlanksAs val="gap"/>
    <c:showDLblsOverMax val="0"/>
  </c:chart>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de-DE"/>
        </a:p>
      </c:txPr>
    </c:title>
    <c:autoTitleDeleted val="0"/>
    <c:plotArea>
      <c:layout/>
      <c:scatterChart>
        <c:scatterStyle val="lineMarker"/>
        <c:varyColors val="0"/>
        <c:ser>
          <c:idx val="0"/>
          <c:order val="0"/>
          <c:tx>
            <c:strRef>
              <c:f>'So-Ge'!$C$68</c:f>
              <c:strCache>
                <c:ptCount val="1"/>
                <c:pt idx="0">
                  <c:v>Ertragsabhängige N-Sollwerte in kg N/ha</c:v>
                </c:pt>
              </c:strCache>
            </c:strRef>
          </c:tx>
          <c:spPr>
            <a:ln w="28575">
              <a:noFill/>
            </a:ln>
          </c:spPr>
          <c:trendline>
            <c:trendlineType val="poly"/>
            <c:order val="2"/>
            <c:dispRSqr val="0"/>
            <c:dispEq val="1"/>
            <c:trendlineLbl>
              <c:layout>
                <c:manualLayout>
                  <c:x val="-0.20912600878161258"/>
                  <c:y val="-4.3277194517352E-2"/>
                </c:manualLayout>
              </c:layout>
              <c:numFmt formatCode="#,##0.000000" sourceLinked="0"/>
            </c:trendlineLbl>
          </c:trendline>
          <c:xVal>
            <c:numRef>
              <c:f>'So-Ge'!$B$69:$B$75</c:f>
              <c:numCache>
                <c:formatCode>General</c:formatCode>
                <c:ptCount val="7"/>
                <c:pt idx="0">
                  <c:v>40</c:v>
                </c:pt>
                <c:pt idx="1">
                  <c:v>50</c:v>
                </c:pt>
                <c:pt idx="2">
                  <c:v>60</c:v>
                </c:pt>
                <c:pt idx="3">
                  <c:v>70</c:v>
                </c:pt>
                <c:pt idx="4">
                  <c:v>80</c:v>
                </c:pt>
                <c:pt idx="5">
                  <c:v>90</c:v>
                </c:pt>
                <c:pt idx="6">
                  <c:v>100</c:v>
                </c:pt>
              </c:numCache>
            </c:numRef>
          </c:xVal>
          <c:yVal>
            <c:numRef>
              <c:f>'So-Ge'!$C$69:$C$75</c:f>
              <c:numCache>
                <c:formatCode>General</c:formatCode>
                <c:ptCount val="7"/>
                <c:pt idx="0">
                  <c:v>110</c:v>
                </c:pt>
                <c:pt idx="1">
                  <c:v>125</c:v>
                </c:pt>
                <c:pt idx="2">
                  <c:v>139</c:v>
                </c:pt>
                <c:pt idx="3">
                  <c:v>151.5</c:v>
                </c:pt>
                <c:pt idx="4">
                  <c:v>162.5</c:v>
                </c:pt>
                <c:pt idx="5">
                  <c:v>172</c:v>
                </c:pt>
                <c:pt idx="6">
                  <c:v>180</c:v>
                </c:pt>
              </c:numCache>
            </c:numRef>
          </c:yVal>
          <c:smooth val="0"/>
          <c:extLst>
            <c:ext xmlns:c16="http://schemas.microsoft.com/office/drawing/2014/chart" uri="{C3380CC4-5D6E-409C-BE32-E72D297353CC}">
              <c16:uniqueId val="{00000000-621D-457F-9857-74F1766908FC}"/>
            </c:ext>
          </c:extLst>
        </c:ser>
        <c:dLbls>
          <c:showLegendKey val="0"/>
          <c:showVal val="0"/>
          <c:showCatName val="0"/>
          <c:showSerName val="0"/>
          <c:showPercent val="0"/>
          <c:showBubbleSize val="0"/>
        </c:dLbls>
        <c:axId val="194632600"/>
        <c:axId val="194632992"/>
      </c:scatterChart>
      <c:valAx>
        <c:axId val="194632600"/>
        <c:scaling>
          <c:orientation val="minMax"/>
          <c:min val="20"/>
        </c:scaling>
        <c:delete val="0"/>
        <c:axPos val="b"/>
        <c:numFmt formatCode="General" sourceLinked="1"/>
        <c:majorTickMark val="out"/>
        <c:minorTickMark val="none"/>
        <c:tickLblPos val="nextTo"/>
        <c:crossAx val="194632992"/>
        <c:crosses val="autoZero"/>
        <c:crossBetween val="midCat"/>
      </c:valAx>
      <c:valAx>
        <c:axId val="194632992"/>
        <c:scaling>
          <c:orientation val="minMax"/>
          <c:max val="200"/>
          <c:min val="75"/>
        </c:scaling>
        <c:delete val="0"/>
        <c:axPos val="l"/>
        <c:majorGridlines/>
        <c:numFmt formatCode="General" sourceLinked="1"/>
        <c:majorTickMark val="out"/>
        <c:minorTickMark val="none"/>
        <c:tickLblPos val="nextTo"/>
        <c:crossAx val="194632600"/>
        <c:crosses val="autoZero"/>
        <c:crossBetween val="midCat"/>
        <c:majorUnit val="25"/>
      </c:valAx>
    </c:plotArea>
    <c:plotVisOnly val="1"/>
    <c:dispBlanksAs val="gap"/>
    <c:showDLblsOverMax val="0"/>
  </c:chart>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857392825896757E-2"/>
          <c:y val="0.14862277631962673"/>
          <c:w val="0.69818740157480319"/>
          <c:h val="0.73539734616506269"/>
        </c:manualLayout>
      </c:layout>
      <c:scatterChart>
        <c:scatterStyle val="lineMarker"/>
        <c:varyColors val="0"/>
        <c:ser>
          <c:idx val="0"/>
          <c:order val="0"/>
          <c:tx>
            <c:strRef>
              <c:f>ZRübe!$C$68</c:f>
              <c:strCache>
                <c:ptCount val="1"/>
                <c:pt idx="0">
                  <c:v>DüV-N-Obergr.</c:v>
                </c:pt>
              </c:strCache>
            </c:strRef>
          </c:tx>
          <c:spPr>
            <a:ln w="28575">
              <a:noFill/>
            </a:ln>
          </c:spPr>
          <c:xVal>
            <c:numRef>
              <c:f>ZRübe!$B$69:$B$74</c:f>
              <c:numCache>
                <c:formatCode>General</c:formatCode>
                <c:ptCount val="6"/>
                <c:pt idx="0">
                  <c:v>450</c:v>
                </c:pt>
                <c:pt idx="1">
                  <c:v>550</c:v>
                </c:pt>
                <c:pt idx="2">
                  <c:v>650</c:v>
                </c:pt>
                <c:pt idx="3">
                  <c:v>750</c:v>
                </c:pt>
                <c:pt idx="4">
                  <c:v>850</c:v>
                </c:pt>
                <c:pt idx="5">
                  <c:v>950</c:v>
                </c:pt>
              </c:numCache>
            </c:numRef>
          </c:xVal>
          <c:yVal>
            <c:numRef>
              <c:f>ZRübe!$C$69:$C$74</c:f>
              <c:numCache>
                <c:formatCode>General</c:formatCode>
                <c:ptCount val="6"/>
                <c:pt idx="0">
                  <c:v>140</c:v>
                </c:pt>
                <c:pt idx="1">
                  <c:v>155</c:v>
                </c:pt>
                <c:pt idx="2">
                  <c:v>170</c:v>
                </c:pt>
                <c:pt idx="3">
                  <c:v>180</c:v>
                </c:pt>
                <c:pt idx="4">
                  <c:v>190</c:v>
                </c:pt>
                <c:pt idx="5">
                  <c:v>200</c:v>
                </c:pt>
              </c:numCache>
            </c:numRef>
          </c:yVal>
          <c:smooth val="0"/>
          <c:extLst>
            <c:ext xmlns:c16="http://schemas.microsoft.com/office/drawing/2014/chart" uri="{C3380CC4-5D6E-409C-BE32-E72D297353CC}">
              <c16:uniqueId val="{00000000-7035-4D98-AA8D-DCD183ACF627}"/>
            </c:ext>
          </c:extLst>
        </c:ser>
        <c:ser>
          <c:idx val="1"/>
          <c:order val="1"/>
          <c:tx>
            <c:strRef>
              <c:f>ZRübe!$G$68</c:f>
              <c:strCache>
                <c:ptCount val="1"/>
                <c:pt idx="0">
                  <c:v>Aufn. * 0,9 in kg N/ha</c:v>
                </c:pt>
              </c:strCache>
            </c:strRef>
          </c:tx>
          <c:spPr>
            <a:ln w="28575">
              <a:noFill/>
            </a:ln>
          </c:spPr>
          <c:trendline>
            <c:trendlineType val="poly"/>
            <c:order val="2"/>
            <c:dispRSqr val="0"/>
            <c:dispEq val="0"/>
          </c:trendline>
          <c:trendline>
            <c:trendlineType val="poly"/>
            <c:order val="2"/>
            <c:dispRSqr val="0"/>
            <c:dispEq val="1"/>
            <c:trendlineLbl>
              <c:layout>
                <c:manualLayout>
                  <c:x val="-0.19902432195975503"/>
                  <c:y val="1.8401866433362497E-3"/>
                </c:manualLayout>
              </c:layout>
              <c:numFmt formatCode="#,##0.000000" sourceLinked="0"/>
            </c:trendlineLbl>
          </c:trendline>
          <c:xVal>
            <c:numRef>
              <c:f>ZRübe!$B$69:$B$74</c:f>
              <c:numCache>
                <c:formatCode>General</c:formatCode>
                <c:ptCount val="6"/>
                <c:pt idx="0">
                  <c:v>450</c:v>
                </c:pt>
                <c:pt idx="1">
                  <c:v>550</c:v>
                </c:pt>
                <c:pt idx="2">
                  <c:v>650</c:v>
                </c:pt>
                <c:pt idx="3">
                  <c:v>750</c:v>
                </c:pt>
                <c:pt idx="4">
                  <c:v>850</c:v>
                </c:pt>
                <c:pt idx="5">
                  <c:v>950</c:v>
                </c:pt>
              </c:numCache>
            </c:numRef>
          </c:xVal>
          <c:yVal>
            <c:numRef>
              <c:f>ZRübe!$G$69:$G$74</c:f>
              <c:numCache>
                <c:formatCode>General</c:formatCode>
                <c:ptCount val="6"/>
                <c:pt idx="0">
                  <c:v>149.85</c:v>
                </c:pt>
                <c:pt idx="1">
                  <c:v>162</c:v>
                </c:pt>
                <c:pt idx="2">
                  <c:v>172.35</c:v>
                </c:pt>
                <c:pt idx="3">
                  <c:v>180.9</c:v>
                </c:pt>
                <c:pt idx="4">
                  <c:v>187.65</c:v>
                </c:pt>
                <c:pt idx="5">
                  <c:v>192.6</c:v>
                </c:pt>
              </c:numCache>
            </c:numRef>
          </c:yVal>
          <c:smooth val="0"/>
          <c:extLst>
            <c:ext xmlns:c16="http://schemas.microsoft.com/office/drawing/2014/chart" uri="{C3380CC4-5D6E-409C-BE32-E72D297353CC}">
              <c16:uniqueId val="{00000001-7035-4D98-AA8D-DCD183ACF627}"/>
            </c:ext>
          </c:extLst>
        </c:ser>
        <c:dLbls>
          <c:showLegendKey val="0"/>
          <c:showVal val="0"/>
          <c:showCatName val="0"/>
          <c:showSerName val="0"/>
          <c:showPercent val="0"/>
          <c:showBubbleSize val="0"/>
        </c:dLbls>
        <c:axId val="394779904"/>
        <c:axId val="394774024"/>
      </c:scatterChart>
      <c:valAx>
        <c:axId val="394779904"/>
        <c:scaling>
          <c:orientation val="minMax"/>
        </c:scaling>
        <c:delete val="0"/>
        <c:axPos val="b"/>
        <c:numFmt formatCode="General" sourceLinked="1"/>
        <c:majorTickMark val="out"/>
        <c:minorTickMark val="none"/>
        <c:tickLblPos val="nextTo"/>
        <c:crossAx val="394774024"/>
        <c:crosses val="autoZero"/>
        <c:crossBetween val="midCat"/>
      </c:valAx>
      <c:valAx>
        <c:axId val="394774024"/>
        <c:scaling>
          <c:orientation val="minMax"/>
          <c:min val="100"/>
        </c:scaling>
        <c:delete val="0"/>
        <c:axPos val="l"/>
        <c:majorGridlines/>
        <c:numFmt formatCode="General" sourceLinked="1"/>
        <c:majorTickMark val="out"/>
        <c:minorTickMark val="none"/>
        <c:tickLblPos val="nextTo"/>
        <c:crossAx val="394779904"/>
        <c:crosses val="autoZero"/>
        <c:crossBetween val="midCat"/>
      </c:valAx>
    </c:plotArea>
    <c:legend>
      <c:legendPos val="r"/>
      <c:legendEntry>
        <c:idx val="2"/>
        <c:delete val="1"/>
      </c:legendEntry>
      <c:legendEntry>
        <c:idx val="3"/>
        <c:delete val="1"/>
      </c:legendEntry>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890419324288359E-2"/>
          <c:y val="0.12165328438943933"/>
          <c:w val="0.7547949141645186"/>
          <c:h val="0.79494296647683882"/>
        </c:manualLayout>
      </c:layout>
      <c:scatterChart>
        <c:scatterStyle val="lineMarker"/>
        <c:varyColors val="0"/>
        <c:ser>
          <c:idx val="0"/>
          <c:order val="0"/>
          <c:tx>
            <c:strRef>
              <c:f>Raps!$C$76</c:f>
              <c:strCache>
                <c:ptCount val="1"/>
                <c:pt idx="0">
                  <c:v>N-Sollwert</c:v>
                </c:pt>
              </c:strCache>
            </c:strRef>
          </c:tx>
          <c:spPr>
            <a:ln w="28575">
              <a:noFill/>
            </a:ln>
          </c:spPr>
          <c:trendline>
            <c:trendlineType val="poly"/>
            <c:order val="2"/>
            <c:dispRSqr val="0"/>
            <c:dispEq val="1"/>
            <c:trendlineLbl>
              <c:layout>
                <c:manualLayout>
                  <c:x val="-7.4297891631493487E-2"/>
                  <c:y val="-5.1985651521019464E-2"/>
                </c:manualLayout>
              </c:layout>
              <c:numFmt formatCode="#,##0.0000" sourceLinked="0"/>
              <c:txPr>
                <a:bodyPr/>
                <a:lstStyle/>
                <a:p>
                  <a:pPr>
                    <a:defRPr b="1">
                      <a:solidFill>
                        <a:srgbClr val="0070C0"/>
                      </a:solidFill>
                    </a:defRPr>
                  </a:pPr>
                  <a:endParaRPr lang="de-DE"/>
                </a:p>
              </c:txPr>
            </c:trendlineLbl>
          </c:trendline>
          <c:xVal>
            <c:numRef>
              <c:f>Raps!$B$77:$B$86</c:f>
              <c:numCache>
                <c:formatCode>General</c:formatCode>
                <c:ptCount val="10"/>
                <c:pt idx="1">
                  <c:v>25</c:v>
                </c:pt>
                <c:pt idx="3">
                  <c:v>35</c:v>
                </c:pt>
                <c:pt idx="5">
                  <c:v>45</c:v>
                </c:pt>
                <c:pt idx="7">
                  <c:v>55</c:v>
                </c:pt>
                <c:pt idx="9">
                  <c:v>65</c:v>
                </c:pt>
              </c:numCache>
            </c:numRef>
          </c:xVal>
          <c:yVal>
            <c:numRef>
              <c:f>Raps!$C$77:$C$86</c:f>
              <c:numCache>
                <c:formatCode>General</c:formatCode>
                <c:ptCount val="10"/>
                <c:pt idx="1">
                  <c:v>153</c:v>
                </c:pt>
                <c:pt idx="3">
                  <c:v>185</c:v>
                </c:pt>
                <c:pt idx="5">
                  <c:v>214</c:v>
                </c:pt>
                <c:pt idx="7">
                  <c:v>234</c:v>
                </c:pt>
                <c:pt idx="9">
                  <c:v>247</c:v>
                </c:pt>
              </c:numCache>
            </c:numRef>
          </c:yVal>
          <c:smooth val="0"/>
          <c:extLst>
            <c:ext xmlns:c16="http://schemas.microsoft.com/office/drawing/2014/chart" uri="{C3380CC4-5D6E-409C-BE32-E72D297353CC}">
              <c16:uniqueId val="{00000000-D3EC-4F18-A35B-23569F44A284}"/>
            </c:ext>
          </c:extLst>
        </c:ser>
        <c:ser>
          <c:idx val="1"/>
          <c:order val="1"/>
          <c:tx>
            <c:strRef>
              <c:f>Raps!$D$76</c:f>
              <c:strCache>
                <c:ptCount val="1"/>
                <c:pt idx="0">
                  <c:v>N-Bed DüV</c:v>
                </c:pt>
              </c:strCache>
            </c:strRef>
          </c:tx>
          <c:spPr>
            <a:ln w="28575">
              <a:noFill/>
            </a:ln>
          </c:spPr>
          <c:xVal>
            <c:numRef>
              <c:f>Raps!$B$77:$B$86</c:f>
              <c:numCache>
                <c:formatCode>General</c:formatCode>
                <c:ptCount val="10"/>
                <c:pt idx="1">
                  <c:v>25</c:v>
                </c:pt>
                <c:pt idx="3">
                  <c:v>35</c:v>
                </c:pt>
                <c:pt idx="5">
                  <c:v>45</c:v>
                </c:pt>
                <c:pt idx="7">
                  <c:v>55</c:v>
                </c:pt>
                <c:pt idx="9">
                  <c:v>65</c:v>
                </c:pt>
              </c:numCache>
            </c:numRef>
          </c:xVal>
          <c:yVal>
            <c:numRef>
              <c:f>Raps!$D$77:$D$86</c:f>
              <c:numCache>
                <c:formatCode>General</c:formatCode>
                <c:ptCount val="10"/>
                <c:pt idx="1">
                  <c:v>155</c:v>
                </c:pt>
                <c:pt idx="3">
                  <c:v>185</c:v>
                </c:pt>
                <c:pt idx="5">
                  <c:v>210</c:v>
                </c:pt>
                <c:pt idx="7">
                  <c:v>230</c:v>
                </c:pt>
                <c:pt idx="9">
                  <c:v>250</c:v>
                </c:pt>
              </c:numCache>
            </c:numRef>
          </c:yVal>
          <c:smooth val="0"/>
          <c:extLst>
            <c:ext xmlns:c16="http://schemas.microsoft.com/office/drawing/2014/chart" uri="{C3380CC4-5D6E-409C-BE32-E72D297353CC}">
              <c16:uniqueId val="{00000001-D3EC-4F18-A35B-23569F44A284}"/>
            </c:ext>
          </c:extLst>
        </c:ser>
        <c:dLbls>
          <c:showLegendKey val="0"/>
          <c:showVal val="0"/>
          <c:showCatName val="0"/>
          <c:showSerName val="0"/>
          <c:showPercent val="0"/>
          <c:showBubbleSize val="0"/>
        </c:dLbls>
        <c:axId val="394779120"/>
        <c:axId val="394780296"/>
      </c:scatterChart>
      <c:valAx>
        <c:axId val="394779120"/>
        <c:scaling>
          <c:orientation val="minMax"/>
        </c:scaling>
        <c:delete val="0"/>
        <c:axPos val="b"/>
        <c:numFmt formatCode="General" sourceLinked="1"/>
        <c:majorTickMark val="out"/>
        <c:minorTickMark val="none"/>
        <c:tickLblPos val="nextTo"/>
        <c:crossAx val="394780296"/>
        <c:crosses val="autoZero"/>
        <c:crossBetween val="midCat"/>
      </c:valAx>
      <c:valAx>
        <c:axId val="394780296"/>
        <c:scaling>
          <c:orientation val="minMax"/>
          <c:max val="275"/>
          <c:min val="100"/>
        </c:scaling>
        <c:delete val="0"/>
        <c:axPos val="l"/>
        <c:majorGridlines/>
        <c:numFmt formatCode="General" sourceLinked="1"/>
        <c:majorTickMark val="out"/>
        <c:minorTickMark val="none"/>
        <c:tickLblPos val="nextTo"/>
        <c:crossAx val="394779120"/>
        <c:crosses val="autoZero"/>
        <c:crossBetween val="midCat"/>
        <c:majorUnit val="25"/>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ertragsabhängige N-Sollwerte</a:t>
            </a:r>
          </a:p>
        </c:rich>
      </c:tx>
      <c:layout>
        <c:manualLayout>
          <c:xMode val="edge"/>
          <c:yMode val="edge"/>
          <c:x val="2.232631860861739E-2"/>
          <c:y val="2.2145330328698313E-2"/>
        </c:manualLayout>
      </c:layout>
      <c:overlay val="0"/>
    </c:title>
    <c:autoTitleDeleted val="0"/>
    <c:plotArea>
      <c:layout>
        <c:manualLayout>
          <c:layoutTarget val="inner"/>
          <c:xMode val="edge"/>
          <c:yMode val="edge"/>
          <c:x val="7.8358361268444893E-2"/>
          <c:y val="0.12826767136329792"/>
          <c:w val="0.83097078785477263"/>
          <c:h val="0.77926947147059522"/>
        </c:manualLayout>
      </c:layout>
      <c:scatterChart>
        <c:scatterStyle val="lineMarker"/>
        <c:varyColors val="0"/>
        <c:ser>
          <c:idx val="1"/>
          <c:order val="0"/>
          <c:tx>
            <c:strRef>
              <c:f>'S-Mais'!$C$70</c:f>
              <c:strCache>
                <c:ptCount val="1"/>
                <c:pt idx="0">
                  <c:v>dt TM*%RP/6,25*1,x+5</c:v>
                </c:pt>
              </c:strCache>
            </c:strRef>
          </c:tx>
          <c:spPr>
            <a:ln w="28575">
              <a:noFill/>
            </a:ln>
          </c:spPr>
          <c:trendline>
            <c:trendlineType val="poly"/>
            <c:order val="2"/>
            <c:dispRSqr val="0"/>
            <c:dispEq val="1"/>
            <c:trendlineLbl>
              <c:layout>
                <c:manualLayout>
                  <c:x val="0.16165310221557058"/>
                  <c:y val="-7.6077377619210643E-2"/>
                </c:manualLayout>
              </c:layout>
              <c:numFmt formatCode="#,##0.00000" sourceLinked="0"/>
              <c:txPr>
                <a:bodyPr/>
                <a:lstStyle/>
                <a:p>
                  <a:pPr>
                    <a:defRPr sz="1200"/>
                  </a:pPr>
                  <a:endParaRPr lang="de-DE"/>
                </a:p>
              </c:txPr>
            </c:trendlineLbl>
          </c:trendline>
          <c:xVal>
            <c:numRef>
              <c:f>'S-Mais'!$B$71:$B$79</c:f>
              <c:numCache>
                <c:formatCode>General</c:formatCode>
                <c:ptCount val="9"/>
                <c:pt idx="0">
                  <c:v>80</c:v>
                </c:pt>
                <c:pt idx="1">
                  <c:v>100</c:v>
                </c:pt>
                <c:pt idx="2">
                  <c:v>120</c:v>
                </c:pt>
                <c:pt idx="3">
                  <c:v>140</c:v>
                </c:pt>
                <c:pt idx="4">
                  <c:v>160</c:v>
                </c:pt>
                <c:pt idx="5">
                  <c:v>180</c:v>
                </c:pt>
                <c:pt idx="6">
                  <c:v>200</c:v>
                </c:pt>
                <c:pt idx="7">
                  <c:v>220</c:v>
                </c:pt>
                <c:pt idx="8">
                  <c:v>240</c:v>
                </c:pt>
              </c:numCache>
            </c:numRef>
          </c:xVal>
          <c:yVal>
            <c:numRef>
              <c:f>'S-Mais'!$C$71:$C$79</c:f>
              <c:numCache>
                <c:formatCode>0</c:formatCode>
                <c:ptCount val="9"/>
                <c:pt idx="0">
                  <c:v>134.024</c:v>
                </c:pt>
                <c:pt idx="1">
                  <c:v>158.22</c:v>
                </c:pt>
                <c:pt idx="2">
                  <c:v>179.43199999999999</c:v>
                </c:pt>
                <c:pt idx="3">
                  <c:v>197.78000000000003</c:v>
                </c:pt>
                <c:pt idx="4">
                  <c:v>213.38400000000001</c:v>
                </c:pt>
                <c:pt idx="5">
                  <c:v>226.36399999999998</c:v>
                </c:pt>
                <c:pt idx="6">
                  <c:v>236.84000000000003</c:v>
                </c:pt>
                <c:pt idx="7">
                  <c:v>244.93199999999999</c:v>
                </c:pt>
                <c:pt idx="8">
                  <c:v>250.76</c:v>
                </c:pt>
              </c:numCache>
            </c:numRef>
          </c:yVal>
          <c:smooth val="0"/>
          <c:extLst>
            <c:ext xmlns:c16="http://schemas.microsoft.com/office/drawing/2014/chart" uri="{C3380CC4-5D6E-409C-BE32-E72D297353CC}">
              <c16:uniqueId val="{00000000-ED34-4F63-A75A-1A67799C594B}"/>
            </c:ext>
          </c:extLst>
        </c:ser>
        <c:ser>
          <c:idx val="0"/>
          <c:order val="1"/>
          <c:tx>
            <c:strRef>
              <c:f>'S-Mais'!$D$70</c:f>
              <c:strCache>
                <c:ptCount val="1"/>
                <c:pt idx="0">
                  <c:v>DüV mit Annahme: 32 % TM</c:v>
                </c:pt>
              </c:strCache>
            </c:strRef>
          </c:tx>
          <c:spPr>
            <a:ln w="28575">
              <a:noFill/>
            </a:ln>
          </c:spPr>
          <c:xVal>
            <c:numRef>
              <c:f>'S-Mais'!$B$71:$B$79</c:f>
              <c:numCache>
                <c:formatCode>General</c:formatCode>
                <c:ptCount val="9"/>
                <c:pt idx="0">
                  <c:v>80</c:v>
                </c:pt>
                <c:pt idx="1">
                  <c:v>100</c:v>
                </c:pt>
                <c:pt idx="2">
                  <c:v>120</c:v>
                </c:pt>
                <c:pt idx="3">
                  <c:v>140</c:v>
                </c:pt>
                <c:pt idx="4">
                  <c:v>160</c:v>
                </c:pt>
                <c:pt idx="5">
                  <c:v>180</c:v>
                </c:pt>
                <c:pt idx="6">
                  <c:v>200</c:v>
                </c:pt>
                <c:pt idx="7">
                  <c:v>220</c:v>
                </c:pt>
                <c:pt idx="8">
                  <c:v>240</c:v>
                </c:pt>
              </c:numCache>
            </c:numRef>
          </c:xVal>
          <c:yVal>
            <c:numRef>
              <c:f>'S-Mais'!$D$71:$D$79</c:f>
              <c:numCache>
                <c:formatCode>General</c:formatCode>
                <c:ptCount val="9"/>
                <c:pt idx="2">
                  <c:v>177</c:v>
                </c:pt>
                <c:pt idx="4">
                  <c:v>210</c:v>
                </c:pt>
                <c:pt idx="6">
                  <c:v>235</c:v>
                </c:pt>
              </c:numCache>
            </c:numRef>
          </c:yVal>
          <c:smooth val="0"/>
          <c:extLst>
            <c:ext xmlns:c16="http://schemas.microsoft.com/office/drawing/2014/chart" uri="{C3380CC4-5D6E-409C-BE32-E72D297353CC}">
              <c16:uniqueId val="{00000001-ED34-4F63-A75A-1A67799C594B}"/>
            </c:ext>
          </c:extLst>
        </c:ser>
        <c:ser>
          <c:idx val="2"/>
          <c:order val="2"/>
          <c:tx>
            <c:strRef>
              <c:f>'S-Mais'!$E$66</c:f>
              <c:strCache>
                <c:ptCount val="1"/>
                <c:pt idx="0">
                  <c:v>DüV mit Annahme: 28 % TM</c:v>
                </c:pt>
              </c:strCache>
            </c:strRef>
          </c:tx>
          <c:spPr>
            <a:ln w="28575">
              <a:noFill/>
            </a:ln>
          </c:spPr>
          <c:xVal>
            <c:numRef>
              <c:f>'S-Mais'!$B$71:$B$79</c:f>
              <c:numCache>
                <c:formatCode>General</c:formatCode>
                <c:ptCount val="9"/>
                <c:pt idx="0">
                  <c:v>80</c:v>
                </c:pt>
                <c:pt idx="1">
                  <c:v>100</c:v>
                </c:pt>
                <c:pt idx="2">
                  <c:v>120</c:v>
                </c:pt>
                <c:pt idx="3">
                  <c:v>140</c:v>
                </c:pt>
                <c:pt idx="4">
                  <c:v>160</c:v>
                </c:pt>
                <c:pt idx="5">
                  <c:v>180</c:v>
                </c:pt>
                <c:pt idx="6">
                  <c:v>200</c:v>
                </c:pt>
                <c:pt idx="7">
                  <c:v>220</c:v>
                </c:pt>
                <c:pt idx="8">
                  <c:v>240</c:v>
                </c:pt>
              </c:numCache>
            </c:numRef>
          </c:xVal>
          <c:yVal>
            <c:numRef>
              <c:f>'S-Mais'!$E$67:$E$75</c:f>
              <c:numCache>
                <c:formatCode>General</c:formatCode>
                <c:ptCount val="9"/>
                <c:pt idx="2">
                  <c:v>194</c:v>
                </c:pt>
                <c:pt idx="4">
                  <c:v>224</c:v>
                </c:pt>
                <c:pt idx="6">
                  <c:v>253</c:v>
                </c:pt>
              </c:numCache>
            </c:numRef>
          </c:yVal>
          <c:smooth val="0"/>
          <c:extLst>
            <c:ext xmlns:c16="http://schemas.microsoft.com/office/drawing/2014/chart" uri="{C3380CC4-5D6E-409C-BE32-E72D297353CC}">
              <c16:uniqueId val="{00000002-ED34-4F63-A75A-1A67799C594B}"/>
            </c:ext>
          </c:extLst>
        </c:ser>
        <c:dLbls>
          <c:showLegendKey val="0"/>
          <c:showVal val="0"/>
          <c:showCatName val="0"/>
          <c:showSerName val="0"/>
          <c:showPercent val="0"/>
          <c:showBubbleSize val="0"/>
        </c:dLbls>
        <c:axId val="394773632"/>
        <c:axId val="394775984"/>
      </c:scatterChart>
      <c:valAx>
        <c:axId val="394773632"/>
        <c:scaling>
          <c:orientation val="minMax"/>
        </c:scaling>
        <c:delete val="0"/>
        <c:axPos val="b"/>
        <c:numFmt formatCode="General" sourceLinked="1"/>
        <c:majorTickMark val="out"/>
        <c:minorTickMark val="none"/>
        <c:tickLblPos val="nextTo"/>
        <c:crossAx val="394775984"/>
        <c:crosses val="autoZero"/>
        <c:crossBetween val="midCat"/>
      </c:valAx>
      <c:valAx>
        <c:axId val="394775984"/>
        <c:scaling>
          <c:orientation val="minMax"/>
          <c:min val="100"/>
        </c:scaling>
        <c:delete val="0"/>
        <c:axPos val="l"/>
        <c:majorGridlines/>
        <c:numFmt formatCode="0" sourceLinked="1"/>
        <c:majorTickMark val="out"/>
        <c:minorTickMark val="none"/>
        <c:tickLblPos val="nextTo"/>
        <c:crossAx val="394773632"/>
        <c:crosses val="autoZero"/>
        <c:crossBetween val="midCat"/>
      </c:valAx>
    </c:plotArea>
    <c:legend>
      <c:legendPos val="r"/>
      <c:legendEntry>
        <c:idx val="3"/>
        <c:delete val="1"/>
      </c:legendEntry>
      <c:layout>
        <c:manualLayout>
          <c:xMode val="edge"/>
          <c:yMode val="edge"/>
          <c:x val="0.65124452551935408"/>
          <c:y val="0.55456440832734166"/>
          <c:w val="0.31133858267716541"/>
          <c:h val="0.27773470126763128"/>
        </c:manualLayout>
      </c:layout>
      <c:overlay val="0"/>
      <c:spPr>
        <a:solidFill>
          <a:schemeClr val="bg1"/>
        </a:solidFill>
      </c:sp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748030137313065E-2"/>
          <c:y val="7.4548702245552628E-2"/>
          <c:w val="0.80122202845449686"/>
          <c:h val="0.8326195683872849"/>
        </c:manualLayout>
      </c:layout>
      <c:scatterChart>
        <c:scatterStyle val="lineMarker"/>
        <c:varyColors val="0"/>
        <c:ser>
          <c:idx val="0"/>
          <c:order val="0"/>
          <c:tx>
            <c:strRef>
              <c:f>Kart!$B$65</c:f>
              <c:strCache>
                <c:ptCount val="1"/>
                <c:pt idx="0">
                  <c:v>DüV-N-Obergr. Kart.</c:v>
                </c:pt>
              </c:strCache>
            </c:strRef>
          </c:tx>
          <c:spPr>
            <a:ln w="28575">
              <a:noFill/>
            </a:ln>
          </c:spPr>
          <c:xVal>
            <c:numRef>
              <c:f>Kart!$A$66:$A$72</c:f>
              <c:numCache>
                <c:formatCode>General</c:formatCode>
                <c:ptCount val="7"/>
                <c:pt idx="1">
                  <c:v>250</c:v>
                </c:pt>
                <c:pt idx="2">
                  <c:v>350</c:v>
                </c:pt>
                <c:pt idx="3">
                  <c:v>450</c:v>
                </c:pt>
                <c:pt idx="4">
                  <c:v>550</c:v>
                </c:pt>
                <c:pt idx="5">
                  <c:v>650</c:v>
                </c:pt>
                <c:pt idx="6">
                  <c:v>750</c:v>
                </c:pt>
              </c:numCache>
            </c:numRef>
          </c:xVal>
          <c:yVal>
            <c:numRef>
              <c:f>Kart!$B$66:$B$72</c:f>
              <c:numCache>
                <c:formatCode>General</c:formatCode>
                <c:ptCount val="7"/>
                <c:pt idx="1">
                  <c:v>140</c:v>
                </c:pt>
                <c:pt idx="2">
                  <c:v>160</c:v>
                </c:pt>
                <c:pt idx="3">
                  <c:v>180</c:v>
                </c:pt>
                <c:pt idx="4">
                  <c:v>200</c:v>
                </c:pt>
                <c:pt idx="5">
                  <c:v>220</c:v>
                </c:pt>
                <c:pt idx="6">
                  <c:v>240</c:v>
                </c:pt>
              </c:numCache>
            </c:numRef>
          </c:yVal>
          <c:smooth val="0"/>
          <c:extLst>
            <c:ext xmlns:c16="http://schemas.microsoft.com/office/drawing/2014/chart" uri="{C3380CC4-5D6E-409C-BE32-E72D297353CC}">
              <c16:uniqueId val="{00000000-D694-48B0-BDC2-DB03909894DD}"/>
            </c:ext>
          </c:extLst>
        </c:ser>
        <c:ser>
          <c:idx val="1"/>
          <c:order val="1"/>
          <c:tx>
            <c:strRef>
              <c:f>Kart!$C$65</c:f>
              <c:strCache>
                <c:ptCount val="1"/>
                <c:pt idx="0">
                  <c:v>Aufn. kg N/ha</c:v>
                </c:pt>
              </c:strCache>
            </c:strRef>
          </c:tx>
          <c:spPr>
            <a:ln w="28575">
              <a:noFill/>
            </a:ln>
          </c:spPr>
          <c:trendline>
            <c:trendlineType val="poly"/>
            <c:order val="2"/>
            <c:dispRSqr val="0"/>
            <c:dispEq val="0"/>
          </c:trendline>
          <c:trendline>
            <c:trendlineType val="poly"/>
            <c:order val="2"/>
            <c:dispRSqr val="0"/>
            <c:dispEq val="1"/>
            <c:trendlineLbl>
              <c:layout>
                <c:manualLayout>
                  <c:x val="-0.12967578389210496"/>
                  <c:y val="0.33664726389538596"/>
                </c:manualLayout>
              </c:layout>
              <c:numFmt formatCode="#,##0.000000" sourceLinked="0"/>
            </c:trendlineLbl>
          </c:trendline>
          <c:xVal>
            <c:numRef>
              <c:f>Kart!$A$66:$A$72</c:f>
              <c:numCache>
                <c:formatCode>General</c:formatCode>
                <c:ptCount val="7"/>
                <c:pt idx="1">
                  <c:v>250</c:v>
                </c:pt>
                <c:pt idx="2">
                  <c:v>350</c:v>
                </c:pt>
                <c:pt idx="3">
                  <c:v>450</c:v>
                </c:pt>
                <c:pt idx="4">
                  <c:v>550</c:v>
                </c:pt>
                <c:pt idx="5">
                  <c:v>650</c:v>
                </c:pt>
                <c:pt idx="6">
                  <c:v>750</c:v>
                </c:pt>
              </c:numCache>
            </c:numRef>
          </c:xVal>
          <c:yVal>
            <c:numRef>
              <c:f>Kart!$C$66:$C$72</c:f>
              <c:numCache>
                <c:formatCode>General</c:formatCode>
                <c:ptCount val="7"/>
                <c:pt idx="1">
                  <c:v>132.5</c:v>
                </c:pt>
                <c:pt idx="2">
                  <c:v>159.25</c:v>
                </c:pt>
                <c:pt idx="3">
                  <c:v>181.25</c:v>
                </c:pt>
                <c:pt idx="4">
                  <c:v>200</c:v>
                </c:pt>
                <c:pt idx="5">
                  <c:v>217.00000000000003</c:v>
                </c:pt>
                <c:pt idx="6">
                  <c:v>233.75</c:v>
                </c:pt>
              </c:numCache>
            </c:numRef>
          </c:yVal>
          <c:smooth val="0"/>
          <c:extLst>
            <c:ext xmlns:c16="http://schemas.microsoft.com/office/drawing/2014/chart" uri="{C3380CC4-5D6E-409C-BE32-E72D297353CC}">
              <c16:uniqueId val="{00000001-D694-48B0-BDC2-DB03909894DD}"/>
            </c:ext>
          </c:extLst>
        </c:ser>
        <c:ser>
          <c:idx val="2"/>
          <c:order val="2"/>
          <c:tx>
            <c:strRef>
              <c:f>Kart!$D$65</c:f>
              <c:strCache>
                <c:ptCount val="1"/>
              </c:strCache>
            </c:strRef>
          </c:tx>
          <c:spPr>
            <a:ln w="28575">
              <a:noFill/>
            </a:ln>
          </c:spPr>
          <c:xVal>
            <c:numRef>
              <c:f>Kart!$A$66:$A$72</c:f>
              <c:numCache>
                <c:formatCode>General</c:formatCode>
                <c:ptCount val="7"/>
                <c:pt idx="1">
                  <c:v>250</c:v>
                </c:pt>
                <c:pt idx="2">
                  <c:v>350</c:v>
                </c:pt>
                <c:pt idx="3">
                  <c:v>450</c:v>
                </c:pt>
                <c:pt idx="4">
                  <c:v>550</c:v>
                </c:pt>
                <c:pt idx="5">
                  <c:v>650</c:v>
                </c:pt>
                <c:pt idx="6">
                  <c:v>750</c:v>
                </c:pt>
              </c:numCache>
            </c:numRef>
          </c:xVal>
          <c:yVal>
            <c:numRef>
              <c:f>Kart!$D$66:$D$72</c:f>
              <c:numCache>
                <c:formatCode>General</c:formatCode>
                <c:ptCount val="7"/>
              </c:numCache>
            </c:numRef>
          </c:yVal>
          <c:smooth val="0"/>
          <c:extLst>
            <c:ext xmlns:c16="http://schemas.microsoft.com/office/drawing/2014/chart" uri="{C3380CC4-5D6E-409C-BE32-E72D297353CC}">
              <c16:uniqueId val="{00000002-D694-48B0-BDC2-DB03909894DD}"/>
            </c:ext>
          </c:extLst>
        </c:ser>
        <c:ser>
          <c:idx val="3"/>
          <c:order val="3"/>
          <c:tx>
            <c:strRef>
              <c:f>Kart!$E$65</c:f>
              <c:strCache>
                <c:ptCount val="1"/>
              </c:strCache>
            </c:strRef>
          </c:tx>
          <c:spPr>
            <a:ln w="28575">
              <a:noFill/>
            </a:ln>
          </c:spPr>
          <c:trendline>
            <c:trendlineType val="poly"/>
            <c:order val="2"/>
            <c:dispRSqr val="0"/>
            <c:dispEq val="1"/>
            <c:trendlineLbl>
              <c:layout>
                <c:manualLayout>
                  <c:x val="-0.39023126730919427"/>
                  <c:y val="0.14210501537096154"/>
                </c:manualLayout>
              </c:layout>
              <c:numFmt formatCode="#,##0.000000" sourceLinked="0"/>
            </c:trendlineLbl>
          </c:trendline>
          <c:xVal>
            <c:numRef>
              <c:f>Kart!$A$66:$A$72</c:f>
              <c:numCache>
                <c:formatCode>General</c:formatCode>
                <c:ptCount val="7"/>
                <c:pt idx="1">
                  <c:v>250</c:v>
                </c:pt>
                <c:pt idx="2">
                  <c:v>350</c:v>
                </c:pt>
                <c:pt idx="3">
                  <c:v>450</c:v>
                </c:pt>
                <c:pt idx="4">
                  <c:v>550</c:v>
                </c:pt>
                <c:pt idx="5">
                  <c:v>650</c:v>
                </c:pt>
                <c:pt idx="6">
                  <c:v>750</c:v>
                </c:pt>
              </c:numCache>
            </c:numRef>
          </c:xVal>
          <c:yVal>
            <c:numRef>
              <c:f>Kart!$E$66:$E$72</c:f>
              <c:numCache>
                <c:formatCode>0</c:formatCode>
                <c:ptCount val="7"/>
              </c:numCache>
            </c:numRef>
          </c:yVal>
          <c:smooth val="0"/>
          <c:extLst>
            <c:ext xmlns:c16="http://schemas.microsoft.com/office/drawing/2014/chart" uri="{C3380CC4-5D6E-409C-BE32-E72D297353CC}">
              <c16:uniqueId val="{00000003-D694-48B0-BDC2-DB03909894DD}"/>
            </c:ext>
          </c:extLst>
        </c:ser>
        <c:dLbls>
          <c:showLegendKey val="0"/>
          <c:showVal val="0"/>
          <c:showCatName val="0"/>
          <c:showSerName val="0"/>
          <c:showPercent val="0"/>
          <c:showBubbleSize val="0"/>
        </c:dLbls>
        <c:axId val="396293504"/>
        <c:axId val="396292328"/>
      </c:scatterChart>
      <c:valAx>
        <c:axId val="396293504"/>
        <c:scaling>
          <c:orientation val="minMax"/>
        </c:scaling>
        <c:delete val="0"/>
        <c:axPos val="b"/>
        <c:numFmt formatCode="General" sourceLinked="1"/>
        <c:majorTickMark val="out"/>
        <c:minorTickMark val="none"/>
        <c:tickLblPos val="nextTo"/>
        <c:crossAx val="396292328"/>
        <c:crosses val="autoZero"/>
        <c:crossBetween val="midCat"/>
      </c:valAx>
      <c:valAx>
        <c:axId val="396292328"/>
        <c:scaling>
          <c:orientation val="minMax"/>
        </c:scaling>
        <c:delete val="0"/>
        <c:axPos val="l"/>
        <c:majorGridlines/>
        <c:numFmt formatCode="General" sourceLinked="1"/>
        <c:majorTickMark val="out"/>
        <c:minorTickMark val="none"/>
        <c:tickLblPos val="nextTo"/>
        <c:crossAx val="396293504"/>
        <c:crosses val="autoZero"/>
        <c:crossBetween val="midCat"/>
      </c:valAx>
    </c:plotArea>
    <c:legend>
      <c:legendPos val="r"/>
      <c:legendEntry>
        <c:idx val="0"/>
        <c:txPr>
          <a:bodyPr/>
          <a:lstStyle/>
          <a:p>
            <a:pPr>
              <a:defRPr b="1"/>
            </a:pPr>
            <a:endParaRPr lang="de-DE"/>
          </a:p>
        </c:txPr>
      </c:legendEntry>
      <c:legendEntry>
        <c:idx val="1"/>
        <c:txPr>
          <a:bodyPr/>
          <a:lstStyle/>
          <a:p>
            <a:pPr>
              <a:defRPr b="1"/>
            </a:pPr>
            <a:endParaRPr lang="de-DE"/>
          </a:p>
        </c:txPr>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3549748732031872"/>
          <c:y val="3.1586683241328047E-3"/>
          <c:w val="0.40423541085655923"/>
          <c:h val="0.28551957589702343"/>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kg N/ha Obergr. DüV</c:v>
          </c:tx>
          <c:spPr>
            <a:ln w="28575" cap="rnd">
              <a:noFill/>
              <a:round/>
            </a:ln>
            <a:effectLst/>
          </c:spPr>
          <c:marker>
            <c:symbol val="circle"/>
            <c:size val="5"/>
            <c:spPr>
              <a:solidFill>
                <a:schemeClr val="accent1"/>
              </a:solidFill>
              <a:ln w="9525">
                <a:solidFill>
                  <a:schemeClr val="accent1"/>
                </a:solidFill>
              </a:ln>
              <a:effectLst/>
            </c:spPr>
          </c:marker>
          <c:xVal>
            <c:numRef>
              <c:f>FrühKart!$A$65:$A$69</c:f>
              <c:numCache>
                <c:formatCode>General</c:formatCode>
                <c:ptCount val="5"/>
                <c:pt idx="0">
                  <c:v>150</c:v>
                </c:pt>
                <c:pt idx="1">
                  <c:v>250</c:v>
                </c:pt>
                <c:pt idx="2">
                  <c:v>350</c:v>
                </c:pt>
                <c:pt idx="3">
                  <c:v>450</c:v>
                </c:pt>
                <c:pt idx="4">
                  <c:v>550</c:v>
                </c:pt>
              </c:numCache>
            </c:numRef>
          </c:xVal>
          <c:yVal>
            <c:numRef>
              <c:f>FrühKart!$B$65:$B$69</c:f>
              <c:numCache>
                <c:formatCode>General</c:formatCode>
                <c:ptCount val="5"/>
                <c:pt idx="0">
                  <c:v>170</c:v>
                </c:pt>
                <c:pt idx="1">
                  <c:v>190</c:v>
                </c:pt>
                <c:pt idx="2">
                  <c:v>210</c:v>
                </c:pt>
                <c:pt idx="3">
                  <c:v>230</c:v>
                </c:pt>
                <c:pt idx="4">
                  <c:v>250</c:v>
                </c:pt>
              </c:numCache>
            </c:numRef>
          </c:yVal>
          <c:smooth val="0"/>
          <c:extLst>
            <c:ext xmlns:c16="http://schemas.microsoft.com/office/drawing/2014/chart" uri="{C3380CC4-5D6E-409C-BE32-E72D297353CC}">
              <c16:uniqueId val="{00000000-3039-46A2-BE62-A1B02CA50182}"/>
            </c:ext>
          </c:extLst>
        </c:ser>
        <c:ser>
          <c:idx val="1"/>
          <c:order val="1"/>
          <c:tx>
            <c:v>Kg N/ha Sollw.</c:v>
          </c:tx>
          <c:spPr>
            <a:ln w="28575"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4784733158355207"/>
                  <c:y val="-4.6319626713327504E-2"/>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FrühKart!$A$65:$A$69</c:f>
              <c:numCache>
                <c:formatCode>General</c:formatCode>
                <c:ptCount val="5"/>
                <c:pt idx="0">
                  <c:v>150</c:v>
                </c:pt>
                <c:pt idx="1">
                  <c:v>250</c:v>
                </c:pt>
                <c:pt idx="2">
                  <c:v>350</c:v>
                </c:pt>
                <c:pt idx="3">
                  <c:v>450</c:v>
                </c:pt>
                <c:pt idx="4">
                  <c:v>550</c:v>
                </c:pt>
              </c:numCache>
            </c:numRef>
          </c:xVal>
          <c:yVal>
            <c:numRef>
              <c:f>FrühKart!$C$65:$C$69</c:f>
              <c:numCache>
                <c:formatCode>0</c:formatCode>
                <c:ptCount val="5"/>
                <c:pt idx="0">
                  <c:v>161.75</c:v>
                </c:pt>
                <c:pt idx="1">
                  <c:v>191</c:v>
                </c:pt>
                <c:pt idx="2">
                  <c:v>212.75</c:v>
                </c:pt>
                <c:pt idx="3">
                  <c:v>230</c:v>
                </c:pt>
                <c:pt idx="4">
                  <c:v>245.75</c:v>
                </c:pt>
              </c:numCache>
            </c:numRef>
          </c:yVal>
          <c:smooth val="0"/>
          <c:extLst>
            <c:ext xmlns:c16="http://schemas.microsoft.com/office/drawing/2014/chart" uri="{C3380CC4-5D6E-409C-BE32-E72D297353CC}">
              <c16:uniqueId val="{00000001-3039-46A2-BE62-A1B02CA50182}"/>
            </c:ext>
          </c:extLst>
        </c:ser>
        <c:dLbls>
          <c:showLegendKey val="0"/>
          <c:showVal val="0"/>
          <c:showCatName val="0"/>
          <c:showSerName val="0"/>
          <c:showPercent val="0"/>
          <c:showBubbleSize val="0"/>
        </c:dLbls>
        <c:axId val="396295072"/>
        <c:axId val="396296640"/>
      </c:scatterChart>
      <c:valAx>
        <c:axId val="396295072"/>
        <c:scaling>
          <c:orientation val="minMax"/>
          <c:max val="55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296640"/>
        <c:crosses val="autoZero"/>
        <c:crossBetween val="midCat"/>
      </c:valAx>
      <c:valAx>
        <c:axId val="396296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295072"/>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kg N/ha in Abhängigkeit von der Ackerzahl</a:t>
            </a:r>
          </a:p>
        </c:rich>
      </c:tx>
      <c:layout>
        <c:manualLayout>
          <c:xMode val="edge"/>
          <c:yMode val="edge"/>
          <c:x val="2.3437445319335067E-2"/>
          <c:y val="2.7777777777777776E-2"/>
        </c:manualLayout>
      </c:layout>
      <c:overlay val="0"/>
    </c:title>
    <c:autoTitleDeleted val="0"/>
    <c:plotArea>
      <c:layout/>
      <c:scatterChart>
        <c:scatterStyle val="lineMarker"/>
        <c:varyColors val="0"/>
        <c:ser>
          <c:idx val="0"/>
          <c:order val="0"/>
          <c:tx>
            <c:strRef>
              <c:f>Funktionen!$C$5</c:f>
              <c:strCache>
                <c:ptCount val="1"/>
                <c:pt idx="0">
                  <c:v>kg N/ha</c:v>
                </c:pt>
              </c:strCache>
            </c:strRef>
          </c:tx>
          <c:spPr>
            <a:ln w="28575">
              <a:noFill/>
            </a:ln>
          </c:spPr>
          <c:trendline>
            <c:trendlineType val="poly"/>
            <c:order val="2"/>
            <c:dispRSqr val="1"/>
            <c:dispEq val="1"/>
            <c:trendlineLbl>
              <c:layout>
                <c:manualLayout>
                  <c:x val="0.20079068241469816"/>
                  <c:y val="-0.15163203557888597"/>
                </c:manualLayout>
              </c:layout>
              <c:numFmt formatCode="General" sourceLinked="0"/>
              <c:txPr>
                <a:bodyPr/>
                <a:lstStyle/>
                <a:p>
                  <a:pPr>
                    <a:defRPr sz="1400" b="1"/>
                  </a:pPr>
                  <a:endParaRPr lang="de-DE"/>
                </a:p>
              </c:txPr>
            </c:trendlineLbl>
          </c:trendline>
          <c:xVal>
            <c:numRef>
              <c:f>Funktionen!$B$6:$B$10</c:f>
              <c:numCache>
                <c:formatCode>General</c:formatCode>
                <c:ptCount val="5"/>
                <c:pt idx="0">
                  <c:v>20</c:v>
                </c:pt>
                <c:pt idx="1">
                  <c:v>40</c:v>
                </c:pt>
                <c:pt idx="2">
                  <c:v>60</c:v>
                </c:pt>
                <c:pt idx="3">
                  <c:v>80</c:v>
                </c:pt>
                <c:pt idx="4">
                  <c:v>100</c:v>
                </c:pt>
              </c:numCache>
            </c:numRef>
          </c:xVal>
          <c:yVal>
            <c:numRef>
              <c:f>Funktionen!$C$6:$C$10</c:f>
              <c:numCache>
                <c:formatCode>General</c:formatCode>
                <c:ptCount val="5"/>
                <c:pt idx="0">
                  <c:v>-12</c:v>
                </c:pt>
                <c:pt idx="1">
                  <c:v>0</c:v>
                </c:pt>
                <c:pt idx="2">
                  <c:v>10</c:v>
                </c:pt>
                <c:pt idx="3">
                  <c:v>18</c:v>
                </c:pt>
                <c:pt idx="4">
                  <c:v>24</c:v>
                </c:pt>
              </c:numCache>
            </c:numRef>
          </c:yVal>
          <c:smooth val="0"/>
          <c:extLst>
            <c:ext xmlns:c16="http://schemas.microsoft.com/office/drawing/2014/chart" uri="{C3380CC4-5D6E-409C-BE32-E72D297353CC}">
              <c16:uniqueId val="{00000000-F771-4987-B3C6-C4A9E0683147}"/>
            </c:ext>
          </c:extLst>
        </c:ser>
        <c:ser>
          <c:idx val="1"/>
          <c:order val="1"/>
          <c:tx>
            <c:strRef>
              <c:f>Funktionen!$D$5</c:f>
              <c:strCache>
                <c:ptCount val="1"/>
              </c:strCache>
            </c:strRef>
          </c:tx>
          <c:spPr>
            <a:ln w="28575">
              <a:noFill/>
            </a:ln>
          </c:spPr>
          <c:trendline>
            <c:trendlineType val="poly"/>
            <c:order val="2"/>
            <c:dispRSqr val="0"/>
            <c:dispEq val="1"/>
            <c:trendlineLbl>
              <c:layout>
                <c:manualLayout>
                  <c:x val="2.8097730721512917E-2"/>
                  <c:y val="0.18344012898233317"/>
                </c:manualLayout>
              </c:layout>
              <c:numFmt formatCode="General" sourceLinked="0"/>
            </c:trendlineLbl>
          </c:trendline>
          <c:xVal>
            <c:numRef>
              <c:f>Funktionen!$B$6:$B$10</c:f>
              <c:numCache>
                <c:formatCode>General</c:formatCode>
                <c:ptCount val="5"/>
                <c:pt idx="0">
                  <c:v>20</c:v>
                </c:pt>
                <c:pt idx="1">
                  <c:v>40</c:v>
                </c:pt>
                <c:pt idx="2">
                  <c:v>60</c:v>
                </c:pt>
                <c:pt idx="3">
                  <c:v>80</c:v>
                </c:pt>
                <c:pt idx="4">
                  <c:v>100</c:v>
                </c:pt>
              </c:numCache>
            </c:numRef>
          </c:xVal>
          <c:yVal>
            <c:numRef>
              <c:f>Funktionen!$D$6:$D$10</c:f>
              <c:numCache>
                <c:formatCode>General</c:formatCode>
                <c:ptCount val="5"/>
              </c:numCache>
            </c:numRef>
          </c:yVal>
          <c:smooth val="0"/>
          <c:extLst>
            <c:ext xmlns:c16="http://schemas.microsoft.com/office/drawing/2014/chart" uri="{C3380CC4-5D6E-409C-BE32-E72D297353CC}">
              <c16:uniqueId val="{00000001-F771-4987-B3C6-C4A9E0683147}"/>
            </c:ext>
          </c:extLst>
        </c:ser>
        <c:dLbls>
          <c:showLegendKey val="0"/>
          <c:showVal val="0"/>
          <c:showCatName val="0"/>
          <c:showSerName val="0"/>
          <c:showPercent val="0"/>
          <c:showBubbleSize val="0"/>
        </c:dLbls>
        <c:axId val="391171648"/>
        <c:axId val="391174392"/>
      </c:scatterChart>
      <c:valAx>
        <c:axId val="391171648"/>
        <c:scaling>
          <c:orientation val="minMax"/>
          <c:max val="100"/>
        </c:scaling>
        <c:delete val="0"/>
        <c:axPos val="b"/>
        <c:numFmt formatCode="General" sourceLinked="1"/>
        <c:majorTickMark val="out"/>
        <c:minorTickMark val="none"/>
        <c:tickLblPos val="nextTo"/>
        <c:txPr>
          <a:bodyPr/>
          <a:lstStyle/>
          <a:p>
            <a:pPr>
              <a:defRPr>
                <a:solidFill>
                  <a:sysClr val="windowText" lastClr="000000"/>
                </a:solidFill>
              </a:defRPr>
            </a:pPr>
            <a:endParaRPr lang="de-DE"/>
          </a:p>
        </c:txPr>
        <c:crossAx val="391174392"/>
        <c:crosses val="autoZero"/>
        <c:crossBetween val="midCat"/>
      </c:valAx>
      <c:valAx>
        <c:axId val="391174392"/>
        <c:scaling>
          <c:orientation val="minMax"/>
        </c:scaling>
        <c:delete val="0"/>
        <c:axPos val="l"/>
        <c:majorGridlines/>
        <c:numFmt formatCode="General" sourceLinked="1"/>
        <c:majorTickMark val="out"/>
        <c:minorTickMark val="none"/>
        <c:tickLblPos val="nextTo"/>
        <c:txPr>
          <a:bodyPr/>
          <a:lstStyle/>
          <a:p>
            <a:pPr>
              <a:defRPr>
                <a:solidFill>
                  <a:sysClr val="windowText" lastClr="000000"/>
                </a:solidFill>
              </a:defRPr>
            </a:pPr>
            <a:endParaRPr lang="de-DE"/>
          </a:p>
        </c:txPr>
        <c:crossAx val="391171648"/>
        <c:crosses val="autoZero"/>
        <c:crossBetween val="midCat"/>
      </c:valAx>
    </c:plotArea>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8</xdr:col>
      <xdr:colOff>74970</xdr:colOff>
      <xdr:row>0</xdr:row>
      <xdr:rowOff>28575</xdr:rowOff>
    </xdr:from>
    <xdr:to>
      <xdr:col>10</xdr:col>
      <xdr:colOff>555513</xdr:colOff>
      <xdr:row>4</xdr:row>
      <xdr:rowOff>68867</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0970" y="28575"/>
          <a:ext cx="2242668" cy="850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723901</xdr:colOff>
      <xdr:row>74</xdr:row>
      <xdr:rowOff>123824</xdr:rowOff>
    </xdr:from>
    <xdr:to>
      <xdr:col>6</xdr:col>
      <xdr:colOff>1190626</xdr:colOff>
      <xdr:row>90</xdr:row>
      <xdr:rowOff>171449</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0.79833</cdr:x>
      <cdr:y>0.85069</cdr:y>
    </cdr:from>
    <cdr:to>
      <cdr:x>0.91333</cdr:x>
      <cdr:y>0.95486</cdr:y>
    </cdr:to>
    <cdr:sp macro="" textlink="">
      <cdr:nvSpPr>
        <cdr:cNvPr id="2" name="Textfeld 1"/>
        <cdr:cNvSpPr txBox="1"/>
      </cdr:nvSpPr>
      <cdr:spPr>
        <a:xfrm xmlns:a="http://schemas.openxmlformats.org/drawingml/2006/main">
          <a:off x="4562474" y="2333625"/>
          <a:ext cx="6572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dt/ha</a:t>
          </a:r>
        </a:p>
        <a:p xmlns:a="http://schemas.openxmlformats.org/drawingml/2006/main">
          <a:endParaRPr lang="de-DE" sz="1100"/>
        </a:p>
      </cdr:txBody>
    </cdr:sp>
  </cdr:relSizeAnchor>
  <cdr:relSizeAnchor xmlns:cdr="http://schemas.openxmlformats.org/drawingml/2006/chartDrawing">
    <cdr:from>
      <cdr:x>0.00889</cdr:x>
      <cdr:y>0.01852</cdr:y>
    </cdr:from>
    <cdr:to>
      <cdr:x>0.13333</cdr:x>
      <cdr:y>0.11806</cdr:y>
    </cdr:to>
    <cdr:sp macro="" textlink="">
      <cdr:nvSpPr>
        <cdr:cNvPr id="3" name="Textfeld 1"/>
        <cdr:cNvSpPr txBox="1"/>
      </cdr:nvSpPr>
      <cdr:spPr>
        <a:xfrm xmlns:a="http://schemas.openxmlformats.org/drawingml/2006/main">
          <a:off x="50801" y="50800"/>
          <a:ext cx="711200" cy="2730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2382308</xdr:colOff>
      <xdr:row>87</xdr:row>
      <xdr:rowOff>5292</xdr:rowOff>
    </xdr:from>
    <xdr:to>
      <xdr:col>4</xdr:col>
      <xdr:colOff>21167</xdr:colOff>
      <xdr:row>103</xdr:row>
      <xdr:rowOff>10584</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0.88199</cdr:x>
      <cdr:y>0.91649</cdr:y>
    </cdr:from>
    <cdr:to>
      <cdr:x>0.98259</cdr:x>
      <cdr:y>0.9862</cdr:y>
    </cdr:to>
    <cdr:sp macro="" textlink="">
      <cdr:nvSpPr>
        <cdr:cNvPr id="2" name="Textfeld 1"/>
        <cdr:cNvSpPr txBox="1"/>
      </cdr:nvSpPr>
      <cdr:spPr>
        <a:xfrm xmlns:a="http://schemas.openxmlformats.org/drawingml/2006/main">
          <a:off x="4824942" y="3339042"/>
          <a:ext cx="550334"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dt/ha</a:t>
          </a:r>
        </a:p>
        <a:p xmlns:a="http://schemas.openxmlformats.org/drawingml/2006/main">
          <a:endParaRPr lang="de-DE" sz="1100"/>
        </a:p>
      </cdr:txBody>
    </cdr:sp>
  </cdr:relSizeAnchor>
  <cdr:relSizeAnchor xmlns:cdr="http://schemas.openxmlformats.org/drawingml/2006/chartDrawing">
    <cdr:from>
      <cdr:x>0.00335</cdr:x>
      <cdr:y>0.00347</cdr:y>
    </cdr:from>
    <cdr:to>
      <cdr:x>0.13578</cdr:x>
      <cdr:y>0.10295</cdr:y>
    </cdr:to>
    <cdr:sp macro="" textlink="">
      <cdr:nvSpPr>
        <cdr:cNvPr id="4" name="Textfeld 1"/>
        <cdr:cNvSpPr txBox="1"/>
      </cdr:nvSpPr>
      <cdr:spPr>
        <a:xfrm xmlns:a="http://schemas.openxmlformats.org/drawingml/2006/main">
          <a:off x="19050" y="10584"/>
          <a:ext cx="752475" cy="3037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1</xdr:colOff>
      <xdr:row>79</xdr:row>
      <xdr:rowOff>138112</xdr:rowOff>
    </xdr:from>
    <xdr:to>
      <xdr:col>4</xdr:col>
      <xdr:colOff>933451</xdr:colOff>
      <xdr:row>97</xdr:row>
      <xdr:rowOff>150018</xdr:rowOff>
    </xdr:to>
    <xdr:graphicFrame macro="">
      <xdr:nvGraphicFramePr>
        <xdr:cNvPr id="2" name="Diagram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0.80275</cdr:x>
      <cdr:y>0.90588</cdr:y>
    </cdr:from>
    <cdr:to>
      <cdr:x>1</cdr:x>
      <cdr:y>1</cdr:y>
    </cdr:to>
    <cdr:sp macro="" textlink="">
      <cdr:nvSpPr>
        <cdr:cNvPr id="2" name="Textfeld 1"/>
        <cdr:cNvSpPr txBox="1"/>
      </cdr:nvSpPr>
      <cdr:spPr>
        <a:xfrm xmlns:a="http://schemas.openxmlformats.org/drawingml/2006/main">
          <a:off x="4031455" y="3117056"/>
          <a:ext cx="990600" cy="323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de-DE" sz="1100"/>
            <a:t>dt TM/ha</a:t>
          </a:r>
        </a:p>
        <a:p xmlns:a="http://schemas.openxmlformats.org/drawingml/2006/main">
          <a:endParaRPr lang="de-DE" sz="1100"/>
        </a:p>
      </cdr:txBody>
    </cdr:sp>
  </cdr:relSizeAnchor>
</c:userShapes>
</file>

<file path=xl/drawings/drawing16.xml><?xml version="1.0" encoding="utf-8"?>
<xdr:wsDr xmlns:xdr="http://schemas.openxmlformats.org/drawingml/2006/spreadsheetDrawing" xmlns:a="http://schemas.openxmlformats.org/drawingml/2006/main">
  <xdr:twoCellAnchor>
    <xdr:from>
      <xdr:col>1</xdr:col>
      <xdr:colOff>145595</xdr:colOff>
      <xdr:row>73</xdr:row>
      <xdr:rowOff>34016</xdr:rowOff>
    </xdr:from>
    <xdr:to>
      <xdr:col>3</xdr:col>
      <xdr:colOff>1047750</xdr:colOff>
      <xdr:row>88</xdr:row>
      <xdr:rowOff>171449</xdr:rowOff>
    </xdr:to>
    <xdr:graphicFrame macro="">
      <xdr:nvGraphicFramePr>
        <xdr:cNvPr id="2" name="Diagram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0.88555</cdr:x>
      <cdr:y>0.81746</cdr:y>
    </cdr:from>
    <cdr:to>
      <cdr:x>0.99631</cdr:x>
      <cdr:y>0.94593</cdr:y>
    </cdr:to>
    <cdr:sp macro="" textlink="">
      <cdr:nvSpPr>
        <cdr:cNvPr id="2" name="Textfeld 1"/>
        <cdr:cNvSpPr txBox="1"/>
      </cdr:nvSpPr>
      <cdr:spPr>
        <a:xfrm xmlns:a="http://schemas.openxmlformats.org/drawingml/2006/main">
          <a:off x="4569280" y="2448239"/>
          <a:ext cx="571500" cy="3847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dt/ha</a:t>
          </a:r>
        </a:p>
        <a:p xmlns:a="http://schemas.openxmlformats.org/drawingml/2006/main">
          <a:endParaRPr lang="de-DE" sz="1100"/>
        </a:p>
      </cdr:txBody>
    </cdr:sp>
  </cdr:relSizeAnchor>
  <cdr:relSizeAnchor xmlns:cdr="http://schemas.openxmlformats.org/drawingml/2006/chartDrawing">
    <cdr:from>
      <cdr:x>0.00985</cdr:x>
      <cdr:y>0.01696</cdr:y>
    </cdr:from>
    <cdr:to>
      <cdr:x>0.13792</cdr:x>
      <cdr:y>0.10314</cdr:y>
    </cdr:to>
    <cdr:sp macro="" textlink="">
      <cdr:nvSpPr>
        <cdr:cNvPr id="4" name="Textfeld 1"/>
        <cdr:cNvSpPr txBox="1"/>
      </cdr:nvSpPr>
      <cdr:spPr>
        <a:xfrm xmlns:a="http://schemas.openxmlformats.org/drawingml/2006/main">
          <a:off x="50799" y="50801"/>
          <a:ext cx="660856" cy="25808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1962150</xdr:colOff>
      <xdr:row>70</xdr:row>
      <xdr:rowOff>90486</xdr:rowOff>
    </xdr:from>
    <xdr:to>
      <xdr:col>3</xdr:col>
      <xdr:colOff>590550</xdr:colOff>
      <xdr:row>87</xdr:row>
      <xdr:rowOff>76199</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0.84375</cdr:x>
      <cdr:y>0.8559</cdr:y>
    </cdr:from>
    <cdr:to>
      <cdr:x>0.9625</cdr:x>
      <cdr:y>0.93924</cdr:y>
    </cdr:to>
    <cdr:sp macro="" textlink="">
      <cdr:nvSpPr>
        <cdr:cNvPr id="2" name="Textfeld 1"/>
        <cdr:cNvSpPr txBox="1"/>
      </cdr:nvSpPr>
      <cdr:spPr>
        <a:xfrm xmlns:a="http://schemas.openxmlformats.org/drawingml/2006/main">
          <a:off x="3857625" y="2347913"/>
          <a:ext cx="5429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dt/ha</a:t>
          </a:r>
        </a:p>
        <a:p xmlns:a="http://schemas.openxmlformats.org/drawingml/2006/main">
          <a:endParaRPr lang="de-DE" sz="1100"/>
        </a:p>
      </cdr:txBody>
    </cdr:sp>
  </cdr:relSizeAnchor>
  <cdr:relSizeAnchor xmlns:cdr="http://schemas.openxmlformats.org/drawingml/2006/chartDrawing">
    <cdr:from>
      <cdr:x>0</cdr:x>
      <cdr:y>0</cdr:y>
    </cdr:from>
    <cdr:to>
      <cdr:x>0.14792</cdr:x>
      <cdr:y>0.1059</cdr:y>
    </cdr:to>
    <cdr:sp macro="" textlink="">
      <cdr:nvSpPr>
        <cdr:cNvPr id="4" name="Textfeld 1"/>
        <cdr:cNvSpPr txBox="1"/>
      </cdr:nvSpPr>
      <cdr:spPr>
        <a:xfrm xmlns:a="http://schemas.openxmlformats.org/drawingml/2006/main">
          <a:off x="0" y="0"/>
          <a:ext cx="676275" cy="29051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drawings/drawing2.xml><?xml version="1.0" encoding="utf-8"?>
<xdr:wsDr xmlns:xdr="http://schemas.openxmlformats.org/drawingml/2006/spreadsheetDrawing" xmlns:a="http://schemas.openxmlformats.org/drawingml/2006/main">
  <xdr:oneCellAnchor>
    <xdr:from>
      <xdr:col>5</xdr:col>
      <xdr:colOff>85725</xdr:colOff>
      <xdr:row>56</xdr:row>
      <xdr:rowOff>50961</xdr:rowOff>
    </xdr:from>
    <xdr:ext cx="7846210" cy="4399594"/>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743450" y="11423811"/>
          <a:ext cx="7846210" cy="4399594"/>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421669</xdr:colOff>
      <xdr:row>12</xdr:row>
      <xdr:rowOff>111126</xdr:rowOff>
    </xdr:from>
    <xdr:to>
      <xdr:col>4</xdr:col>
      <xdr:colOff>606574</xdr:colOff>
      <xdr:row>27</xdr:row>
      <xdr:rowOff>10433</xdr:rowOff>
    </xdr:to>
    <xdr:graphicFrame macro="">
      <xdr:nvGraphicFramePr>
        <xdr:cNvPr id="2" name="Diagramm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264584</xdr:colOff>
      <xdr:row>12</xdr:row>
      <xdr:rowOff>51858</xdr:rowOff>
    </xdr:from>
    <xdr:to>
      <xdr:col>13</xdr:col>
      <xdr:colOff>264584</xdr:colOff>
      <xdr:row>26</xdr:row>
      <xdr:rowOff>85724</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333375</xdr:colOff>
      <xdr:row>56</xdr:row>
      <xdr:rowOff>70011</xdr:rowOff>
    </xdr:from>
    <xdr:ext cx="7846210" cy="4399594"/>
    <xdr:pic>
      <xdr:nvPicPr>
        <xdr:cNvPr id="2" name="Grafik 1">
          <a:extLst>
            <a:ext uri="{FF2B5EF4-FFF2-40B4-BE49-F238E27FC236}">
              <a16:creationId xmlns:a16="http://schemas.microsoft.com/office/drawing/2014/main" id="{D472C0A5-74B1-4F5A-8820-12CC9B1C999C}"/>
            </a:ext>
          </a:extLst>
        </xdr:cNvPr>
        <xdr:cNvPicPr>
          <a:picLocks noChangeAspect="1"/>
        </xdr:cNvPicPr>
      </xdr:nvPicPr>
      <xdr:blipFill>
        <a:blip xmlns:r="http://schemas.openxmlformats.org/officeDocument/2006/relationships" r:embed="rId1"/>
        <a:stretch>
          <a:fillRect/>
        </a:stretch>
      </xdr:blipFill>
      <xdr:spPr>
        <a:xfrm>
          <a:off x="4600575" y="11814336"/>
          <a:ext cx="7846210" cy="43995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1100667</xdr:colOff>
      <xdr:row>102</xdr:row>
      <xdr:rowOff>13759</xdr:rowOff>
    </xdr:from>
    <xdr:to>
      <xdr:col>3</xdr:col>
      <xdr:colOff>1672166</xdr:colOff>
      <xdr:row>116</xdr:row>
      <xdr:rowOff>89959</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0.90138</cdr:x>
      <cdr:y>0.90548</cdr:y>
    </cdr:from>
    <cdr:to>
      <cdr:x>0.99771</cdr:x>
      <cdr:y>0.97106</cdr:y>
    </cdr:to>
    <cdr:sp macro="" textlink="">
      <cdr:nvSpPr>
        <cdr:cNvPr id="2" name="Textfeld 1"/>
        <cdr:cNvSpPr txBox="1"/>
      </cdr:nvSpPr>
      <cdr:spPr>
        <a:xfrm xmlns:a="http://schemas.openxmlformats.org/drawingml/2006/main">
          <a:off x="4159251" y="2483908"/>
          <a:ext cx="444498" cy="1799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dt/ha</a:t>
          </a:r>
        </a:p>
      </cdr:txBody>
    </cdr:sp>
  </cdr:relSizeAnchor>
  <cdr:relSizeAnchor xmlns:cdr="http://schemas.openxmlformats.org/drawingml/2006/chartDrawing">
    <cdr:from>
      <cdr:x>0.06204</cdr:x>
      <cdr:y>0.01466</cdr:y>
    </cdr:from>
    <cdr:to>
      <cdr:x>0.15837</cdr:x>
      <cdr:y>0.08024</cdr:y>
    </cdr:to>
    <cdr:sp macro="" textlink="">
      <cdr:nvSpPr>
        <cdr:cNvPr id="3" name="Textfeld 1"/>
        <cdr:cNvSpPr txBox="1"/>
      </cdr:nvSpPr>
      <cdr:spPr>
        <a:xfrm xmlns:a="http://schemas.openxmlformats.org/drawingml/2006/main">
          <a:off x="283633" y="40216"/>
          <a:ext cx="440421" cy="1798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161925</xdr:colOff>
      <xdr:row>91</xdr:row>
      <xdr:rowOff>66675</xdr:rowOff>
    </xdr:from>
    <xdr:to>
      <xdr:col>3</xdr:col>
      <xdr:colOff>666750</xdr:colOff>
      <xdr:row>92</xdr:row>
      <xdr:rowOff>152400</xdr:rowOff>
    </xdr:to>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7086600" y="24412575"/>
          <a:ext cx="504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dt/ha</a:t>
          </a:r>
        </a:p>
        <a:p>
          <a:endParaRPr lang="de-DE" sz="1100"/>
        </a:p>
      </xdr:txBody>
    </xdr:sp>
    <xdr:clientData/>
  </xdr:twoCellAnchor>
  <xdr:twoCellAnchor>
    <xdr:from>
      <xdr:col>1</xdr:col>
      <xdr:colOff>31750</xdr:colOff>
      <xdr:row>78</xdr:row>
      <xdr:rowOff>67734</xdr:rowOff>
    </xdr:from>
    <xdr:to>
      <xdr:col>3</xdr:col>
      <xdr:colOff>232833</xdr:colOff>
      <xdr:row>92</xdr:row>
      <xdr:rowOff>143934</xdr:rowOff>
    </xdr:to>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0.84491</cdr:x>
      <cdr:y>0.86265</cdr:y>
    </cdr:from>
    <cdr:to>
      <cdr:x>1</cdr:x>
      <cdr:y>0.96296</cdr:y>
    </cdr:to>
    <cdr:sp macro="" textlink="">
      <cdr:nvSpPr>
        <cdr:cNvPr id="2" name="Textfeld 1"/>
        <cdr:cNvSpPr txBox="1"/>
      </cdr:nvSpPr>
      <cdr:spPr>
        <a:xfrm xmlns:a="http://schemas.openxmlformats.org/drawingml/2006/main">
          <a:off x="3862916" y="2366433"/>
          <a:ext cx="709084" cy="2751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dt/ha</a:t>
          </a:r>
        </a:p>
        <a:p xmlns:a="http://schemas.openxmlformats.org/drawingml/2006/main">
          <a:endParaRPr lang="de-DE"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2324100</xdr:colOff>
      <xdr:row>76</xdr:row>
      <xdr:rowOff>104775</xdr:rowOff>
    </xdr:from>
    <xdr:to>
      <xdr:col>3</xdr:col>
      <xdr:colOff>781050</xdr:colOff>
      <xdr:row>90</xdr:row>
      <xdr:rowOff>180975</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161925</xdr:colOff>
      <xdr:row>88</xdr:row>
      <xdr:rowOff>66675</xdr:rowOff>
    </xdr:from>
    <xdr:to>
      <xdr:col>3</xdr:col>
      <xdr:colOff>666750</xdr:colOff>
      <xdr:row>89</xdr:row>
      <xdr:rowOff>152400</xdr:rowOff>
    </xdr:to>
    <xdr:sp macro="" textlink="">
      <xdr:nvSpPr>
        <xdr:cNvPr id="3" name="Textfeld 2">
          <a:extLst>
            <a:ext uri="{FF2B5EF4-FFF2-40B4-BE49-F238E27FC236}">
              <a16:creationId xmlns:a16="http://schemas.microsoft.com/office/drawing/2014/main" id="{00000000-0008-0000-1300-000003000000}"/>
            </a:ext>
          </a:extLst>
        </xdr:cNvPr>
        <xdr:cNvSpPr txBox="1"/>
      </xdr:nvSpPr>
      <xdr:spPr>
        <a:xfrm>
          <a:off x="7486650" y="22659975"/>
          <a:ext cx="504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a:t>dt/ha</a:t>
          </a:r>
        </a:p>
        <a:p>
          <a:endParaRPr lang="de-DE" sz="11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0.01111</cdr:x>
      <cdr:y>0.01852</cdr:y>
    </cdr:from>
    <cdr:to>
      <cdr:x>0.10744</cdr:x>
      <cdr:y>0.0841</cdr:y>
    </cdr:to>
    <cdr:sp macro="" textlink="">
      <cdr:nvSpPr>
        <cdr:cNvPr id="2" name="Textfeld 1"/>
        <cdr:cNvSpPr txBox="1"/>
      </cdr:nvSpPr>
      <cdr:spPr>
        <a:xfrm xmlns:a="http://schemas.openxmlformats.org/drawingml/2006/main">
          <a:off x="50800" y="50800"/>
          <a:ext cx="440421" cy="17989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kg N/ha</a:t>
          </a:r>
        </a:p>
        <a:p xmlns:a="http://schemas.openxmlformats.org/drawingml/2006/main">
          <a:endParaRPr lang="de-DE"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fritsch\AppData\Local\Temp\notes88D30A\NV-SSB-RLP%20Vers.%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nführung"/>
      <sheetName val="Betrieb"/>
      <sheetName val="Tierhaltung"/>
      <sheetName val="Grobfutter"/>
      <sheetName val="Pflanzenbau"/>
      <sheetName val="Organ. Dünger"/>
      <sheetName val="Mineraldünger"/>
      <sheetName val="Biogasanlage"/>
      <sheetName val="Futtermittel Saatgut"/>
      <sheetName val="Tiere"/>
      <sheetName val="tier. Produkte"/>
      <sheetName val="Ausdruck Nährstoffvergleich"/>
      <sheetName val="Ausdruck Stoffstrombilanz"/>
      <sheetName val="Daten Tierhaltung"/>
      <sheetName val="Daten Düngemittel"/>
      <sheetName val="Daten Biogasanlage"/>
      <sheetName val="Daten Ernteprodukte"/>
      <sheetName val="Daten Gemüse Arznei Gewürz"/>
      <sheetName val="Daten Grobfutter"/>
      <sheetName val="Daten Futtermittel Saatgut"/>
      <sheetName val="Daten Tiere"/>
      <sheetName val="DüV Grünland"/>
      <sheetName val="Schema NV"/>
      <sheetName val="Schema SSB"/>
      <sheetName val="Tabel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B7" t="str">
            <v>leer</v>
          </cell>
        </row>
        <row r="8">
          <cell r="B8" t="str">
            <v>Rinderaufz. GL konv. 0 - 27 Monate bP</v>
          </cell>
        </row>
        <row r="9">
          <cell r="B9" t="str">
            <v>Rinderaufz. GL ext. 0 - 27 Monate bP</v>
          </cell>
        </row>
        <row r="10">
          <cell r="B10" t="str">
            <v>Rinderaufz. AL Weide 0 - 27 Monate bP</v>
          </cell>
        </row>
        <row r="11">
          <cell r="B11" t="str">
            <v>Rinderaufz. AL Stall 0 - 27 Monate bP</v>
          </cell>
        </row>
        <row r="12">
          <cell r="B12" t="str">
            <v xml:space="preserve">Milchkuh GL mit Weide </v>
          </cell>
        </row>
        <row r="13">
          <cell r="B13" t="str">
            <v>Milchkuh GL ohne Weide , mit Heu</v>
          </cell>
        </row>
        <row r="14">
          <cell r="B14" t="str">
            <v>Milchkuh AL mit Weide</v>
          </cell>
        </row>
        <row r="15">
          <cell r="B15" t="str">
            <v>Milchkuh AL ohne Weide, mit Heu</v>
          </cell>
        </row>
        <row r="16">
          <cell r="B16" t="str">
            <v>Milchkuh leichte Rasse</v>
          </cell>
        </row>
        <row r="17">
          <cell r="B17" t="str">
            <v>Kälberaufz. 16 Wochen bP</v>
          </cell>
        </row>
        <row r="18">
          <cell r="B18" t="str">
            <v>Rosa-Kalbfleisch 50 - 350 kg bP</v>
          </cell>
        </row>
        <row r="19">
          <cell r="B19" t="str">
            <v>Kälbermast 50  - 250 kg bP</v>
          </cell>
        </row>
        <row r="20">
          <cell r="B20" t="str">
            <v>Kälbermast 50 - 260 kg bP</v>
          </cell>
        </row>
        <row r="21">
          <cell r="B21" t="str">
            <v>Fresseraufz. 80 - 210 kg U-Futter bP</v>
          </cell>
        </row>
        <row r="22">
          <cell r="B22" t="str">
            <v>Fresseraufz. 80 - 210 kg N-/P-red. bP</v>
          </cell>
        </row>
        <row r="23">
          <cell r="B23" t="str">
            <v>Bullenmast 45 - 675 kg bP</v>
          </cell>
        </row>
        <row r="24">
          <cell r="B24" t="str">
            <v>Bullenmast 45 -750 kg bP</v>
          </cell>
        </row>
        <row r="25">
          <cell r="B25" t="str">
            <v>Bullenmast 80 - 750 kg bP</v>
          </cell>
        </row>
        <row r="26">
          <cell r="B26" t="str">
            <v>Bullenmast 210 - 750 kg bP</v>
          </cell>
        </row>
        <row r="27">
          <cell r="B27" t="str">
            <v>Mutterkuh 500 kg 6 Monate Säugez. bP</v>
          </cell>
        </row>
        <row r="28">
          <cell r="B28" t="str">
            <v>Mutterkuh 700 kg 6 Monate Säugez. bP</v>
          </cell>
        </row>
        <row r="29">
          <cell r="B29" t="str">
            <v>Mutterkuh 700 kg 9 Monate Säugez. bP</v>
          </cell>
        </row>
        <row r="30">
          <cell r="B30" t="str">
            <v>Sau + 22 Ferkel 8 kg U-Futter bP</v>
          </cell>
        </row>
        <row r="31">
          <cell r="B31" t="str">
            <v>Sau + 22 Ferkel 8 kg N-P-red. bP</v>
          </cell>
        </row>
        <row r="32">
          <cell r="B32" t="str">
            <v>Sau + 22 Ferkel 8 kg stark N-P-red. bP</v>
          </cell>
        </row>
        <row r="33">
          <cell r="B33" t="str">
            <v>Sau + 25 Ferkel 8 kg U-Futter bP</v>
          </cell>
        </row>
        <row r="34">
          <cell r="B34" t="str">
            <v>Sau + 25 Ferkel 8 kg N-P-red. bP</v>
          </cell>
        </row>
        <row r="35">
          <cell r="B35" t="str">
            <v>Sau + 25 Ferkel 8 kg stark N-P-red. bP</v>
          </cell>
        </row>
        <row r="36">
          <cell r="B36" t="str">
            <v>Sau + 28 Ferkel 8 kg U-Futter bP</v>
          </cell>
        </row>
        <row r="37">
          <cell r="B37" t="str">
            <v>Sau + 28 Ferkel 8 kg N-P-red. bP</v>
          </cell>
        </row>
        <row r="38">
          <cell r="B38" t="str">
            <v>Sau + 28 Ferkel 8 kg stark N-P-red. bP</v>
          </cell>
        </row>
        <row r="39">
          <cell r="B39" t="str">
            <v>Sau + 22 Ferkel 28 kg U-Futter bP</v>
          </cell>
        </row>
        <row r="40">
          <cell r="B40" t="str">
            <v>Sau + 22 Ferkel 28 kg N-P-red. bP</v>
          </cell>
        </row>
        <row r="41">
          <cell r="B41" t="str">
            <v>Sau + 22 Ferkel 28 kg stark N-P-red. bP</v>
          </cell>
        </row>
        <row r="42">
          <cell r="B42" t="str">
            <v>Sau + 25 Ferkel 28 kg U-Futter bP</v>
          </cell>
        </row>
        <row r="43">
          <cell r="B43" t="str">
            <v>Sau + 25 Ferkel 28 kg N-P-red. bP</v>
          </cell>
        </row>
        <row r="44">
          <cell r="B44" t="str">
            <v>Sau + 25 Ferkel 28 kg stark N-P-red. bP</v>
          </cell>
        </row>
        <row r="45">
          <cell r="B45" t="str">
            <v>Sau + 28 Ferkel 28 kg U-Futter bP</v>
          </cell>
        </row>
        <row r="46">
          <cell r="B46" t="str">
            <v>Sau + 28 Ferkel 28 kg N-P-red. bP</v>
          </cell>
        </row>
        <row r="47">
          <cell r="B47" t="str">
            <v>Sau + 28 Ferkel 28 kg stark N-P-red. bP</v>
          </cell>
        </row>
        <row r="48">
          <cell r="B48" t="str">
            <v>Spez. Ferkelaufz. 7 Durchg. U-Futter bP</v>
          </cell>
        </row>
        <row r="49">
          <cell r="B49" t="str">
            <v>Spez. Ferkelaufz. 7 Durchg. N-P-red. bP</v>
          </cell>
        </row>
        <row r="50">
          <cell r="B50" t="str">
            <v>Spez. Ferkelaufz. 7 Durchg. stark N-P-red. bP</v>
          </cell>
        </row>
        <row r="51">
          <cell r="B51" t="str">
            <v>Spezl. Ferkelaufz. 8 Durchg. U-Futter bP</v>
          </cell>
        </row>
        <row r="52">
          <cell r="B52" t="str">
            <v>Spez. Ferkelaufz. 8 Durchg. N-P-red. bP</v>
          </cell>
        </row>
        <row r="53">
          <cell r="B53" t="str">
            <v>Spez. Ferkelaufz. 8 Durchg. stark N-P-red. bP</v>
          </cell>
        </row>
        <row r="54">
          <cell r="B54" t="str">
            <v>Jungsauenaufz. 28 - 115 kg U-Futter bP</v>
          </cell>
        </row>
        <row r="55">
          <cell r="B55" t="str">
            <v>Jungsauenaufz. 28 - 115 kg N-P-red. bP</v>
          </cell>
        </row>
        <row r="56">
          <cell r="B56" t="str">
            <v>Jungsaueneingl. 95 - 135 kg U-Futter bP</v>
          </cell>
        </row>
        <row r="57">
          <cell r="B57" t="str">
            <v>Jungsaueneingl. 95 -135 kg N-P-red. bP</v>
          </cell>
        </row>
        <row r="58">
          <cell r="B58" t="str">
            <v>Mastschwein U-Futter bP</v>
          </cell>
        </row>
        <row r="59">
          <cell r="B59" t="str">
            <v>Mastschwein N-P-red. bP</v>
          </cell>
        </row>
        <row r="60">
          <cell r="B60" t="str">
            <v>Mastschwein stark N-P-red. bP</v>
          </cell>
        </row>
        <row r="61">
          <cell r="B61" t="str">
            <v>Jungebermast 2,7 Durchg. U-Futter bP</v>
          </cell>
        </row>
        <row r="62">
          <cell r="B62" t="str">
            <v>Jungebermast 2,7 Durchg. N-P-red. bP</v>
          </cell>
        </row>
        <row r="63">
          <cell r="B63" t="str">
            <v>Eberhaltung bP</v>
          </cell>
        </row>
        <row r="64">
          <cell r="B64" t="str">
            <v>Junghennenaufz. 3,5 kg Zuw. U-Futter bP</v>
          </cell>
        </row>
        <row r="65">
          <cell r="B65" t="str">
            <v>Junghennenaufz. 3,5 kg Zuw. N-P-red. bP</v>
          </cell>
        </row>
        <row r="66">
          <cell r="B66" t="str">
            <v>Legehennenhalt. 17,6 kg Eimasse U-Futter bP</v>
          </cell>
        </row>
        <row r="67">
          <cell r="B67" t="str">
            <v>Legehennenhalt. 17,6 kg Eimasse N-P-red. bP</v>
          </cell>
        </row>
        <row r="68">
          <cell r="B68" t="str">
            <v>Hähnchenmast 39 Tage U-Futter bP</v>
          </cell>
        </row>
        <row r="69">
          <cell r="B69" t="str">
            <v>Hähnchenmast 39 Tage N-P-red. bP</v>
          </cell>
        </row>
        <row r="70">
          <cell r="B70" t="str">
            <v xml:space="preserve">Hähnchenmast 34 - 38 Tage U-Futter bP </v>
          </cell>
        </row>
        <row r="71">
          <cell r="B71" t="str">
            <v>Hähnchenmast 34 - 38 Tage N-P-red. bP</v>
          </cell>
        </row>
        <row r="72">
          <cell r="B72" t="str">
            <v>Hähnchenmast 30 - 33 Tage U-Futter bP</v>
          </cell>
        </row>
        <row r="73">
          <cell r="B73" t="str">
            <v>Hähnchenmast 30 - 33 Tage N-P-red. bP</v>
          </cell>
        </row>
        <row r="74">
          <cell r="B74" t="str">
            <v>Hähnchenmast bis 29 Tage U-Futter bP</v>
          </cell>
        </row>
        <row r="75">
          <cell r="B75" t="str">
            <v>Hähnchenmast bis 29 Tage N-P-red. bP</v>
          </cell>
        </row>
        <row r="76">
          <cell r="B76" t="str">
            <v>Putenmast Hahn 21 Wochen U.Futter eT</v>
          </cell>
        </row>
        <row r="77">
          <cell r="B77" t="str">
            <v>Putenmast Hahn 21 Wochen N-P-red.  eT</v>
          </cell>
        </row>
        <row r="78">
          <cell r="B78" t="str">
            <v>Putenmast Henne 16 Wochen U-Futter  eT</v>
          </cell>
        </row>
        <row r="79">
          <cell r="B79" t="str">
            <v>Putenmast Henne 16 Wochen N-P-red.  eT</v>
          </cell>
        </row>
        <row r="80">
          <cell r="B80" t="str">
            <v>Putenmast Hahn 6. - 21. Woche U-Futter  eT</v>
          </cell>
        </row>
        <row r="81">
          <cell r="B81" t="str">
            <v xml:space="preserve">Putenmast Hahn 6. - 21. Woche N-P-red.  eT </v>
          </cell>
        </row>
        <row r="82">
          <cell r="B82" t="str">
            <v>Putenmast Henne 6. - 16. Woche U-Futter  eT</v>
          </cell>
        </row>
        <row r="83">
          <cell r="B83" t="str">
            <v>Putenmast Henne 6. - 16. Woche N-P-red.  eT</v>
          </cell>
        </row>
        <row r="84">
          <cell r="B84" t="str">
            <v>Putenmast gem. geschlechtl. U-Futter  eT</v>
          </cell>
        </row>
        <row r="85">
          <cell r="B85" t="str">
            <v>Putenmast gem. geschlechtl. N-P-red.  eT</v>
          </cell>
        </row>
        <row r="86">
          <cell r="B86" t="str">
            <v>Putenaufz. bis 5. Woche U-Futter  eT</v>
          </cell>
        </row>
        <row r="87">
          <cell r="B87" t="str">
            <v>Pekingenten 6,5 Durchg. bP</v>
          </cell>
        </row>
        <row r="88">
          <cell r="B88" t="str">
            <v>Flugenten 4 Durchg. bP</v>
          </cell>
        </row>
        <row r="89">
          <cell r="B89" t="str">
            <v>Gänse Schnellmast  eT</v>
          </cell>
        </row>
        <row r="90">
          <cell r="B90" t="str">
            <v>Gänse Mittelmast  eT</v>
          </cell>
        </row>
        <row r="91">
          <cell r="B91" t="str">
            <v>Gänse Spät-/Weidemast  eT</v>
          </cell>
        </row>
        <row r="92">
          <cell r="B92" t="str">
            <v>Reitpferde 500 - 600 kg Stall bP</v>
          </cell>
        </row>
        <row r="93">
          <cell r="B93" t="str">
            <v>Reitpferde 500 - 600 kg Stall/Weide bP</v>
          </cell>
        </row>
        <row r="94">
          <cell r="B94" t="str">
            <v>Reitponys 300 kg Stall bP</v>
          </cell>
        </row>
        <row r="95">
          <cell r="B95" t="str">
            <v>Reitponys 300 kg Stall/Weide bP</v>
          </cell>
        </row>
        <row r="96">
          <cell r="B96" t="str">
            <v>Zuchtstuten Großpferd 600 kg bP</v>
          </cell>
        </row>
        <row r="97">
          <cell r="B97" t="str">
            <v>Zuchtstuten Pony 350 kg bP</v>
          </cell>
        </row>
        <row r="98">
          <cell r="B98" t="str">
            <v>Aufzuchtpferde Großpferd bP</v>
          </cell>
        </row>
        <row r="99">
          <cell r="B99" t="str">
            <v>Aufzuchtpferde Pony bP</v>
          </cell>
        </row>
        <row r="100">
          <cell r="B100" t="str">
            <v>Kaninchen + 52 Jungtiere bis 0,6 kg bP</v>
          </cell>
        </row>
        <row r="101">
          <cell r="B101" t="str">
            <v>Kaninchen + 52 Jungtiere bis 3 kg bP</v>
          </cell>
        </row>
        <row r="102">
          <cell r="B102" t="str">
            <v>Kaninchenmast 0,6 - 3 kg bP</v>
          </cell>
        </row>
        <row r="103">
          <cell r="B103" t="str">
            <v>Mutterschaf + 1,5 Lämmer/Schaf konv. bP</v>
          </cell>
        </row>
        <row r="104">
          <cell r="B104" t="str">
            <v>Mutterschaf + 1,1 Lämmer/Schaf ext. bP</v>
          </cell>
        </row>
        <row r="105">
          <cell r="B105" t="str">
            <v>Milchziege 800 kg + 1,5 Lämmer/Jahr bP</v>
          </cell>
        </row>
        <row r="106">
          <cell r="B106" t="str">
            <v>Damtiere + 0,85 Kalb/Jahr) bP</v>
          </cell>
        </row>
        <row r="107">
          <cell r="B107" t="str">
            <v>eigene Angaben</v>
          </cell>
        </row>
        <row r="108">
          <cell r="B108" t="str">
            <v>eigene Angaben</v>
          </cell>
        </row>
      </sheetData>
      <sheetData sheetId="14" refreshError="1">
        <row r="5">
          <cell r="B5" t="str">
            <v>leer</v>
          </cell>
        </row>
        <row r="6">
          <cell r="B6" t="str">
            <v>Standard-Rindergülle 7,5 % TM</v>
          </cell>
        </row>
        <row r="7">
          <cell r="B7" t="str">
            <v>eigene Rindergülle 7,5 % TM</v>
          </cell>
        </row>
        <row r="8">
          <cell r="B8" t="str">
            <v>Standard-Rindermist 25 % TM</v>
          </cell>
        </row>
        <row r="9">
          <cell r="B9" t="str">
            <v>eigener Rindermist 25 % TM</v>
          </cell>
        </row>
        <row r="10">
          <cell r="B10" t="str">
            <v>Standard-Rinderjauche 2 % TM</v>
          </cell>
        </row>
        <row r="11">
          <cell r="B11" t="str">
            <v>eigene Rinderjauche 2 % TM</v>
          </cell>
        </row>
        <row r="12">
          <cell r="B12" t="str">
            <v>Standard-Schweinegülle 5 % TM</v>
          </cell>
        </row>
        <row r="13">
          <cell r="B13" t="str">
            <v>eigene Schweinegülle 5 % TM</v>
          </cell>
        </row>
        <row r="14">
          <cell r="B14" t="str">
            <v>Standard-Schweinemist 25 % TM</v>
          </cell>
        </row>
        <row r="15">
          <cell r="B15" t="str">
            <v>eigener Schweinemist 25 % TM</v>
          </cell>
        </row>
        <row r="16">
          <cell r="B16" t="str">
            <v>Standard-HTK 40 % TM</v>
          </cell>
        </row>
        <row r="17">
          <cell r="B17" t="str">
            <v>Standard-HTK 55 % TM</v>
          </cell>
        </row>
        <row r="18">
          <cell r="B18" t="str">
            <v>Standard-HTK 70 % TM</v>
          </cell>
        </row>
        <row r="19">
          <cell r="B19" t="str">
            <v>eigener HTK 70 % TM</v>
          </cell>
        </row>
        <row r="20">
          <cell r="B20" t="str">
            <v>Standard-Geflügelmist 50 % TM</v>
          </cell>
        </row>
        <row r="21">
          <cell r="B21" t="str">
            <v>eigener Geflügelmist 50 % TM</v>
          </cell>
        </row>
        <row r="22">
          <cell r="B22" t="str">
            <v>Schafmist 30 % TM</v>
          </cell>
        </row>
        <row r="23">
          <cell r="B23" t="str">
            <v>Standard-Pferdemist 30 % TM</v>
          </cell>
        </row>
        <row r="24">
          <cell r="B24" t="str">
            <v>eigener Pferdemist 30 % TM</v>
          </cell>
        </row>
        <row r="25">
          <cell r="B25" t="str">
            <v>Standard-Klärschlamm 3,5 % TM</v>
          </cell>
        </row>
        <row r="26">
          <cell r="B26" t="str">
            <v>eigener Klärschlamm 1, 3,5 % TM</v>
          </cell>
        </row>
        <row r="27">
          <cell r="B27" t="str">
            <v>eigener Klärschlamm 2, 3,5 % TM</v>
          </cell>
        </row>
        <row r="28">
          <cell r="B28" t="str">
            <v>Haarmehlpellets 94 % TM</v>
          </cell>
        </row>
        <row r="29">
          <cell r="B29" t="str">
            <v>Hornspäne 88 % TM</v>
          </cell>
        </row>
        <row r="30">
          <cell r="B30" t="str">
            <v>Fleischknochenmehl 92 % TM</v>
          </cell>
        </row>
        <row r="31">
          <cell r="B31" t="str">
            <v>Kartoffelschlempe 5 %TM</v>
          </cell>
        </row>
        <row r="32">
          <cell r="B32" t="str">
            <v>Maltaflor 93 % TM</v>
          </cell>
        </row>
        <row r="33">
          <cell r="B33" t="str">
            <v>Ackerbohnenschrot 88 % TM</v>
          </cell>
        </row>
        <row r="34">
          <cell r="B34" t="str">
            <v>Rapsextraktionsschrot</v>
          </cell>
        </row>
        <row r="35">
          <cell r="B35" t="str">
            <v>Vinasse 66 % TM</v>
          </cell>
        </row>
        <row r="36">
          <cell r="B36" t="str">
            <v>Trester frisch 40 % TM, 1 m³ = 5 dt</v>
          </cell>
        </row>
        <row r="37">
          <cell r="B37" t="str">
            <v>Trester kompostiert 40 % TM</v>
          </cell>
        </row>
        <row r="38">
          <cell r="B38" t="str">
            <v>Mosttrub flüssig (1 hl = 1 dt)</v>
          </cell>
        </row>
        <row r="39">
          <cell r="B39" t="str">
            <v>Weinhefe flüssig 20 % TM (1 hl = 1 dt)</v>
          </cell>
        </row>
        <row r="40">
          <cell r="B40" t="str">
            <v>Weinhefe filtriert 40 % TM (1 hl = 0,7 dt)</v>
          </cell>
        </row>
        <row r="41">
          <cell r="B41" t="str">
            <v>Rebholz (ca 25 - 50 dt/ha)</v>
          </cell>
        </row>
        <row r="42">
          <cell r="B42" t="str">
            <v>Wirtschaftsdünger 1 (eigene Angaben)</v>
          </cell>
        </row>
        <row r="43">
          <cell r="B43" t="str">
            <v>Wirtschaftsdünger 2 (eigene Angaben)</v>
          </cell>
        </row>
        <row r="44">
          <cell r="B44" t="str">
            <v>Wirtschaftsdünger 3 (eigene Angaben)</v>
          </cell>
        </row>
        <row r="45">
          <cell r="B45" t="str">
            <v>Wirtschaftsdünger 4 (eigene Angaben)</v>
          </cell>
        </row>
        <row r="46">
          <cell r="B46" t="str">
            <v>leer</v>
          </cell>
        </row>
        <row r="47">
          <cell r="B47" t="str">
            <v>Gärrest flüssig 1 (eigene Angaben)</v>
          </cell>
        </row>
        <row r="48">
          <cell r="B48" t="str">
            <v>Gärrest flüssig 2 (eigene Angaben)</v>
          </cell>
        </row>
        <row r="49">
          <cell r="B49" t="str">
            <v>Gärrest flüssig 3 (eigene Angaben)</v>
          </cell>
        </row>
        <row r="50">
          <cell r="B50" t="str">
            <v>Gärrest fest 1 (eigene Angaben)</v>
          </cell>
        </row>
        <row r="51">
          <cell r="B51" t="str">
            <v>Gärrest fest 2 (eigene Angaben)</v>
          </cell>
        </row>
        <row r="54">
          <cell r="B54" t="str">
            <v>leer</v>
          </cell>
        </row>
        <row r="55">
          <cell r="B55" t="str">
            <v>Bioabfall-Kompost 61 % TM</v>
          </cell>
        </row>
        <row r="56">
          <cell r="B56" t="str">
            <v>Grüngut-Kompost 59 % TM</v>
          </cell>
        </row>
        <row r="57">
          <cell r="B57" t="str">
            <v>Champignonerde 33 % TM</v>
          </cell>
        </row>
        <row r="58">
          <cell r="B58" t="str">
            <v>Kompost 1 (eigene Angaben)</v>
          </cell>
        </row>
        <row r="59">
          <cell r="B59" t="str">
            <v>Kompost 2 (eigene Angaben)</v>
          </cell>
        </row>
        <row r="60">
          <cell r="B60" t="str">
            <v>Kompost 3 (eigene Angaben)</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wasserschutzberatung.rlp.de/" TargetMode="External"/><Relationship Id="rId2" Type="http://schemas.openxmlformats.org/officeDocument/2006/relationships/hyperlink" Target="http://www.pflanzenbau.rlp.de/" TargetMode="External"/><Relationship Id="rId1" Type="http://schemas.openxmlformats.org/officeDocument/2006/relationships/hyperlink" Target="mailto:ann-christin.alzer@dlr.rlp.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222E9E"/>
    <pageSetUpPr fitToPage="1"/>
  </sheetPr>
  <dimension ref="B1:P50"/>
  <sheetViews>
    <sheetView tabSelected="1" zoomScaleNormal="100" workbookViewId="0">
      <selection activeCell="F4" sqref="F4"/>
    </sheetView>
  </sheetViews>
  <sheetFormatPr baseColWidth="10" defaultRowHeight="15"/>
  <cols>
    <col min="1" max="1" width="6.5703125" style="176" customWidth="1"/>
    <col min="2" max="2" width="13.28515625" style="181" customWidth="1"/>
    <col min="3" max="4" width="13.28515625" style="176" customWidth="1"/>
    <col min="5" max="5" width="14.5703125" style="176" customWidth="1"/>
    <col min="6" max="11" width="13.28515625" style="176" customWidth="1"/>
    <col min="12" max="12" width="16.140625" style="176" customWidth="1"/>
    <col min="13" max="16384" width="11.42578125" style="176"/>
  </cols>
  <sheetData>
    <row r="1" spans="2:16" s="178" customFormat="1">
      <c r="B1" s="181"/>
    </row>
    <row r="2" spans="2:16" s="178" customFormat="1">
      <c r="B2" s="181"/>
    </row>
    <row r="3" spans="2:16" s="178" customFormat="1" ht="18.75">
      <c r="B3" s="180" t="s">
        <v>523</v>
      </c>
    </row>
    <row r="4" spans="2:16" ht="15.75">
      <c r="B4" s="2419" t="s">
        <v>1767</v>
      </c>
      <c r="C4" s="2419"/>
      <c r="D4" s="2419"/>
      <c r="E4" s="2420"/>
      <c r="F4" s="1735"/>
      <c r="G4" s="1735"/>
      <c r="H4" s="1735"/>
      <c r="I4" s="1735"/>
      <c r="J4" s="1735"/>
      <c r="K4" s="1735"/>
      <c r="L4" s="1735"/>
    </row>
    <row r="5" spans="2:16" ht="9.75" customHeight="1">
      <c r="B5" s="1735"/>
      <c r="C5" s="1735"/>
      <c r="D5" s="1735"/>
      <c r="E5" s="1735"/>
      <c r="F5" s="1735"/>
      <c r="G5" s="1735"/>
      <c r="H5" s="1735"/>
      <c r="I5" s="1735"/>
      <c r="J5" s="1735"/>
      <c r="K5" s="1735"/>
      <c r="L5" s="1735"/>
    </row>
    <row r="6" spans="2:16" ht="16.5" customHeight="1">
      <c r="B6" s="2421" t="s">
        <v>522</v>
      </c>
      <c r="C6" s="2422"/>
      <c r="D6" s="2422"/>
      <c r="E6" s="2422"/>
      <c r="F6" s="2422"/>
      <c r="G6" s="2422"/>
      <c r="H6" s="2422"/>
      <c r="I6" s="2422"/>
      <c r="J6" s="2422"/>
      <c r="K6" s="2422"/>
      <c r="L6" s="2422"/>
    </row>
    <row r="7" spans="2:16" ht="7.5" customHeight="1">
      <c r="B7" s="182"/>
      <c r="C7" s="144"/>
      <c r="D7" s="144"/>
      <c r="E7" s="144"/>
      <c r="F7" s="144"/>
      <c r="G7" s="144"/>
      <c r="H7" s="144"/>
      <c r="I7" s="144"/>
      <c r="J7" s="144"/>
      <c r="K7" s="144"/>
      <c r="L7" s="144"/>
    </row>
    <row r="8" spans="2:16" ht="48" customHeight="1">
      <c r="B8" s="2423" t="s">
        <v>1179</v>
      </c>
      <c r="C8" s="2424"/>
      <c r="D8" s="2424"/>
      <c r="E8" s="2424"/>
      <c r="F8" s="2424"/>
      <c r="G8" s="2424"/>
      <c r="H8" s="2424"/>
      <c r="I8" s="2424"/>
      <c r="J8" s="2424"/>
      <c r="K8" s="2424"/>
      <c r="L8" s="2424"/>
      <c r="O8" s="319"/>
      <c r="P8" s="319"/>
    </row>
    <row r="9" spans="2:16" s="1421" customFormat="1" ht="6.75" customHeight="1">
      <c r="B9" s="1687"/>
      <c r="C9" s="1688"/>
      <c r="D9" s="1688"/>
      <c r="E9" s="1688"/>
      <c r="F9" s="1688"/>
      <c r="G9" s="1688"/>
      <c r="H9" s="1688"/>
      <c r="I9" s="1688"/>
      <c r="J9" s="1688"/>
      <c r="K9" s="1688"/>
      <c r="L9" s="1688"/>
    </row>
    <row r="10" spans="2:16" s="1421" customFormat="1" ht="64.5" customHeight="1">
      <c r="B10" s="2431" t="s">
        <v>1266</v>
      </c>
      <c r="C10" s="2432"/>
      <c r="D10" s="2432"/>
      <c r="E10" s="2432"/>
      <c r="F10" s="2432"/>
      <c r="G10" s="2432"/>
      <c r="H10" s="2432"/>
      <c r="I10" s="2432"/>
      <c r="J10" s="2432"/>
      <c r="K10" s="2432"/>
      <c r="L10" s="2432"/>
    </row>
    <row r="11" spans="2:16" s="214" customFormat="1" ht="7.5" customHeight="1">
      <c r="B11" s="182"/>
      <c r="C11" s="215"/>
      <c r="D11" s="215"/>
      <c r="E11" s="215"/>
      <c r="F11" s="215"/>
      <c r="G11" s="215"/>
      <c r="H11" s="215"/>
      <c r="I11" s="215"/>
      <c r="J11" s="215"/>
      <c r="K11" s="215"/>
      <c r="L11" s="215"/>
    </row>
    <row r="12" spans="2:16" s="1280" customFormat="1" ht="126" customHeight="1">
      <c r="B12" s="2412" t="s">
        <v>1727</v>
      </c>
      <c r="C12" s="2412"/>
      <c r="D12" s="2412"/>
      <c r="E12" s="2412"/>
      <c r="F12" s="2412"/>
      <c r="G12" s="2412"/>
      <c r="H12" s="2412"/>
      <c r="I12" s="2412"/>
      <c r="J12" s="2412"/>
      <c r="K12" s="2412"/>
      <c r="L12" s="2412"/>
    </row>
    <row r="13" spans="2:16" s="111" customFormat="1" ht="6" customHeight="1">
      <c r="B13" s="1296"/>
      <c r="C13" s="1296"/>
      <c r="D13" s="1296"/>
      <c r="E13" s="1296"/>
      <c r="F13" s="1296"/>
      <c r="G13" s="1296"/>
      <c r="H13" s="1296"/>
      <c r="I13" s="1296"/>
      <c r="J13" s="1296"/>
      <c r="K13" s="1296"/>
      <c r="L13" s="1296"/>
    </row>
    <row r="14" spans="2:16" s="214" customFormat="1" ht="86.25" customHeight="1">
      <c r="B14" s="2418" t="s">
        <v>1728</v>
      </c>
      <c r="C14" s="2418"/>
      <c r="D14" s="2418"/>
      <c r="E14" s="2418"/>
      <c r="F14" s="2418"/>
      <c r="G14" s="2418"/>
      <c r="H14" s="2418"/>
      <c r="I14" s="2418"/>
      <c r="J14" s="2418"/>
      <c r="K14" s="2418"/>
      <c r="L14" s="2418"/>
    </row>
    <row r="15" spans="2:16" s="111" customFormat="1" ht="6.75" customHeight="1">
      <c r="B15" s="1296"/>
      <c r="C15" s="1296"/>
      <c r="D15" s="1296"/>
      <c r="E15" s="1296"/>
      <c r="F15" s="1296"/>
      <c r="G15" s="1296"/>
      <c r="H15" s="1296"/>
      <c r="I15" s="1296"/>
      <c r="J15" s="1296"/>
      <c r="K15" s="1296"/>
      <c r="L15" s="1296"/>
    </row>
    <row r="16" spans="2:16" s="111" customFormat="1" ht="65.25" customHeight="1">
      <c r="B16" s="2428" t="s">
        <v>1263</v>
      </c>
      <c r="C16" s="2429"/>
      <c r="D16" s="2429"/>
      <c r="E16" s="2429"/>
      <c r="F16" s="2429"/>
      <c r="G16" s="2429"/>
      <c r="H16" s="2429"/>
      <c r="I16" s="2429"/>
      <c r="J16" s="2429"/>
      <c r="K16" s="2429"/>
      <c r="L16" s="2429"/>
    </row>
    <row r="17" spans="2:12" s="111" customFormat="1" ht="6.75" customHeight="1">
      <c r="B17" s="1296"/>
      <c r="C17" s="1325"/>
      <c r="D17" s="1325"/>
      <c r="E17" s="1325"/>
      <c r="F17" s="1325"/>
      <c r="G17" s="1325"/>
      <c r="H17" s="1325"/>
      <c r="I17" s="1325"/>
      <c r="J17" s="1325"/>
      <c r="K17" s="1325"/>
      <c r="L17" s="1325"/>
    </row>
    <row r="18" spans="2:12" s="111" customFormat="1" ht="49.5" customHeight="1">
      <c r="B18" s="2430" t="s">
        <v>1218</v>
      </c>
      <c r="C18" s="2413"/>
      <c r="D18" s="2413"/>
      <c r="E18" s="2413"/>
      <c r="F18" s="2413"/>
      <c r="G18" s="2413"/>
      <c r="H18" s="2413"/>
      <c r="I18" s="2413"/>
      <c r="J18" s="2413"/>
      <c r="K18" s="2413"/>
      <c r="L18" s="2413"/>
    </row>
    <row r="19" spans="2:12" s="111" customFormat="1" ht="6" customHeight="1">
      <c r="B19" s="1296"/>
      <c r="C19" s="1296"/>
      <c r="D19" s="1296"/>
      <c r="E19" s="1296"/>
      <c r="F19" s="1296"/>
      <c r="G19" s="1296"/>
      <c r="H19" s="1296"/>
      <c r="I19" s="1296"/>
      <c r="J19" s="1296"/>
      <c r="K19" s="1296"/>
      <c r="L19" s="1296"/>
    </row>
    <row r="20" spans="2:12" ht="51.75" customHeight="1">
      <c r="B20" s="2425" t="s">
        <v>1180</v>
      </c>
      <c r="C20" s="2426"/>
      <c r="D20" s="2426"/>
      <c r="E20" s="2426"/>
      <c r="F20" s="2426"/>
      <c r="G20" s="2426"/>
      <c r="H20" s="2426"/>
      <c r="I20" s="2426"/>
      <c r="J20" s="2426"/>
      <c r="K20" s="2426"/>
      <c r="L20" s="2426"/>
    </row>
    <row r="21" spans="2:12" s="768" customFormat="1" ht="9" customHeight="1">
      <c r="B21" s="767"/>
      <c r="C21" s="767"/>
      <c r="D21" s="767"/>
      <c r="E21" s="767"/>
      <c r="F21" s="767"/>
      <c r="G21" s="767"/>
      <c r="H21" s="767"/>
      <c r="I21" s="767"/>
      <c r="J21" s="767"/>
      <c r="K21" s="767"/>
      <c r="L21" s="767"/>
    </row>
    <row r="22" spans="2:12" s="1089" customFormat="1" ht="47.25" customHeight="1">
      <c r="B22" s="2427" t="s">
        <v>1184</v>
      </c>
      <c r="C22" s="2427"/>
      <c r="D22" s="2427"/>
      <c r="E22" s="2427"/>
      <c r="F22" s="2427"/>
      <c r="G22" s="2427"/>
      <c r="H22" s="2427"/>
      <c r="I22" s="2427"/>
      <c r="J22" s="2427"/>
      <c r="K22" s="2427"/>
      <c r="L22" s="2427"/>
    </row>
    <row r="23" spans="2:12" s="214" customFormat="1" ht="9" customHeight="1">
      <c r="B23" s="182"/>
      <c r="C23" s="215"/>
      <c r="D23" s="215"/>
      <c r="E23" s="215"/>
      <c r="F23" s="215"/>
      <c r="G23" s="215"/>
      <c r="H23" s="215"/>
      <c r="I23" s="215"/>
      <c r="J23" s="215"/>
      <c r="K23" s="215"/>
      <c r="L23" s="215"/>
    </row>
    <row r="24" spans="2:12" ht="134.25" customHeight="1">
      <c r="B24" s="2414" t="s">
        <v>1185</v>
      </c>
      <c r="C24" s="2414"/>
      <c r="D24" s="2414"/>
      <c r="E24" s="2414"/>
      <c r="F24" s="2414"/>
      <c r="G24" s="2414"/>
      <c r="H24" s="2414"/>
      <c r="I24" s="2414"/>
      <c r="J24" s="2414"/>
      <c r="K24" s="2414"/>
      <c r="L24" s="2414"/>
    </row>
    <row r="25" spans="2:12" s="214" customFormat="1" ht="4.5" customHeight="1">
      <c r="B25" s="182"/>
      <c r="C25" s="215"/>
      <c r="D25" s="215"/>
      <c r="E25" s="215"/>
      <c r="F25" s="215"/>
      <c r="G25" s="215"/>
      <c r="H25" s="215"/>
      <c r="I25" s="215"/>
      <c r="J25" s="215"/>
      <c r="K25" s="215"/>
      <c r="L25" s="215"/>
    </row>
    <row r="26" spans="2:12" ht="50.25" customHeight="1">
      <c r="B26" s="2414" t="s">
        <v>698</v>
      </c>
      <c r="C26" s="2414"/>
      <c r="D26" s="2414"/>
      <c r="E26" s="2414"/>
      <c r="F26" s="2414"/>
      <c r="G26" s="2414"/>
      <c r="H26" s="2414"/>
      <c r="I26" s="2414"/>
      <c r="J26" s="2414"/>
      <c r="K26" s="2414"/>
      <c r="L26" s="2414"/>
    </row>
    <row r="27" spans="2:12" s="214" customFormat="1" ht="5.25" customHeight="1">
      <c r="B27" s="182"/>
      <c r="C27" s="215"/>
      <c r="D27" s="215"/>
      <c r="E27" s="215"/>
      <c r="F27" s="215"/>
      <c r="G27" s="215"/>
      <c r="H27" s="215"/>
      <c r="I27" s="215"/>
      <c r="J27" s="215"/>
      <c r="K27" s="215"/>
      <c r="L27" s="215"/>
    </row>
    <row r="28" spans="2:12" ht="72.75" customHeight="1">
      <c r="B28" s="2414" t="s">
        <v>1186</v>
      </c>
      <c r="C28" s="2414"/>
      <c r="D28" s="2414"/>
      <c r="E28" s="2414"/>
      <c r="F28" s="2414"/>
      <c r="G28" s="2414"/>
      <c r="H28" s="2414"/>
      <c r="I28" s="2414"/>
      <c r="J28" s="2414"/>
      <c r="K28" s="2414"/>
      <c r="L28" s="2414"/>
    </row>
    <row r="29" spans="2:12" s="214" customFormat="1" ht="7.5" customHeight="1">
      <c r="B29" s="182"/>
      <c r="C29" s="215"/>
      <c r="D29" s="215"/>
      <c r="E29" s="215"/>
      <c r="F29" s="215"/>
      <c r="G29" s="215"/>
      <c r="H29" s="215"/>
      <c r="I29" s="215"/>
      <c r="J29" s="215"/>
      <c r="K29" s="215"/>
      <c r="L29" s="215"/>
    </row>
    <row r="30" spans="2:12" ht="48" customHeight="1">
      <c r="B30" s="2414" t="s">
        <v>1187</v>
      </c>
      <c r="C30" s="2414"/>
      <c r="D30" s="2414"/>
      <c r="E30" s="2414"/>
      <c r="F30" s="2414"/>
      <c r="G30" s="2414"/>
      <c r="H30" s="2414"/>
      <c r="I30" s="2414"/>
      <c r="J30" s="2414"/>
      <c r="K30" s="2414"/>
      <c r="L30" s="2414"/>
    </row>
    <row r="31" spans="2:12" s="320" customFormat="1" ht="10.5" customHeight="1">
      <c r="B31" s="182"/>
      <c r="C31" s="321"/>
      <c r="D31" s="321"/>
      <c r="E31" s="321"/>
      <c r="F31" s="321"/>
      <c r="G31" s="321"/>
      <c r="H31" s="321"/>
      <c r="I31" s="321"/>
      <c r="J31" s="321"/>
      <c r="K31" s="321"/>
      <c r="L31" s="321"/>
    </row>
    <row r="32" spans="2:12" ht="40.5" customHeight="1">
      <c r="B32" s="2414" t="s">
        <v>1397</v>
      </c>
      <c r="C32" s="2413"/>
      <c r="D32" s="2413"/>
      <c r="E32" s="2413"/>
      <c r="F32" s="2413"/>
      <c r="G32" s="2413"/>
      <c r="H32" s="2413"/>
      <c r="I32" s="2413"/>
      <c r="J32" s="2413"/>
      <c r="K32" s="2413"/>
      <c r="L32" s="2413"/>
    </row>
    <row r="33" spans="2:12" s="278" customFormat="1" ht="16.5" customHeight="1">
      <c r="B33" s="2414" t="s">
        <v>259</v>
      </c>
      <c r="C33" s="2413"/>
      <c r="D33" s="2413"/>
      <c r="E33" s="2413"/>
      <c r="F33" s="2413"/>
      <c r="G33" s="2413"/>
      <c r="H33" s="2413"/>
      <c r="I33" s="2413"/>
      <c r="J33" s="2413"/>
      <c r="K33" s="2413"/>
      <c r="L33" s="2413"/>
    </row>
    <row r="34" spans="2:12" ht="16.5" customHeight="1">
      <c r="B34" s="2414" t="s">
        <v>1438</v>
      </c>
      <c r="C34" s="2413"/>
      <c r="D34" s="2413"/>
      <c r="E34" s="2413"/>
      <c r="F34" s="2413"/>
      <c r="G34" s="2413"/>
      <c r="H34" s="2413"/>
      <c r="I34" s="2413"/>
      <c r="J34" s="2413"/>
      <c r="K34" s="2413"/>
      <c r="L34" s="2413"/>
    </row>
    <row r="35" spans="2:12" s="214" customFormat="1" ht="9.75" customHeight="1">
      <c r="B35" s="182"/>
      <c r="C35" s="215"/>
      <c r="D35" s="215"/>
      <c r="E35" s="215"/>
      <c r="F35" s="215"/>
      <c r="G35" s="215"/>
      <c r="H35" s="215"/>
      <c r="I35" s="215"/>
      <c r="J35" s="215"/>
      <c r="K35" s="215"/>
      <c r="L35" s="215"/>
    </row>
    <row r="36" spans="2:12" ht="125.25" customHeight="1">
      <c r="B36" s="2413" t="s">
        <v>1729</v>
      </c>
      <c r="C36" s="2413"/>
      <c r="D36" s="2413"/>
      <c r="E36" s="2413"/>
      <c r="F36" s="2413"/>
      <c r="G36" s="2413"/>
      <c r="H36" s="2413"/>
      <c r="I36" s="2413"/>
      <c r="J36" s="2413"/>
      <c r="K36" s="2413"/>
      <c r="L36" s="2413"/>
    </row>
    <row r="37" spans="2:12" s="248" customFormat="1" ht="6" customHeight="1">
      <c r="B37" s="247"/>
      <c r="C37" s="247"/>
      <c r="D37" s="247"/>
      <c r="E37" s="247"/>
      <c r="F37" s="247"/>
      <c r="G37" s="247"/>
      <c r="H37" s="247"/>
      <c r="I37" s="247"/>
      <c r="J37" s="247"/>
      <c r="K37" s="247"/>
      <c r="L37" s="247"/>
    </row>
    <row r="38" spans="2:12" s="248" customFormat="1" ht="15.75" customHeight="1">
      <c r="B38" s="2410" t="s">
        <v>423</v>
      </c>
      <c r="C38" s="2410"/>
      <c r="D38" s="2410"/>
      <c r="E38" s="2410"/>
      <c r="F38" s="2410"/>
      <c r="G38" s="2410"/>
      <c r="H38" s="2410"/>
      <c r="I38" s="2410"/>
      <c r="J38" s="2413"/>
      <c r="K38" s="2413"/>
      <c r="L38" s="247"/>
    </row>
    <row r="39" spans="2:12" s="248" customFormat="1" ht="16.5" customHeight="1">
      <c r="B39" s="2415" t="s">
        <v>36</v>
      </c>
      <c r="C39" s="2416"/>
      <c r="D39" s="2413" t="s">
        <v>425</v>
      </c>
      <c r="E39" s="2413"/>
      <c r="F39" s="2413"/>
      <c r="G39" s="2413"/>
      <c r="H39" s="2413"/>
      <c r="I39" s="2413"/>
      <c r="J39" s="2413"/>
      <c r="K39" s="2413"/>
      <c r="L39" s="247"/>
    </row>
    <row r="40" spans="2:12" s="248" customFormat="1" ht="16.5" customHeight="1">
      <c r="B40" s="2417" t="s">
        <v>34</v>
      </c>
      <c r="C40" s="2416"/>
      <c r="D40" s="2413" t="s">
        <v>424</v>
      </c>
      <c r="E40" s="2413"/>
      <c r="F40" s="2413"/>
      <c r="G40" s="2413"/>
      <c r="H40" s="2413"/>
      <c r="I40" s="2413"/>
      <c r="J40" s="2413"/>
      <c r="K40" s="2413"/>
      <c r="L40" s="247"/>
    </row>
    <row r="41" spans="2:12" s="334" customFormat="1" ht="4.5" customHeight="1">
      <c r="B41" s="505"/>
      <c r="C41" s="333"/>
      <c r="D41" s="332"/>
      <c r="E41" s="332"/>
      <c r="F41" s="332"/>
      <c r="G41" s="332"/>
      <c r="H41" s="332"/>
      <c r="I41" s="332"/>
      <c r="J41" s="332"/>
      <c r="K41" s="332"/>
      <c r="L41" s="332"/>
    </row>
    <row r="42" spans="2:12" s="770" customFormat="1" ht="15.75" customHeight="1">
      <c r="B42" s="2410" t="s">
        <v>700</v>
      </c>
      <c r="C42" s="2411"/>
      <c r="D42" s="2411"/>
      <c r="E42" s="2411"/>
      <c r="F42" s="2411"/>
      <c r="G42" s="2411"/>
      <c r="H42" s="2411"/>
      <c r="I42" s="2411"/>
      <c r="J42" s="2411"/>
      <c r="K42" s="2411"/>
      <c r="L42" s="2411"/>
    </row>
    <row r="43" spans="2:12" s="214" customFormat="1" ht="6" customHeight="1">
      <c r="L43" s="215"/>
    </row>
    <row r="44" spans="2:12">
      <c r="B44" s="223" t="s">
        <v>1396</v>
      </c>
    </row>
    <row r="45" spans="2:12" ht="5.25" customHeight="1"/>
    <row r="46" spans="2:12">
      <c r="B46" s="253" t="s">
        <v>390</v>
      </c>
    </row>
    <row r="47" spans="2:12">
      <c r="B47" s="181" t="s">
        <v>392</v>
      </c>
    </row>
    <row r="48" spans="2:12" ht="4.5" customHeight="1"/>
    <row r="49" spans="2:2">
      <c r="B49" s="253" t="s">
        <v>391</v>
      </c>
    </row>
    <row r="50" spans="2:2">
      <c r="B50" s="1326" t="s">
        <v>1181</v>
      </c>
    </row>
  </sheetData>
  <sheetProtection sheet="1" formatColumns="0" formatRows="0" selectLockedCells="1"/>
  <mergeCells count="25">
    <mergeCell ref="B4:E4"/>
    <mergeCell ref="B6:L6"/>
    <mergeCell ref="B8:L8"/>
    <mergeCell ref="B26:L26"/>
    <mergeCell ref="B24:L24"/>
    <mergeCell ref="B20:L20"/>
    <mergeCell ref="B22:L22"/>
    <mergeCell ref="B16:L16"/>
    <mergeCell ref="B18:L18"/>
    <mergeCell ref="B10:L10"/>
    <mergeCell ref="B42:L42"/>
    <mergeCell ref="B12:L12"/>
    <mergeCell ref="D40:K40"/>
    <mergeCell ref="B36:L36"/>
    <mergeCell ref="B32:L32"/>
    <mergeCell ref="B33:L33"/>
    <mergeCell ref="B34:L34"/>
    <mergeCell ref="B38:I38"/>
    <mergeCell ref="J38:K38"/>
    <mergeCell ref="B39:C39"/>
    <mergeCell ref="B40:C40"/>
    <mergeCell ref="D39:K39"/>
    <mergeCell ref="B14:L14"/>
    <mergeCell ref="B30:L30"/>
    <mergeCell ref="B28:L28"/>
  </mergeCells>
  <hyperlinks>
    <hyperlink ref="B44" r:id="rId1"/>
    <hyperlink ref="B46" r:id="rId2"/>
    <hyperlink ref="B49" r:id="rId3"/>
  </hyperlinks>
  <pageMargins left="0.25" right="0.25" top="0.75" bottom="0.75" header="0.3" footer="0.3"/>
  <pageSetup paperSize="9" scale="54"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K148"/>
  <sheetViews>
    <sheetView zoomScale="80" zoomScaleNormal="80" workbookViewId="0">
      <selection activeCell="A10" sqref="A10"/>
    </sheetView>
  </sheetViews>
  <sheetFormatPr baseColWidth="10" defaultRowHeight="15"/>
  <cols>
    <col min="1" max="1" width="20.85546875" style="546" customWidth="1"/>
    <col min="2" max="2" width="8" style="357" customWidth="1"/>
    <col min="3" max="3" width="11.85546875" style="357" customWidth="1"/>
    <col min="4" max="4" width="15.7109375" style="546" customWidth="1"/>
    <col min="5" max="5" width="4.7109375" style="357" customWidth="1"/>
    <col min="6" max="6" width="32.7109375" style="357" customWidth="1"/>
    <col min="7" max="7" width="4.85546875" style="357" customWidth="1"/>
    <col min="8" max="8" width="17.5703125" style="357" customWidth="1"/>
    <col min="9" max="9" width="4.42578125" style="357" customWidth="1"/>
    <col min="10" max="10" width="58.140625" style="357" customWidth="1"/>
    <col min="11" max="11" width="12" style="357" customWidth="1"/>
    <col min="12" max="12" width="6.140625" style="357" customWidth="1"/>
    <col min="13" max="13" width="13.7109375" style="357" customWidth="1"/>
    <col min="14" max="14" width="8" style="357" customWidth="1"/>
    <col min="15" max="15" width="10.140625" style="357" customWidth="1"/>
    <col min="16" max="16" width="8.140625" style="357" customWidth="1"/>
    <col min="17" max="17" width="9.5703125" style="357" customWidth="1"/>
    <col min="18" max="18" width="4.140625" style="357" customWidth="1"/>
    <col min="19" max="19" width="19.7109375" style="357" customWidth="1"/>
    <col min="20" max="20" width="1.140625" style="357" customWidth="1"/>
    <col min="21" max="21" width="9.85546875" style="357" customWidth="1"/>
    <col min="22" max="22" width="13.140625" style="357" customWidth="1"/>
    <col min="23" max="23" width="6.28515625" style="357" customWidth="1"/>
    <col min="24" max="26" width="6.7109375" style="357" customWidth="1"/>
    <col min="27" max="27" width="1.140625" style="357" customWidth="1"/>
    <col min="28" max="28" width="9.42578125" style="357" customWidth="1"/>
    <col min="29" max="29" width="13.140625" style="357" customWidth="1"/>
    <col min="30" max="30" width="6.28515625" style="357" customWidth="1"/>
    <col min="31" max="33" width="6.5703125" style="357" customWidth="1"/>
    <col min="34" max="34" width="1.140625" style="357" customWidth="1"/>
    <col min="35" max="35" width="9.42578125" style="357" customWidth="1"/>
    <col min="36" max="36" width="13.28515625" style="357" customWidth="1"/>
    <col min="37" max="40" width="6.5703125" style="357" customWidth="1"/>
    <col min="41" max="41" width="1.5703125" style="357" customWidth="1"/>
    <col min="42" max="42" width="7" style="357" customWidth="1"/>
    <col min="43" max="44" width="5" style="357" customWidth="1"/>
    <col min="45" max="45" width="7.42578125" style="357" customWidth="1"/>
    <col min="46" max="46" width="5.7109375" style="357" customWidth="1"/>
    <col min="47" max="47" width="1.140625" style="357" customWidth="1"/>
    <col min="48" max="48" width="7" style="357" customWidth="1"/>
    <col min="49" max="49" width="6.140625" style="357" customWidth="1"/>
    <col min="50" max="50" width="6" style="357" customWidth="1"/>
    <col min="51" max="51" width="7.28515625" style="357" customWidth="1"/>
    <col min="52" max="52" width="6.85546875" style="357" customWidth="1"/>
    <col min="53" max="53" width="12.28515625" style="357" customWidth="1"/>
    <col min="54" max="54" width="11.42578125" style="357" customWidth="1"/>
    <col min="55" max="55" width="9.7109375" style="357" customWidth="1"/>
    <col min="56" max="56" width="32.28515625" style="357" customWidth="1"/>
    <col min="57" max="57" width="8" style="357" customWidth="1"/>
    <col min="58" max="58" width="4.7109375" style="357" customWidth="1"/>
    <col min="59" max="59" width="11.42578125" style="357"/>
    <col min="60" max="60" width="8.140625" style="357" customWidth="1"/>
    <col min="61" max="61" width="3.28515625" style="357" customWidth="1"/>
    <col min="62" max="62" width="73.42578125" style="357" customWidth="1"/>
    <col min="63" max="16384" width="11.42578125" style="357"/>
  </cols>
  <sheetData>
    <row r="1" spans="1:63" ht="15.75" customHeight="1">
      <c r="A1" s="532"/>
      <c r="B1" s="533"/>
      <c r="C1" s="412" t="str">
        <f>'DüV-N-Ackerbau'!C1</f>
        <v>Karl vom Land</v>
      </c>
      <c r="D1" s="534"/>
      <c r="E1" s="607"/>
      <c r="F1" s="412" t="str">
        <f>'DüV-N-Ackerbau'!F1</f>
        <v>Erntejahr</v>
      </c>
      <c r="G1" s="607"/>
      <c r="H1" s="607"/>
      <c r="I1" s="607"/>
      <c r="J1" s="607"/>
      <c r="K1" s="607"/>
      <c r="L1" s="607"/>
      <c r="M1" s="607"/>
      <c r="N1" s="607"/>
      <c r="O1" s="607"/>
      <c r="P1" s="607"/>
      <c r="Q1" s="608"/>
      <c r="R1" s="1066"/>
      <c r="S1" s="1066"/>
      <c r="T1" s="1066"/>
      <c r="U1" s="1066"/>
      <c r="V1" s="1066"/>
      <c r="W1" s="1066"/>
      <c r="X1" s="1066"/>
      <c r="Y1" s="1066"/>
      <c r="Z1" s="1066"/>
      <c r="AA1" s="1066"/>
      <c r="AB1" s="1066"/>
      <c r="AC1" s="1066"/>
      <c r="AD1" s="1066"/>
      <c r="AE1" s="1066"/>
      <c r="AF1" s="1066"/>
      <c r="AG1" s="1066"/>
      <c r="AH1" s="1124"/>
      <c r="AI1" s="1124"/>
      <c r="AJ1" s="1124"/>
      <c r="AK1" s="1124"/>
      <c r="AL1" s="1124"/>
      <c r="AM1" s="1124"/>
      <c r="AN1" s="1124"/>
      <c r="AO1" s="1066"/>
      <c r="AP1" s="1124"/>
      <c r="AQ1" s="1066"/>
      <c r="AR1" s="1066"/>
      <c r="AS1" s="1077"/>
      <c r="AT1" s="1066"/>
      <c r="AU1" s="1066"/>
      <c r="AV1" s="1124"/>
      <c r="AW1" s="1066"/>
      <c r="AX1" s="1066"/>
      <c r="AY1" s="1077"/>
      <c r="AZ1" s="1066"/>
      <c r="BA1" s="1066"/>
      <c r="BB1" s="1066"/>
    </row>
    <row r="2" spans="1:63" ht="22.5" customHeight="1">
      <c r="A2" s="535"/>
      <c r="B2" s="355"/>
      <c r="C2" s="412" t="str">
        <f>'DüV-N-Ackerbau'!C2</f>
        <v>Höfen 1</v>
      </c>
      <c r="D2" s="536"/>
      <c r="E2" s="1066"/>
      <c r="F2" s="412">
        <f>'DüV-N-Ackerbau'!G1</f>
        <v>2022</v>
      </c>
      <c r="G2" s="1066"/>
      <c r="H2" s="1066"/>
      <c r="I2" s="1065"/>
      <c r="J2" s="1065"/>
      <c r="K2" s="1065"/>
      <c r="L2" s="1065"/>
      <c r="M2" s="1065"/>
      <c r="N2" s="1065"/>
      <c r="O2" s="1065"/>
      <c r="P2" s="1065"/>
      <c r="Q2" s="663"/>
      <c r="R2" s="1066"/>
      <c r="S2" s="1066"/>
      <c r="T2" s="1066"/>
      <c r="U2" s="1066"/>
      <c r="V2" s="1066"/>
      <c r="W2" s="1066"/>
      <c r="X2" s="1066"/>
      <c r="Y2" s="1066"/>
      <c r="Z2" s="1066"/>
      <c r="AA2" s="1066"/>
      <c r="AB2" s="1066"/>
      <c r="AC2" s="1066"/>
      <c r="AD2" s="1066"/>
      <c r="AE2" s="1066"/>
      <c r="AF2" s="1066"/>
      <c r="AG2" s="1066"/>
      <c r="AH2" s="1124"/>
      <c r="AI2" s="1124"/>
      <c r="AJ2" s="1124"/>
      <c r="AK2" s="1124"/>
      <c r="AL2" s="1124"/>
      <c r="AM2" s="1124"/>
      <c r="AN2" s="1124"/>
      <c r="AO2" s="1066"/>
      <c r="AP2" s="2541" t="s">
        <v>1156</v>
      </c>
      <c r="AQ2" s="2542"/>
      <c r="AR2" s="2542"/>
      <c r="AS2" s="2542"/>
      <c r="AT2" s="2542"/>
      <c r="AU2" s="2542"/>
      <c r="AV2" s="2542"/>
      <c r="AW2" s="2542"/>
      <c r="AX2" s="2542"/>
      <c r="AY2" s="2542"/>
      <c r="AZ2" s="2543"/>
      <c r="BA2" s="1066"/>
      <c r="BB2" s="1066"/>
    </row>
    <row r="3" spans="1:63" ht="22.5" customHeight="1">
      <c r="A3" s="535"/>
      <c r="B3" s="355"/>
      <c r="C3" s="412" t="str">
        <f>'DüV-N-Ackerbau'!C3</f>
        <v>12345 Auf dem Feld</v>
      </c>
      <c r="D3" s="537"/>
      <c r="E3" s="1066"/>
      <c r="F3" s="538"/>
      <c r="G3" s="1066"/>
      <c r="H3" s="1065"/>
      <c r="I3" s="1065"/>
      <c r="J3" s="1065"/>
      <c r="K3" s="1065"/>
      <c r="L3" s="1065"/>
      <c r="M3" s="1065"/>
      <c r="N3" s="1065"/>
      <c r="O3" s="1065"/>
      <c r="P3" s="1065"/>
      <c r="Q3" s="663"/>
      <c r="R3" s="1066"/>
      <c r="S3" s="1066"/>
      <c r="T3" s="1066"/>
      <c r="U3" s="1066"/>
      <c r="V3" s="1066"/>
      <c r="W3" s="1066"/>
      <c r="X3" s="1066"/>
      <c r="Y3" s="1066"/>
      <c r="Z3" s="1066"/>
      <c r="AA3" s="1066"/>
      <c r="AB3" s="1066"/>
      <c r="AC3" s="1066"/>
      <c r="AD3" s="1066"/>
      <c r="AE3" s="1066"/>
      <c r="AF3" s="1066"/>
      <c r="AG3" s="1066"/>
      <c r="AH3" s="1124"/>
      <c r="AI3" s="1124"/>
      <c r="AJ3" s="1124"/>
      <c r="AK3" s="1124"/>
      <c r="AL3" s="1124"/>
      <c r="AM3" s="1124"/>
      <c r="AN3" s="1124"/>
      <c r="AO3" s="1066"/>
      <c r="AP3" s="2485"/>
      <c r="AQ3" s="2526"/>
      <c r="AR3" s="2526"/>
      <c r="AS3" s="2526"/>
      <c r="AT3" s="2526"/>
      <c r="AU3" s="2526"/>
      <c r="AV3" s="2526"/>
      <c r="AW3" s="2526"/>
      <c r="AX3" s="2526"/>
      <c r="AY3" s="2526"/>
      <c r="AZ3" s="2486"/>
      <c r="BA3" s="1066"/>
      <c r="BB3" s="1066"/>
    </row>
    <row r="4" spans="1:63" ht="20.25" customHeight="1">
      <c r="A4" s="2761" t="s">
        <v>608</v>
      </c>
      <c r="B4" s="2587"/>
      <c r="C4" s="2587"/>
      <c r="D4" s="2587"/>
      <c r="E4" s="2587"/>
      <c r="F4" s="2587"/>
      <c r="G4" s="2587"/>
      <c r="H4" s="2587"/>
      <c r="I4" s="2587"/>
      <c r="J4" s="2587"/>
      <c r="K4" s="2587"/>
      <c r="L4" s="2587"/>
      <c r="M4" s="2587"/>
      <c r="N4" s="2587"/>
      <c r="O4" s="2587"/>
      <c r="P4" s="2452"/>
      <c r="Q4" s="2752"/>
      <c r="R4" s="1060"/>
      <c r="S4" s="1060"/>
      <c r="T4" s="1060"/>
      <c r="U4" s="1060"/>
      <c r="V4" s="1060"/>
      <c r="W4" s="1060"/>
      <c r="X4" s="1060"/>
      <c r="Y4" s="1060"/>
      <c r="Z4" s="1060"/>
      <c r="AA4" s="1060"/>
      <c r="AB4" s="1060"/>
      <c r="AC4" s="1060"/>
      <c r="AD4" s="1060"/>
      <c r="AE4" s="1060"/>
      <c r="AF4" s="1060"/>
      <c r="AG4" s="1060"/>
      <c r="AH4" s="1121"/>
      <c r="AI4" s="1121"/>
      <c r="AJ4" s="1121"/>
      <c r="AK4" s="1121"/>
      <c r="AL4" s="1121"/>
      <c r="AM4" s="1121"/>
      <c r="AN4" s="1121"/>
      <c r="AO4" s="1060"/>
      <c r="AP4" s="2485"/>
      <c r="AQ4" s="2526"/>
      <c r="AR4" s="2526"/>
      <c r="AS4" s="2526"/>
      <c r="AT4" s="2526"/>
      <c r="AU4" s="2526"/>
      <c r="AV4" s="2526"/>
      <c r="AW4" s="2526"/>
      <c r="AX4" s="2526"/>
      <c r="AY4" s="2526"/>
      <c r="AZ4" s="2486"/>
      <c r="BA4" s="1066"/>
      <c r="BB4" s="1066"/>
    </row>
    <row r="5" spans="1:63" ht="16.5" customHeight="1">
      <c r="A5" s="2761" t="s">
        <v>571</v>
      </c>
      <c r="B5" s="2587"/>
      <c r="C5" s="2587"/>
      <c r="D5" s="2587"/>
      <c r="E5" s="2587"/>
      <c r="F5" s="2587"/>
      <c r="G5" s="2587"/>
      <c r="H5" s="2587"/>
      <c r="I5" s="2587"/>
      <c r="J5" s="2587"/>
      <c r="K5" s="2587"/>
      <c r="L5" s="2587"/>
      <c r="M5" s="2587"/>
      <c r="N5" s="2587"/>
      <c r="O5" s="2587"/>
      <c r="P5" s="2452"/>
      <c r="Q5" s="2752"/>
      <c r="R5" s="1060"/>
      <c r="S5" s="2768" t="s">
        <v>1152</v>
      </c>
      <c r="T5" s="2769"/>
      <c r="U5" s="2769"/>
      <c r="V5" s="2769"/>
      <c r="W5" s="2769"/>
      <c r="X5" s="2769"/>
      <c r="Y5" s="2769"/>
      <c r="Z5" s="2769"/>
      <c r="AA5" s="2769"/>
      <c r="AB5" s="2769"/>
      <c r="AC5" s="2769"/>
      <c r="AD5" s="2769"/>
      <c r="AE5" s="2769"/>
      <c r="AF5" s="2769"/>
      <c r="AG5" s="2769"/>
      <c r="AH5" s="2769"/>
      <c r="AI5" s="2769"/>
      <c r="AJ5" s="2769"/>
      <c r="AK5" s="2769"/>
      <c r="AL5" s="2769"/>
      <c r="AM5" s="2769"/>
      <c r="AN5" s="2770"/>
      <c r="AO5" s="1060"/>
      <c r="AP5" s="2485"/>
      <c r="AQ5" s="2526"/>
      <c r="AR5" s="2526"/>
      <c r="AS5" s="2526"/>
      <c r="AT5" s="2526"/>
      <c r="AU5" s="2526"/>
      <c r="AV5" s="2526"/>
      <c r="AW5" s="2526"/>
      <c r="AX5" s="2526"/>
      <c r="AY5" s="2526"/>
      <c r="AZ5" s="2486"/>
      <c r="BA5" s="1066"/>
      <c r="BB5" s="1066"/>
    </row>
    <row r="6" spans="1:63" ht="17.25" customHeight="1">
      <c r="A6" s="2761" t="s">
        <v>570</v>
      </c>
      <c r="B6" s="2587"/>
      <c r="C6" s="2587"/>
      <c r="D6" s="2587"/>
      <c r="E6" s="2587"/>
      <c r="F6" s="2587"/>
      <c r="G6" s="2587"/>
      <c r="H6" s="2587"/>
      <c r="I6" s="2587"/>
      <c r="J6" s="2587"/>
      <c r="K6" s="2587"/>
      <c r="L6" s="2587"/>
      <c r="M6" s="2587"/>
      <c r="N6" s="2587"/>
      <c r="O6" s="2587"/>
      <c r="P6" s="2452"/>
      <c r="Q6" s="2752"/>
      <c r="R6" s="1060"/>
      <c r="S6" s="2771"/>
      <c r="T6" s="2772"/>
      <c r="U6" s="2772"/>
      <c r="V6" s="2772"/>
      <c r="W6" s="2772"/>
      <c r="X6" s="2772"/>
      <c r="Y6" s="2772"/>
      <c r="Z6" s="2772"/>
      <c r="AA6" s="2772"/>
      <c r="AB6" s="2772"/>
      <c r="AC6" s="2772"/>
      <c r="AD6" s="2772"/>
      <c r="AE6" s="2772"/>
      <c r="AF6" s="2772"/>
      <c r="AG6" s="2772"/>
      <c r="AH6" s="2772"/>
      <c r="AI6" s="2772"/>
      <c r="AJ6" s="2772"/>
      <c r="AK6" s="2772"/>
      <c r="AL6" s="2772"/>
      <c r="AM6" s="2772"/>
      <c r="AN6" s="2773"/>
      <c r="AO6" s="1060"/>
      <c r="AP6" s="2487"/>
      <c r="AQ6" s="2544"/>
      <c r="AR6" s="2544"/>
      <c r="AS6" s="2544"/>
      <c r="AT6" s="2544"/>
      <c r="AU6" s="2544"/>
      <c r="AV6" s="2544"/>
      <c r="AW6" s="2544"/>
      <c r="AX6" s="2544"/>
      <c r="AY6" s="2544"/>
      <c r="AZ6" s="2488"/>
      <c r="BA6" s="1066"/>
      <c r="BB6" s="1066"/>
    </row>
    <row r="7" spans="1:63" ht="19.5" customHeight="1" thickBot="1">
      <c r="A7" s="2761" t="s">
        <v>1085</v>
      </c>
      <c r="B7" s="2587"/>
      <c r="C7" s="2587"/>
      <c r="D7" s="2587"/>
      <c r="E7" s="2587"/>
      <c r="F7" s="2587"/>
      <c r="G7" s="2587"/>
      <c r="H7" s="2587"/>
      <c r="I7" s="2587"/>
      <c r="J7" s="2587"/>
      <c r="K7" s="2587"/>
      <c r="L7" s="2587"/>
      <c r="M7" s="2587"/>
      <c r="N7" s="2587"/>
      <c r="O7" s="2587"/>
      <c r="P7" s="2452"/>
      <c r="Q7" s="2752"/>
      <c r="R7" s="1060"/>
      <c r="S7" s="1060"/>
      <c r="T7" s="1060"/>
      <c r="U7" s="1060"/>
      <c r="V7" s="1060"/>
      <c r="W7" s="1060"/>
      <c r="X7" s="1060"/>
      <c r="Y7" s="1060"/>
      <c r="Z7" s="1060"/>
      <c r="AA7" s="1060"/>
      <c r="AB7" s="1060"/>
      <c r="AC7" s="1060"/>
      <c r="AD7" s="1060"/>
      <c r="AE7" s="1060"/>
      <c r="AF7" s="1060"/>
      <c r="AG7" s="1060"/>
      <c r="AH7" s="1121"/>
      <c r="AI7" s="1121"/>
      <c r="AJ7" s="1121"/>
      <c r="AK7" s="1121"/>
      <c r="AL7" s="1121"/>
      <c r="AM7" s="1121"/>
      <c r="AN7" s="1121"/>
      <c r="AO7" s="1060"/>
      <c r="AP7" s="2546" t="s">
        <v>1065</v>
      </c>
      <c r="AQ7" s="2546"/>
      <c r="AR7" s="2546"/>
      <c r="AS7" s="2546"/>
      <c r="AT7" s="2546"/>
      <c r="AU7" s="1136"/>
      <c r="AV7" s="2548" t="s">
        <v>1076</v>
      </c>
      <c r="AW7" s="2549"/>
      <c r="AX7" s="2549"/>
      <c r="AY7" s="2549"/>
      <c r="AZ7" s="2549"/>
      <c r="BA7" s="1066"/>
      <c r="BB7" s="1066"/>
      <c r="BC7" s="539"/>
      <c r="BD7" s="540"/>
      <c r="BE7" s="540"/>
      <c r="BF7" s="540"/>
    </row>
    <row r="8" spans="1:63" ht="24.75" customHeight="1">
      <c r="A8" s="2433" t="s">
        <v>1075</v>
      </c>
      <c r="B8" s="2608" t="s">
        <v>562</v>
      </c>
      <c r="C8" s="2743" t="s">
        <v>566</v>
      </c>
      <c r="D8" s="2749" t="s">
        <v>767</v>
      </c>
      <c r="E8" s="2741" t="s">
        <v>303</v>
      </c>
      <c r="F8" s="2762" t="s">
        <v>770</v>
      </c>
      <c r="G8" s="2741" t="s">
        <v>303</v>
      </c>
      <c r="H8" s="2762" t="s">
        <v>546</v>
      </c>
      <c r="I8" s="2741" t="s">
        <v>303</v>
      </c>
      <c r="J8" s="2762" t="s">
        <v>549</v>
      </c>
      <c r="K8" s="2610" t="s">
        <v>552</v>
      </c>
      <c r="L8" s="2741" t="s">
        <v>303</v>
      </c>
      <c r="M8" s="2765" t="s">
        <v>786</v>
      </c>
      <c r="N8" s="2764" t="s">
        <v>1013</v>
      </c>
      <c r="O8" s="2693"/>
      <c r="P8" s="2497" t="s">
        <v>1132</v>
      </c>
      <c r="Q8" s="2498"/>
      <c r="R8" s="783"/>
      <c r="S8" s="2776" t="s">
        <v>818</v>
      </c>
      <c r="T8" s="782"/>
      <c r="U8" s="2774" t="s">
        <v>1425</v>
      </c>
      <c r="V8" s="2775"/>
      <c r="W8" s="2775"/>
      <c r="X8" s="2775"/>
      <c r="Y8" s="2775"/>
      <c r="Z8" s="2775"/>
      <c r="AA8" s="525"/>
      <c r="AB8" s="2774" t="s">
        <v>1426</v>
      </c>
      <c r="AC8" s="2775"/>
      <c r="AD8" s="2775"/>
      <c r="AE8" s="2775"/>
      <c r="AF8" s="2775"/>
      <c r="AG8" s="2775"/>
      <c r="AH8" s="2099"/>
      <c r="AI8" s="2774" t="s">
        <v>1427</v>
      </c>
      <c r="AJ8" s="2775"/>
      <c r="AK8" s="2775"/>
      <c r="AL8" s="2775"/>
      <c r="AM8" s="2775"/>
      <c r="AN8" s="2775"/>
      <c r="AO8" s="1063"/>
      <c r="AP8" s="2547"/>
      <c r="AQ8" s="2547"/>
      <c r="AR8" s="2547"/>
      <c r="AS8" s="2547"/>
      <c r="AT8" s="2547"/>
      <c r="AU8" s="1136"/>
      <c r="AV8" s="2550"/>
      <c r="AW8" s="2550"/>
      <c r="AX8" s="2550"/>
      <c r="AY8" s="2550"/>
      <c r="AZ8" s="2550"/>
      <c r="BA8" s="541"/>
      <c r="BB8" s="541"/>
      <c r="BC8" s="348"/>
      <c r="BJ8" s="543"/>
      <c r="BK8" s="543"/>
    </row>
    <row r="9" spans="1:63" s="543" customFormat="1" ht="55.5" customHeight="1" thickBot="1">
      <c r="A9" s="2434"/>
      <c r="B9" s="2609"/>
      <c r="C9" s="2744"/>
      <c r="D9" s="2750"/>
      <c r="E9" s="2742"/>
      <c r="F9" s="2763"/>
      <c r="G9" s="2742"/>
      <c r="H9" s="2763"/>
      <c r="I9" s="2742"/>
      <c r="J9" s="2763"/>
      <c r="K9" s="2767"/>
      <c r="L9" s="2742"/>
      <c r="M9" s="2766"/>
      <c r="N9" s="824" t="s">
        <v>322</v>
      </c>
      <c r="O9" s="665" t="s">
        <v>602</v>
      </c>
      <c r="P9" s="644" t="s">
        <v>599</v>
      </c>
      <c r="Q9" s="641" t="s">
        <v>603</v>
      </c>
      <c r="R9" s="980"/>
      <c r="S9" s="2715"/>
      <c r="T9" s="980"/>
      <c r="U9" s="2092" t="s">
        <v>839</v>
      </c>
      <c r="V9" s="2090" t="s">
        <v>819</v>
      </c>
      <c r="W9" s="2095" t="s">
        <v>33</v>
      </c>
      <c r="X9" s="2091" t="s">
        <v>1062</v>
      </c>
      <c r="Y9" s="2095" t="s">
        <v>1063</v>
      </c>
      <c r="Z9" s="2091" t="s">
        <v>1064</v>
      </c>
      <c r="AA9" s="1421"/>
      <c r="AB9" s="2092" t="s">
        <v>839</v>
      </c>
      <c r="AC9" s="2090" t="s">
        <v>819</v>
      </c>
      <c r="AD9" s="2095" t="s">
        <v>33</v>
      </c>
      <c r="AE9" s="2091" t="s">
        <v>1062</v>
      </c>
      <c r="AF9" s="2095" t="s">
        <v>1063</v>
      </c>
      <c r="AG9" s="2091" t="s">
        <v>1064</v>
      </c>
      <c r="AH9" s="279"/>
      <c r="AI9" s="2092" t="s">
        <v>839</v>
      </c>
      <c r="AJ9" s="2090" t="s">
        <v>819</v>
      </c>
      <c r="AK9" s="2095" t="s">
        <v>33</v>
      </c>
      <c r="AL9" s="2091" t="s">
        <v>1062</v>
      </c>
      <c r="AM9" s="2095" t="s">
        <v>1063</v>
      </c>
      <c r="AN9" s="2091" t="s">
        <v>1064</v>
      </c>
      <c r="AO9" s="782"/>
      <c r="AP9" s="1134" t="s">
        <v>1080</v>
      </c>
      <c r="AQ9" s="1125" t="s">
        <v>1066</v>
      </c>
      <c r="AR9" s="1125" t="s">
        <v>1083</v>
      </c>
      <c r="AS9" s="906" t="s">
        <v>1241</v>
      </c>
      <c r="AT9" s="1125" t="s">
        <v>284</v>
      </c>
      <c r="AU9" s="782"/>
      <c r="AV9" s="1141" t="s">
        <v>1080</v>
      </c>
      <c r="AW9" s="1125" t="s">
        <v>1066</v>
      </c>
      <c r="AX9" s="1142" t="s">
        <v>1082</v>
      </c>
      <c r="AY9" s="906" t="s">
        <v>1241</v>
      </c>
      <c r="AZ9" s="1125" t="s">
        <v>284</v>
      </c>
      <c r="BA9" s="542"/>
      <c r="BB9" s="542"/>
      <c r="BC9" s="350"/>
      <c r="BD9" s="357"/>
    </row>
    <row r="10" spans="1:63" ht="28.5" customHeight="1">
      <c r="A10" s="513" t="s">
        <v>1020</v>
      </c>
      <c r="B10" s="1704">
        <v>0</v>
      </c>
      <c r="C10" s="2747">
        <v>40</v>
      </c>
      <c r="D10" s="1567" t="s">
        <v>572</v>
      </c>
      <c r="E10" s="1565">
        <f t="shared" ref="E10:E29" si="0">IF(D10="bis 14 t/ha",0,10)</f>
        <v>0</v>
      </c>
      <c r="F10" s="815" t="s">
        <v>559</v>
      </c>
      <c r="G10" s="595">
        <f t="shared" ref="G10:G29" si="1">VLOOKUP(F10,BD$11:BE$20,2,FALSE)</f>
        <v>0</v>
      </c>
      <c r="H10" s="596" t="s">
        <v>293</v>
      </c>
      <c r="I10" s="597">
        <f t="shared" ref="I10:I29" si="2">VLOOKUP(H10,BG$11:BH$13,2,FALSE)</f>
        <v>0</v>
      </c>
      <c r="J10" s="598" t="s">
        <v>551</v>
      </c>
      <c r="K10" s="531" t="s">
        <v>554</v>
      </c>
      <c r="L10" s="595">
        <f t="shared" ref="L10:L29" si="3">IF(K10="jede zweite",BA10,BA10*2)</f>
        <v>0</v>
      </c>
      <c r="M10" s="2196">
        <v>0</v>
      </c>
      <c r="N10" s="599">
        <f t="shared" ref="N10:N29" si="4">IF(BB10&lt;=0,0,IF(BB10&gt;=80,80,BB10))</f>
        <v>40</v>
      </c>
      <c r="O10" s="664">
        <f t="shared" ref="O10:O29" si="5">N10*B10</f>
        <v>0</v>
      </c>
      <c r="P10" s="668">
        <v>10</v>
      </c>
      <c r="Q10" s="669">
        <f t="shared" ref="Q10:Q29" si="6">B10*P10</f>
        <v>0</v>
      </c>
      <c r="R10" s="1042"/>
      <c r="S10" s="870" t="str">
        <f t="shared" ref="S10:S54" si="7">$A10</f>
        <v>Bsp. Eins</v>
      </c>
      <c r="T10" s="866"/>
      <c r="U10" s="1329"/>
      <c r="V10" s="1330" t="s">
        <v>795</v>
      </c>
      <c r="W10" s="1424">
        <v>0</v>
      </c>
      <c r="X10" s="1033">
        <f>VLOOKUP(V10,Düngemittel!$B$6:$E$64,2,FALSE)*(VLOOKUP(V10,Düngemittel!$B$6:$E$64,3,FALSE))/100*W10</f>
        <v>0</v>
      </c>
      <c r="Y10" s="1033">
        <f>VLOOKUP(V10,Düngemittel!$B$6:$E$64,2,FALSE)*W10</f>
        <v>0</v>
      </c>
      <c r="Z10" s="1033">
        <f>VLOOKUP(V10,Düngemittel!$B$6:$E$64,4,FALSE)*W10</f>
        <v>0</v>
      </c>
      <c r="AA10" s="92"/>
      <c r="AB10" s="1329"/>
      <c r="AC10" s="1330" t="s">
        <v>795</v>
      </c>
      <c r="AD10" s="1424">
        <v>0</v>
      </c>
      <c r="AE10" s="1033">
        <f>VLOOKUP(AC10,Düngemittel!$B$6:$E$64,2,FALSE)*(VLOOKUP(AC10,Düngemittel!$B$6:$E$64,3,FALSE))/100*AD10</f>
        <v>0</v>
      </c>
      <c r="AF10" s="1033">
        <f>VLOOKUP(AC10,Düngemittel!$B$6:$E$64,2,FALSE)*AD10</f>
        <v>0</v>
      </c>
      <c r="AG10" s="1033">
        <f>VLOOKUP(AC10,Düngemittel!$B$6:$E$64,4,FALSE)*AD10</f>
        <v>0</v>
      </c>
      <c r="AH10" s="92"/>
      <c r="AI10" s="1329"/>
      <c r="AJ10" s="1330" t="s">
        <v>795</v>
      </c>
      <c r="AK10" s="1424">
        <v>0</v>
      </c>
      <c r="AL10" s="1033">
        <f>VLOOKUP(AJ10,Düngemittel!$B$6:$E$64,2,FALSE)*(VLOOKUP(AJ10,Düngemittel!$B$6:$E$64,3,FALSE))/100*AK10</f>
        <v>0</v>
      </c>
      <c r="AM10" s="1033">
        <f>VLOOKUP(AJ10,Düngemittel!$B$6:$E$64,2,FALSE)*AK10</f>
        <v>0</v>
      </c>
      <c r="AN10" s="1033">
        <f>VLOOKUP(AJ10,Düngemittel!$B$6:$E$64,4,FALSE)*AK10</f>
        <v>0</v>
      </c>
      <c r="AO10" s="863"/>
      <c r="AP10" s="1282">
        <f>IF(X10&lt;Y10,0,X10)+IF(AE10&lt;AF10,0,AE10)+IF(AL10&lt;AM10,0,AL10)</f>
        <v>0</v>
      </c>
      <c r="AQ10" s="1126">
        <f>SUM(X10+AE10+AL10)</f>
        <v>0</v>
      </c>
      <c r="AR10" s="1283">
        <f>SUM(Y10+AF10+AM10)</f>
        <v>0</v>
      </c>
      <c r="AS10" s="1156">
        <f>IF(X10&lt;Y10,Y10,0)+IF(AE10&lt;AF10,AF10,0)+IF(AL10&lt;AM10,AM10,0)</f>
        <v>0</v>
      </c>
      <c r="AT10" s="1126">
        <f>SUM(Z10+AG10+AN10)</f>
        <v>0</v>
      </c>
      <c r="AU10" s="1153"/>
      <c r="AV10" s="1282">
        <f>AP10*$B10</f>
        <v>0</v>
      </c>
      <c r="AW10" s="1282">
        <f t="shared" ref="AW10:AZ10" si="8">AQ10*$B10</f>
        <v>0</v>
      </c>
      <c r="AX10" s="1282">
        <f t="shared" si="8"/>
        <v>0</v>
      </c>
      <c r="AY10" s="1824">
        <f t="shared" si="8"/>
        <v>0</v>
      </c>
      <c r="AZ10" s="1282">
        <f t="shared" si="8"/>
        <v>0</v>
      </c>
      <c r="BA10" s="544">
        <f t="shared" ref="BA10:BA28" si="9">VLOOKUP(J10,BJ$11:BK$24,2,FALSE)</f>
        <v>0</v>
      </c>
      <c r="BB10" s="545">
        <f t="shared" ref="BB10:BB28" si="10">40+E10+G10+I10+L10-M10</f>
        <v>40</v>
      </c>
      <c r="BC10" s="350"/>
      <c r="BD10" s="546" t="s">
        <v>545</v>
      </c>
      <c r="BG10" s="546" t="s">
        <v>546</v>
      </c>
      <c r="BJ10" s="546" t="s">
        <v>549</v>
      </c>
    </row>
    <row r="11" spans="1:63" ht="28.5" customHeight="1">
      <c r="A11" s="468" t="s">
        <v>563</v>
      </c>
      <c r="B11" s="1705">
        <v>0</v>
      </c>
      <c r="C11" s="2748"/>
      <c r="D11" s="1568" t="s">
        <v>572</v>
      </c>
      <c r="E11" s="1566">
        <f t="shared" si="0"/>
        <v>0</v>
      </c>
      <c r="F11" s="815" t="s">
        <v>559</v>
      </c>
      <c r="G11" s="595">
        <f t="shared" si="1"/>
        <v>0</v>
      </c>
      <c r="H11" s="596" t="s">
        <v>293</v>
      </c>
      <c r="I11" s="597">
        <f t="shared" si="2"/>
        <v>0</v>
      </c>
      <c r="J11" s="598" t="s">
        <v>551</v>
      </c>
      <c r="K11" s="531" t="s">
        <v>554</v>
      </c>
      <c r="L11" s="595">
        <f t="shared" si="3"/>
        <v>0</v>
      </c>
      <c r="M11" s="2197">
        <v>0</v>
      </c>
      <c r="N11" s="599">
        <f t="shared" si="4"/>
        <v>40</v>
      </c>
      <c r="O11" s="664">
        <f t="shared" si="5"/>
        <v>0</v>
      </c>
      <c r="P11" s="668">
        <v>10</v>
      </c>
      <c r="Q11" s="667">
        <f t="shared" si="6"/>
        <v>0</v>
      </c>
      <c r="R11" s="1042"/>
      <c r="S11" s="870" t="str">
        <f t="shared" si="7"/>
        <v>Nummer 2</v>
      </c>
      <c r="T11" s="866"/>
      <c r="U11" s="1329"/>
      <c r="V11" s="1330" t="s">
        <v>795</v>
      </c>
      <c r="W11" s="1424">
        <v>0</v>
      </c>
      <c r="X11" s="1033">
        <f>VLOOKUP(V11,Düngemittel!$B$6:$E$64,2,FALSE)*(VLOOKUP(V11,Düngemittel!$B$6:$E$64,3,FALSE))/100*W11</f>
        <v>0</v>
      </c>
      <c r="Y11" s="1033">
        <f>VLOOKUP(V11,Düngemittel!$B$6:$E$64,2,FALSE)*W11</f>
        <v>0</v>
      </c>
      <c r="Z11" s="1033">
        <f>VLOOKUP(V11,Düngemittel!$B$6:$E$64,4,FALSE)*W11</f>
        <v>0</v>
      </c>
      <c r="AA11" s="2089"/>
      <c r="AB11" s="1329"/>
      <c r="AC11" s="1330" t="s">
        <v>795</v>
      </c>
      <c r="AD11" s="1424">
        <v>0</v>
      </c>
      <c r="AE11" s="1033">
        <f>VLOOKUP(AC11,Düngemittel!$B$6:$E$64,2,FALSE)*(VLOOKUP(AC11,Düngemittel!$B$6:$E$64,3,FALSE))/100*AD11</f>
        <v>0</v>
      </c>
      <c r="AF11" s="1033">
        <f>VLOOKUP(AC11,Düngemittel!$B$6:$E$64,2,FALSE)*AD11</f>
        <v>0</v>
      </c>
      <c r="AG11" s="1033">
        <f>VLOOKUP(AC11,Düngemittel!$B$6:$E$64,4,FALSE)*AD11</f>
        <v>0</v>
      </c>
      <c r="AH11" s="2089"/>
      <c r="AI11" s="1329"/>
      <c r="AJ11" s="1330" t="s">
        <v>795</v>
      </c>
      <c r="AK11" s="1424">
        <v>0</v>
      </c>
      <c r="AL11" s="1033">
        <f>VLOOKUP(AJ11,Düngemittel!$B$6:$E$64,2,FALSE)*(VLOOKUP(AJ11,Düngemittel!$B$6:$E$64,3,FALSE))/100*AK11</f>
        <v>0</v>
      </c>
      <c r="AM11" s="1033">
        <f>VLOOKUP(AJ11,Düngemittel!$B$6:$E$64,2,FALSE)*AK11</f>
        <v>0</v>
      </c>
      <c r="AN11" s="1033">
        <f>VLOOKUP(AJ11,Düngemittel!$B$6:$E$64,4,FALSE)*AK11</f>
        <v>0</v>
      </c>
      <c r="AO11" s="863"/>
      <c r="AP11" s="1282">
        <f t="shared" ref="AP11:AP29" si="11">IF(X11&lt;Y11,0,X11)+IF(AE11&lt;AF11,0,AE11)+IF(AL11&lt;AM11,0,AL11)</f>
        <v>0</v>
      </c>
      <c r="AQ11" s="1126">
        <f t="shared" ref="AQ11:AQ29" si="12">SUM(X11+AE11+AL11)</f>
        <v>0</v>
      </c>
      <c r="AR11" s="1283">
        <f t="shared" ref="AR11:AR29" si="13">SUM(Y11+AF11+AM11)</f>
        <v>0</v>
      </c>
      <c r="AS11" s="1156">
        <f t="shared" ref="AS11:AS29" si="14">IF(X11&lt;Y11,Y11,0)+IF(AE11&lt;AF11,AF11,0)+IF(AL11&lt;AM11,AM11,0)</f>
        <v>0</v>
      </c>
      <c r="AT11" s="1126">
        <f t="shared" ref="AT11:AT29" si="15">SUM(Z11+AG11+AN11)</f>
        <v>0</v>
      </c>
      <c r="AU11" s="1153"/>
      <c r="AV11" s="1282">
        <f t="shared" ref="AV11:AV29" si="16">AP11*$B11</f>
        <v>0</v>
      </c>
      <c r="AW11" s="1282">
        <f t="shared" ref="AW11:AW29" si="17">AQ11*$B11</f>
        <v>0</v>
      </c>
      <c r="AX11" s="1282">
        <f t="shared" ref="AX11:AX29" si="18">AR11*$B11</f>
        <v>0</v>
      </c>
      <c r="AY11" s="1824">
        <f t="shared" ref="AY11:AY29" si="19">AS11*$B11</f>
        <v>0</v>
      </c>
      <c r="AZ11" s="1282">
        <f t="shared" ref="AZ11:AZ29" si="20">AT11*$B11</f>
        <v>0</v>
      </c>
      <c r="BA11" s="544">
        <f t="shared" si="9"/>
        <v>0</v>
      </c>
      <c r="BB11" s="545">
        <f t="shared" si="10"/>
        <v>40</v>
      </c>
      <c r="BC11" s="350"/>
      <c r="BD11" s="357" t="s">
        <v>555</v>
      </c>
      <c r="BE11" s="357">
        <v>20</v>
      </c>
      <c r="BG11" s="357" t="s">
        <v>547</v>
      </c>
      <c r="BH11" s="357">
        <v>30</v>
      </c>
      <c r="BJ11" s="547" t="s">
        <v>771</v>
      </c>
      <c r="BK11" s="357">
        <v>20</v>
      </c>
    </row>
    <row r="12" spans="1:63" ht="28.5" customHeight="1">
      <c r="A12" s="468" t="s">
        <v>564</v>
      </c>
      <c r="B12" s="1705">
        <v>0</v>
      </c>
      <c r="C12" s="2748"/>
      <c r="D12" s="1568" t="s">
        <v>572</v>
      </c>
      <c r="E12" s="1566">
        <f t="shared" si="0"/>
        <v>0</v>
      </c>
      <c r="F12" s="815" t="s">
        <v>559</v>
      </c>
      <c r="G12" s="595">
        <f t="shared" si="1"/>
        <v>0</v>
      </c>
      <c r="H12" s="596" t="s">
        <v>293</v>
      </c>
      <c r="I12" s="597">
        <f t="shared" si="2"/>
        <v>0</v>
      </c>
      <c r="J12" s="598" t="s">
        <v>551</v>
      </c>
      <c r="K12" s="531" t="s">
        <v>554</v>
      </c>
      <c r="L12" s="595">
        <f t="shared" si="3"/>
        <v>0</v>
      </c>
      <c r="M12" s="2197">
        <v>0</v>
      </c>
      <c r="N12" s="599">
        <f t="shared" si="4"/>
        <v>40</v>
      </c>
      <c r="O12" s="664">
        <f t="shared" si="5"/>
        <v>0</v>
      </c>
      <c r="P12" s="668">
        <v>10</v>
      </c>
      <c r="Q12" s="667">
        <f t="shared" si="6"/>
        <v>0</v>
      </c>
      <c r="R12" s="1042"/>
      <c r="S12" s="870" t="str">
        <f t="shared" si="7"/>
        <v>Fläche 3</v>
      </c>
      <c r="T12" s="866"/>
      <c r="U12" s="1329"/>
      <c r="V12" s="1330" t="s">
        <v>795</v>
      </c>
      <c r="W12" s="1424">
        <v>0</v>
      </c>
      <c r="X12" s="1033">
        <f>VLOOKUP(V12,Düngemittel!$B$6:$E$64,2,FALSE)*(VLOOKUP(V12,Düngemittel!$B$6:$E$64,3,FALSE))/100*W12</f>
        <v>0</v>
      </c>
      <c r="Y12" s="1033">
        <f>VLOOKUP(V12,Düngemittel!$B$6:$E$64,2,FALSE)*W12</f>
        <v>0</v>
      </c>
      <c r="Z12" s="1033">
        <f>VLOOKUP(V12,Düngemittel!$B$6:$E$64,4,FALSE)*W12</f>
        <v>0</v>
      </c>
      <c r="AA12" s="2089"/>
      <c r="AB12" s="1329"/>
      <c r="AC12" s="1330" t="s">
        <v>795</v>
      </c>
      <c r="AD12" s="1424">
        <v>0</v>
      </c>
      <c r="AE12" s="1033">
        <f>VLOOKUP(AC12,Düngemittel!$B$6:$E$64,2,FALSE)*(VLOOKUP(AC12,Düngemittel!$B$6:$E$64,3,FALSE))/100*AD12</f>
        <v>0</v>
      </c>
      <c r="AF12" s="1033">
        <f>VLOOKUP(AC12,Düngemittel!$B$6:$E$64,2,FALSE)*AD12</f>
        <v>0</v>
      </c>
      <c r="AG12" s="1033">
        <f>VLOOKUP(AC12,Düngemittel!$B$6:$E$64,4,FALSE)*AD12</f>
        <v>0</v>
      </c>
      <c r="AH12" s="2089"/>
      <c r="AI12" s="1329"/>
      <c r="AJ12" s="1330" t="s">
        <v>795</v>
      </c>
      <c r="AK12" s="1424">
        <v>0</v>
      </c>
      <c r="AL12" s="1033">
        <f>VLOOKUP(AJ12,Düngemittel!$B$6:$E$64,2,FALSE)*(VLOOKUP(AJ12,Düngemittel!$B$6:$E$64,3,FALSE))/100*AK12</f>
        <v>0</v>
      </c>
      <c r="AM12" s="1033">
        <f>VLOOKUP(AJ12,Düngemittel!$B$6:$E$64,2,FALSE)*AK12</f>
        <v>0</v>
      </c>
      <c r="AN12" s="1033">
        <f>VLOOKUP(AJ12,Düngemittel!$B$6:$E$64,4,FALSE)*AK12</f>
        <v>0</v>
      </c>
      <c r="AO12" s="863"/>
      <c r="AP12" s="1282">
        <f t="shared" si="11"/>
        <v>0</v>
      </c>
      <c r="AQ12" s="1126">
        <f t="shared" si="12"/>
        <v>0</v>
      </c>
      <c r="AR12" s="1283">
        <f t="shared" si="13"/>
        <v>0</v>
      </c>
      <c r="AS12" s="1156">
        <f t="shared" si="14"/>
        <v>0</v>
      </c>
      <c r="AT12" s="1126">
        <f t="shared" si="15"/>
        <v>0</v>
      </c>
      <c r="AU12" s="1153"/>
      <c r="AV12" s="1282">
        <f t="shared" si="16"/>
        <v>0</v>
      </c>
      <c r="AW12" s="1282">
        <f t="shared" si="17"/>
        <v>0</v>
      </c>
      <c r="AX12" s="1282">
        <f t="shared" si="18"/>
        <v>0</v>
      </c>
      <c r="AY12" s="1824">
        <f t="shared" si="19"/>
        <v>0</v>
      </c>
      <c r="AZ12" s="1282">
        <f t="shared" si="20"/>
        <v>0</v>
      </c>
      <c r="BA12" s="544">
        <f t="shared" si="9"/>
        <v>0</v>
      </c>
      <c r="BB12" s="545">
        <f t="shared" si="10"/>
        <v>40</v>
      </c>
      <c r="BC12" s="350"/>
      <c r="BD12" s="357" t="s">
        <v>556</v>
      </c>
      <c r="BE12" s="357">
        <v>0</v>
      </c>
      <c r="BG12" s="357" t="s">
        <v>293</v>
      </c>
      <c r="BH12" s="357">
        <v>0</v>
      </c>
      <c r="BJ12" s="547" t="s">
        <v>772</v>
      </c>
      <c r="BK12" s="357">
        <v>0</v>
      </c>
    </row>
    <row r="13" spans="1:63" ht="28.5" customHeight="1">
      <c r="A13" s="468" t="s">
        <v>565</v>
      </c>
      <c r="B13" s="1705">
        <v>0</v>
      </c>
      <c r="C13" s="2748"/>
      <c r="D13" s="1568" t="s">
        <v>572</v>
      </c>
      <c r="E13" s="1566">
        <f t="shared" si="0"/>
        <v>0</v>
      </c>
      <c r="F13" s="815" t="s">
        <v>559</v>
      </c>
      <c r="G13" s="595">
        <f t="shared" si="1"/>
        <v>0</v>
      </c>
      <c r="H13" s="596" t="s">
        <v>293</v>
      </c>
      <c r="I13" s="597">
        <f t="shared" si="2"/>
        <v>0</v>
      </c>
      <c r="J13" s="598" t="s">
        <v>551</v>
      </c>
      <c r="K13" s="531" t="s">
        <v>554</v>
      </c>
      <c r="L13" s="595">
        <f t="shared" si="3"/>
        <v>0</v>
      </c>
      <c r="M13" s="2197">
        <v>0</v>
      </c>
      <c r="N13" s="599">
        <f t="shared" si="4"/>
        <v>40</v>
      </c>
      <c r="O13" s="664">
        <f t="shared" si="5"/>
        <v>0</v>
      </c>
      <c r="P13" s="668">
        <v>10</v>
      </c>
      <c r="Q13" s="667">
        <f t="shared" si="6"/>
        <v>0</v>
      </c>
      <c r="R13" s="1042"/>
      <c r="S13" s="870" t="str">
        <f t="shared" si="7"/>
        <v>Schlag 4</v>
      </c>
      <c r="T13" s="866"/>
      <c r="U13" s="1329"/>
      <c r="V13" s="1330" t="s">
        <v>795</v>
      </c>
      <c r="W13" s="1424">
        <v>0</v>
      </c>
      <c r="X13" s="1033">
        <f>VLOOKUP(V13,Düngemittel!$B$6:$E$64,2,FALSE)*(VLOOKUP(V13,Düngemittel!$B$6:$E$64,3,FALSE))/100*W13</f>
        <v>0</v>
      </c>
      <c r="Y13" s="1033">
        <f>VLOOKUP(V13,Düngemittel!$B$6:$E$64,2,FALSE)*W13</f>
        <v>0</v>
      </c>
      <c r="Z13" s="1033">
        <f>VLOOKUP(V13,Düngemittel!$B$6:$E$64,4,FALSE)*W13</f>
        <v>0</v>
      </c>
      <c r="AA13" s="2089"/>
      <c r="AB13" s="1329"/>
      <c r="AC13" s="1330" t="s">
        <v>795</v>
      </c>
      <c r="AD13" s="1424">
        <v>0</v>
      </c>
      <c r="AE13" s="1033">
        <f>VLOOKUP(AC13,Düngemittel!$B$6:$E$64,2,FALSE)*(VLOOKUP(AC13,Düngemittel!$B$6:$E$64,3,FALSE))/100*AD13</f>
        <v>0</v>
      </c>
      <c r="AF13" s="1033">
        <f>VLOOKUP(AC13,Düngemittel!$B$6:$E$64,2,FALSE)*AD13</f>
        <v>0</v>
      </c>
      <c r="AG13" s="1033">
        <f>VLOOKUP(AC13,Düngemittel!$B$6:$E$64,4,FALSE)*AD13</f>
        <v>0</v>
      </c>
      <c r="AH13" s="2089"/>
      <c r="AI13" s="1329"/>
      <c r="AJ13" s="1330" t="s">
        <v>795</v>
      </c>
      <c r="AK13" s="1424">
        <v>0</v>
      </c>
      <c r="AL13" s="1033">
        <f>VLOOKUP(AJ13,Düngemittel!$B$6:$E$64,2,FALSE)*(VLOOKUP(AJ13,Düngemittel!$B$6:$E$64,3,FALSE))/100*AK13</f>
        <v>0</v>
      </c>
      <c r="AM13" s="1033">
        <f>VLOOKUP(AJ13,Düngemittel!$B$6:$E$64,2,FALSE)*AK13</f>
        <v>0</v>
      </c>
      <c r="AN13" s="1033">
        <f>VLOOKUP(AJ13,Düngemittel!$B$6:$E$64,4,FALSE)*AK13</f>
        <v>0</v>
      </c>
      <c r="AO13" s="863"/>
      <c r="AP13" s="1282">
        <f t="shared" si="11"/>
        <v>0</v>
      </c>
      <c r="AQ13" s="1126">
        <f t="shared" si="12"/>
        <v>0</v>
      </c>
      <c r="AR13" s="1283">
        <f t="shared" si="13"/>
        <v>0</v>
      </c>
      <c r="AS13" s="1156">
        <f t="shared" si="14"/>
        <v>0</v>
      </c>
      <c r="AT13" s="1126">
        <f t="shared" si="15"/>
        <v>0</v>
      </c>
      <c r="AU13" s="1153"/>
      <c r="AV13" s="1282">
        <f t="shared" si="16"/>
        <v>0</v>
      </c>
      <c r="AW13" s="1282">
        <f t="shared" si="17"/>
        <v>0</v>
      </c>
      <c r="AX13" s="1282">
        <f t="shared" si="18"/>
        <v>0</v>
      </c>
      <c r="AY13" s="1824">
        <f t="shared" si="19"/>
        <v>0</v>
      </c>
      <c r="AZ13" s="1282">
        <f t="shared" si="20"/>
        <v>0</v>
      </c>
      <c r="BA13" s="544">
        <f t="shared" si="9"/>
        <v>0</v>
      </c>
      <c r="BB13" s="545">
        <f t="shared" si="10"/>
        <v>40</v>
      </c>
      <c r="BC13" s="350"/>
      <c r="BD13" s="357" t="s">
        <v>557</v>
      </c>
      <c r="BE13" s="357">
        <v>-40</v>
      </c>
      <c r="BG13" s="357" t="s">
        <v>548</v>
      </c>
      <c r="BH13" s="357">
        <v>-30</v>
      </c>
      <c r="BJ13" s="547" t="s">
        <v>773</v>
      </c>
      <c r="BK13" s="357">
        <v>0</v>
      </c>
    </row>
    <row r="14" spans="1:63" ht="28.5" customHeight="1">
      <c r="A14" s="468">
        <v>5</v>
      </c>
      <c r="B14" s="1705">
        <v>0</v>
      </c>
      <c r="C14" s="2748"/>
      <c r="D14" s="1568" t="s">
        <v>572</v>
      </c>
      <c r="E14" s="1566">
        <f t="shared" si="0"/>
        <v>0</v>
      </c>
      <c r="F14" s="815" t="s">
        <v>559</v>
      </c>
      <c r="G14" s="595">
        <f t="shared" si="1"/>
        <v>0</v>
      </c>
      <c r="H14" s="596" t="s">
        <v>293</v>
      </c>
      <c r="I14" s="597">
        <f t="shared" si="2"/>
        <v>0</v>
      </c>
      <c r="J14" s="598" t="s">
        <v>551</v>
      </c>
      <c r="K14" s="531" t="s">
        <v>554</v>
      </c>
      <c r="L14" s="595">
        <f t="shared" si="3"/>
        <v>0</v>
      </c>
      <c r="M14" s="2197">
        <v>0</v>
      </c>
      <c r="N14" s="599">
        <f t="shared" si="4"/>
        <v>40</v>
      </c>
      <c r="O14" s="664">
        <f t="shared" si="5"/>
        <v>0</v>
      </c>
      <c r="P14" s="668">
        <v>10</v>
      </c>
      <c r="Q14" s="667">
        <f t="shared" si="6"/>
        <v>0</v>
      </c>
      <c r="R14" s="1042"/>
      <c r="S14" s="870">
        <f t="shared" si="7"/>
        <v>5</v>
      </c>
      <c r="T14" s="866"/>
      <c r="U14" s="1329"/>
      <c r="V14" s="1330" t="s">
        <v>795</v>
      </c>
      <c r="W14" s="1424">
        <v>0</v>
      </c>
      <c r="X14" s="1033">
        <f>VLOOKUP(V14,Düngemittel!$B$6:$E$64,2,FALSE)*(VLOOKUP(V14,Düngemittel!$B$6:$E$64,3,FALSE))/100*W14</f>
        <v>0</v>
      </c>
      <c r="Y14" s="1033">
        <f>VLOOKUP(V14,Düngemittel!$B$6:$E$64,2,FALSE)*W14</f>
        <v>0</v>
      </c>
      <c r="Z14" s="1033">
        <f>VLOOKUP(V14,Düngemittel!$B$6:$E$64,4,FALSE)*W14</f>
        <v>0</v>
      </c>
      <c r="AA14" s="2089"/>
      <c r="AB14" s="1329"/>
      <c r="AC14" s="1330" t="s">
        <v>795</v>
      </c>
      <c r="AD14" s="1424">
        <v>0</v>
      </c>
      <c r="AE14" s="1033">
        <f>VLOOKUP(AC14,Düngemittel!$B$6:$E$64,2,FALSE)*(VLOOKUP(AC14,Düngemittel!$B$6:$E$64,3,FALSE))/100*AD14</f>
        <v>0</v>
      </c>
      <c r="AF14" s="1033">
        <f>VLOOKUP(AC14,Düngemittel!$B$6:$E$64,2,FALSE)*AD14</f>
        <v>0</v>
      </c>
      <c r="AG14" s="1033">
        <f>VLOOKUP(AC14,Düngemittel!$B$6:$E$64,4,FALSE)*AD14</f>
        <v>0</v>
      </c>
      <c r="AH14" s="2089"/>
      <c r="AI14" s="1329"/>
      <c r="AJ14" s="1330" t="s">
        <v>795</v>
      </c>
      <c r="AK14" s="1424">
        <v>0</v>
      </c>
      <c r="AL14" s="1033">
        <f>VLOOKUP(AJ14,Düngemittel!$B$6:$E$64,2,FALSE)*(VLOOKUP(AJ14,Düngemittel!$B$6:$E$64,3,FALSE))/100*AK14</f>
        <v>0</v>
      </c>
      <c r="AM14" s="1033">
        <f>VLOOKUP(AJ14,Düngemittel!$B$6:$E$64,2,FALSE)*AK14</f>
        <v>0</v>
      </c>
      <c r="AN14" s="1033">
        <f>VLOOKUP(AJ14,Düngemittel!$B$6:$E$64,4,FALSE)*AK14</f>
        <v>0</v>
      </c>
      <c r="AO14" s="863"/>
      <c r="AP14" s="1282">
        <f t="shared" si="11"/>
        <v>0</v>
      </c>
      <c r="AQ14" s="1126">
        <f t="shared" si="12"/>
        <v>0</v>
      </c>
      <c r="AR14" s="1283">
        <f t="shared" si="13"/>
        <v>0</v>
      </c>
      <c r="AS14" s="1156">
        <f t="shared" si="14"/>
        <v>0</v>
      </c>
      <c r="AT14" s="1126">
        <f t="shared" si="15"/>
        <v>0</v>
      </c>
      <c r="AU14" s="1153"/>
      <c r="AV14" s="1282">
        <f t="shared" si="16"/>
        <v>0</v>
      </c>
      <c r="AW14" s="1282">
        <f t="shared" si="17"/>
        <v>0</v>
      </c>
      <c r="AX14" s="1282">
        <f t="shared" si="18"/>
        <v>0</v>
      </c>
      <c r="AY14" s="1824">
        <f t="shared" si="19"/>
        <v>0</v>
      </c>
      <c r="AZ14" s="1282">
        <f t="shared" si="20"/>
        <v>0</v>
      </c>
      <c r="BA14" s="544">
        <f t="shared" si="9"/>
        <v>0</v>
      </c>
      <c r="BB14" s="545">
        <f t="shared" si="10"/>
        <v>40</v>
      </c>
      <c r="BC14" s="350"/>
      <c r="BD14" s="357" t="s">
        <v>558</v>
      </c>
      <c r="BE14" s="357">
        <v>20</v>
      </c>
      <c r="BJ14" s="547" t="s">
        <v>774</v>
      </c>
      <c r="BK14" s="357">
        <v>-15</v>
      </c>
    </row>
    <row r="15" spans="1:63" ht="28.5" customHeight="1">
      <c r="A15" s="468">
        <v>6</v>
      </c>
      <c r="B15" s="1705">
        <v>0</v>
      </c>
      <c r="C15" s="2748"/>
      <c r="D15" s="1568" t="s">
        <v>572</v>
      </c>
      <c r="E15" s="1566">
        <f t="shared" si="0"/>
        <v>0</v>
      </c>
      <c r="F15" s="815" t="s">
        <v>559</v>
      </c>
      <c r="G15" s="595">
        <f t="shared" si="1"/>
        <v>0</v>
      </c>
      <c r="H15" s="596" t="s">
        <v>293</v>
      </c>
      <c r="I15" s="597">
        <f t="shared" si="2"/>
        <v>0</v>
      </c>
      <c r="J15" s="598" t="s">
        <v>551</v>
      </c>
      <c r="K15" s="531" t="s">
        <v>554</v>
      </c>
      <c r="L15" s="595">
        <f t="shared" si="3"/>
        <v>0</v>
      </c>
      <c r="M15" s="2197">
        <v>0</v>
      </c>
      <c r="N15" s="599">
        <f t="shared" si="4"/>
        <v>40</v>
      </c>
      <c r="O15" s="664">
        <f t="shared" si="5"/>
        <v>0</v>
      </c>
      <c r="P15" s="668">
        <v>10</v>
      </c>
      <c r="Q15" s="667">
        <f t="shared" si="6"/>
        <v>0</v>
      </c>
      <c r="R15" s="1042"/>
      <c r="S15" s="870">
        <f t="shared" si="7"/>
        <v>6</v>
      </c>
      <c r="T15" s="866"/>
      <c r="U15" s="1329"/>
      <c r="V15" s="1330" t="s">
        <v>795</v>
      </c>
      <c r="W15" s="1424">
        <v>0</v>
      </c>
      <c r="X15" s="1033">
        <f>VLOOKUP(V15,Düngemittel!$B$6:$E$64,2,FALSE)*(VLOOKUP(V15,Düngemittel!$B$6:$E$64,3,FALSE))/100*W15</f>
        <v>0</v>
      </c>
      <c r="Y15" s="1033">
        <f>VLOOKUP(V15,Düngemittel!$B$6:$E$64,2,FALSE)*W15</f>
        <v>0</v>
      </c>
      <c r="Z15" s="1033">
        <f>VLOOKUP(V15,Düngemittel!$B$6:$E$64,4,FALSE)*W15</f>
        <v>0</v>
      </c>
      <c r="AA15" s="2089"/>
      <c r="AB15" s="1329"/>
      <c r="AC15" s="1330" t="s">
        <v>795</v>
      </c>
      <c r="AD15" s="1424">
        <v>0</v>
      </c>
      <c r="AE15" s="1033">
        <f>VLOOKUP(AC15,Düngemittel!$B$6:$E$64,2,FALSE)*(VLOOKUP(AC15,Düngemittel!$B$6:$E$64,3,FALSE))/100*AD15</f>
        <v>0</v>
      </c>
      <c r="AF15" s="1033">
        <f>VLOOKUP(AC15,Düngemittel!$B$6:$E$64,2,FALSE)*AD15</f>
        <v>0</v>
      </c>
      <c r="AG15" s="1033">
        <f>VLOOKUP(AC15,Düngemittel!$B$6:$E$64,4,FALSE)*AD15</f>
        <v>0</v>
      </c>
      <c r="AH15" s="2089"/>
      <c r="AI15" s="1329"/>
      <c r="AJ15" s="1330" t="s">
        <v>795</v>
      </c>
      <c r="AK15" s="1424">
        <v>0</v>
      </c>
      <c r="AL15" s="1033">
        <f>VLOOKUP(AJ15,Düngemittel!$B$6:$E$64,2,FALSE)*(VLOOKUP(AJ15,Düngemittel!$B$6:$E$64,3,FALSE))/100*AK15</f>
        <v>0</v>
      </c>
      <c r="AM15" s="1033">
        <f>VLOOKUP(AJ15,Düngemittel!$B$6:$E$64,2,FALSE)*AK15</f>
        <v>0</v>
      </c>
      <c r="AN15" s="1033">
        <f>VLOOKUP(AJ15,Düngemittel!$B$6:$E$64,4,FALSE)*AK15</f>
        <v>0</v>
      </c>
      <c r="AO15" s="863"/>
      <c r="AP15" s="1282">
        <f t="shared" si="11"/>
        <v>0</v>
      </c>
      <c r="AQ15" s="1126">
        <f t="shared" si="12"/>
        <v>0</v>
      </c>
      <c r="AR15" s="1283">
        <f t="shared" si="13"/>
        <v>0</v>
      </c>
      <c r="AS15" s="1156">
        <f t="shared" si="14"/>
        <v>0</v>
      </c>
      <c r="AT15" s="1126">
        <f t="shared" si="15"/>
        <v>0</v>
      </c>
      <c r="AU15" s="1153"/>
      <c r="AV15" s="1282">
        <f t="shared" si="16"/>
        <v>0</v>
      </c>
      <c r="AW15" s="1282">
        <f t="shared" si="17"/>
        <v>0</v>
      </c>
      <c r="AX15" s="1282">
        <f t="shared" si="18"/>
        <v>0</v>
      </c>
      <c r="AY15" s="1824">
        <f t="shared" si="19"/>
        <v>0</v>
      </c>
      <c r="AZ15" s="1282">
        <f t="shared" si="20"/>
        <v>0</v>
      </c>
      <c r="BA15" s="544">
        <f t="shared" si="9"/>
        <v>0</v>
      </c>
      <c r="BB15" s="545">
        <f t="shared" si="10"/>
        <v>40</v>
      </c>
      <c r="BC15" s="347"/>
      <c r="BD15" s="357" t="s">
        <v>559</v>
      </c>
      <c r="BE15" s="357">
        <v>0</v>
      </c>
      <c r="BJ15" s="547" t="s">
        <v>775</v>
      </c>
      <c r="BK15" s="357">
        <v>-20</v>
      </c>
    </row>
    <row r="16" spans="1:63" ht="28.5" customHeight="1">
      <c r="A16" s="468">
        <v>7</v>
      </c>
      <c r="B16" s="1705">
        <v>0</v>
      </c>
      <c r="C16" s="2748"/>
      <c r="D16" s="1568" t="s">
        <v>572</v>
      </c>
      <c r="E16" s="1566">
        <f t="shared" si="0"/>
        <v>0</v>
      </c>
      <c r="F16" s="815" t="s">
        <v>559</v>
      </c>
      <c r="G16" s="595">
        <f t="shared" si="1"/>
        <v>0</v>
      </c>
      <c r="H16" s="596" t="s">
        <v>293</v>
      </c>
      <c r="I16" s="597">
        <f t="shared" si="2"/>
        <v>0</v>
      </c>
      <c r="J16" s="598" t="s">
        <v>551</v>
      </c>
      <c r="K16" s="531" t="s">
        <v>554</v>
      </c>
      <c r="L16" s="595">
        <f t="shared" si="3"/>
        <v>0</v>
      </c>
      <c r="M16" s="2197">
        <v>0</v>
      </c>
      <c r="N16" s="599">
        <f t="shared" si="4"/>
        <v>40</v>
      </c>
      <c r="O16" s="664">
        <f t="shared" si="5"/>
        <v>0</v>
      </c>
      <c r="P16" s="668">
        <v>10</v>
      </c>
      <c r="Q16" s="667">
        <f t="shared" si="6"/>
        <v>0</v>
      </c>
      <c r="R16" s="1042"/>
      <c r="S16" s="870">
        <f t="shared" si="7"/>
        <v>7</v>
      </c>
      <c r="T16" s="866"/>
      <c r="U16" s="1329"/>
      <c r="V16" s="1330" t="s">
        <v>795</v>
      </c>
      <c r="W16" s="1424">
        <v>0</v>
      </c>
      <c r="X16" s="1033">
        <f>VLOOKUP(V16,Düngemittel!$B$6:$E$64,2,FALSE)*(VLOOKUP(V16,Düngemittel!$B$6:$E$64,3,FALSE))/100*W16</f>
        <v>0</v>
      </c>
      <c r="Y16" s="1033">
        <f>VLOOKUP(V16,Düngemittel!$B$6:$E$64,2,FALSE)*W16</f>
        <v>0</v>
      </c>
      <c r="Z16" s="1033">
        <f>VLOOKUP(V16,Düngemittel!$B$6:$E$64,4,FALSE)*W16</f>
        <v>0</v>
      </c>
      <c r="AA16" s="2089"/>
      <c r="AB16" s="1329"/>
      <c r="AC16" s="1330" t="s">
        <v>795</v>
      </c>
      <c r="AD16" s="1424">
        <v>0</v>
      </c>
      <c r="AE16" s="1033">
        <f>VLOOKUP(AC16,Düngemittel!$B$6:$E$64,2,FALSE)*(VLOOKUP(AC16,Düngemittel!$B$6:$E$64,3,FALSE))/100*AD16</f>
        <v>0</v>
      </c>
      <c r="AF16" s="1033">
        <f>VLOOKUP(AC16,Düngemittel!$B$6:$E$64,2,FALSE)*AD16</f>
        <v>0</v>
      </c>
      <c r="AG16" s="1033">
        <f>VLOOKUP(AC16,Düngemittel!$B$6:$E$64,4,FALSE)*AD16</f>
        <v>0</v>
      </c>
      <c r="AH16" s="2089"/>
      <c r="AI16" s="1329"/>
      <c r="AJ16" s="1330" t="s">
        <v>795</v>
      </c>
      <c r="AK16" s="1424">
        <v>0</v>
      </c>
      <c r="AL16" s="1033">
        <f>VLOOKUP(AJ16,Düngemittel!$B$6:$E$64,2,FALSE)*(VLOOKUP(AJ16,Düngemittel!$B$6:$E$64,3,FALSE))/100*AK16</f>
        <v>0</v>
      </c>
      <c r="AM16" s="1033">
        <f>VLOOKUP(AJ16,Düngemittel!$B$6:$E$64,2,FALSE)*AK16</f>
        <v>0</v>
      </c>
      <c r="AN16" s="1033">
        <f>VLOOKUP(AJ16,Düngemittel!$B$6:$E$64,4,FALSE)*AK16</f>
        <v>0</v>
      </c>
      <c r="AO16" s="863"/>
      <c r="AP16" s="1282">
        <f t="shared" si="11"/>
        <v>0</v>
      </c>
      <c r="AQ16" s="1126">
        <f t="shared" si="12"/>
        <v>0</v>
      </c>
      <c r="AR16" s="1283">
        <f t="shared" si="13"/>
        <v>0</v>
      </c>
      <c r="AS16" s="1156">
        <f t="shared" si="14"/>
        <v>0</v>
      </c>
      <c r="AT16" s="1126">
        <f t="shared" si="15"/>
        <v>0</v>
      </c>
      <c r="AU16" s="1153"/>
      <c r="AV16" s="1282">
        <f t="shared" si="16"/>
        <v>0</v>
      </c>
      <c r="AW16" s="1282">
        <f t="shared" si="17"/>
        <v>0</v>
      </c>
      <c r="AX16" s="1282">
        <f t="shared" si="18"/>
        <v>0</v>
      </c>
      <c r="AY16" s="1824">
        <f t="shared" si="19"/>
        <v>0</v>
      </c>
      <c r="AZ16" s="1282">
        <f t="shared" si="20"/>
        <v>0</v>
      </c>
      <c r="BA16" s="544">
        <f t="shared" si="9"/>
        <v>0</v>
      </c>
      <c r="BB16" s="545">
        <f t="shared" si="10"/>
        <v>40</v>
      </c>
      <c r="BD16" s="357" t="s">
        <v>560</v>
      </c>
      <c r="BE16" s="357">
        <v>-40</v>
      </c>
      <c r="BJ16" s="547" t="s">
        <v>776</v>
      </c>
      <c r="BK16" s="357">
        <v>-40</v>
      </c>
    </row>
    <row r="17" spans="1:63" ht="28.5" customHeight="1">
      <c r="A17" s="468">
        <v>8</v>
      </c>
      <c r="B17" s="1705">
        <v>0</v>
      </c>
      <c r="C17" s="2748"/>
      <c r="D17" s="1568" t="s">
        <v>572</v>
      </c>
      <c r="E17" s="1566">
        <f t="shared" si="0"/>
        <v>0</v>
      </c>
      <c r="F17" s="815" t="s">
        <v>559</v>
      </c>
      <c r="G17" s="595">
        <f t="shared" si="1"/>
        <v>0</v>
      </c>
      <c r="H17" s="596" t="s">
        <v>293</v>
      </c>
      <c r="I17" s="597">
        <f t="shared" si="2"/>
        <v>0</v>
      </c>
      <c r="J17" s="598" t="s">
        <v>551</v>
      </c>
      <c r="K17" s="531" t="s">
        <v>554</v>
      </c>
      <c r="L17" s="595">
        <f t="shared" si="3"/>
        <v>0</v>
      </c>
      <c r="M17" s="2197">
        <v>0</v>
      </c>
      <c r="N17" s="599">
        <f t="shared" si="4"/>
        <v>40</v>
      </c>
      <c r="O17" s="664">
        <f t="shared" si="5"/>
        <v>0</v>
      </c>
      <c r="P17" s="668">
        <v>10</v>
      </c>
      <c r="Q17" s="667">
        <f t="shared" si="6"/>
        <v>0</v>
      </c>
      <c r="R17" s="1042"/>
      <c r="S17" s="870">
        <f t="shared" si="7"/>
        <v>8</v>
      </c>
      <c r="T17" s="866"/>
      <c r="U17" s="1329"/>
      <c r="V17" s="1330" t="s">
        <v>795</v>
      </c>
      <c r="W17" s="1424">
        <v>0</v>
      </c>
      <c r="X17" s="1033">
        <f>VLOOKUP(V17,Düngemittel!$B$6:$E$64,2,FALSE)*(VLOOKUP(V17,Düngemittel!$B$6:$E$64,3,FALSE))/100*W17</f>
        <v>0</v>
      </c>
      <c r="Y17" s="1033">
        <f>VLOOKUP(V17,Düngemittel!$B$6:$E$64,2,FALSE)*W17</f>
        <v>0</v>
      </c>
      <c r="Z17" s="1033">
        <f>VLOOKUP(V17,Düngemittel!$B$6:$E$64,4,FALSE)*W17</f>
        <v>0</v>
      </c>
      <c r="AA17" s="2089"/>
      <c r="AB17" s="1329"/>
      <c r="AC17" s="1330" t="s">
        <v>795</v>
      </c>
      <c r="AD17" s="1424">
        <v>0</v>
      </c>
      <c r="AE17" s="1033">
        <f>VLOOKUP(AC17,Düngemittel!$B$6:$E$64,2,FALSE)*(VLOOKUP(AC17,Düngemittel!$B$6:$E$64,3,FALSE))/100*AD17</f>
        <v>0</v>
      </c>
      <c r="AF17" s="1033">
        <f>VLOOKUP(AC17,Düngemittel!$B$6:$E$64,2,FALSE)*AD17</f>
        <v>0</v>
      </c>
      <c r="AG17" s="1033">
        <f>VLOOKUP(AC17,Düngemittel!$B$6:$E$64,4,FALSE)*AD17</f>
        <v>0</v>
      </c>
      <c r="AH17" s="2089"/>
      <c r="AI17" s="1329"/>
      <c r="AJ17" s="1330" t="s">
        <v>795</v>
      </c>
      <c r="AK17" s="1424">
        <v>0</v>
      </c>
      <c r="AL17" s="1033">
        <f>VLOOKUP(AJ17,Düngemittel!$B$6:$E$64,2,FALSE)*(VLOOKUP(AJ17,Düngemittel!$B$6:$E$64,3,FALSE))/100*AK17</f>
        <v>0</v>
      </c>
      <c r="AM17" s="1033">
        <f>VLOOKUP(AJ17,Düngemittel!$B$6:$E$64,2,FALSE)*AK17</f>
        <v>0</v>
      </c>
      <c r="AN17" s="1033">
        <f>VLOOKUP(AJ17,Düngemittel!$B$6:$E$64,4,FALSE)*AK17</f>
        <v>0</v>
      </c>
      <c r="AO17" s="863"/>
      <c r="AP17" s="1282">
        <f t="shared" si="11"/>
        <v>0</v>
      </c>
      <c r="AQ17" s="1126">
        <f t="shared" si="12"/>
        <v>0</v>
      </c>
      <c r="AR17" s="1283">
        <f t="shared" si="13"/>
        <v>0</v>
      </c>
      <c r="AS17" s="1156">
        <f t="shared" si="14"/>
        <v>0</v>
      </c>
      <c r="AT17" s="1126">
        <f t="shared" si="15"/>
        <v>0</v>
      </c>
      <c r="AU17" s="1153"/>
      <c r="AV17" s="1282">
        <f t="shared" si="16"/>
        <v>0</v>
      </c>
      <c r="AW17" s="1282">
        <f t="shared" si="17"/>
        <v>0</v>
      </c>
      <c r="AX17" s="1282">
        <f t="shared" si="18"/>
        <v>0</v>
      </c>
      <c r="AY17" s="1824">
        <f t="shared" si="19"/>
        <v>0</v>
      </c>
      <c r="AZ17" s="1282">
        <f t="shared" si="20"/>
        <v>0</v>
      </c>
      <c r="BA17" s="544">
        <f t="shared" si="9"/>
        <v>0</v>
      </c>
      <c r="BB17" s="545">
        <f t="shared" si="10"/>
        <v>40</v>
      </c>
      <c r="BC17" s="350"/>
      <c r="BD17" s="357" t="s">
        <v>561</v>
      </c>
      <c r="BE17" s="357">
        <v>0</v>
      </c>
      <c r="BJ17" s="547" t="s">
        <v>777</v>
      </c>
      <c r="BK17" s="357">
        <v>-10</v>
      </c>
    </row>
    <row r="18" spans="1:63" ht="28.5" customHeight="1">
      <c r="A18" s="468">
        <v>9</v>
      </c>
      <c r="B18" s="1705">
        <v>0</v>
      </c>
      <c r="C18" s="2748"/>
      <c r="D18" s="1568" t="s">
        <v>572</v>
      </c>
      <c r="E18" s="1566">
        <f t="shared" si="0"/>
        <v>0</v>
      </c>
      <c r="F18" s="815" t="s">
        <v>559</v>
      </c>
      <c r="G18" s="595">
        <f t="shared" si="1"/>
        <v>0</v>
      </c>
      <c r="H18" s="596" t="s">
        <v>293</v>
      </c>
      <c r="I18" s="597">
        <f t="shared" si="2"/>
        <v>0</v>
      </c>
      <c r="J18" s="598" t="s">
        <v>551</v>
      </c>
      <c r="K18" s="531" t="s">
        <v>554</v>
      </c>
      <c r="L18" s="595">
        <f t="shared" si="3"/>
        <v>0</v>
      </c>
      <c r="M18" s="2197">
        <v>0</v>
      </c>
      <c r="N18" s="599">
        <f t="shared" si="4"/>
        <v>40</v>
      </c>
      <c r="O18" s="664">
        <f t="shared" si="5"/>
        <v>0</v>
      </c>
      <c r="P18" s="668">
        <v>10</v>
      </c>
      <c r="Q18" s="667">
        <f t="shared" si="6"/>
        <v>0</v>
      </c>
      <c r="R18" s="1042"/>
      <c r="S18" s="870">
        <f t="shared" si="7"/>
        <v>9</v>
      </c>
      <c r="T18" s="866"/>
      <c r="U18" s="1329"/>
      <c r="V18" s="1330" t="s">
        <v>795</v>
      </c>
      <c r="W18" s="1424">
        <v>0</v>
      </c>
      <c r="X18" s="1033">
        <f>VLOOKUP(V18,Düngemittel!$B$6:$E$64,2,FALSE)*(VLOOKUP(V18,Düngemittel!$B$6:$E$64,3,FALSE))/100*W18</f>
        <v>0</v>
      </c>
      <c r="Y18" s="1033">
        <f>VLOOKUP(V18,Düngemittel!$B$6:$E$64,2,FALSE)*W18</f>
        <v>0</v>
      </c>
      <c r="Z18" s="1033">
        <f>VLOOKUP(V18,Düngemittel!$B$6:$E$64,4,FALSE)*W18</f>
        <v>0</v>
      </c>
      <c r="AA18" s="2089"/>
      <c r="AB18" s="1329"/>
      <c r="AC18" s="1330" t="s">
        <v>795</v>
      </c>
      <c r="AD18" s="1424">
        <v>0</v>
      </c>
      <c r="AE18" s="1033">
        <f>VLOOKUP(AC18,Düngemittel!$B$6:$E$64,2,FALSE)*(VLOOKUP(AC18,Düngemittel!$B$6:$E$64,3,FALSE))/100*AD18</f>
        <v>0</v>
      </c>
      <c r="AF18" s="1033">
        <f>VLOOKUP(AC18,Düngemittel!$B$6:$E$64,2,FALSE)*AD18</f>
        <v>0</v>
      </c>
      <c r="AG18" s="1033">
        <f>VLOOKUP(AC18,Düngemittel!$B$6:$E$64,4,FALSE)*AD18</f>
        <v>0</v>
      </c>
      <c r="AH18" s="2089"/>
      <c r="AI18" s="1329"/>
      <c r="AJ18" s="1330" t="s">
        <v>795</v>
      </c>
      <c r="AK18" s="1424">
        <v>0</v>
      </c>
      <c r="AL18" s="1033">
        <f>VLOOKUP(AJ18,Düngemittel!$B$6:$E$64,2,FALSE)*(VLOOKUP(AJ18,Düngemittel!$B$6:$E$64,3,FALSE))/100*AK18</f>
        <v>0</v>
      </c>
      <c r="AM18" s="1033">
        <f>VLOOKUP(AJ18,Düngemittel!$B$6:$E$64,2,FALSE)*AK18</f>
        <v>0</v>
      </c>
      <c r="AN18" s="1033">
        <f>VLOOKUP(AJ18,Düngemittel!$B$6:$E$64,4,FALSE)*AK18</f>
        <v>0</v>
      </c>
      <c r="AO18" s="863"/>
      <c r="AP18" s="1282">
        <f t="shared" si="11"/>
        <v>0</v>
      </c>
      <c r="AQ18" s="1126">
        <f t="shared" si="12"/>
        <v>0</v>
      </c>
      <c r="AR18" s="1283">
        <f t="shared" si="13"/>
        <v>0</v>
      </c>
      <c r="AS18" s="1156">
        <f t="shared" si="14"/>
        <v>0</v>
      </c>
      <c r="AT18" s="1126">
        <f t="shared" si="15"/>
        <v>0</v>
      </c>
      <c r="AU18" s="1153"/>
      <c r="AV18" s="1282">
        <f t="shared" si="16"/>
        <v>0</v>
      </c>
      <c r="AW18" s="1282">
        <f t="shared" si="17"/>
        <v>0</v>
      </c>
      <c r="AX18" s="1282">
        <f t="shared" si="18"/>
        <v>0</v>
      </c>
      <c r="AY18" s="1824">
        <f t="shared" si="19"/>
        <v>0</v>
      </c>
      <c r="AZ18" s="1282">
        <f t="shared" si="20"/>
        <v>0</v>
      </c>
      <c r="BA18" s="544">
        <f t="shared" si="9"/>
        <v>0</v>
      </c>
      <c r="BB18" s="545">
        <f t="shared" si="10"/>
        <v>40</v>
      </c>
      <c r="BC18" s="350"/>
      <c r="BD18" s="357" t="s">
        <v>697</v>
      </c>
      <c r="BE18" s="357">
        <v>-40</v>
      </c>
      <c r="BJ18" s="547" t="s">
        <v>779</v>
      </c>
      <c r="BK18" s="357">
        <v>-25</v>
      </c>
    </row>
    <row r="19" spans="1:63" ht="28.5" customHeight="1">
      <c r="A19" s="468">
        <v>10</v>
      </c>
      <c r="B19" s="1705">
        <v>0</v>
      </c>
      <c r="C19" s="2748"/>
      <c r="D19" s="1568" t="s">
        <v>572</v>
      </c>
      <c r="E19" s="1566">
        <f t="shared" si="0"/>
        <v>0</v>
      </c>
      <c r="F19" s="815" t="s">
        <v>559</v>
      </c>
      <c r="G19" s="595">
        <f t="shared" si="1"/>
        <v>0</v>
      </c>
      <c r="H19" s="596" t="s">
        <v>293</v>
      </c>
      <c r="I19" s="597">
        <f t="shared" si="2"/>
        <v>0</v>
      </c>
      <c r="J19" s="598" t="s">
        <v>551</v>
      </c>
      <c r="K19" s="531" t="s">
        <v>554</v>
      </c>
      <c r="L19" s="595">
        <f t="shared" si="3"/>
        <v>0</v>
      </c>
      <c r="M19" s="2197">
        <v>0</v>
      </c>
      <c r="N19" s="599">
        <f t="shared" si="4"/>
        <v>40</v>
      </c>
      <c r="O19" s="664">
        <f t="shared" si="5"/>
        <v>0</v>
      </c>
      <c r="P19" s="668">
        <v>10</v>
      </c>
      <c r="Q19" s="667">
        <f t="shared" si="6"/>
        <v>0</v>
      </c>
      <c r="R19" s="1042"/>
      <c r="S19" s="870">
        <f t="shared" si="7"/>
        <v>10</v>
      </c>
      <c r="T19" s="866"/>
      <c r="U19" s="1329"/>
      <c r="V19" s="1330" t="s">
        <v>795</v>
      </c>
      <c r="W19" s="1424">
        <v>0</v>
      </c>
      <c r="X19" s="1033">
        <f>VLOOKUP(V19,Düngemittel!$B$6:$E$64,2,FALSE)*(VLOOKUP(V19,Düngemittel!$B$6:$E$64,3,FALSE))/100*W19</f>
        <v>0</v>
      </c>
      <c r="Y19" s="1033">
        <f>VLOOKUP(V19,Düngemittel!$B$6:$E$64,2,FALSE)*W19</f>
        <v>0</v>
      </c>
      <c r="Z19" s="1033">
        <f>VLOOKUP(V19,Düngemittel!$B$6:$E$64,4,FALSE)*W19</f>
        <v>0</v>
      </c>
      <c r="AA19" s="2089"/>
      <c r="AB19" s="1329"/>
      <c r="AC19" s="1330" t="s">
        <v>795</v>
      </c>
      <c r="AD19" s="1424">
        <v>0</v>
      </c>
      <c r="AE19" s="1033">
        <f>VLOOKUP(AC19,Düngemittel!$B$6:$E$64,2,FALSE)*(VLOOKUP(AC19,Düngemittel!$B$6:$E$64,3,FALSE))/100*AD19</f>
        <v>0</v>
      </c>
      <c r="AF19" s="1033">
        <f>VLOOKUP(AC19,Düngemittel!$B$6:$E$64,2,FALSE)*AD19</f>
        <v>0</v>
      </c>
      <c r="AG19" s="1033">
        <f>VLOOKUP(AC19,Düngemittel!$B$6:$E$64,4,FALSE)*AD19</f>
        <v>0</v>
      </c>
      <c r="AH19" s="2089"/>
      <c r="AI19" s="1329"/>
      <c r="AJ19" s="1330" t="s">
        <v>795</v>
      </c>
      <c r="AK19" s="1424">
        <v>0</v>
      </c>
      <c r="AL19" s="1033">
        <f>VLOOKUP(AJ19,Düngemittel!$B$6:$E$64,2,FALSE)*(VLOOKUP(AJ19,Düngemittel!$B$6:$E$64,3,FALSE))/100*AK19</f>
        <v>0</v>
      </c>
      <c r="AM19" s="1033">
        <f>VLOOKUP(AJ19,Düngemittel!$B$6:$E$64,2,FALSE)*AK19</f>
        <v>0</v>
      </c>
      <c r="AN19" s="1033">
        <f>VLOOKUP(AJ19,Düngemittel!$B$6:$E$64,4,FALSE)*AK19</f>
        <v>0</v>
      </c>
      <c r="AO19" s="863"/>
      <c r="AP19" s="1282">
        <f t="shared" si="11"/>
        <v>0</v>
      </c>
      <c r="AQ19" s="1126">
        <f t="shared" si="12"/>
        <v>0</v>
      </c>
      <c r="AR19" s="1283">
        <f t="shared" si="13"/>
        <v>0</v>
      </c>
      <c r="AS19" s="1156">
        <f t="shared" si="14"/>
        <v>0</v>
      </c>
      <c r="AT19" s="1126">
        <f t="shared" si="15"/>
        <v>0</v>
      </c>
      <c r="AU19" s="1153"/>
      <c r="AV19" s="1282">
        <f t="shared" si="16"/>
        <v>0</v>
      </c>
      <c r="AW19" s="1282">
        <f t="shared" si="17"/>
        <v>0</v>
      </c>
      <c r="AX19" s="1282">
        <f t="shared" si="18"/>
        <v>0</v>
      </c>
      <c r="AY19" s="1824">
        <f t="shared" si="19"/>
        <v>0</v>
      </c>
      <c r="AZ19" s="1282">
        <f t="shared" si="20"/>
        <v>0</v>
      </c>
      <c r="BA19" s="544">
        <f t="shared" si="9"/>
        <v>0</v>
      </c>
      <c r="BB19" s="545">
        <f t="shared" si="10"/>
        <v>40</v>
      </c>
      <c r="BC19" s="350"/>
      <c r="BD19" s="357" t="s">
        <v>768</v>
      </c>
      <c r="BE19" s="357">
        <v>0</v>
      </c>
      <c r="BJ19" s="547" t="s">
        <v>778</v>
      </c>
      <c r="BK19" s="357">
        <v>-50</v>
      </c>
    </row>
    <row r="20" spans="1:63" ht="28.5" customHeight="1">
      <c r="A20" s="468">
        <v>11</v>
      </c>
      <c r="B20" s="1705">
        <v>0</v>
      </c>
      <c r="C20" s="2748"/>
      <c r="D20" s="1568" t="s">
        <v>572</v>
      </c>
      <c r="E20" s="1566">
        <f t="shared" si="0"/>
        <v>0</v>
      </c>
      <c r="F20" s="815" t="s">
        <v>559</v>
      </c>
      <c r="G20" s="595">
        <f t="shared" si="1"/>
        <v>0</v>
      </c>
      <c r="H20" s="596" t="s">
        <v>293</v>
      </c>
      <c r="I20" s="597">
        <f t="shared" si="2"/>
        <v>0</v>
      </c>
      <c r="J20" s="598" t="s">
        <v>551</v>
      </c>
      <c r="K20" s="531" t="s">
        <v>554</v>
      </c>
      <c r="L20" s="595">
        <f t="shared" si="3"/>
        <v>0</v>
      </c>
      <c r="M20" s="2197">
        <v>0</v>
      </c>
      <c r="N20" s="599">
        <f t="shared" si="4"/>
        <v>40</v>
      </c>
      <c r="O20" s="664">
        <f t="shared" si="5"/>
        <v>0</v>
      </c>
      <c r="P20" s="668">
        <v>10</v>
      </c>
      <c r="Q20" s="667">
        <f t="shared" si="6"/>
        <v>0</v>
      </c>
      <c r="R20" s="1042"/>
      <c r="S20" s="870">
        <f t="shared" si="7"/>
        <v>11</v>
      </c>
      <c r="T20" s="866"/>
      <c r="U20" s="1329"/>
      <c r="V20" s="1330" t="s">
        <v>795</v>
      </c>
      <c r="W20" s="1424">
        <v>0</v>
      </c>
      <c r="X20" s="1033">
        <f>VLOOKUP(V20,Düngemittel!$B$6:$E$64,2,FALSE)*(VLOOKUP(V20,Düngemittel!$B$6:$E$64,3,FALSE))/100*W20</f>
        <v>0</v>
      </c>
      <c r="Y20" s="1033">
        <f>VLOOKUP(V20,Düngemittel!$B$6:$E$64,2,FALSE)*W20</f>
        <v>0</v>
      </c>
      <c r="Z20" s="1033">
        <f>VLOOKUP(V20,Düngemittel!$B$6:$E$64,4,FALSE)*W20</f>
        <v>0</v>
      </c>
      <c r="AA20" s="2089"/>
      <c r="AB20" s="1329"/>
      <c r="AC20" s="1330" t="s">
        <v>795</v>
      </c>
      <c r="AD20" s="1424">
        <v>0</v>
      </c>
      <c r="AE20" s="1033">
        <f>VLOOKUP(AC20,Düngemittel!$B$6:$E$64,2,FALSE)*(VLOOKUP(AC20,Düngemittel!$B$6:$E$64,3,FALSE))/100*AD20</f>
        <v>0</v>
      </c>
      <c r="AF20" s="1033">
        <f>VLOOKUP(AC20,Düngemittel!$B$6:$E$64,2,FALSE)*AD20</f>
        <v>0</v>
      </c>
      <c r="AG20" s="1033">
        <f>VLOOKUP(AC20,Düngemittel!$B$6:$E$64,4,FALSE)*AD20</f>
        <v>0</v>
      </c>
      <c r="AH20" s="2089"/>
      <c r="AI20" s="1329"/>
      <c r="AJ20" s="1330" t="s">
        <v>795</v>
      </c>
      <c r="AK20" s="1424">
        <v>0</v>
      </c>
      <c r="AL20" s="1033">
        <f>VLOOKUP(AJ20,Düngemittel!$B$6:$E$64,2,FALSE)*(VLOOKUP(AJ20,Düngemittel!$B$6:$E$64,3,FALSE))/100*AK20</f>
        <v>0</v>
      </c>
      <c r="AM20" s="1033">
        <f>VLOOKUP(AJ20,Düngemittel!$B$6:$E$64,2,FALSE)*AK20</f>
        <v>0</v>
      </c>
      <c r="AN20" s="1033">
        <f>VLOOKUP(AJ20,Düngemittel!$B$6:$E$64,4,FALSE)*AK20</f>
        <v>0</v>
      </c>
      <c r="AO20" s="863"/>
      <c r="AP20" s="1282">
        <f t="shared" si="11"/>
        <v>0</v>
      </c>
      <c r="AQ20" s="1126">
        <f t="shared" si="12"/>
        <v>0</v>
      </c>
      <c r="AR20" s="1283">
        <f t="shared" si="13"/>
        <v>0</v>
      </c>
      <c r="AS20" s="1156">
        <f t="shared" si="14"/>
        <v>0</v>
      </c>
      <c r="AT20" s="1126">
        <f t="shared" si="15"/>
        <v>0</v>
      </c>
      <c r="AU20" s="1153"/>
      <c r="AV20" s="1282">
        <f t="shared" si="16"/>
        <v>0</v>
      </c>
      <c r="AW20" s="1282">
        <f t="shared" si="17"/>
        <v>0</v>
      </c>
      <c r="AX20" s="1282">
        <f t="shared" si="18"/>
        <v>0</v>
      </c>
      <c r="AY20" s="1824">
        <f t="shared" si="19"/>
        <v>0</v>
      </c>
      <c r="AZ20" s="1282">
        <f t="shared" si="20"/>
        <v>0</v>
      </c>
      <c r="BA20" s="544">
        <f t="shared" si="9"/>
        <v>0</v>
      </c>
      <c r="BB20" s="545">
        <f t="shared" si="10"/>
        <v>40</v>
      </c>
      <c r="BC20" s="350"/>
      <c r="BD20" s="357" t="s">
        <v>769</v>
      </c>
      <c r="BE20" s="357">
        <v>-40</v>
      </c>
      <c r="BJ20" s="547" t="s">
        <v>550</v>
      </c>
      <c r="BK20" s="357">
        <v>-10</v>
      </c>
    </row>
    <row r="21" spans="1:63" ht="28.5" customHeight="1">
      <c r="A21" s="468">
        <v>12</v>
      </c>
      <c r="B21" s="1705">
        <v>0</v>
      </c>
      <c r="C21" s="2748"/>
      <c r="D21" s="1568" t="s">
        <v>572</v>
      </c>
      <c r="E21" s="1566">
        <f t="shared" si="0"/>
        <v>0</v>
      </c>
      <c r="F21" s="815" t="s">
        <v>559</v>
      </c>
      <c r="G21" s="595">
        <f t="shared" si="1"/>
        <v>0</v>
      </c>
      <c r="H21" s="596" t="s">
        <v>293</v>
      </c>
      <c r="I21" s="597">
        <f t="shared" si="2"/>
        <v>0</v>
      </c>
      <c r="J21" s="598" t="s">
        <v>551</v>
      </c>
      <c r="K21" s="531" t="s">
        <v>554</v>
      </c>
      <c r="L21" s="595">
        <f t="shared" si="3"/>
        <v>0</v>
      </c>
      <c r="M21" s="2197">
        <v>0</v>
      </c>
      <c r="N21" s="599">
        <f t="shared" si="4"/>
        <v>40</v>
      </c>
      <c r="O21" s="664">
        <f t="shared" si="5"/>
        <v>0</v>
      </c>
      <c r="P21" s="668">
        <v>10</v>
      </c>
      <c r="Q21" s="667">
        <f t="shared" si="6"/>
        <v>0</v>
      </c>
      <c r="R21" s="1042"/>
      <c r="S21" s="870">
        <f t="shared" si="7"/>
        <v>12</v>
      </c>
      <c r="T21" s="866"/>
      <c r="U21" s="1329"/>
      <c r="V21" s="1330" t="s">
        <v>795</v>
      </c>
      <c r="W21" s="1424">
        <v>0</v>
      </c>
      <c r="X21" s="1033">
        <f>VLOOKUP(V21,Düngemittel!$B$6:$E$64,2,FALSE)*(VLOOKUP(V21,Düngemittel!$B$6:$E$64,3,FALSE))/100*W21</f>
        <v>0</v>
      </c>
      <c r="Y21" s="1033">
        <f>VLOOKUP(V21,Düngemittel!$B$6:$E$64,2,FALSE)*W21</f>
        <v>0</v>
      </c>
      <c r="Z21" s="1033">
        <f>VLOOKUP(V21,Düngemittel!$B$6:$E$64,4,FALSE)*W21</f>
        <v>0</v>
      </c>
      <c r="AA21" s="2089"/>
      <c r="AB21" s="1329"/>
      <c r="AC21" s="1330" t="s">
        <v>795</v>
      </c>
      <c r="AD21" s="1424">
        <v>0</v>
      </c>
      <c r="AE21" s="1033">
        <f>VLOOKUP(AC21,Düngemittel!$B$6:$E$64,2,FALSE)*(VLOOKUP(AC21,Düngemittel!$B$6:$E$64,3,FALSE))/100*AD21</f>
        <v>0</v>
      </c>
      <c r="AF21" s="1033">
        <f>VLOOKUP(AC21,Düngemittel!$B$6:$E$64,2,FALSE)*AD21</f>
        <v>0</v>
      </c>
      <c r="AG21" s="1033">
        <f>VLOOKUP(AC21,Düngemittel!$B$6:$E$64,4,FALSE)*AD21</f>
        <v>0</v>
      </c>
      <c r="AH21" s="2089"/>
      <c r="AI21" s="1329"/>
      <c r="AJ21" s="1330" t="s">
        <v>795</v>
      </c>
      <c r="AK21" s="1424">
        <v>0</v>
      </c>
      <c r="AL21" s="1033">
        <f>VLOOKUP(AJ21,Düngemittel!$B$6:$E$64,2,FALSE)*(VLOOKUP(AJ21,Düngemittel!$B$6:$E$64,3,FALSE))/100*AK21</f>
        <v>0</v>
      </c>
      <c r="AM21" s="1033">
        <f>VLOOKUP(AJ21,Düngemittel!$B$6:$E$64,2,FALSE)*AK21</f>
        <v>0</v>
      </c>
      <c r="AN21" s="1033">
        <f>VLOOKUP(AJ21,Düngemittel!$B$6:$E$64,4,FALSE)*AK21</f>
        <v>0</v>
      </c>
      <c r="AO21" s="863"/>
      <c r="AP21" s="1282">
        <f t="shared" si="11"/>
        <v>0</v>
      </c>
      <c r="AQ21" s="1126">
        <f t="shared" si="12"/>
        <v>0</v>
      </c>
      <c r="AR21" s="1283">
        <f t="shared" si="13"/>
        <v>0</v>
      </c>
      <c r="AS21" s="1156">
        <f t="shared" si="14"/>
        <v>0</v>
      </c>
      <c r="AT21" s="1126">
        <f t="shared" si="15"/>
        <v>0</v>
      </c>
      <c r="AU21" s="1153"/>
      <c r="AV21" s="1282">
        <f t="shared" si="16"/>
        <v>0</v>
      </c>
      <c r="AW21" s="1282">
        <f t="shared" si="17"/>
        <v>0</v>
      </c>
      <c r="AX21" s="1282">
        <f t="shared" si="18"/>
        <v>0</v>
      </c>
      <c r="AY21" s="1824">
        <f t="shared" si="19"/>
        <v>0</v>
      </c>
      <c r="AZ21" s="1282">
        <f t="shared" si="20"/>
        <v>0</v>
      </c>
      <c r="BA21" s="544">
        <f t="shared" si="9"/>
        <v>0</v>
      </c>
      <c r="BB21" s="545">
        <f t="shared" si="10"/>
        <v>40</v>
      </c>
      <c r="BC21" s="350"/>
      <c r="BJ21" s="357" t="s">
        <v>780</v>
      </c>
      <c r="BK21" s="357">
        <v>-10</v>
      </c>
    </row>
    <row r="22" spans="1:63" ht="28.5" customHeight="1">
      <c r="A22" s="468">
        <v>13</v>
      </c>
      <c r="B22" s="1705">
        <v>0</v>
      </c>
      <c r="C22" s="2748"/>
      <c r="D22" s="1568" t="s">
        <v>572</v>
      </c>
      <c r="E22" s="1566">
        <f t="shared" si="0"/>
        <v>0</v>
      </c>
      <c r="F22" s="815" t="s">
        <v>559</v>
      </c>
      <c r="G22" s="595">
        <f t="shared" si="1"/>
        <v>0</v>
      </c>
      <c r="H22" s="596" t="s">
        <v>293</v>
      </c>
      <c r="I22" s="597">
        <f t="shared" si="2"/>
        <v>0</v>
      </c>
      <c r="J22" s="598" t="s">
        <v>551</v>
      </c>
      <c r="K22" s="531" t="s">
        <v>554</v>
      </c>
      <c r="L22" s="595">
        <f t="shared" si="3"/>
        <v>0</v>
      </c>
      <c r="M22" s="2197">
        <v>0</v>
      </c>
      <c r="N22" s="599">
        <f t="shared" si="4"/>
        <v>40</v>
      </c>
      <c r="O22" s="664">
        <f t="shared" si="5"/>
        <v>0</v>
      </c>
      <c r="P22" s="668">
        <v>10</v>
      </c>
      <c r="Q22" s="667">
        <f t="shared" si="6"/>
        <v>0</v>
      </c>
      <c r="R22" s="1042"/>
      <c r="S22" s="870">
        <f t="shared" si="7"/>
        <v>13</v>
      </c>
      <c r="T22" s="866"/>
      <c r="U22" s="1329"/>
      <c r="V22" s="1330" t="s">
        <v>795</v>
      </c>
      <c r="W22" s="1424">
        <v>0</v>
      </c>
      <c r="X22" s="1033">
        <f>VLOOKUP(V22,Düngemittel!$B$6:$E$64,2,FALSE)*(VLOOKUP(V22,Düngemittel!$B$6:$E$64,3,FALSE))/100*W22</f>
        <v>0</v>
      </c>
      <c r="Y22" s="1033">
        <f>VLOOKUP(V22,Düngemittel!$B$6:$E$64,2,FALSE)*W22</f>
        <v>0</v>
      </c>
      <c r="Z22" s="1033">
        <f>VLOOKUP(V22,Düngemittel!$B$6:$E$64,4,FALSE)*W22</f>
        <v>0</v>
      </c>
      <c r="AA22" s="2089"/>
      <c r="AB22" s="1329"/>
      <c r="AC22" s="1330" t="s">
        <v>795</v>
      </c>
      <c r="AD22" s="1424">
        <v>0</v>
      </c>
      <c r="AE22" s="1033">
        <f>VLOOKUP(AC22,Düngemittel!$B$6:$E$64,2,FALSE)*(VLOOKUP(AC22,Düngemittel!$B$6:$E$64,3,FALSE))/100*AD22</f>
        <v>0</v>
      </c>
      <c r="AF22" s="1033">
        <f>VLOOKUP(AC22,Düngemittel!$B$6:$E$64,2,FALSE)*AD22</f>
        <v>0</v>
      </c>
      <c r="AG22" s="1033">
        <f>VLOOKUP(AC22,Düngemittel!$B$6:$E$64,4,FALSE)*AD22</f>
        <v>0</v>
      </c>
      <c r="AH22" s="2089"/>
      <c r="AI22" s="1329"/>
      <c r="AJ22" s="1330" t="s">
        <v>795</v>
      </c>
      <c r="AK22" s="1424">
        <v>0</v>
      </c>
      <c r="AL22" s="1033">
        <f>VLOOKUP(AJ22,Düngemittel!$B$6:$E$64,2,FALSE)*(VLOOKUP(AJ22,Düngemittel!$B$6:$E$64,3,FALSE))/100*AK22</f>
        <v>0</v>
      </c>
      <c r="AM22" s="1033">
        <f>VLOOKUP(AJ22,Düngemittel!$B$6:$E$64,2,FALSE)*AK22</f>
        <v>0</v>
      </c>
      <c r="AN22" s="1033">
        <f>VLOOKUP(AJ22,Düngemittel!$B$6:$E$64,4,FALSE)*AK22</f>
        <v>0</v>
      </c>
      <c r="AO22" s="863"/>
      <c r="AP22" s="1282">
        <f t="shared" si="11"/>
        <v>0</v>
      </c>
      <c r="AQ22" s="1126">
        <f t="shared" si="12"/>
        <v>0</v>
      </c>
      <c r="AR22" s="1283">
        <f t="shared" si="13"/>
        <v>0</v>
      </c>
      <c r="AS22" s="1156">
        <f t="shared" si="14"/>
        <v>0</v>
      </c>
      <c r="AT22" s="1126">
        <f t="shared" si="15"/>
        <v>0</v>
      </c>
      <c r="AU22" s="1153"/>
      <c r="AV22" s="1282">
        <f t="shared" si="16"/>
        <v>0</v>
      </c>
      <c r="AW22" s="1282">
        <f t="shared" si="17"/>
        <v>0</v>
      </c>
      <c r="AX22" s="1282">
        <f t="shared" si="18"/>
        <v>0</v>
      </c>
      <c r="AY22" s="1824">
        <f t="shared" si="19"/>
        <v>0</v>
      </c>
      <c r="AZ22" s="1282">
        <f t="shared" si="20"/>
        <v>0</v>
      </c>
      <c r="BA22" s="544">
        <f t="shared" si="9"/>
        <v>0</v>
      </c>
      <c r="BB22" s="545">
        <f t="shared" si="10"/>
        <v>40</v>
      </c>
      <c r="BC22" s="350"/>
      <c r="BJ22" s="357" t="s">
        <v>551</v>
      </c>
      <c r="BK22" s="357">
        <v>0</v>
      </c>
    </row>
    <row r="23" spans="1:63" ht="28.5" customHeight="1">
      <c r="A23" s="468">
        <v>14</v>
      </c>
      <c r="B23" s="1705">
        <v>0</v>
      </c>
      <c r="C23" s="2748"/>
      <c r="D23" s="1568" t="s">
        <v>572</v>
      </c>
      <c r="E23" s="1566">
        <f t="shared" si="0"/>
        <v>0</v>
      </c>
      <c r="F23" s="815" t="s">
        <v>559</v>
      </c>
      <c r="G23" s="595">
        <f t="shared" si="1"/>
        <v>0</v>
      </c>
      <c r="H23" s="596" t="s">
        <v>293</v>
      </c>
      <c r="I23" s="597">
        <f t="shared" si="2"/>
        <v>0</v>
      </c>
      <c r="J23" s="598" t="s">
        <v>551</v>
      </c>
      <c r="K23" s="531" t="s">
        <v>554</v>
      </c>
      <c r="L23" s="595">
        <f t="shared" si="3"/>
        <v>0</v>
      </c>
      <c r="M23" s="2197">
        <v>0</v>
      </c>
      <c r="N23" s="599">
        <f t="shared" si="4"/>
        <v>40</v>
      </c>
      <c r="O23" s="664">
        <f t="shared" si="5"/>
        <v>0</v>
      </c>
      <c r="P23" s="668">
        <v>10</v>
      </c>
      <c r="Q23" s="667">
        <f t="shared" si="6"/>
        <v>0</v>
      </c>
      <c r="R23" s="1042"/>
      <c r="S23" s="870">
        <f t="shared" si="7"/>
        <v>14</v>
      </c>
      <c r="T23" s="866"/>
      <c r="U23" s="1329"/>
      <c r="V23" s="1330" t="s">
        <v>795</v>
      </c>
      <c r="W23" s="1424">
        <v>0</v>
      </c>
      <c r="X23" s="1033">
        <f>VLOOKUP(V23,Düngemittel!$B$6:$E$64,2,FALSE)*(VLOOKUP(V23,Düngemittel!$B$6:$E$64,3,FALSE))/100*W23</f>
        <v>0</v>
      </c>
      <c r="Y23" s="1033">
        <f>VLOOKUP(V23,Düngemittel!$B$6:$E$64,2,FALSE)*W23</f>
        <v>0</v>
      </c>
      <c r="Z23" s="1033">
        <f>VLOOKUP(V23,Düngemittel!$B$6:$E$64,4,FALSE)*W23</f>
        <v>0</v>
      </c>
      <c r="AA23" s="2089"/>
      <c r="AB23" s="1329"/>
      <c r="AC23" s="1330" t="s">
        <v>795</v>
      </c>
      <c r="AD23" s="1424">
        <v>0</v>
      </c>
      <c r="AE23" s="1033">
        <f>VLOOKUP(AC23,Düngemittel!$B$6:$E$64,2,FALSE)*(VLOOKUP(AC23,Düngemittel!$B$6:$E$64,3,FALSE))/100*AD23</f>
        <v>0</v>
      </c>
      <c r="AF23" s="1033">
        <f>VLOOKUP(AC23,Düngemittel!$B$6:$E$64,2,FALSE)*AD23</f>
        <v>0</v>
      </c>
      <c r="AG23" s="1033">
        <f>VLOOKUP(AC23,Düngemittel!$B$6:$E$64,4,FALSE)*AD23</f>
        <v>0</v>
      </c>
      <c r="AH23" s="2089"/>
      <c r="AI23" s="1329"/>
      <c r="AJ23" s="1330" t="s">
        <v>795</v>
      </c>
      <c r="AK23" s="1424">
        <v>0</v>
      </c>
      <c r="AL23" s="1033">
        <f>VLOOKUP(AJ23,Düngemittel!$B$6:$E$64,2,FALSE)*(VLOOKUP(AJ23,Düngemittel!$B$6:$E$64,3,FALSE))/100*AK23</f>
        <v>0</v>
      </c>
      <c r="AM23" s="1033">
        <f>VLOOKUP(AJ23,Düngemittel!$B$6:$E$64,2,FALSE)*AK23</f>
        <v>0</v>
      </c>
      <c r="AN23" s="1033">
        <f>VLOOKUP(AJ23,Düngemittel!$B$6:$E$64,4,FALSE)*AK23</f>
        <v>0</v>
      </c>
      <c r="AO23" s="863"/>
      <c r="AP23" s="1282">
        <f t="shared" si="11"/>
        <v>0</v>
      </c>
      <c r="AQ23" s="1126">
        <f t="shared" si="12"/>
        <v>0</v>
      </c>
      <c r="AR23" s="1283">
        <f t="shared" si="13"/>
        <v>0</v>
      </c>
      <c r="AS23" s="1156">
        <f t="shared" si="14"/>
        <v>0</v>
      </c>
      <c r="AT23" s="1126">
        <f t="shared" si="15"/>
        <v>0</v>
      </c>
      <c r="AU23" s="1153"/>
      <c r="AV23" s="1282">
        <f t="shared" si="16"/>
        <v>0</v>
      </c>
      <c r="AW23" s="1282">
        <f t="shared" si="17"/>
        <v>0</v>
      </c>
      <c r="AX23" s="1282">
        <f t="shared" si="18"/>
        <v>0</v>
      </c>
      <c r="AY23" s="1824">
        <f t="shared" si="19"/>
        <v>0</v>
      </c>
      <c r="AZ23" s="1282">
        <f t="shared" si="20"/>
        <v>0</v>
      </c>
      <c r="BA23" s="544">
        <f t="shared" si="9"/>
        <v>0</v>
      </c>
      <c r="BB23" s="545">
        <f t="shared" si="10"/>
        <v>40</v>
      </c>
      <c r="BC23" s="350"/>
      <c r="BJ23" s="547"/>
    </row>
    <row r="24" spans="1:63" ht="28.5" customHeight="1">
      <c r="A24" s="468">
        <v>15</v>
      </c>
      <c r="B24" s="1705">
        <v>0</v>
      </c>
      <c r="C24" s="2748"/>
      <c r="D24" s="1568" t="s">
        <v>572</v>
      </c>
      <c r="E24" s="1566">
        <f t="shared" si="0"/>
        <v>0</v>
      </c>
      <c r="F24" s="815" t="s">
        <v>559</v>
      </c>
      <c r="G24" s="595">
        <f t="shared" si="1"/>
        <v>0</v>
      </c>
      <c r="H24" s="596" t="s">
        <v>293</v>
      </c>
      <c r="I24" s="597">
        <f t="shared" si="2"/>
        <v>0</v>
      </c>
      <c r="J24" s="598" t="s">
        <v>551</v>
      </c>
      <c r="K24" s="531" t="s">
        <v>554</v>
      </c>
      <c r="L24" s="595">
        <f t="shared" si="3"/>
        <v>0</v>
      </c>
      <c r="M24" s="2197">
        <v>0</v>
      </c>
      <c r="N24" s="599">
        <f t="shared" si="4"/>
        <v>40</v>
      </c>
      <c r="O24" s="664">
        <f t="shared" si="5"/>
        <v>0</v>
      </c>
      <c r="P24" s="668">
        <v>10</v>
      </c>
      <c r="Q24" s="667">
        <f t="shared" si="6"/>
        <v>0</v>
      </c>
      <c r="R24" s="1042"/>
      <c r="S24" s="870">
        <f t="shared" si="7"/>
        <v>15</v>
      </c>
      <c r="T24" s="866"/>
      <c r="U24" s="1329"/>
      <c r="V24" s="1330" t="s">
        <v>795</v>
      </c>
      <c r="W24" s="1424">
        <v>0</v>
      </c>
      <c r="X24" s="1033">
        <f>VLOOKUP(V24,Düngemittel!$B$6:$E$64,2,FALSE)*(VLOOKUP(V24,Düngemittel!$B$6:$E$64,3,FALSE))/100*W24</f>
        <v>0</v>
      </c>
      <c r="Y24" s="1033">
        <f>VLOOKUP(V24,Düngemittel!$B$6:$E$64,2,FALSE)*W24</f>
        <v>0</v>
      </c>
      <c r="Z24" s="1033">
        <f>VLOOKUP(V24,Düngemittel!$B$6:$E$64,4,FALSE)*W24</f>
        <v>0</v>
      </c>
      <c r="AA24" s="2089"/>
      <c r="AB24" s="1329"/>
      <c r="AC24" s="1330" t="s">
        <v>795</v>
      </c>
      <c r="AD24" s="1424">
        <v>0</v>
      </c>
      <c r="AE24" s="1033">
        <f>VLOOKUP(AC24,Düngemittel!$B$6:$E$64,2,FALSE)*(VLOOKUP(AC24,Düngemittel!$B$6:$E$64,3,FALSE))/100*AD24</f>
        <v>0</v>
      </c>
      <c r="AF24" s="1033">
        <f>VLOOKUP(AC24,Düngemittel!$B$6:$E$64,2,FALSE)*AD24</f>
        <v>0</v>
      </c>
      <c r="AG24" s="1033">
        <f>VLOOKUP(AC24,Düngemittel!$B$6:$E$64,4,FALSE)*AD24</f>
        <v>0</v>
      </c>
      <c r="AH24" s="2089"/>
      <c r="AI24" s="1329"/>
      <c r="AJ24" s="1330" t="s">
        <v>795</v>
      </c>
      <c r="AK24" s="1424">
        <v>0</v>
      </c>
      <c r="AL24" s="1033">
        <f>VLOOKUP(AJ24,Düngemittel!$B$6:$E$64,2,FALSE)*(VLOOKUP(AJ24,Düngemittel!$B$6:$E$64,3,FALSE))/100*AK24</f>
        <v>0</v>
      </c>
      <c r="AM24" s="1033">
        <f>VLOOKUP(AJ24,Düngemittel!$B$6:$E$64,2,FALSE)*AK24</f>
        <v>0</v>
      </c>
      <c r="AN24" s="1033">
        <f>VLOOKUP(AJ24,Düngemittel!$B$6:$E$64,4,FALSE)*AK24</f>
        <v>0</v>
      </c>
      <c r="AO24" s="863"/>
      <c r="AP24" s="1282">
        <f t="shared" si="11"/>
        <v>0</v>
      </c>
      <c r="AQ24" s="1126">
        <f t="shared" si="12"/>
        <v>0</v>
      </c>
      <c r="AR24" s="1283">
        <f t="shared" si="13"/>
        <v>0</v>
      </c>
      <c r="AS24" s="1156">
        <f t="shared" si="14"/>
        <v>0</v>
      </c>
      <c r="AT24" s="1126">
        <f t="shared" si="15"/>
        <v>0</v>
      </c>
      <c r="AU24" s="1153"/>
      <c r="AV24" s="1282">
        <f t="shared" si="16"/>
        <v>0</v>
      </c>
      <c r="AW24" s="1282">
        <f t="shared" si="17"/>
        <v>0</v>
      </c>
      <c r="AX24" s="1282">
        <f t="shared" si="18"/>
        <v>0</v>
      </c>
      <c r="AY24" s="1824">
        <f t="shared" si="19"/>
        <v>0</v>
      </c>
      <c r="AZ24" s="1282">
        <f t="shared" si="20"/>
        <v>0</v>
      </c>
      <c r="BA24" s="544">
        <f t="shared" si="9"/>
        <v>0</v>
      </c>
      <c r="BB24" s="545">
        <f t="shared" si="10"/>
        <v>40</v>
      </c>
      <c r="BC24" s="350"/>
      <c r="BJ24" s="547"/>
    </row>
    <row r="25" spans="1:63" ht="28.5" customHeight="1">
      <c r="A25" s="468">
        <v>16</v>
      </c>
      <c r="B25" s="1705">
        <v>0</v>
      </c>
      <c r="C25" s="2748"/>
      <c r="D25" s="1568" t="s">
        <v>572</v>
      </c>
      <c r="E25" s="1566">
        <f t="shared" si="0"/>
        <v>0</v>
      </c>
      <c r="F25" s="815" t="s">
        <v>559</v>
      </c>
      <c r="G25" s="595">
        <f t="shared" si="1"/>
        <v>0</v>
      </c>
      <c r="H25" s="596" t="s">
        <v>293</v>
      </c>
      <c r="I25" s="597">
        <f t="shared" si="2"/>
        <v>0</v>
      </c>
      <c r="J25" s="598" t="s">
        <v>551</v>
      </c>
      <c r="K25" s="531" t="s">
        <v>554</v>
      </c>
      <c r="L25" s="595">
        <f t="shared" si="3"/>
        <v>0</v>
      </c>
      <c r="M25" s="2197">
        <v>0</v>
      </c>
      <c r="N25" s="599">
        <f t="shared" si="4"/>
        <v>40</v>
      </c>
      <c r="O25" s="664">
        <f t="shared" si="5"/>
        <v>0</v>
      </c>
      <c r="P25" s="668">
        <v>10</v>
      </c>
      <c r="Q25" s="667">
        <f t="shared" si="6"/>
        <v>0</v>
      </c>
      <c r="R25" s="1042"/>
      <c r="S25" s="870">
        <f t="shared" si="7"/>
        <v>16</v>
      </c>
      <c r="T25" s="866"/>
      <c r="U25" s="1329"/>
      <c r="V25" s="1330" t="s">
        <v>795</v>
      </c>
      <c r="W25" s="1424">
        <v>0</v>
      </c>
      <c r="X25" s="1033">
        <f>VLOOKUP(V25,Düngemittel!$B$6:$E$64,2,FALSE)*(VLOOKUP(V25,Düngemittel!$B$6:$E$64,3,FALSE))/100*W25</f>
        <v>0</v>
      </c>
      <c r="Y25" s="1033">
        <f>VLOOKUP(V25,Düngemittel!$B$6:$E$64,2,FALSE)*W25</f>
        <v>0</v>
      </c>
      <c r="Z25" s="1033">
        <f>VLOOKUP(V25,Düngemittel!$B$6:$E$64,4,FALSE)*W25</f>
        <v>0</v>
      </c>
      <c r="AA25" s="2089"/>
      <c r="AB25" s="1329"/>
      <c r="AC25" s="1330" t="s">
        <v>795</v>
      </c>
      <c r="AD25" s="1424">
        <v>0</v>
      </c>
      <c r="AE25" s="1033">
        <f>VLOOKUP(AC25,Düngemittel!$B$6:$E$64,2,FALSE)*(VLOOKUP(AC25,Düngemittel!$B$6:$E$64,3,FALSE))/100*AD25</f>
        <v>0</v>
      </c>
      <c r="AF25" s="1033">
        <f>VLOOKUP(AC25,Düngemittel!$B$6:$E$64,2,FALSE)*AD25</f>
        <v>0</v>
      </c>
      <c r="AG25" s="1033">
        <f>VLOOKUP(AC25,Düngemittel!$B$6:$E$64,4,FALSE)*AD25</f>
        <v>0</v>
      </c>
      <c r="AH25" s="2089"/>
      <c r="AI25" s="1329"/>
      <c r="AJ25" s="1330" t="s">
        <v>795</v>
      </c>
      <c r="AK25" s="1424">
        <v>0</v>
      </c>
      <c r="AL25" s="1033">
        <f>VLOOKUP(AJ25,Düngemittel!$B$6:$E$64,2,FALSE)*(VLOOKUP(AJ25,Düngemittel!$B$6:$E$64,3,FALSE))/100*AK25</f>
        <v>0</v>
      </c>
      <c r="AM25" s="1033">
        <f>VLOOKUP(AJ25,Düngemittel!$B$6:$E$64,2,FALSE)*AK25</f>
        <v>0</v>
      </c>
      <c r="AN25" s="1033">
        <f>VLOOKUP(AJ25,Düngemittel!$B$6:$E$64,4,FALSE)*AK25</f>
        <v>0</v>
      </c>
      <c r="AO25" s="863"/>
      <c r="AP25" s="1282">
        <f t="shared" si="11"/>
        <v>0</v>
      </c>
      <c r="AQ25" s="1126">
        <f t="shared" si="12"/>
        <v>0</v>
      </c>
      <c r="AR25" s="1283">
        <f t="shared" si="13"/>
        <v>0</v>
      </c>
      <c r="AS25" s="1156">
        <f t="shared" si="14"/>
        <v>0</v>
      </c>
      <c r="AT25" s="1126">
        <f t="shared" si="15"/>
        <v>0</v>
      </c>
      <c r="AU25" s="1153"/>
      <c r="AV25" s="1282">
        <f t="shared" si="16"/>
        <v>0</v>
      </c>
      <c r="AW25" s="1282">
        <f t="shared" si="17"/>
        <v>0</v>
      </c>
      <c r="AX25" s="1282">
        <f t="shared" si="18"/>
        <v>0</v>
      </c>
      <c r="AY25" s="1824">
        <f t="shared" si="19"/>
        <v>0</v>
      </c>
      <c r="AZ25" s="1282">
        <f t="shared" si="20"/>
        <v>0</v>
      </c>
      <c r="BA25" s="544">
        <f t="shared" si="9"/>
        <v>0</v>
      </c>
      <c r="BB25" s="545">
        <f t="shared" si="10"/>
        <v>40</v>
      </c>
      <c r="BC25" s="350"/>
    </row>
    <row r="26" spans="1:63" ht="28.5" customHeight="1">
      <c r="A26" s="468">
        <v>17</v>
      </c>
      <c r="B26" s="1705">
        <v>0</v>
      </c>
      <c r="C26" s="2748"/>
      <c r="D26" s="1568" t="s">
        <v>572</v>
      </c>
      <c r="E26" s="1566">
        <f t="shared" si="0"/>
        <v>0</v>
      </c>
      <c r="F26" s="815" t="s">
        <v>559</v>
      </c>
      <c r="G26" s="595">
        <f t="shared" si="1"/>
        <v>0</v>
      </c>
      <c r="H26" s="596" t="s">
        <v>293</v>
      </c>
      <c r="I26" s="597">
        <f t="shared" si="2"/>
        <v>0</v>
      </c>
      <c r="J26" s="598" t="s">
        <v>551</v>
      </c>
      <c r="K26" s="531" t="s">
        <v>554</v>
      </c>
      <c r="L26" s="595">
        <f t="shared" si="3"/>
        <v>0</v>
      </c>
      <c r="M26" s="2197">
        <v>0</v>
      </c>
      <c r="N26" s="599">
        <f t="shared" si="4"/>
        <v>40</v>
      </c>
      <c r="O26" s="664">
        <f t="shared" si="5"/>
        <v>0</v>
      </c>
      <c r="P26" s="668">
        <v>10</v>
      </c>
      <c r="Q26" s="667">
        <f t="shared" si="6"/>
        <v>0</v>
      </c>
      <c r="R26" s="1042"/>
      <c r="S26" s="870">
        <f t="shared" si="7"/>
        <v>17</v>
      </c>
      <c r="T26" s="866"/>
      <c r="U26" s="1329"/>
      <c r="V26" s="1330" t="s">
        <v>795</v>
      </c>
      <c r="W26" s="1424">
        <v>0</v>
      </c>
      <c r="X26" s="1033">
        <f>VLOOKUP(V26,Düngemittel!$B$6:$E$64,2,FALSE)*(VLOOKUP(V26,Düngemittel!$B$6:$E$64,3,FALSE))/100*W26</f>
        <v>0</v>
      </c>
      <c r="Y26" s="1033">
        <f>VLOOKUP(V26,Düngemittel!$B$6:$E$64,2,FALSE)*W26</f>
        <v>0</v>
      </c>
      <c r="Z26" s="1033">
        <f>VLOOKUP(V26,Düngemittel!$B$6:$E$64,4,FALSE)*W26</f>
        <v>0</v>
      </c>
      <c r="AA26" s="2089"/>
      <c r="AB26" s="1329"/>
      <c r="AC26" s="1330" t="s">
        <v>795</v>
      </c>
      <c r="AD26" s="1424">
        <v>0</v>
      </c>
      <c r="AE26" s="1033">
        <f>VLOOKUP(AC26,Düngemittel!$B$6:$E$64,2,FALSE)*(VLOOKUP(AC26,Düngemittel!$B$6:$E$64,3,FALSE))/100*AD26</f>
        <v>0</v>
      </c>
      <c r="AF26" s="1033">
        <f>VLOOKUP(AC26,Düngemittel!$B$6:$E$64,2,FALSE)*AD26</f>
        <v>0</v>
      </c>
      <c r="AG26" s="1033">
        <f>VLOOKUP(AC26,Düngemittel!$B$6:$E$64,4,FALSE)*AD26</f>
        <v>0</v>
      </c>
      <c r="AH26" s="2089"/>
      <c r="AI26" s="1329"/>
      <c r="AJ26" s="1330" t="s">
        <v>795</v>
      </c>
      <c r="AK26" s="1424">
        <v>0</v>
      </c>
      <c r="AL26" s="1033">
        <f>VLOOKUP(AJ26,Düngemittel!$B$6:$E$64,2,FALSE)*(VLOOKUP(AJ26,Düngemittel!$B$6:$E$64,3,FALSE))/100*AK26</f>
        <v>0</v>
      </c>
      <c r="AM26" s="1033">
        <f>VLOOKUP(AJ26,Düngemittel!$B$6:$E$64,2,FALSE)*AK26</f>
        <v>0</v>
      </c>
      <c r="AN26" s="1033">
        <f>VLOOKUP(AJ26,Düngemittel!$B$6:$E$64,4,FALSE)*AK26</f>
        <v>0</v>
      </c>
      <c r="AO26" s="863"/>
      <c r="AP26" s="1282">
        <f t="shared" si="11"/>
        <v>0</v>
      </c>
      <c r="AQ26" s="1126">
        <f t="shared" si="12"/>
        <v>0</v>
      </c>
      <c r="AR26" s="1283">
        <f t="shared" si="13"/>
        <v>0</v>
      </c>
      <c r="AS26" s="1156">
        <f t="shared" si="14"/>
        <v>0</v>
      </c>
      <c r="AT26" s="1126">
        <f t="shared" si="15"/>
        <v>0</v>
      </c>
      <c r="AU26" s="1153"/>
      <c r="AV26" s="1282">
        <f t="shared" si="16"/>
        <v>0</v>
      </c>
      <c r="AW26" s="1282">
        <f t="shared" si="17"/>
        <v>0</v>
      </c>
      <c r="AX26" s="1282">
        <f t="shared" si="18"/>
        <v>0</v>
      </c>
      <c r="AY26" s="1824">
        <f t="shared" si="19"/>
        <v>0</v>
      </c>
      <c r="AZ26" s="1282">
        <f t="shared" si="20"/>
        <v>0</v>
      </c>
      <c r="BA26" s="544">
        <f t="shared" si="9"/>
        <v>0</v>
      </c>
      <c r="BB26" s="545">
        <f t="shared" si="10"/>
        <v>40</v>
      </c>
      <c r="BC26" s="350"/>
    </row>
    <row r="27" spans="1:63" ht="28.5" customHeight="1">
      <c r="A27" s="468">
        <v>18</v>
      </c>
      <c r="B27" s="1705">
        <v>0</v>
      </c>
      <c r="C27" s="2748"/>
      <c r="D27" s="1568" t="s">
        <v>572</v>
      </c>
      <c r="E27" s="1566">
        <f t="shared" si="0"/>
        <v>0</v>
      </c>
      <c r="F27" s="815" t="s">
        <v>559</v>
      </c>
      <c r="G27" s="595">
        <f t="shared" si="1"/>
        <v>0</v>
      </c>
      <c r="H27" s="596" t="s">
        <v>293</v>
      </c>
      <c r="I27" s="597">
        <f t="shared" si="2"/>
        <v>0</v>
      </c>
      <c r="J27" s="598" t="s">
        <v>551</v>
      </c>
      <c r="K27" s="531" t="s">
        <v>554</v>
      </c>
      <c r="L27" s="595">
        <f t="shared" si="3"/>
        <v>0</v>
      </c>
      <c r="M27" s="2197">
        <v>0</v>
      </c>
      <c r="N27" s="599">
        <f t="shared" si="4"/>
        <v>40</v>
      </c>
      <c r="O27" s="664">
        <f t="shared" si="5"/>
        <v>0</v>
      </c>
      <c r="P27" s="668">
        <v>10</v>
      </c>
      <c r="Q27" s="667">
        <f t="shared" si="6"/>
        <v>0</v>
      </c>
      <c r="R27" s="1042"/>
      <c r="S27" s="870">
        <f t="shared" si="7"/>
        <v>18</v>
      </c>
      <c r="T27" s="866"/>
      <c r="U27" s="1329"/>
      <c r="V27" s="1330" t="s">
        <v>795</v>
      </c>
      <c r="W27" s="1424">
        <v>0</v>
      </c>
      <c r="X27" s="1033">
        <f>VLOOKUP(V27,Düngemittel!$B$6:$E$64,2,FALSE)*(VLOOKUP(V27,Düngemittel!$B$6:$E$64,3,FALSE))/100*W27</f>
        <v>0</v>
      </c>
      <c r="Y27" s="1033">
        <f>VLOOKUP(V27,Düngemittel!$B$6:$E$64,2,FALSE)*W27</f>
        <v>0</v>
      </c>
      <c r="Z27" s="1033">
        <f>VLOOKUP(V27,Düngemittel!$B$6:$E$64,4,FALSE)*W27</f>
        <v>0</v>
      </c>
      <c r="AA27" s="2089"/>
      <c r="AB27" s="1329"/>
      <c r="AC27" s="1330" t="s">
        <v>795</v>
      </c>
      <c r="AD27" s="1424">
        <v>0</v>
      </c>
      <c r="AE27" s="1033">
        <f>VLOOKUP(AC27,Düngemittel!$B$6:$E$64,2,FALSE)*(VLOOKUP(AC27,Düngemittel!$B$6:$E$64,3,FALSE))/100*AD27</f>
        <v>0</v>
      </c>
      <c r="AF27" s="1033">
        <f>VLOOKUP(AC27,Düngemittel!$B$6:$E$64,2,FALSE)*AD27</f>
        <v>0</v>
      </c>
      <c r="AG27" s="1033">
        <f>VLOOKUP(AC27,Düngemittel!$B$6:$E$64,4,FALSE)*AD27</f>
        <v>0</v>
      </c>
      <c r="AH27" s="2089"/>
      <c r="AI27" s="1329"/>
      <c r="AJ27" s="1330" t="s">
        <v>795</v>
      </c>
      <c r="AK27" s="1424">
        <v>0</v>
      </c>
      <c r="AL27" s="1033">
        <f>VLOOKUP(AJ27,Düngemittel!$B$6:$E$64,2,FALSE)*(VLOOKUP(AJ27,Düngemittel!$B$6:$E$64,3,FALSE))/100*AK27</f>
        <v>0</v>
      </c>
      <c r="AM27" s="1033">
        <f>VLOOKUP(AJ27,Düngemittel!$B$6:$E$64,2,FALSE)*AK27</f>
        <v>0</v>
      </c>
      <c r="AN27" s="1033">
        <f>VLOOKUP(AJ27,Düngemittel!$B$6:$E$64,4,FALSE)*AK27</f>
        <v>0</v>
      </c>
      <c r="AO27" s="863"/>
      <c r="AP27" s="1282">
        <f t="shared" si="11"/>
        <v>0</v>
      </c>
      <c r="AQ27" s="1126">
        <f t="shared" si="12"/>
        <v>0</v>
      </c>
      <c r="AR27" s="1283">
        <f t="shared" si="13"/>
        <v>0</v>
      </c>
      <c r="AS27" s="1156">
        <f t="shared" si="14"/>
        <v>0</v>
      </c>
      <c r="AT27" s="1126">
        <f t="shared" si="15"/>
        <v>0</v>
      </c>
      <c r="AU27" s="1153"/>
      <c r="AV27" s="1282">
        <f t="shared" si="16"/>
        <v>0</v>
      </c>
      <c r="AW27" s="1282">
        <f t="shared" si="17"/>
        <v>0</v>
      </c>
      <c r="AX27" s="1282">
        <f t="shared" si="18"/>
        <v>0</v>
      </c>
      <c r="AY27" s="1824">
        <f t="shared" si="19"/>
        <v>0</v>
      </c>
      <c r="AZ27" s="1282">
        <f t="shared" si="20"/>
        <v>0</v>
      </c>
      <c r="BA27" s="544">
        <f t="shared" si="9"/>
        <v>0</v>
      </c>
      <c r="BB27" s="545">
        <f t="shared" si="10"/>
        <v>40</v>
      </c>
    </row>
    <row r="28" spans="1:63" ht="28.5" customHeight="1">
      <c r="A28" s="468">
        <v>19</v>
      </c>
      <c r="B28" s="1705">
        <v>0</v>
      </c>
      <c r="C28" s="2748"/>
      <c r="D28" s="1568" t="s">
        <v>572</v>
      </c>
      <c r="E28" s="1566">
        <f t="shared" si="0"/>
        <v>0</v>
      </c>
      <c r="F28" s="815" t="s">
        <v>559</v>
      </c>
      <c r="G28" s="595">
        <f t="shared" si="1"/>
        <v>0</v>
      </c>
      <c r="H28" s="596" t="s">
        <v>293</v>
      </c>
      <c r="I28" s="597">
        <f t="shared" si="2"/>
        <v>0</v>
      </c>
      <c r="J28" s="598" t="s">
        <v>551</v>
      </c>
      <c r="K28" s="531" t="s">
        <v>554</v>
      </c>
      <c r="L28" s="595">
        <f t="shared" si="3"/>
        <v>0</v>
      </c>
      <c r="M28" s="2197">
        <v>0</v>
      </c>
      <c r="N28" s="599">
        <f t="shared" si="4"/>
        <v>40</v>
      </c>
      <c r="O28" s="664">
        <f t="shared" si="5"/>
        <v>0</v>
      </c>
      <c r="P28" s="668">
        <v>10</v>
      </c>
      <c r="Q28" s="667">
        <f t="shared" si="6"/>
        <v>0</v>
      </c>
      <c r="R28" s="1042"/>
      <c r="S28" s="870">
        <f t="shared" si="7"/>
        <v>19</v>
      </c>
      <c r="T28" s="866"/>
      <c r="U28" s="1329"/>
      <c r="V28" s="1330" t="s">
        <v>795</v>
      </c>
      <c r="W28" s="1424">
        <v>0</v>
      </c>
      <c r="X28" s="1033">
        <f>VLOOKUP(V28,Düngemittel!$B$6:$E$64,2,FALSE)*(VLOOKUP(V28,Düngemittel!$B$6:$E$64,3,FALSE))/100*W28</f>
        <v>0</v>
      </c>
      <c r="Y28" s="1033">
        <f>VLOOKUP(V28,Düngemittel!$B$6:$E$64,2,FALSE)*W28</f>
        <v>0</v>
      </c>
      <c r="Z28" s="1033">
        <f>VLOOKUP(V28,Düngemittel!$B$6:$E$64,4,FALSE)*W28</f>
        <v>0</v>
      </c>
      <c r="AA28" s="2089"/>
      <c r="AB28" s="1329"/>
      <c r="AC28" s="1330" t="s">
        <v>795</v>
      </c>
      <c r="AD28" s="1424">
        <v>0</v>
      </c>
      <c r="AE28" s="1033">
        <f>VLOOKUP(AC28,Düngemittel!$B$6:$E$64,2,FALSE)*(VLOOKUP(AC28,Düngemittel!$B$6:$E$64,3,FALSE))/100*AD28</f>
        <v>0</v>
      </c>
      <c r="AF28" s="1033">
        <f>VLOOKUP(AC28,Düngemittel!$B$6:$E$64,2,FALSE)*AD28</f>
        <v>0</v>
      </c>
      <c r="AG28" s="1033">
        <f>VLOOKUP(AC28,Düngemittel!$B$6:$E$64,4,FALSE)*AD28</f>
        <v>0</v>
      </c>
      <c r="AH28" s="2089"/>
      <c r="AI28" s="1329"/>
      <c r="AJ28" s="1330" t="s">
        <v>795</v>
      </c>
      <c r="AK28" s="1424">
        <v>0</v>
      </c>
      <c r="AL28" s="1033">
        <f>VLOOKUP(AJ28,Düngemittel!$B$6:$E$64,2,FALSE)*(VLOOKUP(AJ28,Düngemittel!$B$6:$E$64,3,FALSE))/100*AK28</f>
        <v>0</v>
      </c>
      <c r="AM28" s="1033">
        <f>VLOOKUP(AJ28,Düngemittel!$B$6:$E$64,2,FALSE)*AK28</f>
        <v>0</v>
      </c>
      <c r="AN28" s="1033">
        <f>VLOOKUP(AJ28,Düngemittel!$B$6:$E$64,4,FALSE)*AK28</f>
        <v>0</v>
      </c>
      <c r="AO28" s="863"/>
      <c r="AP28" s="1282">
        <f t="shared" si="11"/>
        <v>0</v>
      </c>
      <c r="AQ28" s="1126">
        <f t="shared" si="12"/>
        <v>0</v>
      </c>
      <c r="AR28" s="1283">
        <f t="shared" si="13"/>
        <v>0</v>
      </c>
      <c r="AS28" s="1156">
        <f t="shared" si="14"/>
        <v>0</v>
      </c>
      <c r="AT28" s="1126">
        <f t="shared" si="15"/>
        <v>0</v>
      </c>
      <c r="AU28" s="1153"/>
      <c r="AV28" s="1282">
        <f t="shared" si="16"/>
        <v>0</v>
      </c>
      <c r="AW28" s="1282">
        <f t="shared" si="17"/>
        <v>0</v>
      </c>
      <c r="AX28" s="1282">
        <f t="shared" si="18"/>
        <v>0</v>
      </c>
      <c r="AY28" s="1824">
        <f t="shared" si="19"/>
        <v>0</v>
      </c>
      <c r="AZ28" s="1282">
        <f t="shared" si="20"/>
        <v>0</v>
      </c>
      <c r="BA28" s="544">
        <f t="shared" si="9"/>
        <v>0</v>
      </c>
      <c r="BB28" s="545">
        <f t="shared" si="10"/>
        <v>40</v>
      </c>
    </row>
    <row r="29" spans="1:63" ht="28.5" customHeight="1">
      <c r="A29" s="468">
        <v>20</v>
      </c>
      <c r="B29" s="1705">
        <v>0</v>
      </c>
      <c r="C29" s="2748"/>
      <c r="D29" s="1568" t="s">
        <v>572</v>
      </c>
      <c r="E29" s="1566">
        <f t="shared" si="0"/>
        <v>0</v>
      </c>
      <c r="F29" s="815" t="s">
        <v>559</v>
      </c>
      <c r="G29" s="595">
        <f t="shared" si="1"/>
        <v>0</v>
      </c>
      <c r="H29" s="596" t="s">
        <v>293</v>
      </c>
      <c r="I29" s="597">
        <f t="shared" si="2"/>
        <v>0</v>
      </c>
      <c r="J29" s="598" t="s">
        <v>551</v>
      </c>
      <c r="K29" s="531" t="s">
        <v>554</v>
      </c>
      <c r="L29" s="595">
        <f t="shared" si="3"/>
        <v>0</v>
      </c>
      <c r="M29" s="2197">
        <v>0</v>
      </c>
      <c r="N29" s="599">
        <f t="shared" si="4"/>
        <v>40</v>
      </c>
      <c r="O29" s="664">
        <f t="shared" si="5"/>
        <v>0</v>
      </c>
      <c r="P29" s="668">
        <v>10</v>
      </c>
      <c r="Q29" s="667">
        <f t="shared" si="6"/>
        <v>0</v>
      </c>
      <c r="R29" s="1048"/>
      <c r="S29" s="870">
        <f t="shared" si="7"/>
        <v>20</v>
      </c>
      <c r="T29" s="866"/>
      <c r="U29" s="1329"/>
      <c r="V29" s="1330" t="s">
        <v>795</v>
      </c>
      <c r="W29" s="1424">
        <v>0</v>
      </c>
      <c r="X29" s="1033">
        <f>VLOOKUP(V29,Düngemittel!$B$6:$E$64,2,FALSE)*(VLOOKUP(V29,Düngemittel!$B$6:$E$64,3,FALSE))/100*W29</f>
        <v>0</v>
      </c>
      <c r="Y29" s="1033">
        <f>VLOOKUP(V29,Düngemittel!$B$6:$E$64,2,FALSE)*W29</f>
        <v>0</v>
      </c>
      <c r="Z29" s="1033">
        <f>VLOOKUP(V29,Düngemittel!$B$6:$E$64,4,FALSE)*W29</f>
        <v>0</v>
      </c>
      <c r="AA29" s="2089"/>
      <c r="AB29" s="1329"/>
      <c r="AC29" s="1330" t="s">
        <v>795</v>
      </c>
      <c r="AD29" s="1424">
        <v>0</v>
      </c>
      <c r="AE29" s="1033">
        <f>VLOOKUP(AC29,Düngemittel!$B$6:$E$64,2,FALSE)*(VLOOKUP(AC29,Düngemittel!$B$6:$E$64,3,FALSE))/100*AD29</f>
        <v>0</v>
      </c>
      <c r="AF29" s="1033">
        <f>VLOOKUP(AC29,Düngemittel!$B$6:$E$64,2,FALSE)*AD29</f>
        <v>0</v>
      </c>
      <c r="AG29" s="1033">
        <f>VLOOKUP(AC29,Düngemittel!$B$6:$E$64,4,FALSE)*AD29</f>
        <v>0</v>
      </c>
      <c r="AH29" s="2089"/>
      <c r="AI29" s="1329"/>
      <c r="AJ29" s="1330" t="s">
        <v>795</v>
      </c>
      <c r="AK29" s="1424">
        <v>0</v>
      </c>
      <c r="AL29" s="1033">
        <f>VLOOKUP(AJ29,Düngemittel!$B$6:$E$64,2,FALSE)*(VLOOKUP(AJ29,Düngemittel!$B$6:$E$64,3,FALSE))/100*AK29</f>
        <v>0</v>
      </c>
      <c r="AM29" s="1033">
        <f>VLOOKUP(AJ29,Düngemittel!$B$6:$E$64,2,FALSE)*AK29</f>
        <v>0</v>
      </c>
      <c r="AN29" s="1033">
        <f>VLOOKUP(AJ29,Düngemittel!$B$6:$E$64,4,FALSE)*AK29</f>
        <v>0</v>
      </c>
      <c r="AO29" s="865"/>
      <c r="AP29" s="1282">
        <f t="shared" si="11"/>
        <v>0</v>
      </c>
      <c r="AQ29" s="1126">
        <f t="shared" si="12"/>
        <v>0</v>
      </c>
      <c r="AR29" s="1283">
        <f t="shared" si="13"/>
        <v>0</v>
      </c>
      <c r="AS29" s="1156">
        <f t="shared" si="14"/>
        <v>0</v>
      </c>
      <c r="AT29" s="1126">
        <f t="shared" si="15"/>
        <v>0</v>
      </c>
      <c r="AU29" s="1154"/>
      <c r="AV29" s="1282">
        <f t="shared" si="16"/>
        <v>0</v>
      </c>
      <c r="AW29" s="1282">
        <f t="shared" si="17"/>
        <v>0</v>
      </c>
      <c r="AX29" s="1282">
        <f t="shared" si="18"/>
        <v>0</v>
      </c>
      <c r="AY29" s="1824">
        <f t="shared" si="19"/>
        <v>0</v>
      </c>
      <c r="AZ29" s="1282">
        <f t="shared" si="20"/>
        <v>0</v>
      </c>
      <c r="BA29" s="544">
        <f t="shared" ref="BA29" si="21">VLOOKUP(J29,BJ$11:BK$24,2,FALSE)</f>
        <v>0</v>
      </c>
      <c r="BB29" s="545">
        <f t="shared" ref="BB29" si="22">40+E29+G29+I29+L29-M29</f>
        <v>40</v>
      </c>
    </row>
    <row r="30" spans="1:63" ht="28.5" customHeight="1">
      <c r="A30" s="468">
        <v>21</v>
      </c>
      <c r="B30" s="1705">
        <v>0</v>
      </c>
      <c r="C30" s="2748"/>
      <c r="D30" s="1568" t="s">
        <v>572</v>
      </c>
      <c r="E30" s="1566">
        <f t="shared" ref="E30:E54" si="23">IF(D30="bis 14 t/ha",0,10)</f>
        <v>0</v>
      </c>
      <c r="F30" s="815" t="s">
        <v>559</v>
      </c>
      <c r="G30" s="595">
        <f t="shared" ref="G30:G54" si="24">VLOOKUP(F30,BD$11:BE$20,2,FALSE)</f>
        <v>0</v>
      </c>
      <c r="H30" s="596" t="s">
        <v>293</v>
      </c>
      <c r="I30" s="597">
        <f t="shared" ref="I30:I54" si="25">VLOOKUP(H30,BG$11:BH$13,2,FALSE)</f>
        <v>0</v>
      </c>
      <c r="J30" s="598" t="s">
        <v>551</v>
      </c>
      <c r="K30" s="531" t="s">
        <v>554</v>
      </c>
      <c r="L30" s="595">
        <f t="shared" ref="L30:L54" si="26">IF(K30="jede zweite",BA30,BA30*2)</f>
        <v>0</v>
      </c>
      <c r="M30" s="2197">
        <v>0</v>
      </c>
      <c r="N30" s="599">
        <f t="shared" ref="N30:N54" si="27">IF(BB30&lt;=0,0,IF(BB30&gt;=80,80,BB30))</f>
        <v>40</v>
      </c>
      <c r="O30" s="664">
        <f t="shared" ref="O30:O54" si="28">N30*B30</f>
        <v>0</v>
      </c>
      <c r="P30" s="668">
        <v>11</v>
      </c>
      <c r="Q30" s="667">
        <f t="shared" ref="Q30:Q54" si="29">B30*P30</f>
        <v>0</v>
      </c>
      <c r="R30" s="1048"/>
      <c r="S30" s="870">
        <f t="shared" si="7"/>
        <v>21</v>
      </c>
      <c r="T30" s="866"/>
      <c r="U30" s="1329"/>
      <c r="V30" s="1330" t="s">
        <v>795</v>
      </c>
      <c r="W30" s="1424">
        <v>0</v>
      </c>
      <c r="X30" s="1033">
        <f>VLOOKUP(V30,Düngemittel!$B$6:$E$64,2,FALSE)*(VLOOKUP(V30,Düngemittel!$B$6:$E$64,3,FALSE))/100*W30</f>
        <v>0</v>
      </c>
      <c r="Y30" s="1033">
        <f>VLOOKUP(V30,Düngemittel!$B$6:$E$64,2,FALSE)*W30</f>
        <v>0</v>
      </c>
      <c r="Z30" s="1033">
        <f>VLOOKUP(V30,Düngemittel!$B$6:$E$64,4,FALSE)*W30</f>
        <v>0</v>
      </c>
      <c r="AA30" s="2324"/>
      <c r="AB30" s="1329"/>
      <c r="AC30" s="1330" t="s">
        <v>795</v>
      </c>
      <c r="AD30" s="1424">
        <v>0</v>
      </c>
      <c r="AE30" s="1033">
        <f>VLOOKUP(AC30,Düngemittel!$B$6:$E$64,2,FALSE)*(VLOOKUP(AC30,Düngemittel!$B$6:$E$64,3,FALSE))/100*AD30</f>
        <v>0</v>
      </c>
      <c r="AF30" s="1033">
        <f>VLOOKUP(AC30,Düngemittel!$B$6:$E$64,2,FALSE)*AD30</f>
        <v>0</v>
      </c>
      <c r="AG30" s="1033">
        <f>VLOOKUP(AC30,Düngemittel!$B$6:$E$64,4,FALSE)*AD30</f>
        <v>0</v>
      </c>
      <c r="AH30" s="2324"/>
      <c r="AI30" s="1329"/>
      <c r="AJ30" s="1330" t="s">
        <v>795</v>
      </c>
      <c r="AK30" s="1424">
        <v>0</v>
      </c>
      <c r="AL30" s="1033">
        <f>VLOOKUP(AJ30,Düngemittel!$B$6:$E$64,2,FALSE)*(VLOOKUP(AJ30,Düngemittel!$B$6:$E$64,3,FALSE))/100*AK30</f>
        <v>0</v>
      </c>
      <c r="AM30" s="1033">
        <f>VLOOKUP(AJ30,Düngemittel!$B$6:$E$64,2,FALSE)*AK30</f>
        <v>0</v>
      </c>
      <c r="AN30" s="1033">
        <f>VLOOKUP(AJ30,Düngemittel!$B$6:$E$64,4,FALSE)*AK30</f>
        <v>0</v>
      </c>
      <c r="AO30" s="865"/>
      <c r="AP30" s="1282">
        <f t="shared" ref="AP30:AP54" si="30">IF(X30&lt;Y30,0,X30)+IF(AE30&lt;AF30,0,AE30)+IF(AL30&lt;AM30,0,AL30)</f>
        <v>0</v>
      </c>
      <c r="AQ30" s="2326">
        <f t="shared" ref="AQ30:AQ54" si="31">SUM(X30+AE30+AL30)</f>
        <v>0</v>
      </c>
      <c r="AR30" s="1283">
        <f t="shared" ref="AR30:AR54" si="32">SUM(Y30+AF30+AM30)</f>
        <v>0</v>
      </c>
      <c r="AS30" s="1156">
        <f t="shared" ref="AS30:AS54" si="33">IF(X30&lt;Y30,Y30,0)+IF(AE30&lt;AF30,AF30,0)+IF(AL30&lt;AM30,AM30,0)</f>
        <v>0</v>
      </c>
      <c r="AT30" s="2326">
        <f t="shared" ref="AT30:AT54" si="34">SUM(Z30+AG30+AN30)</f>
        <v>0</v>
      </c>
      <c r="AU30" s="1154"/>
      <c r="AV30" s="1282">
        <f t="shared" ref="AV30:AV54" si="35">AP30*$B30</f>
        <v>0</v>
      </c>
      <c r="AW30" s="1282">
        <f t="shared" ref="AW30:AW54" si="36">AQ30*$B30</f>
        <v>0</v>
      </c>
      <c r="AX30" s="1282">
        <f t="shared" ref="AX30:AX54" si="37">AR30*$B30</f>
        <v>0</v>
      </c>
      <c r="AY30" s="1824">
        <f t="shared" ref="AY30:AY54" si="38">AS30*$B30</f>
        <v>0</v>
      </c>
      <c r="AZ30" s="1282">
        <f t="shared" ref="AZ30:AZ54" si="39">AT30*$B30</f>
        <v>0</v>
      </c>
      <c r="BA30" s="544">
        <f t="shared" ref="BA30:BA54" si="40">VLOOKUP(J30,BJ$11:BK$24,2,FALSE)</f>
        <v>0</v>
      </c>
      <c r="BB30" s="545">
        <f t="shared" ref="BB30:BB54" si="41">40+E30+G30+I30+L30-M30</f>
        <v>40</v>
      </c>
    </row>
    <row r="31" spans="1:63" ht="28.5" customHeight="1">
      <c r="A31" s="468">
        <v>22</v>
      </c>
      <c r="B31" s="1705">
        <v>0</v>
      </c>
      <c r="C31" s="2748"/>
      <c r="D31" s="1568" t="s">
        <v>572</v>
      </c>
      <c r="E31" s="1566">
        <f t="shared" si="23"/>
        <v>0</v>
      </c>
      <c r="F31" s="815" t="s">
        <v>559</v>
      </c>
      <c r="G31" s="595">
        <f t="shared" si="24"/>
        <v>0</v>
      </c>
      <c r="H31" s="596" t="s">
        <v>293</v>
      </c>
      <c r="I31" s="597">
        <f t="shared" si="25"/>
        <v>0</v>
      </c>
      <c r="J31" s="598" t="s">
        <v>551</v>
      </c>
      <c r="K31" s="531" t="s">
        <v>554</v>
      </c>
      <c r="L31" s="595">
        <f t="shared" si="26"/>
        <v>0</v>
      </c>
      <c r="M31" s="2197">
        <v>0</v>
      </c>
      <c r="N31" s="599">
        <f t="shared" si="27"/>
        <v>40</v>
      </c>
      <c r="O31" s="664">
        <f t="shared" si="28"/>
        <v>0</v>
      </c>
      <c r="P31" s="668">
        <v>12</v>
      </c>
      <c r="Q31" s="667">
        <f t="shared" si="29"/>
        <v>0</v>
      </c>
      <c r="R31" s="1048"/>
      <c r="S31" s="870">
        <f t="shared" si="7"/>
        <v>22</v>
      </c>
      <c r="T31" s="866"/>
      <c r="U31" s="1329"/>
      <c r="V31" s="1330" t="s">
        <v>795</v>
      </c>
      <c r="W31" s="1424">
        <v>0</v>
      </c>
      <c r="X31" s="1033">
        <f>VLOOKUP(V31,Düngemittel!$B$6:$E$64,2,FALSE)*(VLOOKUP(V31,Düngemittel!$B$6:$E$64,3,FALSE))/100*W31</f>
        <v>0</v>
      </c>
      <c r="Y31" s="1033">
        <f>VLOOKUP(V31,Düngemittel!$B$6:$E$64,2,FALSE)*W31</f>
        <v>0</v>
      </c>
      <c r="Z31" s="1033">
        <f>VLOOKUP(V31,Düngemittel!$B$6:$E$64,4,FALSE)*W31</f>
        <v>0</v>
      </c>
      <c r="AA31" s="2324"/>
      <c r="AB31" s="1329"/>
      <c r="AC31" s="1330" t="s">
        <v>795</v>
      </c>
      <c r="AD31" s="1424">
        <v>0</v>
      </c>
      <c r="AE31" s="1033">
        <f>VLOOKUP(AC31,Düngemittel!$B$6:$E$64,2,FALSE)*(VLOOKUP(AC31,Düngemittel!$B$6:$E$64,3,FALSE))/100*AD31</f>
        <v>0</v>
      </c>
      <c r="AF31" s="1033">
        <f>VLOOKUP(AC31,Düngemittel!$B$6:$E$64,2,FALSE)*AD31</f>
        <v>0</v>
      </c>
      <c r="AG31" s="1033">
        <f>VLOOKUP(AC31,Düngemittel!$B$6:$E$64,4,FALSE)*AD31</f>
        <v>0</v>
      </c>
      <c r="AH31" s="2324"/>
      <c r="AI31" s="1329"/>
      <c r="AJ31" s="1330" t="s">
        <v>795</v>
      </c>
      <c r="AK31" s="1424">
        <v>0</v>
      </c>
      <c r="AL31" s="1033">
        <f>VLOOKUP(AJ31,Düngemittel!$B$6:$E$64,2,FALSE)*(VLOOKUP(AJ31,Düngemittel!$B$6:$E$64,3,FALSE))/100*AK31</f>
        <v>0</v>
      </c>
      <c r="AM31" s="1033">
        <f>VLOOKUP(AJ31,Düngemittel!$B$6:$E$64,2,FALSE)*AK31</f>
        <v>0</v>
      </c>
      <c r="AN31" s="1033">
        <f>VLOOKUP(AJ31,Düngemittel!$B$6:$E$64,4,FALSE)*AK31</f>
        <v>0</v>
      </c>
      <c r="AO31" s="865"/>
      <c r="AP31" s="1282">
        <f t="shared" si="30"/>
        <v>0</v>
      </c>
      <c r="AQ31" s="2326">
        <f t="shared" si="31"/>
        <v>0</v>
      </c>
      <c r="AR31" s="1283">
        <f t="shared" si="32"/>
        <v>0</v>
      </c>
      <c r="AS31" s="1156">
        <f t="shared" si="33"/>
        <v>0</v>
      </c>
      <c r="AT31" s="2326">
        <f t="shared" si="34"/>
        <v>0</v>
      </c>
      <c r="AU31" s="1154"/>
      <c r="AV31" s="1282">
        <f t="shared" si="35"/>
        <v>0</v>
      </c>
      <c r="AW31" s="1282">
        <f t="shared" si="36"/>
        <v>0</v>
      </c>
      <c r="AX31" s="1282">
        <f t="shared" si="37"/>
        <v>0</v>
      </c>
      <c r="AY31" s="1824">
        <f t="shared" si="38"/>
        <v>0</v>
      </c>
      <c r="AZ31" s="1282">
        <f t="shared" si="39"/>
        <v>0</v>
      </c>
      <c r="BA31" s="544">
        <f t="shared" si="40"/>
        <v>0</v>
      </c>
      <c r="BB31" s="545">
        <f t="shared" si="41"/>
        <v>40</v>
      </c>
    </row>
    <row r="32" spans="1:63" ht="28.5" customHeight="1">
      <c r="A32" s="468">
        <v>23</v>
      </c>
      <c r="B32" s="1705">
        <v>0</v>
      </c>
      <c r="C32" s="2748"/>
      <c r="D32" s="1568" t="s">
        <v>572</v>
      </c>
      <c r="E32" s="1566">
        <f t="shared" si="23"/>
        <v>0</v>
      </c>
      <c r="F32" s="815" t="s">
        <v>559</v>
      </c>
      <c r="G32" s="595">
        <f t="shared" si="24"/>
        <v>0</v>
      </c>
      <c r="H32" s="596" t="s">
        <v>293</v>
      </c>
      <c r="I32" s="597">
        <f t="shared" si="25"/>
        <v>0</v>
      </c>
      <c r="J32" s="598" t="s">
        <v>551</v>
      </c>
      <c r="K32" s="531" t="s">
        <v>554</v>
      </c>
      <c r="L32" s="595">
        <f t="shared" si="26"/>
        <v>0</v>
      </c>
      <c r="M32" s="2197">
        <v>0</v>
      </c>
      <c r="N32" s="599">
        <f t="shared" si="27"/>
        <v>40</v>
      </c>
      <c r="O32" s="664">
        <f t="shared" si="28"/>
        <v>0</v>
      </c>
      <c r="P32" s="668">
        <v>13</v>
      </c>
      <c r="Q32" s="667">
        <f t="shared" si="29"/>
        <v>0</v>
      </c>
      <c r="R32" s="1048"/>
      <c r="S32" s="870">
        <f t="shared" si="7"/>
        <v>23</v>
      </c>
      <c r="T32" s="866"/>
      <c r="U32" s="1329"/>
      <c r="V32" s="1330" t="s">
        <v>795</v>
      </c>
      <c r="W32" s="1424">
        <v>0</v>
      </c>
      <c r="X32" s="1033">
        <f>VLOOKUP(V32,Düngemittel!$B$6:$E$64,2,FALSE)*(VLOOKUP(V32,Düngemittel!$B$6:$E$64,3,FALSE))/100*W32</f>
        <v>0</v>
      </c>
      <c r="Y32" s="1033">
        <f>VLOOKUP(V32,Düngemittel!$B$6:$E$64,2,FALSE)*W32</f>
        <v>0</v>
      </c>
      <c r="Z32" s="1033">
        <f>VLOOKUP(V32,Düngemittel!$B$6:$E$64,4,FALSE)*W32</f>
        <v>0</v>
      </c>
      <c r="AA32" s="2324"/>
      <c r="AB32" s="1329"/>
      <c r="AC32" s="1330" t="s">
        <v>795</v>
      </c>
      <c r="AD32" s="1424">
        <v>0</v>
      </c>
      <c r="AE32" s="1033">
        <f>VLOOKUP(AC32,Düngemittel!$B$6:$E$64,2,FALSE)*(VLOOKUP(AC32,Düngemittel!$B$6:$E$64,3,FALSE))/100*AD32</f>
        <v>0</v>
      </c>
      <c r="AF32" s="1033">
        <f>VLOOKUP(AC32,Düngemittel!$B$6:$E$64,2,FALSE)*AD32</f>
        <v>0</v>
      </c>
      <c r="AG32" s="1033">
        <f>VLOOKUP(AC32,Düngemittel!$B$6:$E$64,4,FALSE)*AD32</f>
        <v>0</v>
      </c>
      <c r="AH32" s="2324"/>
      <c r="AI32" s="1329"/>
      <c r="AJ32" s="1330" t="s">
        <v>795</v>
      </c>
      <c r="AK32" s="1424">
        <v>0</v>
      </c>
      <c r="AL32" s="1033">
        <f>VLOOKUP(AJ32,Düngemittel!$B$6:$E$64,2,FALSE)*(VLOOKUP(AJ32,Düngemittel!$B$6:$E$64,3,FALSE))/100*AK32</f>
        <v>0</v>
      </c>
      <c r="AM32" s="1033">
        <f>VLOOKUP(AJ32,Düngemittel!$B$6:$E$64,2,FALSE)*AK32</f>
        <v>0</v>
      </c>
      <c r="AN32" s="1033">
        <f>VLOOKUP(AJ32,Düngemittel!$B$6:$E$64,4,FALSE)*AK32</f>
        <v>0</v>
      </c>
      <c r="AO32" s="865"/>
      <c r="AP32" s="1282">
        <f t="shared" si="30"/>
        <v>0</v>
      </c>
      <c r="AQ32" s="2326">
        <f t="shared" si="31"/>
        <v>0</v>
      </c>
      <c r="AR32" s="1283">
        <f t="shared" si="32"/>
        <v>0</v>
      </c>
      <c r="AS32" s="1156">
        <f t="shared" si="33"/>
        <v>0</v>
      </c>
      <c r="AT32" s="2326">
        <f t="shared" si="34"/>
        <v>0</v>
      </c>
      <c r="AU32" s="1154"/>
      <c r="AV32" s="1282">
        <f t="shared" si="35"/>
        <v>0</v>
      </c>
      <c r="AW32" s="1282">
        <f t="shared" si="36"/>
        <v>0</v>
      </c>
      <c r="AX32" s="1282">
        <f t="shared" si="37"/>
        <v>0</v>
      </c>
      <c r="AY32" s="1824">
        <f t="shared" si="38"/>
        <v>0</v>
      </c>
      <c r="AZ32" s="1282">
        <f t="shared" si="39"/>
        <v>0</v>
      </c>
      <c r="BA32" s="544">
        <f t="shared" si="40"/>
        <v>0</v>
      </c>
      <c r="BB32" s="545">
        <f t="shared" si="41"/>
        <v>40</v>
      </c>
    </row>
    <row r="33" spans="1:54" ht="28.5" customHeight="1">
      <c r="A33" s="468">
        <v>24</v>
      </c>
      <c r="B33" s="1705">
        <v>0</v>
      </c>
      <c r="C33" s="2748"/>
      <c r="D33" s="1568" t="s">
        <v>572</v>
      </c>
      <c r="E33" s="1566">
        <f t="shared" si="23"/>
        <v>0</v>
      </c>
      <c r="F33" s="815" t="s">
        <v>559</v>
      </c>
      <c r="G33" s="595">
        <f t="shared" si="24"/>
        <v>0</v>
      </c>
      <c r="H33" s="596" t="s">
        <v>293</v>
      </c>
      <c r="I33" s="597">
        <f t="shared" si="25"/>
        <v>0</v>
      </c>
      <c r="J33" s="598" t="s">
        <v>551</v>
      </c>
      <c r="K33" s="531" t="s">
        <v>554</v>
      </c>
      <c r="L33" s="595">
        <f t="shared" si="26"/>
        <v>0</v>
      </c>
      <c r="M33" s="2197">
        <v>0</v>
      </c>
      <c r="N33" s="599">
        <f t="shared" si="27"/>
        <v>40</v>
      </c>
      <c r="O33" s="664">
        <f t="shared" si="28"/>
        <v>0</v>
      </c>
      <c r="P33" s="668">
        <v>14</v>
      </c>
      <c r="Q33" s="667">
        <f t="shared" si="29"/>
        <v>0</v>
      </c>
      <c r="R33" s="1048"/>
      <c r="S33" s="870">
        <f t="shared" si="7"/>
        <v>24</v>
      </c>
      <c r="T33" s="866"/>
      <c r="U33" s="1329"/>
      <c r="V33" s="1330" t="s">
        <v>795</v>
      </c>
      <c r="W33" s="1424">
        <v>0</v>
      </c>
      <c r="X33" s="1033">
        <f>VLOOKUP(V33,Düngemittel!$B$6:$E$64,2,FALSE)*(VLOOKUP(V33,Düngemittel!$B$6:$E$64,3,FALSE))/100*W33</f>
        <v>0</v>
      </c>
      <c r="Y33" s="1033">
        <f>VLOOKUP(V33,Düngemittel!$B$6:$E$64,2,FALSE)*W33</f>
        <v>0</v>
      </c>
      <c r="Z33" s="1033">
        <f>VLOOKUP(V33,Düngemittel!$B$6:$E$64,4,FALSE)*W33</f>
        <v>0</v>
      </c>
      <c r="AA33" s="2324"/>
      <c r="AB33" s="1329"/>
      <c r="AC33" s="1330" t="s">
        <v>795</v>
      </c>
      <c r="AD33" s="1424">
        <v>0</v>
      </c>
      <c r="AE33" s="1033">
        <f>VLOOKUP(AC33,Düngemittel!$B$6:$E$64,2,FALSE)*(VLOOKUP(AC33,Düngemittel!$B$6:$E$64,3,FALSE))/100*AD33</f>
        <v>0</v>
      </c>
      <c r="AF33" s="1033">
        <f>VLOOKUP(AC33,Düngemittel!$B$6:$E$64,2,FALSE)*AD33</f>
        <v>0</v>
      </c>
      <c r="AG33" s="1033">
        <f>VLOOKUP(AC33,Düngemittel!$B$6:$E$64,4,FALSE)*AD33</f>
        <v>0</v>
      </c>
      <c r="AH33" s="2324"/>
      <c r="AI33" s="1329"/>
      <c r="AJ33" s="1330" t="s">
        <v>795</v>
      </c>
      <c r="AK33" s="1424">
        <v>0</v>
      </c>
      <c r="AL33" s="1033">
        <f>VLOOKUP(AJ33,Düngemittel!$B$6:$E$64,2,FALSE)*(VLOOKUP(AJ33,Düngemittel!$B$6:$E$64,3,FALSE))/100*AK33</f>
        <v>0</v>
      </c>
      <c r="AM33" s="1033">
        <f>VLOOKUP(AJ33,Düngemittel!$B$6:$E$64,2,FALSE)*AK33</f>
        <v>0</v>
      </c>
      <c r="AN33" s="1033">
        <f>VLOOKUP(AJ33,Düngemittel!$B$6:$E$64,4,FALSE)*AK33</f>
        <v>0</v>
      </c>
      <c r="AO33" s="865"/>
      <c r="AP33" s="1282">
        <f t="shared" si="30"/>
        <v>0</v>
      </c>
      <c r="AQ33" s="2326">
        <f t="shared" si="31"/>
        <v>0</v>
      </c>
      <c r="AR33" s="1283">
        <f t="shared" si="32"/>
        <v>0</v>
      </c>
      <c r="AS33" s="1156">
        <f t="shared" si="33"/>
        <v>0</v>
      </c>
      <c r="AT33" s="2326">
        <f t="shared" si="34"/>
        <v>0</v>
      </c>
      <c r="AU33" s="1154"/>
      <c r="AV33" s="1282">
        <f t="shared" si="35"/>
        <v>0</v>
      </c>
      <c r="AW33" s="1282">
        <f t="shared" si="36"/>
        <v>0</v>
      </c>
      <c r="AX33" s="1282">
        <f t="shared" si="37"/>
        <v>0</v>
      </c>
      <c r="AY33" s="1824">
        <f t="shared" si="38"/>
        <v>0</v>
      </c>
      <c r="AZ33" s="1282">
        <f t="shared" si="39"/>
        <v>0</v>
      </c>
      <c r="BA33" s="544">
        <f t="shared" si="40"/>
        <v>0</v>
      </c>
      <c r="BB33" s="545">
        <f t="shared" si="41"/>
        <v>40</v>
      </c>
    </row>
    <row r="34" spans="1:54" ht="28.5" customHeight="1">
      <c r="A34" s="468">
        <v>25</v>
      </c>
      <c r="B34" s="1705">
        <v>0</v>
      </c>
      <c r="C34" s="2748"/>
      <c r="D34" s="1568" t="s">
        <v>572</v>
      </c>
      <c r="E34" s="1566">
        <f t="shared" si="23"/>
        <v>0</v>
      </c>
      <c r="F34" s="815" t="s">
        <v>559</v>
      </c>
      <c r="G34" s="595">
        <f t="shared" si="24"/>
        <v>0</v>
      </c>
      <c r="H34" s="596" t="s">
        <v>293</v>
      </c>
      <c r="I34" s="597">
        <f t="shared" si="25"/>
        <v>0</v>
      </c>
      <c r="J34" s="598" t="s">
        <v>551</v>
      </c>
      <c r="K34" s="531" t="s">
        <v>554</v>
      </c>
      <c r="L34" s="595">
        <f t="shared" si="26"/>
        <v>0</v>
      </c>
      <c r="M34" s="2197">
        <v>0</v>
      </c>
      <c r="N34" s="599">
        <f t="shared" si="27"/>
        <v>40</v>
      </c>
      <c r="O34" s="664">
        <f t="shared" si="28"/>
        <v>0</v>
      </c>
      <c r="P34" s="668">
        <v>15</v>
      </c>
      <c r="Q34" s="667">
        <f t="shared" si="29"/>
        <v>0</v>
      </c>
      <c r="R34" s="1048"/>
      <c r="S34" s="870">
        <f t="shared" si="7"/>
        <v>25</v>
      </c>
      <c r="T34" s="866"/>
      <c r="U34" s="1329"/>
      <c r="V34" s="1330" t="s">
        <v>795</v>
      </c>
      <c r="W34" s="1424">
        <v>0</v>
      </c>
      <c r="X34" s="1033">
        <f>VLOOKUP(V34,Düngemittel!$B$6:$E$64,2,FALSE)*(VLOOKUP(V34,Düngemittel!$B$6:$E$64,3,FALSE))/100*W34</f>
        <v>0</v>
      </c>
      <c r="Y34" s="1033">
        <f>VLOOKUP(V34,Düngemittel!$B$6:$E$64,2,FALSE)*W34</f>
        <v>0</v>
      </c>
      <c r="Z34" s="1033">
        <f>VLOOKUP(V34,Düngemittel!$B$6:$E$64,4,FALSE)*W34</f>
        <v>0</v>
      </c>
      <c r="AA34" s="2324"/>
      <c r="AB34" s="1329"/>
      <c r="AC34" s="1330" t="s">
        <v>795</v>
      </c>
      <c r="AD34" s="1424">
        <v>0</v>
      </c>
      <c r="AE34" s="1033">
        <f>VLOOKUP(AC34,Düngemittel!$B$6:$E$64,2,FALSE)*(VLOOKUP(AC34,Düngemittel!$B$6:$E$64,3,FALSE))/100*AD34</f>
        <v>0</v>
      </c>
      <c r="AF34" s="1033">
        <f>VLOOKUP(AC34,Düngemittel!$B$6:$E$64,2,FALSE)*AD34</f>
        <v>0</v>
      </c>
      <c r="AG34" s="1033">
        <f>VLOOKUP(AC34,Düngemittel!$B$6:$E$64,4,FALSE)*AD34</f>
        <v>0</v>
      </c>
      <c r="AH34" s="2324"/>
      <c r="AI34" s="1329"/>
      <c r="AJ34" s="1330" t="s">
        <v>795</v>
      </c>
      <c r="AK34" s="1424">
        <v>0</v>
      </c>
      <c r="AL34" s="1033">
        <f>VLOOKUP(AJ34,Düngemittel!$B$6:$E$64,2,FALSE)*(VLOOKUP(AJ34,Düngemittel!$B$6:$E$64,3,FALSE))/100*AK34</f>
        <v>0</v>
      </c>
      <c r="AM34" s="1033">
        <f>VLOOKUP(AJ34,Düngemittel!$B$6:$E$64,2,FALSE)*AK34</f>
        <v>0</v>
      </c>
      <c r="AN34" s="1033">
        <f>VLOOKUP(AJ34,Düngemittel!$B$6:$E$64,4,FALSE)*AK34</f>
        <v>0</v>
      </c>
      <c r="AO34" s="865"/>
      <c r="AP34" s="1282">
        <f t="shared" si="30"/>
        <v>0</v>
      </c>
      <c r="AQ34" s="2326">
        <f t="shared" si="31"/>
        <v>0</v>
      </c>
      <c r="AR34" s="1283">
        <f t="shared" si="32"/>
        <v>0</v>
      </c>
      <c r="AS34" s="1156">
        <f t="shared" si="33"/>
        <v>0</v>
      </c>
      <c r="AT34" s="2326">
        <f t="shared" si="34"/>
        <v>0</v>
      </c>
      <c r="AU34" s="1154"/>
      <c r="AV34" s="1282">
        <f t="shared" si="35"/>
        <v>0</v>
      </c>
      <c r="AW34" s="1282">
        <f t="shared" si="36"/>
        <v>0</v>
      </c>
      <c r="AX34" s="1282">
        <f t="shared" si="37"/>
        <v>0</v>
      </c>
      <c r="AY34" s="1824">
        <f t="shared" si="38"/>
        <v>0</v>
      </c>
      <c r="AZ34" s="1282">
        <f t="shared" si="39"/>
        <v>0</v>
      </c>
      <c r="BA34" s="544">
        <f t="shared" si="40"/>
        <v>0</v>
      </c>
      <c r="BB34" s="545">
        <f t="shared" si="41"/>
        <v>40</v>
      </c>
    </row>
    <row r="35" spans="1:54" ht="28.5" customHeight="1">
      <c r="A35" s="468">
        <v>26</v>
      </c>
      <c r="B35" s="1705">
        <v>0</v>
      </c>
      <c r="C35" s="2748"/>
      <c r="D35" s="1568" t="s">
        <v>572</v>
      </c>
      <c r="E35" s="1566">
        <f t="shared" si="23"/>
        <v>0</v>
      </c>
      <c r="F35" s="815" t="s">
        <v>559</v>
      </c>
      <c r="G35" s="595">
        <f t="shared" si="24"/>
        <v>0</v>
      </c>
      <c r="H35" s="596" t="s">
        <v>293</v>
      </c>
      <c r="I35" s="597">
        <f t="shared" si="25"/>
        <v>0</v>
      </c>
      <c r="J35" s="598" t="s">
        <v>551</v>
      </c>
      <c r="K35" s="531" t="s">
        <v>554</v>
      </c>
      <c r="L35" s="595">
        <f t="shared" si="26"/>
        <v>0</v>
      </c>
      <c r="M35" s="2197">
        <v>0</v>
      </c>
      <c r="N35" s="599">
        <f t="shared" si="27"/>
        <v>40</v>
      </c>
      <c r="O35" s="664">
        <f t="shared" si="28"/>
        <v>0</v>
      </c>
      <c r="P35" s="668">
        <v>16</v>
      </c>
      <c r="Q35" s="667">
        <f t="shared" si="29"/>
        <v>0</v>
      </c>
      <c r="R35" s="1048"/>
      <c r="S35" s="870">
        <f t="shared" si="7"/>
        <v>26</v>
      </c>
      <c r="T35" s="866"/>
      <c r="U35" s="1329"/>
      <c r="V35" s="1330" t="s">
        <v>795</v>
      </c>
      <c r="W35" s="1424">
        <v>0</v>
      </c>
      <c r="X35" s="1033">
        <f>VLOOKUP(V35,Düngemittel!$B$6:$E$64,2,FALSE)*(VLOOKUP(V35,Düngemittel!$B$6:$E$64,3,FALSE))/100*W35</f>
        <v>0</v>
      </c>
      <c r="Y35" s="1033">
        <f>VLOOKUP(V35,Düngemittel!$B$6:$E$64,2,FALSE)*W35</f>
        <v>0</v>
      </c>
      <c r="Z35" s="1033">
        <f>VLOOKUP(V35,Düngemittel!$B$6:$E$64,4,FALSE)*W35</f>
        <v>0</v>
      </c>
      <c r="AA35" s="2324"/>
      <c r="AB35" s="1329"/>
      <c r="AC35" s="1330" t="s">
        <v>795</v>
      </c>
      <c r="AD35" s="1424">
        <v>0</v>
      </c>
      <c r="AE35" s="1033">
        <f>VLOOKUP(AC35,Düngemittel!$B$6:$E$64,2,FALSE)*(VLOOKUP(AC35,Düngemittel!$B$6:$E$64,3,FALSE))/100*AD35</f>
        <v>0</v>
      </c>
      <c r="AF35" s="1033">
        <f>VLOOKUP(AC35,Düngemittel!$B$6:$E$64,2,FALSE)*AD35</f>
        <v>0</v>
      </c>
      <c r="AG35" s="1033">
        <f>VLOOKUP(AC35,Düngemittel!$B$6:$E$64,4,FALSE)*AD35</f>
        <v>0</v>
      </c>
      <c r="AH35" s="2324"/>
      <c r="AI35" s="1329"/>
      <c r="AJ35" s="1330" t="s">
        <v>795</v>
      </c>
      <c r="AK35" s="1424">
        <v>0</v>
      </c>
      <c r="AL35" s="1033">
        <f>VLOOKUP(AJ35,Düngemittel!$B$6:$E$64,2,FALSE)*(VLOOKUP(AJ35,Düngemittel!$B$6:$E$64,3,FALSE))/100*AK35</f>
        <v>0</v>
      </c>
      <c r="AM35" s="1033">
        <f>VLOOKUP(AJ35,Düngemittel!$B$6:$E$64,2,FALSE)*AK35</f>
        <v>0</v>
      </c>
      <c r="AN35" s="1033">
        <f>VLOOKUP(AJ35,Düngemittel!$B$6:$E$64,4,FALSE)*AK35</f>
        <v>0</v>
      </c>
      <c r="AO35" s="865"/>
      <c r="AP35" s="1282">
        <f t="shared" si="30"/>
        <v>0</v>
      </c>
      <c r="AQ35" s="2326">
        <f t="shared" si="31"/>
        <v>0</v>
      </c>
      <c r="AR35" s="1283">
        <f t="shared" si="32"/>
        <v>0</v>
      </c>
      <c r="AS35" s="1156">
        <f t="shared" si="33"/>
        <v>0</v>
      </c>
      <c r="AT35" s="2326">
        <f t="shared" si="34"/>
        <v>0</v>
      </c>
      <c r="AU35" s="1154"/>
      <c r="AV35" s="1282">
        <f t="shared" si="35"/>
        <v>0</v>
      </c>
      <c r="AW35" s="1282">
        <f t="shared" si="36"/>
        <v>0</v>
      </c>
      <c r="AX35" s="1282">
        <f t="shared" si="37"/>
        <v>0</v>
      </c>
      <c r="AY35" s="1824">
        <f t="shared" si="38"/>
        <v>0</v>
      </c>
      <c r="AZ35" s="1282">
        <f t="shared" si="39"/>
        <v>0</v>
      </c>
      <c r="BA35" s="544">
        <f t="shared" si="40"/>
        <v>0</v>
      </c>
      <c r="BB35" s="545">
        <f t="shared" si="41"/>
        <v>40</v>
      </c>
    </row>
    <row r="36" spans="1:54" ht="28.5" customHeight="1">
      <c r="A36" s="468">
        <v>27</v>
      </c>
      <c r="B36" s="1705">
        <v>0</v>
      </c>
      <c r="C36" s="2748"/>
      <c r="D36" s="1568" t="s">
        <v>572</v>
      </c>
      <c r="E36" s="1566">
        <f t="shared" si="23"/>
        <v>0</v>
      </c>
      <c r="F36" s="815" t="s">
        <v>559</v>
      </c>
      <c r="G36" s="595">
        <f t="shared" si="24"/>
        <v>0</v>
      </c>
      <c r="H36" s="596" t="s">
        <v>293</v>
      </c>
      <c r="I36" s="597">
        <f t="shared" si="25"/>
        <v>0</v>
      </c>
      <c r="J36" s="598" t="s">
        <v>551</v>
      </c>
      <c r="K36" s="531" t="s">
        <v>554</v>
      </c>
      <c r="L36" s="595">
        <f t="shared" si="26"/>
        <v>0</v>
      </c>
      <c r="M36" s="2197">
        <v>0</v>
      </c>
      <c r="N36" s="599">
        <f t="shared" si="27"/>
        <v>40</v>
      </c>
      <c r="O36" s="664">
        <f t="shared" si="28"/>
        <v>0</v>
      </c>
      <c r="P36" s="668">
        <v>17</v>
      </c>
      <c r="Q36" s="667">
        <f t="shared" si="29"/>
        <v>0</v>
      </c>
      <c r="R36" s="1048"/>
      <c r="S36" s="870">
        <f t="shared" si="7"/>
        <v>27</v>
      </c>
      <c r="T36" s="866"/>
      <c r="U36" s="1329"/>
      <c r="V36" s="1330" t="s">
        <v>795</v>
      </c>
      <c r="W36" s="1424">
        <v>0</v>
      </c>
      <c r="X36" s="1033">
        <f>VLOOKUP(V36,Düngemittel!$B$6:$E$64,2,FALSE)*(VLOOKUP(V36,Düngemittel!$B$6:$E$64,3,FALSE))/100*W36</f>
        <v>0</v>
      </c>
      <c r="Y36" s="1033">
        <f>VLOOKUP(V36,Düngemittel!$B$6:$E$64,2,FALSE)*W36</f>
        <v>0</v>
      </c>
      <c r="Z36" s="1033">
        <f>VLOOKUP(V36,Düngemittel!$B$6:$E$64,4,FALSE)*W36</f>
        <v>0</v>
      </c>
      <c r="AA36" s="2324"/>
      <c r="AB36" s="1329"/>
      <c r="AC36" s="1330" t="s">
        <v>795</v>
      </c>
      <c r="AD36" s="1424">
        <v>0</v>
      </c>
      <c r="AE36" s="1033">
        <f>VLOOKUP(AC36,Düngemittel!$B$6:$E$64,2,FALSE)*(VLOOKUP(AC36,Düngemittel!$B$6:$E$64,3,FALSE))/100*AD36</f>
        <v>0</v>
      </c>
      <c r="AF36" s="1033">
        <f>VLOOKUP(AC36,Düngemittel!$B$6:$E$64,2,FALSE)*AD36</f>
        <v>0</v>
      </c>
      <c r="AG36" s="1033">
        <f>VLOOKUP(AC36,Düngemittel!$B$6:$E$64,4,FALSE)*AD36</f>
        <v>0</v>
      </c>
      <c r="AH36" s="2324"/>
      <c r="AI36" s="1329"/>
      <c r="AJ36" s="1330" t="s">
        <v>795</v>
      </c>
      <c r="AK36" s="1424">
        <v>0</v>
      </c>
      <c r="AL36" s="1033">
        <f>VLOOKUP(AJ36,Düngemittel!$B$6:$E$64,2,FALSE)*(VLOOKUP(AJ36,Düngemittel!$B$6:$E$64,3,FALSE))/100*AK36</f>
        <v>0</v>
      </c>
      <c r="AM36" s="1033">
        <f>VLOOKUP(AJ36,Düngemittel!$B$6:$E$64,2,FALSE)*AK36</f>
        <v>0</v>
      </c>
      <c r="AN36" s="1033">
        <f>VLOOKUP(AJ36,Düngemittel!$B$6:$E$64,4,FALSE)*AK36</f>
        <v>0</v>
      </c>
      <c r="AO36" s="865"/>
      <c r="AP36" s="1282">
        <f t="shared" si="30"/>
        <v>0</v>
      </c>
      <c r="AQ36" s="2326">
        <f t="shared" si="31"/>
        <v>0</v>
      </c>
      <c r="AR36" s="1283">
        <f t="shared" si="32"/>
        <v>0</v>
      </c>
      <c r="AS36" s="1156">
        <f t="shared" si="33"/>
        <v>0</v>
      </c>
      <c r="AT36" s="2326">
        <f t="shared" si="34"/>
        <v>0</v>
      </c>
      <c r="AU36" s="1154"/>
      <c r="AV36" s="1282">
        <f t="shared" si="35"/>
        <v>0</v>
      </c>
      <c r="AW36" s="1282">
        <f t="shared" si="36"/>
        <v>0</v>
      </c>
      <c r="AX36" s="1282">
        <f t="shared" si="37"/>
        <v>0</v>
      </c>
      <c r="AY36" s="1824">
        <f t="shared" si="38"/>
        <v>0</v>
      </c>
      <c r="AZ36" s="1282">
        <f t="shared" si="39"/>
        <v>0</v>
      </c>
      <c r="BA36" s="544">
        <f t="shared" si="40"/>
        <v>0</v>
      </c>
      <c r="BB36" s="545">
        <f t="shared" si="41"/>
        <v>40</v>
      </c>
    </row>
    <row r="37" spans="1:54" ht="28.5" customHeight="1">
      <c r="A37" s="468">
        <v>28</v>
      </c>
      <c r="B37" s="1705">
        <v>0</v>
      </c>
      <c r="C37" s="2748"/>
      <c r="D37" s="1568" t="s">
        <v>572</v>
      </c>
      <c r="E37" s="1566">
        <f t="shared" si="23"/>
        <v>0</v>
      </c>
      <c r="F37" s="815" t="s">
        <v>559</v>
      </c>
      <c r="G37" s="595">
        <f t="shared" si="24"/>
        <v>0</v>
      </c>
      <c r="H37" s="596" t="s">
        <v>293</v>
      </c>
      <c r="I37" s="597">
        <f t="shared" si="25"/>
        <v>0</v>
      </c>
      <c r="J37" s="598" t="s">
        <v>551</v>
      </c>
      <c r="K37" s="531" t="s">
        <v>554</v>
      </c>
      <c r="L37" s="595">
        <f t="shared" si="26"/>
        <v>0</v>
      </c>
      <c r="M37" s="2197">
        <v>0</v>
      </c>
      <c r="N37" s="599">
        <f t="shared" si="27"/>
        <v>40</v>
      </c>
      <c r="O37" s="664">
        <f t="shared" si="28"/>
        <v>0</v>
      </c>
      <c r="P37" s="668">
        <v>18</v>
      </c>
      <c r="Q37" s="667">
        <f t="shared" si="29"/>
        <v>0</v>
      </c>
      <c r="R37" s="1048"/>
      <c r="S37" s="870">
        <f t="shared" si="7"/>
        <v>28</v>
      </c>
      <c r="T37" s="866"/>
      <c r="U37" s="1329"/>
      <c r="V37" s="1330" t="s">
        <v>795</v>
      </c>
      <c r="W37" s="1424">
        <v>0</v>
      </c>
      <c r="X37" s="1033">
        <f>VLOOKUP(V37,Düngemittel!$B$6:$E$64,2,FALSE)*(VLOOKUP(V37,Düngemittel!$B$6:$E$64,3,FALSE))/100*W37</f>
        <v>0</v>
      </c>
      <c r="Y37" s="1033">
        <f>VLOOKUP(V37,Düngemittel!$B$6:$E$64,2,FALSE)*W37</f>
        <v>0</v>
      </c>
      <c r="Z37" s="1033">
        <f>VLOOKUP(V37,Düngemittel!$B$6:$E$64,4,FALSE)*W37</f>
        <v>0</v>
      </c>
      <c r="AA37" s="2324"/>
      <c r="AB37" s="1329"/>
      <c r="AC37" s="1330" t="s">
        <v>795</v>
      </c>
      <c r="AD37" s="1424">
        <v>0</v>
      </c>
      <c r="AE37" s="1033">
        <f>VLOOKUP(AC37,Düngemittel!$B$6:$E$64,2,FALSE)*(VLOOKUP(AC37,Düngemittel!$B$6:$E$64,3,FALSE))/100*AD37</f>
        <v>0</v>
      </c>
      <c r="AF37" s="1033">
        <f>VLOOKUP(AC37,Düngemittel!$B$6:$E$64,2,FALSE)*AD37</f>
        <v>0</v>
      </c>
      <c r="AG37" s="1033">
        <f>VLOOKUP(AC37,Düngemittel!$B$6:$E$64,4,FALSE)*AD37</f>
        <v>0</v>
      </c>
      <c r="AH37" s="2324"/>
      <c r="AI37" s="1329"/>
      <c r="AJ37" s="1330" t="s">
        <v>795</v>
      </c>
      <c r="AK37" s="1424">
        <v>0</v>
      </c>
      <c r="AL37" s="1033">
        <f>VLOOKUP(AJ37,Düngemittel!$B$6:$E$64,2,FALSE)*(VLOOKUP(AJ37,Düngemittel!$B$6:$E$64,3,FALSE))/100*AK37</f>
        <v>0</v>
      </c>
      <c r="AM37" s="1033">
        <f>VLOOKUP(AJ37,Düngemittel!$B$6:$E$64,2,FALSE)*AK37</f>
        <v>0</v>
      </c>
      <c r="AN37" s="1033">
        <f>VLOOKUP(AJ37,Düngemittel!$B$6:$E$64,4,FALSE)*AK37</f>
        <v>0</v>
      </c>
      <c r="AO37" s="865"/>
      <c r="AP37" s="1282">
        <f t="shared" si="30"/>
        <v>0</v>
      </c>
      <c r="AQ37" s="2326">
        <f t="shared" si="31"/>
        <v>0</v>
      </c>
      <c r="AR37" s="1283">
        <f t="shared" si="32"/>
        <v>0</v>
      </c>
      <c r="AS37" s="1156">
        <f t="shared" si="33"/>
        <v>0</v>
      </c>
      <c r="AT37" s="2326">
        <f t="shared" si="34"/>
        <v>0</v>
      </c>
      <c r="AU37" s="1154"/>
      <c r="AV37" s="1282">
        <f t="shared" si="35"/>
        <v>0</v>
      </c>
      <c r="AW37" s="1282">
        <f t="shared" si="36"/>
        <v>0</v>
      </c>
      <c r="AX37" s="1282">
        <f t="shared" si="37"/>
        <v>0</v>
      </c>
      <c r="AY37" s="1824">
        <f t="shared" si="38"/>
        <v>0</v>
      </c>
      <c r="AZ37" s="1282">
        <f t="shared" si="39"/>
        <v>0</v>
      </c>
      <c r="BA37" s="544">
        <f t="shared" si="40"/>
        <v>0</v>
      </c>
      <c r="BB37" s="545">
        <f t="shared" si="41"/>
        <v>40</v>
      </c>
    </row>
    <row r="38" spans="1:54" ht="28.5" customHeight="1">
      <c r="A38" s="468">
        <v>29</v>
      </c>
      <c r="B38" s="1705">
        <v>0</v>
      </c>
      <c r="C38" s="2748"/>
      <c r="D38" s="1568" t="s">
        <v>572</v>
      </c>
      <c r="E38" s="1566">
        <f t="shared" si="23"/>
        <v>0</v>
      </c>
      <c r="F38" s="815" t="s">
        <v>559</v>
      </c>
      <c r="G38" s="595">
        <f t="shared" si="24"/>
        <v>0</v>
      </c>
      <c r="H38" s="596" t="s">
        <v>293</v>
      </c>
      <c r="I38" s="597">
        <f t="shared" si="25"/>
        <v>0</v>
      </c>
      <c r="J38" s="598" t="s">
        <v>551</v>
      </c>
      <c r="K38" s="531" t="s">
        <v>554</v>
      </c>
      <c r="L38" s="595">
        <f t="shared" si="26"/>
        <v>0</v>
      </c>
      <c r="M38" s="2197">
        <v>0</v>
      </c>
      <c r="N38" s="599">
        <f t="shared" si="27"/>
        <v>40</v>
      </c>
      <c r="O38" s="664">
        <f t="shared" si="28"/>
        <v>0</v>
      </c>
      <c r="P38" s="668">
        <v>19</v>
      </c>
      <c r="Q38" s="667">
        <f t="shared" si="29"/>
        <v>0</v>
      </c>
      <c r="R38" s="1048"/>
      <c r="S38" s="870">
        <f t="shared" si="7"/>
        <v>29</v>
      </c>
      <c r="T38" s="866"/>
      <c r="U38" s="1329"/>
      <c r="V38" s="1330" t="s">
        <v>795</v>
      </c>
      <c r="W38" s="1424">
        <v>0</v>
      </c>
      <c r="X38" s="1033">
        <f>VLOOKUP(V38,Düngemittel!$B$6:$E$64,2,FALSE)*(VLOOKUP(V38,Düngemittel!$B$6:$E$64,3,FALSE))/100*W38</f>
        <v>0</v>
      </c>
      <c r="Y38" s="1033">
        <f>VLOOKUP(V38,Düngemittel!$B$6:$E$64,2,FALSE)*W38</f>
        <v>0</v>
      </c>
      <c r="Z38" s="1033">
        <f>VLOOKUP(V38,Düngemittel!$B$6:$E$64,4,FALSE)*W38</f>
        <v>0</v>
      </c>
      <c r="AA38" s="2324"/>
      <c r="AB38" s="1329"/>
      <c r="AC38" s="1330" t="s">
        <v>795</v>
      </c>
      <c r="AD38" s="1424">
        <v>0</v>
      </c>
      <c r="AE38" s="1033">
        <f>VLOOKUP(AC38,Düngemittel!$B$6:$E$64,2,FALSE)*(VLOOKUP(AC38,Düngemittel!$B$6:$E$64,3,FALSE))/100*AD38</f>
        <v>0</v>
      </c>
      <c r="AF38" s="1033">
        <f>VLOOKUP(AC38,Düngemittel!$B$6:$E$64,2,FALSE)*AD38</f>
        <v>0</v>
      </c>
      <c r="AG38" s="1033">
        <f>VLOOKUP(AC38,Düngemittel!$B$6:$E$64,4,FALSE)*AD38</f>
        <v>0</v>
      </c>
      <c r="AH38" s="2324"/>
      <c r="AI38" s="1329"/>
      <c r="AJ38" s="1330" t="s">
        <v>795</v>
      </c>
      <c r="AK38" s="1424">
        <v>0</v>
      </c>
      <c r="AL38" s="1033">
        <f>VLOOKUP(AJ38,Düngemittel!$B$6:$E$64,2,FALSE)*(VLOOKUP(AJ38,Düngemittel!$B$6:$E$64,3,FALSE))/100*AK38</f>
        <v>0</v>
      </c>
      <c r="AM38" s="1033">
        <f>VLOOKUP(AJ38,Düngemittel!$B$6:$E$64,2,FALSE)*AK38</f>
        <v>0</v>
      </c>
      <c r="AN38" s="1033">
        <f>VLOOKUP(AJ38,Düngemittel!$B$6:$E$64,4,FALSE)*AK38</f>
        <v>0</v>
      </c>
      <c r="AO38" s="865"/>
      <c r="AP38" s="1282">
        <f t="shared" si="30"/>
        <v>0</v>
      </c>
      <c r="AQ38" s="2326">
        <f t="shared" si="31"/>
        <v>0</v>
      </c>
      <c r="AR38" s="1283">
        <f t="shared" si="32"/>
        <v>0</v>
      </c>
      <c r="AS38" s="1156">
        <f t="shared" si="33"/>
        <v>0</v>
      </c>
      <c r="AT38" s="2326">
        <f t="shared" si="34"/>
        <v>0</v>
      </c>
      <c r="AU38" s="1154"/>
      <c r="AV38" s="1282">
        <f t="shared" si="35"/>
        <v>0</v>
      </c>
      <c r="AW38" s="1282">
        <f t="shared" si="36"/>
        <v>0</v>
      </c>
      <c r="AX38" s="1282">
        <f t="shared" si="37"/>
        <v>0</v>
      </c>
      <c r="AY38" s="1824">
        <f t="shared" si="38"/>
        <v>0</v>
      </c>
      <c r="AZ38" s="1282">
        <f t="shared" si="39"/>
        <v>0</v>
      </c>
      <c r="BA38" s="544">
        <f t="shared" si="40"/>
        <v>0</v>
      </c>
      <c r="BB38" s="545">
        <f t="shared" si="41"/>
        <v>40</v>
      </c>
    </row>
    <row r="39" spans="1:54" ht="28.5" customHeight="1">
      <c r="A39" s="468">
        <v>30</v>
      </c>
      <c r="B39" s="1705">
        <v>0</v>
      </c>
      <c r="C39" s="2748"/>
      <c r="D39" s="1568" t="s">
        <v>572</v>
      </c>
      <c r="E39" s="1566">
        <f t="shared" si="23"/>
        <v>0</v>
      </c>
      <c r="F39" s="815" t="s">
        <v>559</v>
      </c>
      <c r="G39" s="595">
        <f t="shared" si="24"/>
        <v>0</v>
      </c>
      <c r="H39" s="596" t="s">
        <v>293</v>
      </c>
      <c r="I39" s="597">
        <f t="shared" si="25"/>
        <v>0</v>
      </c>
      <c r="J39" s="598" t="s">
        <v>551</v>
      </c>
      <c r="K39" s="531" t="s">
        <v>554</v>
      </c>
      <c r="L39" s="595">
        <f t="shared" si="26"/>
        <v>0</v>
      </c>
      <c r="M39" s="2197">
        <v>0</v>
      </c>
      <c r="N39" s="599">
        <f t="shared" si="27"/>
        <v>40</v>
      </c>
      <c r="O39" s="664">
        <f t="shared" si="28"/>
        <v>0</v>
      </c>
      <c r="P39" s="668">
        <v>20</v>
      </c>
      <c r="Q39" s="667">
        <f t="shared" si="29"/>
        <v>0</v>
      </c>
      <c r="R39" s="1048"/>
      <c r="S39" s="870">
        <f t="shared" si="7"/>
        <v>30</v>
      </c>
      <c r="T39" s="866"/>
      <c r="U39" s="1329"/>
      <c r="V39" s="1330" t="s">
        <v>795</v>
      </c>
      <c r="W39" s="1424">
        <v>0</v>
      </c>
      <c r="X39" s="1033">
        <f>VLOOKUP(V39,Düngemittel!$B$6:$E$64,2,FALSE)*(VLOOKUP(V39,Düngemittel!$B$6:$E$64,3,FALSE))/100*W39</f>
        <v>0</v>
      </c>
      <c r="Y39" s="1033">
        <f>VLOOKUP(V39,Düngemittel!$B$6:$E$64,2,FALSE)*W39</f>
        <v>0</v>
      </c>
      <c r="Z39" s="1033">
        <f>VLOOKUP(V39,Düngemittel!$B$6:$E$64,4,FALSE)*W39</f>
        <v>0</v>
      </c>
      <c r="AA39" s="2324"/>
      <c r="AB39" s="1329"/>
      <c r="AC39" s="1330" t="s">
        <v>795</v>
      </c>
      <c r="AD39" s="1424">
        <v>0</v>
      </c>
      <c r="AE39" s="1033">
        <f>VLOOKUP(AC39,Düngemittel!$B$6:$E$64,2,FALSE)*(VLOOKUP(AC39,Düngemittel!$B$6:$E$64,3,FALSE))/100*AD39</f>
        <v>0</v>
      </c>
      <c r="AF39" s="1033">
        <f>VLOOKUP(AC39,Düngemittel!$B$6:$E$64,2,FALSE)*AD39</f>
        <v>0</v>
      </c>
      <c r="AG39" s="1033">
        <f>VLOOKUP(AC39,Düngemittel!$B$6:$E$64,4,FALSE)*AD39</f>
        <v>0</v>
      </c>
      <c r="AH39" s="2324"/>
      <c r="AI39" s="1329"/>
      <c r="AJ39" s="1330" t="s">
        <v>795</v>
      </c>
      <c r="AK39" s="1424">
        <v>0</v>
      </c>
      <c r="AL39" s="1033">
        <f>VLOOKUP(AJ39,Düngemittel!$B$6:$E$64,2,FALSE)*(VLOOKUP(AJ39,Düngemittel!$B$6:$E$64,3,FALSE))/100*AK39</f>
        <v>0</v>
      </c>
      <c r="AM39" s="1033">
        <f>VLOOKUP(AJ39,Düngemittel!$B$6:$E$64,2,FALSE)*AK39</f>
        <v>0</v>
      </c>
      <c r="AN39" s="1033">
        <f>VLOOKUP(AJ39,Düngemittel!$B$6:$E$64,4,FALSE)*AK39</f>
        <v>0</v>
      </c>
      <c r="AO39" s="865"/>
      <c r="AP39" s="1282">
        <f t="shared" si="30"/>
        <v>0</v>
      </c>
      <c r="AQ39" s="2326">
        <f t="shared" si="31"/>
        <v>0</v>
      </c>
      <c r="AR39" s="1283">
        <f t="shared" si="32"/>
        <v>0</v>
      </c>
      <c r="AS39" s="1156">
        <f t="shared" si="33"/>
        <v>0</v>
      </c>
      <c r="AT39" s="2326">
        <f t="shared" si="34"/>
        <v>0</v>
      </c>
      <c r="AU39" s="1154"/>
      <c r="AV39" s="1282">
        <f t="shared" si="35"/>
        <v>0</v>
      </c>
      <c r="AW39" s="1282">
        <f t="shared" si="36"/>
        <v>0</v>
      </c>
      <c r="AX39" s="1282">
        <f t="shared" si="37"/>
        <v>0</v>
      </c>
      <c r="AY39" s="1824">
        <f t="shared" si="38"/>
        <v>0</v>
      </c>
      <c r="AZ39" s="1282">
        <f t="shared" si="39"/>
        <v>0</v>
      </c>
      <c r="BA39" s="544">
        <f t="shared" si="40"/>
        <v>0</v>
      </c>
      <c r="BB39" s="545">
        <f t="shared" si="41"/>
        <v>40</v>
      </c>
    </row>
    <row r="40" spans="1:54" ht="28.5" customHeight="1">
      <c r="A40" s="468">
        <v>31</v>
      </c>
      <c r="B40" s="1705">
        <v>0</v>
      </c>
      <c r="C40" s="2748"/>
      <c r="D40" s="1568" t="s">
        <v>572</v>
      </c>
      <c r="E40" s="1566">
        <f t="shared" si="23"/>
        <v>0</v>
      </c>
      <c r="F40" s="815" t="s">
        <v>559</v>
      </c>
      <c r="G40" s="595">
        <f t="shared" si="24"/>
        <v>0</v>
      </c>
      <c r="H40" s="596" t="s">
        <v>293</v>
      </c>
      <c r="I40" s="597">
        <f t="shared" si="25"/>
        <v>0</v>
      </c>
      <c r="J40" s="598" t="s">
        <v>551</v>
      </c>
      <c r="K40" s="531" t="s">
        <v>554</v>
      </c>
      <c r="L40" s="595">
        <f t="shared" si="26"/>
        <v>0</v>
      </c>
      <c r="M40" s="2197">
        <v>0</v>
      </c>
      <c r="N40" s="599">
        <f t="shared" si="27"/>
        <v>40</v>
      </c>
      <c r="O40" s="664">
        <f t="shared" si="28"/>
        <v>0</v>
      </c>
      <c r="P40" s="668">
        <v>21</v>
      </c>
      <c r="Q40" s="667">
        <f t="shared" si="29"/>
        <v>0</v>
      </c>
      <c r="R40" s="1048"/>
      <c r="S40" s="870">
        <f t="shared" si="7"/>
        <v>31</v>
      </c>
      <c r="T40" s="866"/>
      <c r="U40" s="1329"/>
      <c r="V40" s="1330" t="s">
        <v>795</v>
      </c>
      <c r="W40" s="1424">
        <v>0</v>
      </c>
      <c r="X40" s="1033">
        <f>VLOOKUP(V40,Düngemittel!$B$6:$E$64,2,FALSE)*(VLOOKUP(V40,Düngemittel!$B$6:$E$64,3,FALSE))/100*W40</f>
        <v>0</v>
      </c>
      <c r="Y40" s="1033">
        <f>VLOOKUP(V40,Düngemittel!$B$6:$E$64,2,FALSE)*W40</f>
        <v>0</v>
      </c>
      <c r="Z40" s="1033">
        <f>VLOOKUP(V40,Düngemittel!$B$6:$E$64,4,FALSE)*W40</f>
        <v>0</v>
      </c>
      <c r="AA40" s="2324"/>
      <c r="AB40" s="1329"/>
      <c r="AC40" s="1330" t="s">
        <v>795</v>
      </c>
      <c r="AD40" s="1424">
        <v>0</v>
      </c>
      <c r="AE40" s="1033">
        <f>VLOOKUP(AC40,Düngemittel!$B$6:$E$64,2,FALSE)*(VLOOKUP(AC40,Düngemittel!$B$6:$E$64,3,FALSE))/100*AD40</f>
        <v>0</v>
      </c>
      <c r="AF40" s="1033">
        <f>VLOOKUP(AC40,Düngemittel!$B$6:$E$64,2,FALSE)*AD40</f>
        <v>0</v>
      </c>
      <c r="AG40" s="1033">
        <f>VLOOKUP(AC40,Düngemittel!$B$6:$E$64,4,FALSE)*AD40</f>
        <v>0</v>
      </c>
      <c r="AH40" s="2324"/>
      <c r="AI40" s="1329"/>
      <c r="AJ40" s="1330" t="s">
        <v>795</v>
      </c>
      <c r="AK40" s="1424">
        <v>0</v>
      </c>
      <c r="AL40" s="1033">
        <f>VLOOKUP(AJ40,Düngemittel!$B$6:$E$64,2,FALSE)*(VLOOKUP(AJ40,Düngemittel!$B$6:$E$64,3,FALSE))/100*AK40</f>
        <v>0</v>
      </c>
      <c r="AM40" s="1033">
        <f>VLOOKUP(AJ40,Düngemittel!$B$6:$E$64,2,FALSE)*AK40</f>
        <v>0</v>
      </c>
      <c r="AN40" s="1033">
        <f>VLOOKUP(AJ40,Düngemittel!$B$6:$E$64,4,FALSE)*AK40</f>
        <v>0</v>
      </c>
      <c r="AO40" s="865"/>
      <c r="AP40" s="1282">
        <f t="shared" si="30"/>
        <v>0</v>
      </c>
      <c r="AQ40" s="2326">
        <f t="shared" si="31"/>
        <v>0</v>
      </c>
      <c r="AR40" s="1283">
        <f t="shared" si="32"/>
        <v>0</v>
      </c>
      <c r="AS40" s="1156">
        <f t="shared" si="33"/>
        <v>0</v>
      </c>
      <c r="AT40" s="2326">
        <f t="shared" si="34"/>
        <v>0</v>
      </c>
      <c r="AU40" s="1154"/>
      <c r="AV40" s="1282">
        <f t="shared" si="35"/>
        <v>0</v>
      </c>
      <c r="AW40" s="1282">
        <f t="shared" si="36"/>
        <v>0</v>
      </c>
      <c r="AX40" s="1282">
        <f t="shared" si="37"/>
        <v>0</v>
      </c>
      <c r="AY40" s="1824">
        <f t="shared" si="38"/>
        <v>0</v>
      </c>
      <c r="AZ40" s="1282">
        <f t="shared" si="39"/>
        <v>0</v>
      </c>
      <c r="BA40" s="544">
        <f t="shared" si="40"/>
        <v>0</v>
      </c>
      <c r="BB40" s="545">
        <f t="shared" si="41"/>
        <v>40</v>
      </c>
    </row>
    <row r="41" spans="1:54" ht="28.5" customHeight="1">
      <c r="A41" s="468">
        <v>32</v>
      </c>
      <c r="B41" s="1705">
        <v>0</v>
      </c>
      <c r="C41" s="2748"/>
      <c r="D41" s="1568" t="s">
        <v>572</v>
      </c>
      <c r="E41" s="1566">
        <f t="shared" si="23"/>
        <v>0</v>
      </c>
      <c r="F41" s="815" t="s">
        <v>559</v>
      </c>
      <c r="G41" s="595">
        <f t="shared" si="24"/>
        <v>0</v>
      </c>
      <c r="H41" s="596" t="s">
        <v>293</v>
      </c>
      <c r="I41" s="597">
        <f t="shared" si="25"/>
        <v>0</v>
      </c>
      <c r="J41" s="598" t="s">
        <v>551</v>
      </c>
      <c r="K41" s="531" t="s">
        <v>554</v>
      </c>
      <c r="L41" s="595">
        <f t="shared" si="26"/>
        <v>0</v>
      </c>
      <c r="M41" s="2197">
        <v>0</v>
      </c>
      <c r="N41" s="599">
        <f t="shared" si="27"/>
        <v>40</v>
      </c>
      <c r="O41" s="664">
        <f t="shared" si="28"/>
        <v>0</v>
      </c>
      <c r="P41" s="668">
        <v>22</v>
      </c>
      <c r="Q41" s="667">
        <f t="shared" si="29"/>
        <v>0</v>
      </c>
      <c r="R41" s="1048"/>
      <c r="S41" s="870">
        <f t="shared" si="7"/>
        <v>32</v>
      </c>
      <c r="T41" s="866"/>
      <c r="U41" s="1329"/>
      <c r="V41" s="1330" t="s">
        <v>795</v>
      </c>
      <c r="W41" s="1424">
        <v>0</v>
      </c>
      <c r="X41" s="1033">
        <f>VLOOKUP(V41,Düngemittel!$B$6:$E$64,2,FALSE)*(VLOOKUP(V41,Düngemittel!$B$6:$E$64,3,FALSE))/100*W41</f>
        <v>0</v>
      </c>
      <c r="Y41" s="1033">
        <f>VLOOKUP(V41,Düngemittel!$B$6:$E$64,2,FALSE)*W41</f>
        <v>0</v>
      </c>
      <c r="Z41" s="1033">
        <f>VLOOKUP(V41,Düngemittel!$B$6:$E$64,4,FALSE)*W41</f>
        <v>0</v>
      </c>
      <c r="AA41" s="2324"/>
      <c r="AB41" s="1329"/>
      <c r="AC41" s="1330" t="s">
        <v>795</v>
      </c>
      <c r="AD41" s="1424">
        <v>0</v>
      </c>
      <c r="AE41" s="1033">
        <f>VLOOKUP(AC41,Düngemittel!$B$6:$E$64,2,FALSE)*(VLOOKUP(AC41,Düngemittel!$B$6:$E$64,3,FALSE))/100*AD41</f>
        <v>0</v>
      </c>
      <c r="AF41" s="1033">
        <f>VLOOKUP(AC41,Düngemittel!$B$6:$E$64,2,FALSE)*AD41</f>
        <v>0</v>
      </c>
      <c r="AG41" s="1033">
        <f>VLOOKUP(AC41,Düngemittel!$B$6:$E$64,4,FALSE)*AD41</f>
        <v>0</v>
      </c>
      <c r="AH41" s="2324"/>
      <c r="AI41" s="1329"/>
      <c r="AJ41" s="1330" t="s">
        <v>795</v>
      </c>
      <c r="AK41" s="1424">
        <v>0</v>
      </c>
      <c r="AL41" s="1033">
        <f>VLOOKUP(AJ41,Düngemittel!$B$6:$E$64,2,FALSE)*(VLOOKUP(AJ41,Düngemittel!$B$6:$E$64,3,FALSE))/100*AK41</f>
        <v>0</v>
      </c>
      <c r="AM41" s="1033">
        <f>VLOOKUP(AJ41,Düngemittel!$B$6:$E$64,2,FALSE)*AK41</f>
        <v>0</v>
      </c>
      <c r="AN41" s="1033">
        <f>VLOOKUP(AJ41,Düngemittel!$B$6:$E$64,4,FALSE)*AK41</f>
        <v>0</v>
      </c>
      <c r="AO41" s="865"/>
      <c r="AP41" s="1282">
        <f t="shared" si="30"/>
        <v>0</v>
      </c>
      <c r="AQ41" s="2326">
        <f t="shared" si="31"/>
        <v>0</v>
      </c>
      <c r="AR41" s="1283">
        <f t="shared" si="32"/>
        <v>0</v>
      </c>
      <c r="AS41" s="1156">
        <f t="shared" si="33"/>
        <v>0</v>
      </c>
      <c r="AT41" s="2326">
        <f t="shared" si="34"/>
        <v>0</v>
      </c>
      <c r="AU41" s="1154"/>
      <c r="AV41" s="1282">
        <f t="shared" si="35"/>
        <v>0</v>
      </c>
      <c r="AW41" s="1282">
        <f t="shared" si="36"/>
        <v>0</v>
      </c>
      <c r="AX41" s="1282">
        <f t="shared" si="37"/>
        <v>0</v>
      </c>
      <c r="AY41" s="1824">
        <f t="shared" si="38"/>
        <v>0</v>
      </c>
      <c r="AZ41" s="1282">
        <f t="shared" si="39"/>
        <v>0</v>
      </c>
      <c r="BA41" s="544">
        <f t="shared" si="40"/>
        <v>0</v>
      </c>
      <c r="BB41" s="545">
        <f t="shared" si="41"/>
        <v>40</v>
      </c>
    </row>
    <row r="42" spans="1:54" ht="28.5" customHeight="1">
      <c r="A42" s="468">
        <v>33</v>
      </c>
      <c r="B42" s="1705">
        <v>0</v>
      </c>
      <c r="C42" s="2748"/>
      <c r="D42" s="1568" t="s">
        <v>572</v>
      </c>
      <c r="E42" s="1566">
        <f t="shared" si="23"/>
        <v>0</v>
      </c>
      <c r="F42" s="815" t="s">
        <v>559</v>
      </c>
      <c r="G42" s="595">
        <f t="shared" si="24"/>
        <v>0</v>
      </c>
      <c r="H42" s="596" t="s">
        <v>293</v>
      </c>
      <c r="I42" s="597">
        <f t="shared" si="25"/>
        <v>0</v>
      </c>
      <c r="J42" s="598" t="s">
        <v>551</v>
      </c>
      <c r="K42" s="531" t="s">
        <v>554</v>
      </c>
      <c r="L42" s="595">
        <f t="shared" si="26"/>
        <v>0</v>
      </c>
      <c r="M42" s="2197">
        <v>0</v>
      </c>
      <c r="N42" s="599">
        <f t="shared" si="27"/>
        <v>40</v>
      </c>
      <c r="O42" s="664">
        <f t="shared" si="28"/>
        <v>0</v>
      </c>
      <c r="P42" s="668">
        <v>23</v>
      </c>
      <c r="Q42" s="667">
        <f t="shared" si="29"/>
        <v>0</v>
      </c>
      <c r="R42" s="1048"/>
      <c r="S42" s="870">
        <f t="shared" si="7"/>
        <v>33</v>
      </c>
      <c r="T42" s="866"/>
      <c r="U42" s="1329"/>
      <c r="V42" s="1330" t="s">
        <v>795</v>
      </c>
      <c r="W42" s="1424">
        <v>0</v>
      </c>
      <c r="X42" s="1033">
        <f>VLOOKUP(V42,Düngemittel!$B$6:$E$64,2,FALSE)*(VLOOKUP(V42,Düngemittel!$B$6:$E$64,3,FALSE))/100*W42</f>
        <v>0</v>
      </c>
      <c r="Y42" s="1033">
        <f>VLOOKUP(V42,Düngemittel!$B$6:$E$64,2,FALSE)*W42</f>
        <v>0</v>
      </c>
      <c r="Z42" s="1033">
        <f>VLOOKUP(V42,Düngemittel!$B$6:$E$64,4,FALSE)*W42</f>
        <v>0</v>
      </c>
      <c r="AA42" s="2324"/>
      <c r="AB42" s="1329"/>
      <c r="AC42" s="1330" t="s">
        <v>795</v>
      </c>
      <c r="AD42" s="1424">
        <v>0</v>
      </c>
      <c r="AE42" s="1033">
        <f>VLOOKUP(AC42,Düngemittel!$B$6:$E$64,2,FALSE)*(VLOOKUP(AC42,Düngemittel!$B$6:$E$64,3,FALSE))/100*AD42</f>
        <v>0</v>
      </c>
      <c r="AF42" s="1033">
        <f>VLOOKUP(AC42,Düngemittel!$B$6:$E$64,2,FALSE)*AD42</f>
        <v>0</v>
      </c>
      <c r="AG42" s="1033">
        <f>VLOOKUP(AC42,Düngemittel!$B$6:$E$64,4,FALSE)*AD42</f>
        <v>0</v>
      </c>
      <c r="AH42" s="2324"/>
      <c r="AI42" s="1329"/>
      <c r="AJ42" s="1330" t="s">
        <v>795</v>
      </c>
      <c r="AK42" s="1424">
        <v>0</v>
      </c>
      <c r="AL42" s="1033">
        <f>VLOOKUP(AJ42,Düngemittel!$B$6:$E$64,2,FALSE)*(VLOOKUP(AJ42,Düngemittel!$B$6:$E$64,3,FALSE))/100*AK42</f>
        <v>0</v>
      </c>
      <c r="AM42" s="1033">
        <f>VLOOKUP(AJ42,Düngemittel!$B$6:$E$64,2,FALSE)*AK42</f>
        <v>0</v>
      </c>
      <c r="AN42" s="1033">
        <f>VLOOKUP(AJ42,Düngemittel!$B$6:$E$64,4,FALSE)*AK42</f>
        <v>0</v>
      </c>
      <c r="AO42" s="865"/>
      <c r="AP42" s="1282">
        <f t="shared" si="30"/>
        <v>0</v>
      </c>
      <c r="AQ42" s="2326">
        <f t="shared" si="31"/>
        <v>0</v>
      </c>
      <c r="AR42" s="1283">
        <f t="shared" si="32"/>
        <v>0</v>
      </c>
      <c r="AS42" s="1156">
        <f t="shared" si="33"/>
        <v>0</v>
      </c>
      <c r="AT42" s="2326">
        <f t="shared" si="34"/>
        <v>0</v>
      </c>
      <c r="AU42" s="1154"/>
      <c r="AV42" s="1282">
        <f t="shared" si="35"/>
        <v>0</v>
      </c>
      <c r="AW42" s="1282">
        <f t="shared" si="36"/>
        <v>0</v>
      </c>
      <c r="AX42" s="1282">
        <f t="shared" si="37"/>
        <v>0</v>
      </c>
      <c r="AY42" s="1824">
        <f t="shared" si="38"/>
        <v>0</v>
      </c>
      <c r="AZ42" s="1282">
        <f t="shared" si="39"/>
        <v>0</v>
      </c>
      <c r="BA42" s="544">
        <f t="shared" si="40"/>
        <v>0</v>
      </c>
      <c r="BB42" s="545">
        <f t="shared" si="41"/>
        <v>40</v>
      </c>
    </row>
    <row r="43" spans="1:54" ht="28.5" customHeight="1">
      <c r="A43" s="468">
        <v>34</v>
      </c>
      <c r="B43" s="1705">
        <v>0</v>
      </c>
      <c r="C43" s="2748"/>
      <c r="D43" s="1568" t="s">
        <v>572</v>
      </c>
      <c r="E43" s="1566">
        <f t="shared" si="23"/>
        <v>0</v>
      </c>
      <c r="F43" s="815" t="s">
        <v>559</v>
      </c>
      <c r="G43" s="595">
        <f t="shared" si="24"/>
        <v>0</v>
      </c>
      <c r="H43" s="596" t="s">
        <v>293</v>
      </c>
      <c r="I43" s="597">
        <f t="shared" si="25"/>
        <v>0</v>
      </c>
      <c r="J43" s="598" t="s">
        <v>551</v>
      </c>
      <c r="K43" s="531" t="s">
        <v>554</v>
      </c>
      <c r="L43" s="595">
        <f t="shared" si="26"/>
        <v>0</v>
      </c>
      <c r="M43" s="2197">
        <v>0</v>
      </c>
      <c r="N43" s="599">
        <f t="shared" si="27"/>
        <v>40</v>
      </c>
      <c r="O43" s="664">
        <f t="shared" si="28"/>
        <v>0</v>
      </c>
      <c r="P43" s="668">
        <v>24</v>
      </c>
      <c r="Q43" s="667">
        <f t="shared" si="29"/>
        <v>0</v>
      </c>
      <c r="R43" s="1048"/>
      <c r="S43" s="870">
        <f t="shared" si="7"/>
        <v>34</v>
      </c>
      <c r="T43" s="866"/>
      <c r="U43" s="1329"/>
      <c r="V43" s="1330" t="s">
        <v>795</v>
      </c>
      <c r="W43" s="1424">
        <v>0</v>
      </c>
      <c r="X43" s="1033">
        <f>VLOOKUP(V43,Düngemittel!$B$6:$E$64,2,FALSE)*(VLOOKUP(V43,Düngemittel!$B$6:$E$64,3,FALSE))/100*W43</f>
        <v>0</v>
      </c>
      <c r="Y43" s="1033">
        <f>VLOOKUP(V43,Düngemittel!$B$6:$E$64,2,FALSE)*W43</f>
        <v>0</v>
      </c>
      <c r="Z43" s="1033">
        <f>VLOOKUP(V43,Düngemittel!$B$6:$E$64,4,FALSE)*W43</f>
        <v>0</v>
      </c>
      <c r="AA43" s="2324"/>
      <c r="AB43" s="1329"/>
      <c r="AC43" s="1330" t="s">
        <v>795</v>
      </c>
      <c r="AD43" s="1424">
        <v>0</v>
      </c>
      <c r="AE43" s="1033">
        <f>VLOOKUP(AC43,Düngemittel!$B$6:$E$64,2,FALSE)*(VLOOKUP(AC43,Düngemittel!$B$6:$E$64,3,FALSE))/100*AD43</f>
        <v>0</v>
      </c>
      <c r="AF43" s="1033">
        <f>VLOOKUP(AC43,Düngemittel!$B$6:$E$64,2,FALSE)*AD43</f>
        <v>0</v>
      </c>
      <c r="AG43" s="1033">
        <f>VLOOKUP(AC43,Düngemittel!$B$6:$E$64,4,FALSE)*AD43</f>
        <v>0</v>
      </c>
      <c r="AH43" s="2324"/>
      <c r="AI43" s="1329"/>
      <c r="AJ43" s="1330" t="s">
        <v>795</v>
      </c>
      <c r="AK43" s="1424">
        <v>0</v>
      </c>
      <c r="AL43" s="1033">
        <f>VLOOKUP(AJ43,Düngemittel!$B$6:$E$64,2,FALSE)*(VLOOKUP(AJ43,Düngemittel!$B$6:$E$64,3,FALSE))/100*AK43</f>
        <v>0</v>
      </c>
      <c r="AM43" s="1033">
        <f>VLOOKUP(AJ43,Düngemittel!$B$6:$E$64,2,FALSE)*AK43</f>
        <v>0</v>
      </c>
      <c r="AN43" s="1033">
        <f>VLOOKUP(AJ43,Düngemittel!$B$6:$E$64,4,FALSE)*AK43</f>
        <v>0</v>
      </c>
      <c r="AO43" s="865"/>
      <c r="AP43" s="1282">
        <f t="shared" si="30"/>
        <v>0</v>
      </c>
      <c r="AQ43" s="2326">
        <f t="shared" si="31"/>
        <v>0</v>
      </c>
      <c r="AR43" s="1283">
        <f t="shared" si="32"/>
        <v>0</v>
      </c>
      <c r="AS43" s="1156">
        <f t="shared" si="33"/>
        <v>0</v>
      </c>
      <c r="AT43" s="2326">
        <f t="shared" si="34"/>
        <v>0</v>
      </c>
      <c r="AU43" s="1154"/>
      <c r="AV43" s="1282">
        <f t="shared" si="35"/>
        <v>0</v>
      </c>
      <c r="AW43" s="1282">
        <f t="shared" si="36"/>
        <v>0</v>
      </c>
      <c r="AX43" s="1282">
        <f t="shared" si="37"/>
        <v>0</v>
      </c>
      <c r="AY43" s="1824">
        <f t="shared" si="38"/>
        <v>0</v>
      </c>
      <c r="AZ43" s="1282">
        <f t="shared" si="39"/>
        <v>0</v>
      </c>
      <c r="BA43" s="544">
        <f t="shared" si="40"/>
        <v>0</v>
      </c>
      <c r="BB43" s="545">
        <f t="shared" si="41"/>
        <v>40</v>
      </c>
    </row>
    <row r="44" spans="1:54" ht="28.5" customHeight="1">
      <c r="A44" s="468">
        <v>35</v>
      </c>
      <c r="B44" s="1705">
        <v>0</v>
      </c>
      <c r="C44" s="2748"/>
      <c r="D44" s="1568" t="s">
        <v>572</v>
      </c>
      <c r="E44" s="1566">
        <f t="shared" si="23"/>
        <v>0</v>
      </c>
      <c r="F44" s="815" t="s">
        <v>559</v>
      </c>
      <c r="G44" s="595">
        <f t="shared" si="24"/>
        <v>0</v>
      </c>
      <c r="H44" s="596" t="s">
        <v>293</v>
      </c>
      <c r="I44" s="597">
        <f t="shared" si="25"/>
        <v>0</v>
      </c>
      <c r="J44" s="598" t="s">
        <v>551</v>
      </c>
      <c r="K44" s="531" t="s">
        <v>554</v>
      </c>
      <c r="L44" s="595">
        <f t="shared" si="26"/>
        <v>0</v>
      </c>
      <c r="M44" s="2197">
        <v>0</v>
      </c>
      <c r="N44" s="599">
        <f t="shared" si="27"/>
        <v>40</v>
      </c>
      <c r="O44" s="664">
        <f t="shared" si="28"/>
        <v>0</v>
      </c>
      <c r="P44" s="668">
        <v>25</v>
      </c>
      <c r="Q44" s="667">
        <f t="shared" si="29"/>
        <v>0</v>
      </c>
      <c r="R44" s="1048"/>
      <c r="S44" s="870">
        <f t="shared" si="7"/>
        <v>35</v>
      </c>
      <c r="T44" s="866"/>
      <c r="U44" s="1329"/>
      <c r="V44" s="1330" t="s">
        <v>795</v>
      </c>
      <c r="W44" s="1424">
        <v>0</v>
      </c>
      <c r="X44" s="1033">
        <f>VLOOKUP(V44,Düngemittel!$B$6:$E$64,2,FALSE)*(VLOOKUP(V44,Düngemittel!$B$6:$E$64,3,FALSE))/100*W44</f>
        <v>0</v>
      </c>
      <c r="Y44" s="1033">
        <f>VLOOKUP(V44,Düngemittel!$B$6:$E$64,2,FALSE)*W44</f>
        <v>0</v>
      </c>
      <c r="Z44" s="1033">
        <f>VLOOKUP(V44,Düngemittel!$B$6:$E$64,4,FALSE)*W44</f>
        <v>0</v>
      </c>
      <c r="AA44" s="2324"/>
      <c r="AB44" s="1329"/>
      <c r="AC44" s="1330" t="s">
        <v>795</v>
      </c>
      <c r="AD44" s="1424">
        <v>0</v>
      </c>
      <c r="AE44" s="1033">
        <f>VLOOKUP(AC44,Düngemittel!$B$6:$E$64,2,FALSE)*(VLOOKUP(AC44,Düngemittel!$B$6:$E$64,3,FALSE))/100*AD44</f>
        <v>0</v>
      </c>
      <c r="AF44" s="1033">
        <f>VLOOKUP(AC44,Düngemittel!$B$6:$E$64,2,FALSE)*AD44</f>
        <v>0</v>
      </c>
      <c r="AG44" s="1033">
        <f>VLOOKUP(AC44,Düngemittel!$B$6:$E$64,4,FALSE)*AD44</f>
        <v>0</v>
      </c>
      <c r="AH44" s="2324"/>
      <c r="AI44" s="1329"/>
      <c r="AJ44" s="1330" t="s">
        <v>795</v>
      </c>
      <c r="AK44" s="1424">
        <v>0</v>
      </c>
      <c r="AL44" s="1033">
        <f>VLOOKUP(AJ44,Düngemittel!$B$6:$E$64,2,FALSE)*(VLOOKUP(AJ44,Düngemittel!$B$6:$E$64,3,FALSE))/100*AK44</f>
        <v>0</v>
      </c>
      <c r="AM44" s="1033">
        <f>VLOOKUP(AJ44,Düngemittel!$B$6:$E$64,2,FALSE)*AK44</f>
        <v>0</v>
      </c>
      <c r="AN44" s="1033">
        <f>VLOOKUP(AJ44,Düngemittel!$B$6:$E$64,4,FALSE)*AK44</f>
        <v>0</v>
      </c>
      <c r="AO44" s="865"/>
      <c r="AP44" s="1282">
        <f t="shared" si="30"/>
        <v>0</v>
      </c>
      <c r="AQ44" s="2326">
        <f t="shared" si="31"/>
        <v>0</v>
      </c>
      <c r="AR44" s="1283">
        <f t="shared" si="32"/>
        <v>0</v>
      </c>
      <c r="AS44" s="1156">
        <f t="shared" si="33"/>
        <v>0</v>
      </c>
      <c r="AT44" s="2326">
        <f t="shared" si="34"/>
        <v>0</v>
      </c>
      <c r="AU44" s="1154"/>
      <c r="AV44" s="1282">
        <f t="shared" si="35"/>
        <v>0</v>
      </c>
      <c r="AW44" s="1282">
        <f t="shared" si="36"/>
        <v>0</v>
      </c>
      <c r="AX44" s="1282">
        <f t="shared" si="37"/>
        <v>0</v>
      </c>
      <c r="AY44" s="1824">
        <f t="shared" si="38"/>
        <v>0</v>
      </c>
      <c r="AZ44" s="1282">
        <f t="shared" si="39"/>
        <v>0</v>
      </c>
      <c r="BA44" s="544">
        <f t="shared" si="40"/>
        <v>0</v>
      </c>
      <c r="BB44" s="545">
        <f t="shared" si="41"/>
        <v>40</v>
      </c>
    </row>
    <row r="45" spans="1:54" ht="28.5" customHeight="1">
      <c r="A45" s="468">
        <v>36</v>
      </c>
      <c r="B45" s="1705">
        <v>0</v>
      </c>
      <c r="C45" s="2748"/>
      <c r="D45" s="1568" t="s">
        <v>572</v>
      </c>
      <c r="E45" s="1566">
        <f t="shared" si="23"/>
        <v>0</v>
      </c>
      <c r="F45" s="815" t="s">
        <v>559</v>
      </c>
      <c r="G45" s="595">
        <f t="shared" si="24"/>
        <v>0</v>
      </c>
      <c r="H45" s="596" t="s">
        <v>293</v>
      </c>
      <c r="I45" s="597">
        <f t="shared" si="25"/>
        <v>0</v>
      </c>
      <c r="J45" s="598" t="s">
        <v>551</v>
      </c>
      <c r="K45" s="531" t="s">
        <v>554</v>
      </c>
      <c r="L45" s="595">
        <f t="shared" si="26"/>
        <v>0</v>
      </c>
      <c r="M45" s="2197">
        <v>0</v>
      </c>
      <c r="N45" s="599">
        <f t="shared" si="27"/>
        <v>40</v>
      </c>
      <c r="O45" s="664">
        <f t="shared" si="28"/>
        <v>0</v>
      </c>
      <c r="P45" s="668">
        <v>26</v>
      </c>
      <c r="Q45" s="667">
        <f t="shared" si="29"/>
        <v>0</v>
      </c>
      <c r="R45" s="1048"/>
      <c r="S45" s="870">
        <f t="shared" si="7"/>
        <v>36</v>
      </c>
      <c r="T45" s="866"/>
      <c r="U45" s="1329"/>
      <c r="V45" s="1330" t="s">
        <v>795</v>
      </c>
      <c r="W45" s="1424">
        <v>0</v>
      </c>
      <c r="X45" s="1033">
        <f>VLOOKUP(V45,Düngemittel!$B$6:$E$64,2,FALSE)*(VLOOKUP(V45,Düngemittel!$B$6:$E$64,3,FALSE))/100*W45</f>
        <v>0</v>
      </c>
      <c r="Y45" s="1033">
        <f>VLOOKUP(V45,Düngemittel!$B$6:$E$64,2,FALSE)*W45</f>
        <v>0</v>
      </c>
      <c r="Z45" s="1033">
        <f>VLOOKUP(V45,Düngemittel!$B$6:$E$64,4,FALSE)*W45</f>
        <v>0</v>
      </c>
      <c r="AA45" s="2324"/>
      <c r="AB45" s="1329"/>
      <c r="AC45" s="1330" t="s">
        <v>795</v>
      </c>
      <c r="AD45" s="1424">
        <v>0</v>
      </c>
      <c r="AE45" s="1033">
        <f>VLOOKUP(AC45,Düngemittel!$B$6:$E$64,2,FALSE)*(VLOOKUP(AC45,Düngemittel!$B$6:$E$64,3,FALSE))/100*AD45</f>
        <v>0</v>
      </c>
      <c r="AF45" s="1033">
        <f>VLOOKUP(AC45,Düngemittel!$B$6:$E$64,2,FALSE)*AD45</f>
        <v>0</v>
      </c>
      <c r="AG45" s="1033">
        <f>VLOOKUP(AC45,Düngemittel!$B$6:$E$64,4,FALSE)*AD45</f>
        <v>0</v>
      </c>
      <c r="AH45" s="2324"/>
      <c r="AI45" s="1329"/>
      <c r="AJ45" s="1330" t="s">
        <v>795</v>
      </c>
      <c r="AK45" s="1424">
        <v>0</v>
      </c>
      <c r="AL45" s="1033">
        <f>VLOOKUP(AJ45,Düngemittel!$B$6:$E$64,2,FALSE)*(VLOOKUP(AJ45,Düngemittel!$B$6:$E$64,3,FALSE))/100*AK45</f>
        <v>0</v>
      </c>
      <c r="AM45" s="1033">
        <f>VLOOKUP(AJ45,Düngemittel!$B$6:$E$64,2,FALSE)*AK45</f>
        <v>0</v>
      </c>
      <c r="AN45" s="1033">
        <f>VLOOKUP(AJ45,Düngemittel!$B$6:$E$64,4,FALSE)*AK45</f>
        <v>0</v>
      </c>
      <c r="AO45" s="865"/>
      <c r="AP45" s="1282">
        <f t="shared" si="30"/>
        <v>0</v>
      </c>
      <c r="AQ45" s="2326">
        <f t="shared" si="31"/>
        <v>0</v>
      </c>
      <c r="AR45" s="1283">
        <f t="shared" si="32"/>
        <v>0</v>
      </c>
      <c r="AS45" s="1156">
        <f t="shared" si="33"/>
        <v>0</v>
      </c>
      <c r="AT45" s="2326">
        <f t="shared" si="34"/>
        <v>0</v>
      </c>
      <c r="AU45" s="1154"/>
      <c r="AV45" s="1282">
        <f t="shared" si="35"/>
        <v>0</v>
      </c>
      <c r="AW45" s="1282">
        <f t="shared" si="36"/>
        <v>0</v>
      </c>
      <c r="AX45" s="1282">
        <f t="shared" si="37"/>
        <v>0</v>
      </c>
      <c r="AY45" s="1824">
        <f t="shared" si="38"/>
        <v>0</v>
      </c>
      <c r="AZ45" s="1282">
        <f t="shared" si="39"/>
        <v>0</v>
      </c>
      <c r="BA45" s="544">
        <f t="shared" si="40"/>
        <v>0</v>
      </c>
      <c r="BB45" s="545">
        <f t="shared" si="41"/>
        <v>40</v>
      </c>
    </row>
    <row r="46" spans="1:54" ht="28.5" customHeight="1">
      <c r="A46" s="468">
        <v>37</v>
      </c>
      <c r="B46" s="1705">
        <v>0</v>
      </c>
      <c r="C46" s="2748"/>
      <c r="D46" s="1568" t="s">
        <v>572</v>
      </c>
      <c r="E46" s="1566">
        <f t="shared" si="23"/>
        <v>0</v>
      </c>
      <c r="F46" s="815" t="s">
        <v>559</v>
      </c>
      <c r="G46" s="595">
        <f t="shared" si="24"/>
        <v>0</v>
      </c>
      <c r="H46" s="596" t="s">
        <v>293</v>
      </c>
      <c r="I46" s="597">
        <f t="shared" si="25"/>
        <v>0</v>
      </c>
      <c r="J46" s="598" t="s">
        <v>551</v>
      </c>
      <c r="K46" s="531" t="s">
        <v>554</v>
      </c>
      <c r="L46" s="595">
        <f t="shared" si="26"/>
        <v>0</v>
      </c>
      <c r="M46" s="2197">
        <v>0</v>
      </c>
      <c r="N46" s="599">
        <f t="shared" si="27"/>
        <v>40</v>
      </c>
      <c r="O46" s="664">
        <f t="shared" si="28"/>
        <v>0</v>
      </c>
      <c r="P46" s="668">
        <v>27</v>
      </c>
      <c r="Q46" s="667">
        <f t="shared" si="29"/>
        <v>0</v>
      </c>
      <c r="R46" s="1048"/>
      <c r="S46" s="870">
        <f t="shared" si="7"/>
        <v>37</v>
      </c>
      <c r="T46" s="866"/>
      <c r="U46" s="1329"/>
      <c r="V46" s="1330" t="s">
        <v>795</v>
      </c>
      <c r="W46" s="1424">
        <v>0</v>
      </c>
      <c r="X46" s="1033">
        <f>VLOOKUP(V46,Düngemittel!$B$6:$E$64,2,FALSE)*(VLOOKUP(V46,Düngemittel!$B$6:$E$64,3,FALSE))/100*W46</f>
        <v>0</v>
      </c>
      <c r="Y46" s="1033">
        <f>VLOOKUP(V46,Düngemittel!$B$6:$E$64,2,FALSE)*W46</f>
        <v>0</v>
      </c>
      <c r="Z46" s="1033">
        <f>VLOOKUP(V46,Düngemittel!$B$6:$E$64,4,FALSE)*W46</f>
        <v>0</v>
      </c>
      <c r="AA46" s="2324"/>
      <c r="AB46" s="1329"/>
      <c r="AC46" s="1330" t="s">
        <v>795</v>
      </c>
      <c r="AD46" s="1424">
        <v>0</v>
      </c>
      <c r="AE46" s="1033">
        <f>VLOOKUP(AC46,Düngemittel!$B$6:$E$64,2,FALSE)*(VLOOKUP(AC46,Düngemittel!$B$6:$E$64,3,FALSE))/100*AD46</f>
        <v>0</v>
      </c>
      <c r="AF46" s="1033">
        <f>VLOOKUP(AC46,Düngemittel!$B$6:$E$64,2,FALSE)*AD46</f>
        <v>0</v>
      </c>
      <c r="AG46" s="1033">
        <f>VLOOKUP(AC46,Düngemittel!$B$6:$E$64,4,FALSE)*AD46</f>
        <v>0</v>
      </c>
      <c r="AH46" s="2324"/>
      <c r="AI46" s="1329"/>
      <c r="AJ46" s="1330" t="s">
        <v>795</v>
      </c>
      <c r="AK46" s="1424">
        <v>0</v>
      </c>
      <c r="AL46" s="1033">
        <f>VLOOKUP(AJ46,Düngemittel!$B$6:$E$64,2,FALSE)*(VLOOKUP(AJ46,Düngemittel!$B$6:$E$64,3,FALSE))/100*AK46</f>
        <v>0</v>
      </c>
      <c r="AM46" s="1033">
        <f>VLOOKUP(AJ46,Düngemittel!$B$6:$E$64,2,FALSE)*AK46</f>
        <v>0</v>
      </c>
      <c r="AN46" s="1033">
        <f>VLOOKUP(AJ46,Düngemittel!$B$6:$E$64,4,FALSE)*AK46</f>
        <v>0</v>
      </c>
      <c r="AO46" s="865"/>
      <c r="AP46" s="1282">
        <f t="shared" si="30"/>
        <v>0</v>
      </c>
      <c r="AQ46" s="2326">
        <f t="shared" si="31"/>
        <v>0</v>
      </c>
      <c r="AR46" s="1283">
        <f t="shared" si="32"/>
        <v>0</v>
      </c>
      <c r="AS46" s="1156">
        <f t="shared" si="33"/>
        <v>0</v>
      </c>
      <c r="AT46" s="2326">
        <f t="shared" si="34"/>
        <v>0</v>
      </c>
      <c r="AU46" s="1154"/>
      <c r="AV46" s="1282">
        <f t="shared" si="35"/>
        <v>0</v>
      </c>
      <c r="AW46" s="1282">
        <f t="shared" si="36"/>
        <v>0</v>
      </c>
      <c r="AX46" s="1282">
        <f t="shared" si="37"/>
        <v>0</v>
      </c>
      <c r="AY46" s="1824">
        <f t="shared" si="38"/>
        <v>0</v>
      </c>
      <c r="AZ46" s="1282">
        <f t="shared" si="39"/>
        <v>0</v>
      </c>
      <c r="BA46" s="544">
        <f t="shared" si="40"/>
        <v>0</v>
      </c>
      <c r="BB46" s="545">
        <f t="shared" si="41"/>
        <v>40</v>
      </c>
    </row>
    <row r="47" spans="1:54" ht="28.5" customHeight="1">
      <c r="A47" s="468">
        <v>38</v>
      </c>
      <c r="B47" s="1705">
        <v>0</v>
      </c>
      <c r="C47" s="2748"/>
      <c r="D47" s="1568" t="s">
        <v>572</v>
      </c>
      <c r="E47" s="1566">
        <f t="shared" si="23"/>
        <v>0</v>
      </c>
      <c r="F47" s="815" t="s">
        <v>559</v>
      </c>
      <c r="G47" s="595">
        <f t="shared" si="24"/>
        <v>0</v>
      </c>
      <c r="H47" s="596" t="s">
        <v>293</v>
      </c>
      <c r="I47" s="597">
        <f t="shared" si="25"/>
        <v>0</v>
      </c>
      <c r="J47" s="598" t="s">
        <v>551</v>
      </c>
      <c r="K47" s="531" t="s">
        <v>554</v>
      </c>
      <c r="L47" s="595">
        <f t="shared" si="26"/>
        <v>0</v>
      </c>
      <c r="M47" s="2197">
        <v>0</v>
      </c>
      <c r="N47" s="599">
        <f t="shared" si="27"/>
        <v>40</v>
      </c>
      <c r="O47" s="664">
        <f t="shared" si="28"/>
        <v>0</v>
      </c>
      <c r="P47" s="668">
        <v>28</v>
      </c>
      <c r="Q47" s="667">
        <f t="shared" si="29"/>
        <v>0</v>
      </c>
      <c r="R47" s="1048"/>
      <c r="S47" s="870">
        <f t="shared" si="7"/>
        <v>38</v>
      </c>
      <c r="T47" s="866"/>
      <c r="U47" s="1329"/>
      <c r="V47" s="1330" t="s">
        <v>795</v>
      </c>
      <c r="W47" s="1424">
        <v>0</v>
      </c>
      <c r="X47" s="1033">
        <f>VLOOKUP(V47,Düngemittel!$B$6:$E$64,2,FALSE)*(VLOOKUP(V47,Düngemittel!$B$6:$E$64,3,FALSE))/100*W47</f>
        <v>0</v>
      </c>
      <c r="Y47" s="1033">
        <f>VLOOKUP(V47,Düngemittel!$B$6:$E$64,2,FALSE)*W47</f>
        <v>0</v>
      </c>
      <c r="Z47" s="1033">
        <f>VLOOKUP(V47,Düngemittel!$B$6:$E$64,4,FALSE)*W47</f>
        <v>0</v>
      </c>
      <c r="AA47" s="2324"/>
      <c r="AB47" s="1329"/>
      <c r="AC47" s="1330" t="s">
        <v>795</v>
      </c>
      <c r="AD47" s="1424">
        <v>0</v>
      </c>
      <c r="AE47" s="1033">
        <f>VLOOKUP(AC47,Düngemittel!$B$6:$E$64,2,FALSE)*(VLOOKUP(AC47,Düngemittel!$B$6:$E$64,3,FALSE))/100*AD47</f>
        <v>0</v>
      </c>
      <c r="AF47" s="1033">
        <f>VLOOKUP(AC47,Düngemittel!$B$6:$E$64,2,FALSE)*AD47</f>
        <v>0</v>
      </c>
      <c r="AG47" s="1033">
        <f>VLOOKUP(AC47,Düngemittel!$B$6:$E$64,4,FALSE)*AD47</f>
        <v>0</v>
      </c>
      <c r="AH47" s="2324"/>
      <c r="AI47" s="1329"/>
      <c r="AJ47" s="1330" t="s">
        <v>795</v>
      </c>
      <c r="AK47" s="1424">
        <v>0</v>
      </c>
      <c r="AL47" s="1033">
        <f>VLOOKUP(AJ47,Düngemittel!$B$6:$E$64,2,FALSE)*(VLOOKUP(AJ47,Düngemittel!$B$6:$E$64,3,FALSE))/100*AK47</f>
        <v>0</v>
      </c>
      <c r="AM47" s="1033">
        <f>VLOOKUP(AJ47,Düngemittel!$B$6:$E$64,2,FALSE)*AK47</f>
        <v>0</v>
      </c>
      <c r="AN47" s="1033">
        <f>VLOOKUP(AJ47,Düngemittel!$B$6:$E$64,4,FALSE)*AK47</f>
        <v>0</v>
      </c>
      <c r="AO47" s="865"/>
      <c r="AP47" s="1282">
        <f t="shared" si="30"/>
        <v>0</v>
      </c>
      <c r="AQ47" s="2326">
        <f t="shared" si="31"/>
        <v>0</v>
      </c>
      <c r="AR47" s="1283">
        <f t="shared" si="32"/>
        <v>0</v>
      </c>
      <c r="AS47" s="1156">
        <f t="shared" si="33"/>
        <v>0</v>
      </c>
      <c r="AT47" s="2326">
        <f t="shared" si="34"/>
        <v>0</v>
      </c>
      <c r="AU47" s="1154"/>
      <c r="AV47" s="1282">
        <f t="shared" si="35"/>
        <v>0</v>
      </c>
      <c r="AW47" s="1282">
        <f t="shared" si="36"/>
        <v>0</v>
      </c>
      <c r="AX47" s="1282">
        <f t="shared" si="37"/>
        <v>0</v>
      </c>
      <c r="AY47" s="1824">
        <f t="shared" si="38"/>
        <v>0</v>
      </c>
      <c r="AZ47" s="1282">
        <f t="shared" si="39"/>
        <v>0</v>
      </c>
      <c r="BA47" s="544">
        <f t="shared" si="40"/>
        <v>0</v>
      </c>
      <c r="BB47" s="545">
        <f t="shared" si="41"/>
        <v>40</v>
      </c>
    </row>
    <row r="48" spans="1:54" ht="28.5" customHeight="1">
      <c r="A48" s="468">
        <v>39</v>
      </c>
      <c r="B48" s="1705">
        <v>0</v>
      </c>
      <c r="C48" s="2748"/>
      <c r="D48" s="1568" t="s">
        <v>572</v>
      </c>
      <c r="E48" s="1566">
        <f t="shared" si="23"/>
        <v>0</v>
      </c>
      <c r="F48" s="815" t="s">
        <v>559</v>
      </c>
      <c r="G48" s="595">
        <f t="shared" si="24"/>
        <v>0</v>
      </c>
      <c r="H48" s="596" t="s">
        <v>293</v>
      </c>
      <c r="I48" s="597">
        <f t="shared" si="25"/>
        <v>0</v>
      </c>
      <c r="J48" s="598" t="s">
        <v>551</v>
      </c>
      <c r="K48" s="531" t="s">
        <v>554</v>
      </c>
      <c r="L48" s="595">
        <f t="shared" si="26"/>
        <v>0</v>
      </c>
      <c r="M48" s="2197">
        <v>0</v>
      </c>
      <c r="N48" s="599">
        <f t="shared" si="27"/>
        <v>40</v>
      </c>
      <c r="O48" s="664">
        <f t="shared" si="28"/>
        <v>0</v>
      </c>
      <c r="P48" s="668">
        <v>29</v>
      </c>
      <c r="Q48" s="667">
        <f t="shared" si="29"/>
        <v>0</v>
      </c>
      <c r="R48" s="1048"/>
      <c r="S48" s="870">
        <f t="shared" si="7"/>
        <v>39</v>
      </c>
      <c r="T48" s="866"/>
      <c r="U48" s="1329"/>
      <c r="V48" s="1330" t="s">
        <v>795</v>
      </c>
      <c r="W48" s="1424">
        <v>0</v>
      </c>
      <c r="X48" s="1033">
        <f>VLOOKUP(V48,Düngemittel!$B$6:$E$64,2,FALSE)*(VLOOKUP(V48,Düngemittel!$B$6:$E$64,3,FALSE))/100*W48</f>
        <v>0</v>
      </c>
      <c r="Y48" s="1033">
        <f>VLOOKUP(V48,Düngemittel!$B$6:$E$64,2,FALSE)*W48</f>
        <v>0</v>
      </c>
      <c r="Z48" s="1033">
        <f>VLOOKUP(V48,Düngemittel!$B$6:$E$64,4,FALSE)*W48</f>
        <v>0</v>
      </c>
      <c r="AA48" s="2324"/>
      <c r="AB48" s="1329"/>
      <c r="AC48" s="1330" t="s">
        <v>795</v>
      </c>
      <c r="AD48" s="1424">
        <v>0</v>
      </c>
      <c r="AE48" s="1033">
        <f>VLOOKUP(AC48,Düngemittel!$B$6:$E$64,2,FALSE)*(VLOOKUP(AC48,Düngemittel!$B$6:$E$64,3,FALSE))/100*AD48</f>
        <v>0</v>
      </c>
      <c r="AF48" s="1033">
        <f>VLOOKUP(AC48,Düngemittel!$B$6:$E$64,2,FALSE)*AD48</f>
        <v>0</v>
      </c>
      <c r="AG48" s="1033">
        <f>VLOOKUP(AC48,Düngemittel!$B$6:$E$64,4,FALSE)*AD48</f>
        <v>0</v>
      </c>
      <c r="AH48" s="2324"/>
      <c r="AI48" s="1329"/>
      <c r="AJ48" s="1330" t="s">
        <v>795</v>
      </c>
      <c r="AK48" s="1424">
        <v>0</v>
      </c>
      <c r="AL48" s="1033">
        <f>VLOOKUP(AJ48,Düngemittel!$B$6:$E$64,2,FALSE)*(VLOOKUP(AJ48,Düngemittel!$B$6:$E$64,3,FALSE))/100*AK48</f>
        <v>0</v>
      </c>
      <c r="AM48" s="1033">
        <f>VLOOKUP(AJ48,Düngemittel!$B$6:$E$64,2,FALSE)*AK48</f>
        <v>0</v>
      </c>
      <c r="AN48" s="1033">
        <f>VLOOKUP(AJ48,Düngemittel!$B$6:$E$64,4,FALSE)*AK48</f>
        <v>0</v>
      </c>
      <c r="AO48" s="865"/>
      <c r="AP48" s="1282">
        <f t="shared" si="30"/>
        <v>0</v>
      </c>
      <c r="AQ48" s="2326">
        <f t="shared" si="31"/>
        <v>0</v>
      </c>
      <c r="AR48" s="1283">
        <f t="shared" si="32"/>
        <v>0</v>
      </c>
      <c r="AS48" s="1156">
        <f t="shared" si="33"/>
        <v>0</v>
      </c>
      <c r="AT48" s="2326">
        <f t="shared" si="34"/>
        <v>0</v>
      </c>
      <c r="AU48" s="1154"/>
      <c r="AV48" s="1282">
        <f t="shared" si="35"/>
        <v>0</v>
      </c>
      <c r="AW48" s="1282">
        <f t="shared" si="36"/>
        <v>0</v>
      </c>
      <c r="AX48" s="1282">
        <f t="shared" si="37"/>
        <v>0</v>
      </c>
      <c r="AY48" s="1824">
        <f t="shared" si="38"/>
        <v>0</v>
      </c>
      <c r="AZ48" s="1282">
        <f t="shared" si="39"/>
        <v>0</v>
      </c>
      <c r="BA48" s="544">
        <f t="shared" si="40"/>
        <v>0</v>
      </c>
      <c r="BB48" s="545">
        <f t="shared" si="41"/>
        <v>40</v>
      </c>
    </row>
    <row r="49" spans="1:58" ht="28.5" customHeight="1">
      <c r="A49" s="468">
        <v>40</v>
      </c>
      <c r="B49" s="1705">
        <v>0</v>
      </c>
      <c r="C49" s="2748"/>
      <c r="D49" s="1568" t="s">
        <v>572</v>
      </c>
      <c r="E49" s="1566">
        <f t="shared" si="23"/>
        <v>0</v>
      </c>
      <c r="F49" s="815" t="s">
        <v>559</v>
      </c>
      <c r="G49" s="595">
        <f t="shared" si="24"/>
        <v>0</v>
      </c>
      <c r="H49" s="596" t="s">
        <v>293</v>
      </c>
      <c r="I49" s="597">
        <f t="shared" si="25"/>
        <v>0</v>
      </c>
      <c r="J49" s="598" t="s">
        <v>551</v>
      </c>
      <c r="K49" s="531" t="s">
        <v>554</v>
      </c>
      <c r="L49" s="595">
        <f t="shared" si="26"/>
        <v>0</v>
      </c>
      <c r="M49" s="2197">
        <v>0</v>
      </c>
      <c r="N49" s="599">
        <f t="shared" si="27"/>
        <v>40</v>
      </c>
      <c r="O49" s="664">
        <f t="shared" si="28"/>
        <v>0</v>
      </c>
      <c r="P49" s="668">
        <v>30</v>
      </c>
      <c r="Q49" s="667">
        <f t="shared" si="29"/>
        <v>0</v>
      </c>
      <c r="R49" s="1048"/>
      <c r="S49" s="870">
        <f t="shared" si="7"/>
        <v>40</v>
      </c>
      <c r="T49" s="866"/>
      <c r="U49" s="1329"/>
      <c r="V49" s="1330" t="s">
        <v>795</v>
      </c>
      <c r="W49" s="1424">
        <v>0</v>
      </c>
      <c r="X49" s="1033">
        <f>VLOOKUP(V49,Düngemittel!$B$6:$E$64,2,FALSE)*(VLOOKUP(V49,Düngemittel!$B$6:$E$64,3,FALSE))/100*W49</f>
        <v>0</v>
      </c>
      <c r="Y49" s="1033">
        <f>VLOOKUP(V49,Düngemittel!$B$6:$E$64,2,FALSE)*W49</f>
        <v>0</v>
      </c>
      <c r="Z49" s="1033">
        <f>VLOOKUP(V49,Düngemittel!$B$6:$E$64,4,FALSE)*W49</f>
        <v>0</v>
      </c>
      <c r="AA49" s="2324"/>
      <c r="AB49" s="1329"/>
      <c r="AC49" s="1330" t="s">
        <v>795</v>
      </c>
      <c r="AD49" s="1424">
        <v>0</v>
      </c>
      <c r="AE49" s="1033">
        <f>VLOOKUP(AC49,Düngemittel!$B$6:$E$64,2,FALSE)*(VLOOKUP(AC49,Düngemittel!$B$6:$E$64,3,FALSE))/100*AD49</f>
        <v>0</v>
      </c>
      <c r="AF49" s="1033">
        <f>VLOOKUP(AC49,Düngemittel!$B$6:$E$64,2,FALSE)*AD49</f>
        <v>0</v>
      </c>
      <c r="AG49" s="1033">
        <f>VLOOKUP(AC49,Düngemittel!$B$6:$E$64,4,FALSE)*AD49</f>
        <v>0</v>
      </c>
      <c r="AH49" s="2324"/>
      <c r="AI49" s="1329"/>
      <c r="AJ49" s="1330" t="s">
        <v>795</v>
      </c>
      <c r="AK49" s="1424">
        <v>0</v>
      </c>
      <c r="AL49" s="1033">
        <f>VLOOKUP(AJ49,Düngemittel!$B$6:$E$64,2,FALSE)*(VLOOKUP(AJ49,Düngemittel!$B$6:$E$64,3,FALSE))/100*AK49</f>
        <v>0</v>
      </c>
      <c r="AM49" s="1033">
        <f>VLOOKUP(AJ49,Düngemittel!$B$6:$E$64,2,FALSE)*AK49</f>
        <v>0</v>
      </c>
      <c r="AN49" s="1033">
        <f>VLOOKUP(AJ49,Düngemittel!$B$6:$E$64,4,FALSE)*AK49</f>
        <v>0</v>
      </c>
      <c r="AO49" s="865"/>
      <c r="AP49" s="1282">
        <f t="shared" si="30"/>
        <v>0</v>
      </c>
      <c r="AQ49" s="2326">
        <f t="shared" si="31"/>
        <v>0</v>
      </c>
      <c r="AR49" s="1283">
        <f t="shared" si="32"/>
        <v>0</v>
      </c>
      <c r="AS49" s="1156">
        <f t="shared" si="33"/>
        <v>0</v>
      </c>
      <c r="AT49" s="2326">
        <f t="shared" si="34"/>
        <v>0</v>
      </c>
      <c r="AU49" s="1154"/>
      <c r="AV49" s="1282">
        <f t="shared" si="35"/>
        <v>0</v>
      </c>
      <c r="AW49" s="1282">
        <f t="shared" si="36"/>
        <v>0</v>
      </c>
      <c r="AX49" s="1282">
        <f t="shared" si="37"/>
        <v>0</v>
      </c>
      <c r="AY49" s="1824">
        <f t="shared" si="38"/>
        <v>0</v>
      </c>
      <c r="AZ49" s="1282">
        <f t="shared" si="39"/>
        <v>0</v>
      </c>
      <c r="BA49" s="544">
        <f t="shared" si="40"/>
        <v>0</v>
      </c>
      <c r="BB49" s="545">
        <f t="shared" si="41"/>
        <v>40</v>
      </c>
    </row>
    <row r="50" spans="1:58" ht="28.5" customHeight="1">
      <c r="A50" s="468">
        <v>41</v>
      </c>
      <c r="B50" s="1705">
        <v>0</v>
      </c>
      <c r="C50" s="2748"/>
      <c r="D50" s="1568" t="s">
        <v>572</v>
      </c>
      <c r="E50" s="1566">
        <f t="shared" si="23"/>
        <v>0</v>
      </c>
      <c r="F50" s="815" t="s">
        <v>559</v>
      </c>
      <c r="G50" s="595">
        <f t="shared" si="24"/>
        <v>0</v>
      </c>
      <c r="H50" s="596" t="s">
        <v>293</v>
      </c>
      <c r="I50" s="597">
        <f t="shared" si="25"/>
        <v>0</v>
      </c>
      <c r="J50" s="598" t="s">
        <v>551</v>
      </c>
      <c r="K50" s="531" t="s">
        <v>554</v>
      </c>
      <c r="L50" s="595">
        <f t="shared" si="26"/>
        <v>0</v>
      </c>
      <c r="M50" s="2197">
        <v>0</v>
      </c>
      <c r="N50" s="599">
        <f t="shared" si="27"/>
        <v>40</v>
      </c>
      <c r="O50" s="664">
        <f t="shared" si="28"/>
        <v>0</v>
      </c>
      <c r="P50" s="668">
        <v>31</v>
      </c>
      <c r="Q50" s="667">
        <f t="shared" si="29"/>
        <v>0</v>
      </c>
      <c r="R50" s="1048"/>
      <c r="S50" s="870">
        <f t="shared" si="7"/>
        <v>41</v>
      </c>
      <c r="T50" s="866"/>
      <c r="U50" s="1329"/>
      <c r="V50" s="1330" t="s">
        <v>795</v>
      </c>
      <c r="W50" s="1424">
        <v>0</v>
      </c>
      <c r="X50" s="1033">
        <f>VLOOKUP(V50,Düngemittel!$B$6:$E$64,2,FALSE)*(VLOOKUP(V50,Düngemittel!$B$6:$E$64,3,FALSE))/100*W50</f>
        <v>0</v>
      </c>
      <c r="Y50" s="1033">
        <f>VLOOKUP(V50,Düngemittel!$B$6:$E$64,2,FALSE)*W50</f>
        <v>0</v>
      </c>
      <c r="Z50" s="1033">
        <f>VLOOKUP(V50,Düngemittel!$B$6:$E$64,4,FALSE)*W50</f>
        <v>0</v>
      </c>
      <c r="AA50" s="2324"/>
      <c r="AB50" s="1329"/>
      <c r="AC50" s="1330" t="s">
        <v>795</v>
      </c>
      <c r="AD50" s="1424">
        <v>0</v>
      </c>
      <c r="AE50" s="1033">
        <f>VLOOKUP(AC50,Düngemittel!$B$6:$E$64,2,FALSE)*(VLOOKUP(AC50,Düngemittel!$B$6:$E$64,3,FALSE))/100*AD50</f>
        <v>0</v>
      </c>
      <c r="AF50" s="1033">
        <f>VLOOKUP(AC50,Düngemittel!$B$6:$E$64,2,FALSE)*AD50</f>
        <v>0</v>
      </c>
      <c r="AG50" s="1033">
        <f>VLOOKUP(AC50,Düngemittel!$B$6:$E$64,4,FALSE)*AD50</f>
        <v>0</v>
      </c>
      <c r="AH50" s="2324"/>
      <c r="AI50" s="1329"/>
      <c r="AJ50" s="1330" t="s">
        <v>795</v>
      </c>
      <c r="AK50" s="1424">
        <v>0</v>
      </c>
      <c r="AL50" s="1033">
        <f>VLOOKUP(AJ50,Düngemittel!$B$6:$E$64,2,FALSE)*(VLOOKUP(AJ50,Düngemittel!$B$6:$E$64,3,FALSE))/100*AK50</f>
        <v>0</v>
      </c>
      <c r="AM50" s="1033">
        <f>VLOOKUP(AJ50,Düngemittel!$B$6:$E$64,2,FALSE)*AK50</f>
        <v>0</v>
      </c>
      <c r="AN50" s="1033">
        <f>VLOOKUP(AJ50,Düngemittel!$B$6:$E$64,4,FALSE)*AK50</f>
        <v>0</v>
      </c>
      <c r="AO50" s="865"/>
      <c r="AP50" s="1282">
        <f t="shared" si="30"/>
        <v>0</v>
      </c>
      <c r="AQ50" s="2326">
        <f t="shared" si="31"/>
        <v>0</v>
      </c>
      <c r="AR50" s="1283">
        <f t="shared" si="32"/>
        <v>0</v>
      </c>
      <c r="AS50" s="1156">
        <f t="shared" si="33"/>
        <v>0</v>
      </c>
      <c r="AT50" s="2326">
        <f t="shared" si="34"/>
        <v>0</v>
      </c>
      <c r="AU50" s="1154"/>
      <c r="AV50" s="1282">
        <f t="shared" si="35"/>
        <v>0</v>
      </c>
      <c r="AW50" s="1282">
        <f t="shared" si="36"/>
        <v>0</v>
      </c>
      <c r="AX50" s="1282">
        <f t="shared" si="37"/>
        <v>0</v>
      </c>
      <c r="AY50" s="1824">
        <f t="shared" si="38"/>
        <v>0</v>
      </c>
      <c r="AZ50" s="1282">
        <f t="shared" si="39"/>
        <v>0</v>
      </c>
      <c r="BA50" s="544">
        <f t="shared" si="40"/>
        <v>0</v>
      </c>
      <c r="BB50" s="545">
        <f t="shared" si="41"/>
        <v>40</v>
      </c>
    </row>
    <row r="51" spans="1:58" ht="28.5" customHeight="1">
      <c r="A51" s="468">
        <v>42</v>
      </c>
      <c r="B51" s="1705">
        <v>0</v>
      </c>
      <c r="C51" s="2748"/>
      <c r="D51" s="1568" t="s">
        <v>572</v>
      </c>
      <c r="E51" s="1566">
        <f t="shared" si="23"/>
        <v>0</v>
      </c>
      <c r="F51" s="815" t="s">
        <v>559</v>
      </c>
      <c r="G51" s="595">
        <f t="shared" si="24"/>
        <v>0</v>
      </c>
      <c r="H51" s="596" t="s">
        <v>293</v>
      </c>
      <c r="I51" s="597">
        <f t="shared" si="25"/>
        <v>0</v>
      </c>
      <c r="J51" s="598" t="s">
        <v>551</v>
      </c>
      <c r="K51" s="531" t="s">
        <v>554</v>
      </c>
      <c r="L51" s="595">
        <f t="shared" si="26"/>
        <v>0</v>
      </c>
      <c r="M51" s="2197">
        <v>0</v>
      </c>
      <c r="N51" s="599">
        <f t="shared" si="27"/>
        <v>40</v>
      </c>
      <c r="O51" s="664">
        <f t="shared" si="28"/>
        <v>0</v>
      </c>
      <c r="P51" s="668">
        <v>32</v>
      </c>
      <c r="Q51" s="667">
        <f t="shared" si="29"/>
        <v>0</v>
      </c>
      <c r="R51" s="1048"/>
      <c r="S51" s="870">
        <f t="shared" si="7"/>
        <v>42</v>
      </c>
      <c r="T51" s="866"/>
      <c r="U51" s="1329"/>
      <c r="V51" s="1330" t="s">
        <v>795</v>
      </c>
      <c r="W51" s="1424">
        <v>0</v>
      </c>
      <c r="X51" s="1033">
        <f>VLOOKUP(V51,Düngemittel!$B$6:$E$64,2,FALSE)*(VLOOKUP(V51,Düngemittel!$B$6:$E$64,3,FALSE))/100*W51</f>
        <v>0</v>
      </c>
      <c r="Y51" s="1033">
        <f>VLOOKUP(V51,Düngemittel!$B$6:$E$64,2,FALSE)*W51</f>
        <v>0</v>
      </c>
      <c r="Z51" s="1033">
        <f>VLOOKUP(V51,Düngemittel!$B$6:$E$64,4,FALSE)*W51</f>
        <v>0</v>
      </c>
      <c r="AA51" s="2324"/>
      <c r="AB51" s="1329"/>
      <c r="AC51" s="1330" t="s">
        <v>795</v>
      </c>
      <c r="AD51" s="1424">
        <v>0</v>
      </c>
      <c r="AE51" s="1033">
        <f>VLOOKUP(AC51,Düngemittel!$B$6:$E$64,2,FALSE)*(VLOOKUP(AC51,Düngemittel!$B$6:$E$64,3,FALSE))/100*AD51</f>
        <v>0</v>
      </c>
      <c r="AF51" s="1033">
        <f>VLOOKUP(AC51,Düngemittel!$B$6:$E$64,2,FALSE)*AD51</f>
        <v>0</v>
      </c>
      <c r="AG51" s="1033">
        <f>VLOOKUP(AC51,Düngemittel!$B$6:$E$64,4,FALSE)*AD51</f>
        <v>0</v>
      </c>
      <c r="AH51" s="2324"/>
      <c r="AI51" s="1329"/>
      <c r="AJ51" s="1330" t="s">
        <v>795</v>
      </c>
      <c r="AK51" s="1424">
        <v>0</v>
      </c>
      <c r="AL51" s="1033">
        <f>VLOOKUP(AJ51,Düngemittel!$B$6:$E$64,2,FALSE)*(VLOOKUP(AJ51,Düngemittel!$B$6:$E$64,3,FALSE))/100*AK51</f>
        <v>0</v>
      </c>
      <c r="AM51" s="1033">
        <f>VLOOKUP(AJ51,Düngemittel!$B$6:$E$64,2,FALSE)*AK51</f>
        <v>0</v>
      </c>
      <c r="AN51" s="1033">
        <f>VLOOKUP(AJ51,Düngemittel!$B$6:$E$64,4,FALSE)*AK51</f>
        <v>0</v>
      </c>
      <c r="AO51" s="865"/>
      <c r="AP51" s="1282">
        <f t="shared" si="30"/>
        <v>0</v>
      </c>
      <c r="AQ51" s="2326">
        <f t="shared" si="31"/>
        <v>0</v>
      </c>
      <c r="AR51" s="1283">
        <f t="shared" si="32"/>
        <v>0</v>
      </c>
      <c r="AS51" s="1156">
        <f t="shared" si="33"/>
        <v>0</v>
      </c>
      <c r="AT51" s="2326">
        <f t="shared" si="34"/>
        <v>0</v>
      </c>
      <c r="AU51" s="1154"/>
      <c r="AV51" s="1282">
        <f t="shared" si="35"/>
        <v>0</v>
      </c>
      <c r="AW51" s="1282">
        <f t="shared" si="36"/>
        <v>0</v>
      </c>
      <c r="AX51" s="1282">
        <f t="shared" si="37"/>
        <v>0</v>
      </c>
      <c r="AY51" s="1824">
        <f t="shared" si="38"/>
        <v>0</v>
      </c>
      <c r="AZ51" s="1282">
        <f t="shared" si="39"/>
        <v>0</v>
      </c>
      <c r="BA51" s="544">
        <f t="shared" si="40"/>
        <v>0</v>
      </c>
      <c r="BB51" s="545">
        <f t="shared" si="41"/>
        <v>40</v>
      </c>
    </row>
    <row r="52" spans="1:58" ht="28.5" customHeight="1">
      <c r="A52" s="468">
        <v>43</v>
      </c>
      <c r="B52" s="1705">
        <v>0</v>
      </c>
      <c r="C52" s="2748"/>
      <c r="D52" s="1568" t="s">
        <v>572</v>
      </c>
      <c r="E52" s="1566">
        <f t="shared" si="23"/>
        <v>0</v>
      </c>
      <c r="F52" s="815" t="s">
        <v>559</v>
      </c>
      <c r="G52" s="595">
        <f t="shared" si="24"/>
        <v>0</v>
      </c>
      <c r="H52" s="596" t="s">
        <v>293</v>
      </c>
      <c r="I52" s="597">
        <f t="shared" si="25"/>
        <v>0</v>
      </c>
      <c r="J52" s="598" t="s">
        <v>551</v>
      </c>
      <c r="K52" s="531" t="s">
        <v>554</v>
      </c>
      <c r="L52" s="595">
        <f t="shared" si="26"/>
        <v>0</v>
      </c>
      <c r="M52" s="2197">
        <v>0</v>
      </c>
      <c r="N52" s="599">
        <f t="shared" si="27"/>
        <v>40</v>
      </c>
      <c r="O52" s="664">
        <f t="shared" si="28"/>
        <v>0</v>
      </c>
      <c r="P52" s="668">
        <v>33</v>
      </c>
      <c r="Q52" s="667">
        <f t="shared" si="29"/>
        <v>0</v>
      </c>
      <c r="R52" s="1048"/>
      <c r="S52" s="870">
        <f t="shared" si="7"/>
        <v>43</v>
      </c>
      <c r="T52" s="866"/>
      <c r="U52" s="1329"/>
      <c r="V52" s="1330" t="s">
        <v>795</v>
      </c>
      <c r="W52" s="1424">
        <v>0</v>
      </c>
      <c r="X52" s="1033">
        <f>VLOOKUP(V52,Düngemittel!$B$6:$E$64,2,FALSE)*(VLOOKUP(V52,Düngemittel!$B$6:$E$64,3,FALSE))/100*W52</f>
        <v>0</v>
      </c>
      <c r="Y52" s="1033">
        <f>VLOOKUP(V52,Düngemittel!$B$6:$E$64,2,FALSE)*W52</f>
        <v>0</v>
      </c>
      <c r="Z52" s="1033">
        <f>VLOOKUP(V52,Düngemittel!$B$6:$E$64,4,FALSE)*W52</f>
        <v>0</v>
      </c>
      <c r="AA52" s="2324"/>
      <c r="AB52" s="1329"/>
      <c r="AC52" s="1330" t="s">
        <v>795</v>
      </c>
      <c r="AD52" s="1424">
        <v>0</v>
      </c>
      <c r="AE52" s="1033">
        <f>VLOOKUP(AC52,Düngemittel!$B$6:$E$64,2,FALSE)*(VLOOKUP(AC52,Düngemittel!$B$6:$E$64,3,FALSE))/100*AD52</f>
        <v>0</v>
      </c>
      <c r="AF52" s="1033">
        <f>VLOOKUP(AC52,Düngemittel!$B$6:$E$64,2,FALSE)*AD52</f>
        <v>0</v>
      </c>
      <c r="AG52" s="1033">
        <f>VLOOKUP(AC52,Düngemittel!$B$6:$E$64,4,FALSE)*AD52</f>
        <v>0</v>
      </c>
      <c r="AH52" s="2324"/>
      <c r="AI52" s="1329"/>
      <c r="AJ52" s="1330" t="s">
        <v>795</v>
      </c>
      <c r="AK52" s="1424">
        <v>0</v>
      </c>
      <c r="AL52" s="1033">
        <f>VLOOKUP(AJ52,Düngemittel!$B$6:$E$64,2,FALSE)*(VLOOKUP(AJ52,Düngemittel!$B$6:$E$64,3,FALSE))/100*AK52</f>
        <v>0</v>
      </c>
      <c r="AM52" s="1033">
        <f>VLOOKUP(AJ52,Düngemittel!$B$6:$E$64,2,FALSE)*AK52</f>
        <v>0</v>
      </c>
      <c r="AN52" s="1033">
        <f>VLOOKUP(AJ52,Düngemittel!$B$6:$E$64,4,FALSE)*AK52</f>
        <v>0</v>
      </c>
      <c r="AO52" s="865"/>
      <c r="AP52" s="1282">
        <f t="shared" si="30"/>
        <v>0</v>
      </c>
      <c r="AQ52" s="2326">
        <f t="shared" si="31"/>
        <v>0</v>
      </c>
      <c r="AR52" s="1283">
        <f t="shared" si="32"/>
        <v>0</v>
      </c>
      <c r="AS52" s="1156">
        <f t="shared" si="33"/>
        <v>0</v>
      </c>
      <c r="AT52" s="2326">
        <f t="shared" si="34"/>
        <v>0</v>
      </c>
      <c r="AU52" s="1154"/>
      <c r="AV52" s="1282">
        <f t="shared" si="35"/>
        <v>0</v>
      </c>
      <c r="AW52" s="1282">
        <f t="shared" si="36"/>
        <v>0</v>
      </c>
      <c r="AX52" s="1282">
        <f t="shared" si="37"/>
        <v>0</v>
      </c>
      <c r="AY52" s="1824">
        <f t="shared" si="38"/>
        <v>0</v>
      </c>
      <c r="AZ52" s="1282">
        <f t="shared" si="39"/>
        <v>0</v>
      </c>
      <c r="BA52" s="544">
        <f t="shared" si="40"/>
        <v>0</v>
      </c>
      <c r="BB52" s="545">
        <f t="shared" si="41"/>
        <v>40</v>
      </c>
    </row>
    <row r="53" spans="1:58" ht="28.5" customHeight="1">
      <c r="A53" s="468">
        <v>44</v>
      </c>
      <c r="B53" s="1705">
        <v>0</v>
      </c>
      <c r="C53" s="2748"/>
      <c r="D53" s="1568" t="s">
        <v>572</v>
      </c>
      <c r="E53" s="1566">
        <f t="shared" si="23"/>
        <v>0</v>
      </c>
      <c r="F53" s="815" t="s">
        <v>559</v>
      </c>
      <c r="G53" s="595">
        <f t="shared" si="24"/>
        <v>0</v>
      </c>
      <c r="H53" s="596" t="s">
        <v>293</v>
      </c>
      <c r="I53" s="597">
        <f t="shared" si="25"/>
        <v>0</v>
      </c>
      <c r="J53" s="598" t="s">
        <v>551</v>
      </c>
      <c r="K53" s="531" t="s">
        <v>554</v>
      </c>
      <c r="L53" s="595">
        <f t="shared" si="26"/>
        <v>0</v>
      </c>
      <c r="M53" s="2197">
        <v>0</v>
      </c>
      <c r="N53" s="599">
        <f t="shared" si="27"/>
        <v>40</v>
      </c>
      <c r="O53" s="664">
        <f t="shared" si="28"/>
        <v>0</v>
      </c>
      <c r="P53" s="668">
        <v>34</v>
      </c>
      <c r="Q53" s="667">
        <f t="shared" si="29"/>
        <v>0</v>
      </c>
      <c r="R53" s="1048"/>
      <c r="S53" s="870">
        <f t="shared" si="7"/>
        <v>44</v>
      </c>
      <c r="T53" s="866"/>
      <c r="U53" s="1329"/>
      <c r="V53" s="1330" t="s">
        <v>795</v>
      </c>
      <c r="W53" s="1424">
        <v>0</v>
      </c>
      <c r="X53" s="1033">
        <f>VLOOKUP(V53,Düngemittel!$B$6:$E$64,2,FALSE)*(VLOOKUP(V53,Düngemittel!$B$6:$E$64,3,FALSE))/100*W53</f>
        <v>0</v>
      </c>
      <c r="Y53" s="1033">
        <f>VLOOKUP(V53,Düngemittel!$B$6:$E$64,2,FALSE)*W53</f>
        <v>0</v>
      </c>
      <c r="Z53" s="1033">
        <f>VLOOKUP(V53,Düngemittel!$B$6:$E$64,4,FALSE)*W53</f>
        <v>0</v>
      </c>
      <c r="AA53" s="2324"/>
      <c r="AB53" s="1329"/>
      <c r="AC53" s="1330" t="s">
        <v>795</v>
      </c>
      <c r="AD53" s="1424">
        <v>0</v>
      </c>
      <c r="AE53" s="1033">
        <f>VLOOKUP(AC53,Düngemittel!$B$6:$E$64,2,FALSE)*(VLOOKUP(AC53,Düngemittel!$B$6:$E$64,3,FALSE))/100*AD53</f>
        <v>0</v>
      </c>
      <c r="AF53" s="1033">
        <f>VLOOKUP(AC53,Düngemittel!$B$6:$E$64,2,FALSE)*AD53</f>
        <v>0</v>
      </c>
      <c r="AG53" s="1033">
        <f>VLOOKUP(AC53,Düngemittel!$B$6:$E$64,4,FALSE)*AD53</f>
        <v>0</v>
      </c>
      <c r="AH53" s="2324"/>
      <c r="AI53" s="1329"/>
      <c r="AJ53" s="1330" t="s">
        <v>795</v>
      </c>
      <c r="AK53" s="1424">
        <v>0</v>
      </c>
      <c r="AL53" s="1033">
        <f>VLOOKUP(AJ53,Düngemittel!$B$6:$E$64,2,FALSE)*(VLOOKUP(AJ53,Düngemittel!$B$6:$E$64,3,FALSE))/100*AK53</f>
        <v>0</v>
      </c>
      <c r="AM53" s="1033">
        <f>VLOOKUP(AJ53,Düngemittel!$B$6:$E$64,2,FALSE)*AK53</f>
        <v>0</v>
      </c>
      <c r="AN53" s="1033">
        <f>VLOOKUP(AJ53,Düngemittel!$B$6:$E$64,4,FALSE)*AK53</f>
        <v>0</v>
      </c>
      <c r="AO53" s="865"/>
      <c r="AP53" s="1282">
        <f t="shared" si="30"/>
        <v>0</v>
      </c>
      <c r="AQ53" s="2326">
        <f t="shared" si="31"/>
        <v>0</v>
      </c>
      <c r="AR53" s="1283">
        <f t="shared" si="32"/>
        <v>0</v>
      </c>
      <c r="AS53" s="1156">
        <f t="shared" si="33"/>
        <v>0</v>
      </c>
      <c r="AT53" s="2326">
        <f t="shared" si="34"/>
        <v>0</v>
      </c>
      <c r="AU53" s="1154"/>
      <c r="AV53" s="1282">
        <f t="shared" si="35"/>
        <v>0</v>
      </c>
      <c r="AW53" s="1282">
        <f t="shared" si="36"/>
        <v>0</v>
      </c>
      <c r="AX53" s="1282">
        <f t="shared" si="37"/>
        <v>0</v>
      </c>
      <c r="AY53" s="1824">
        <f t="shared" si="38"/>
        <v>0</v>
      </c>
      <c r="AZ53" s="1282">
        <f t="shared" si="39"/>
        <v>0</v>
      </c>
      <c r="BA53" s="544">
        <f t="shared" si="40"/>
        <v>0</v>
      </c>
      <c r="BB53" s="545">
        <f t="shared" si="41"/>
        <v>40</v>
      </c>
    </row>
    <row r="54" spans="1:58" ht="28.5" customHeight="1" thickBot="1">
      <c r="A54" s="468">
        <v>45</v>
      </c>
      <c r="B54" s="1705">
        <v>0</v>
      </c>
      <c r="C54" s="2748"/>
      <c r="D54" s="1568" t="s">
        <v>572</v>
      </c>
      <c r="E54" s="1566">
        <f t="shared" si="23"/>
        <v>0</v>
      </c>
      <c r="F54" s="815" t="s">
        <v>559</v>
      </c>
      <c r="G54" s="595">
        <f t="shared" si="24"/>
        <v>0</v>
      </c>
      <c r="H54" s="596" t="s">
        <v>293</v>
      </c>
      <c r="I54" s="597">
        <f t="shared" si="25"/>
        <v>0</v>
      </c>
      <c r="J54" s="598" t="s">
        <v>551</v>
      </c>
      <c r="K54" s="531" t="s">
        <v>554</v>
      </c>
      <c r="L54" s="595">
        <f t="shared" si="26"/>
        <v>0</v>
      </c>
      <c r="M54" s="2197">
        <v>0</v>
      </c>
      <c r="N54" s="599">
        <f t="shared" si="27"/>
        <v>40</v>
      </c>
      <c r="O54" s="664">
        <f t="shared" si="28"/>
        <v>0</v>
      </c>
      <c r="P54" s="668">
        <v>35</v>
      </c>
      <c r="Q54" s="667">
        <f t="shared" si="29"/>
        <v>0</v>
      </c>
      <c r="R54" s="1048"/>
      <c r="S54" s="870">
        <f t="shared" si="7"/>
        <v>45</v>
      </c>
      <c r="T54" s="866"/>
      <c r="U54" s="1329"/>
      <c r="V54" s="1330" t="s">
        <v>795</v>
      </c>
      <c r="W54" s="1424">
        <v>0</v>
      </c>
      <c r="X54" s="1033">
        <f>VLOOKUP(V54,Düngemittel!$B$6:$E$64,2,FALSE)*(VLOOKUP(V54,Düngemittel!$B$6:$E$64,3,FALSE))/100*W54</f>
        <v>0</v>
      </c>
      <c r="Y54" s="1033">
        <f>VLOOKUP(V54,Düngemittel!$B$6:$E$64,2,FALSE)*W54</f>
        <v>0</v>
      </c>
      <c r="Z54" s="1033">
        <f>VLOOKUP(V54,Düngemittel!$B$6:$E$64,4,FALSE)*W54</f>
        <v>0</v>
      </c>
      <c r="AA54" s="2324"/>
      <c r="AB54" s="1329"/>
      <c r="AC54" s="1330" t="s">
        <v>795</v>
      </c>
      <c r="AD54" s="1424">
        <v>0</v>
      </c>
      <c r="AE54" s="1033">
        <f>VLOOKUP(AC54,Düngemittel!$B$6:$E$64,2,FALSE)*(VLOOKUP(AC54,Düngemittel!$B$6:$E$64,3,FALSE))/100*AD54</f>
        <v>0</v>
      </c>
      <c r="AF54" s="1033">
        <f>VLOOKUP(AC54,Düngemittel!$B$6:$E$64,2,FALSE)*AD54</f>
        <v>0</v>
      </c>
      <c r="AG54" s="1033">
        <f>VLOOKUP(AC54,Düngemittel!$B$6:$E$64,4,FALSE)*AD54</f>
        <v>0</v>
      </c>
      <c r="AH54" s="2324"/>
      <c r="AI54" s="1329"/>
      <c r="AJ54" s="1330" t="s">
        <v>795</v>
      </c>
      <c r="AK54" s="1424">
        <v>0</v>
      </c>
      <c r="AL54" s="1033">
        <f>VLOOKUP(AJ54,Düngemittel!$B$6:$E$64,2,FALSE)*(VLOOKUP(AJ54,Düngemittel!$B$6:$E$64,3,FALSE))/100*AK54</f>
        <v>0</v>
      </c>
      <c r="AM54" s="1033">
        <f>VLOOKUP(AJ54,Düngemittel!$B$6:$E$64,2,FALSE)*AK54</f>
        <v>0</v>
      </c>
      <c r="AN54" s="1033">
        <f>VLOOKUP(AJ54,Düngemittel!$B$6:$E$64,4,FALSE)*AK54</f>
        <v>0</v>
      </c>
      <c r="AO54" s="865"/>
      <c r="AP54" s="1282">
        <f t="shared" si="30"/>
        <v>0</v>
      </c>
      <c r="AQ54" s="2326">
        <f t="shared" si="31"/>
        <v>0</v>
      </c>
      <c r="AR54" s="1283">
        <f t="shared" si="32"/>
        <v>0</v>
      </c>
      <c r="AS54" s="1156">
        <f t="shared" si="33"/>
        <v>0</v>
      </c>
      <c r="AT54" s="2326">
        <f t="shared" si="34"/>
        <v>0</v>
      </c>
      <c r="AU54" s="1154"/>
      <c r="AV54" s="1282">
        <f t="shared" si="35"/>
        <v>0</v>
      </c>
      <c r="AW54" s="1282">
        <f t="shared" si="36"/>
        <v>0</v>
      </c>
      <c r="AX54" s="1282">
        <f t="shared" si="37"/>
        <v>0</v>
      </c>
      <c r="AY54" s="1824">
        <f t="shared" si="38"/>
        <v>0</v>
      </c>
      <c r="AZ54" s="1282">
        <f t="shared" si="39"/>
        <v>0</v>
      </c>
      <c r="BA54" s="544">
        <f t="shared" si="40"/>
        <v>0</v>
      </c>
      <c r="BB54" s="545">
        <f t="shared" si="41"/>
        <v>40</v>
      </c>
    </row>
    <row r="55" spans="1:58" ht="26.25" customHeight="1" thickBot="1">
      <c r="A55" s="548" t="s">
        <v>286</v>
      </c>
      <c r="B55" s="549">
        <f>SUM(B10:B54)</f>
        <v>0</v>
      </c>
      <c r="C55" s="550"/>
      <c r="D55" s="593"/>
      <c r="E55" s="594"/>
      <c r="F55" s="551"/>
      <c r="G55" s="551"/>
      <c r="H55" s="551"/>
      <c r="I55" s="550"/>
      <c r="J55" s="550"/>
      <c r="K55" s="550"/>
      <c r="L55" s="552"/>
      <c r="M55" s="2199"/>
      <c r="N55" s="553" t="s">
        <v>544</v>
      </c>
      <c r="O55" s="666">
        <f>SUM(O10:O54)</f>
        <v>0</v>
      </c>
      <c r="P55" s="666"/>
      <c r="Q55" s="554">
        <f>SUM(Q10:Q54)</f>
        <v>0</v>
      </c>
      <c r="R55" s="1043"/>
      <c r="S55" s="1043"/>
      <c r="T55" s="1043"/>
      <c r="U55" s="1329"/>
      <c r="V55" s="1330" t="s">
        <v>795</v>
      </c>
      <c r="W55" s="1424">
        <v>0</v>
      </c>
      <c r="X55" s="1033">
        <f>VLOOKUP(V55,Düngemittel!$B$6:$E$64,2,FALSE)*(VLOOKUP(V55,Düngemittel!$B$6:$E$64,3,FALSE))/100*W55</f>
        <v>0</v>
      </c>
      <c r="Y55" s="1033">
        <f>VLOOKUP(V55,Düngemittel!$B$6:$E$64,2,FALSE)*W55</f>
        <v>0</v>
      </c>
      <c r="Z55" s="1033">
        <f>VLOOKUP(V55,Düngemittel!$B$6:$E$64,4,FALSE)*W55</f>
        <v>0</v>
      </c>
      <c r="AA55" s="2089"/>
      <c r="AB55" s="1329"/>
      <c r="AC55" s="1330" t="s">
        <v>795</v>
      </c>
      <c r="AD55" s="1424">
        <v>0</v>
      </c>
      <c r="AE55" s="1033">
        <f>VLOOKUP(AC55,Düngemittel!$B$6:$E$64,2,FALSE)*(VLOOKUP(AC55,Düngemittel!$B$6:$E$64,3,FALSE))/100*AD55</f>
        <v>0</v>
      </c>
      <c r="AF55" s="1033">
        <f>VLOOKUP(AC55,Düngemittel!$B$6:$E$64,2,FALSE)*AD55</f>
        <v>0</v>
      </c>
      <c r="AG55" s="1033">
        <f>VLOOKUP(AC55,Düngemittel!$B$6:$E$64,4,FALSE)*AD55</f>
        <v>0</v>
      </c>
      <c r="AH55" s="2089"/>
      <c r="AI55" s="1329"/>
      <c r="AJ55" s="1330" t="s">
        <v>795</v>
      </c>
      <c r="AK55" s="1424">
        <v>0</v>
      </c>
      <c r="AL55" s="1033">
        <f>VLOOKUP(AJ55,Düngemittel!$B$6:$E$64,2,FALSE)*(VLOOKUP(AJ55,Düngemittel!$B$6:$E$64,3,FALSE))/100*AK55</f>
        <v>0</v>
      </c>
      <c r="AM55" s="1033">
        <f>VLOOKUP(AJ55,Düngemittel!$B$6:$E$64,2,FALSE)*AK55</f>
        <v>0</v>
      </c>
      <c r="AN55" s="1033">
        <f>VLOOKUP(AJ55,Düngemittel!$B$6:$E$64,4,FALSE)*AK55</f>
        <v>0</v>
      </c>
      <c r="AO55" s="1043"/>
      <c r="AP55" s="661"/>
      <c r="AQ55" s="661"/>
      <c r="AR55" s="661"/>
      <c r="AS55" s="661"/>
      <c r="AT55" s="661"/>
      <c r="AU55" s="316"/>
      <c r="AV55" s="1127">
        <f>SUM(AV10:AV54)</f>
        <v>0</v>
      </c>
      <c r="AW55" s="1127">
        <f>SUM(AW10:AW54)</f>
        <v>0</v>
      </c>
      <c r="AX55" s="1127">
        <f>SUM(AX10:AX54)</f>
        <v>0</v>
      </c>
      <c r="AY55" s="1138">
        <f>SUM(AY10:AY54)</f>
        <v>0</v>
      </c>
      <c r="AZ55" s="1127">
        <f>SUM(AZ10:AZ54)</f>
        <v>0</v>
      </c>
      <c r="BA55" s="1143" t="s">
        <v>1081</v>
      </c>
      <c r="BB55" s="541"/>
    </row>
    <row r="56" spans="1:58" ht="27.75" customHeight="1">
      <c r="A56" s="555"/>
      <c r="B56" s="546"/>
      <c r="D56" s="357"/>
      <c r="E56" s="546"/>
      <c r="H56" s="556"/>
      <c r="M56"/>
      <c r="O56" s="2493" t="s">
        <v>1100</v>
      </c>
      <c r="P56" s="1164"/>
      <c r="Q56" s="2493" t="s">
        <v>1101</v>
      </c>
      <c r="R56" s="1066"/>
      <c r="S56" s="1066"/>
      <c r="T56" s="1066"/>
      <c r="U56" s="1329"/>
      <c r="V56" s="1330" t="s">
        <v>795</v>
      </c>
      <c r="W56" s="1424">
        <v>0</v>
      </c>
      <c r="X56" s="1033">
        <f>VLOOKUP(V56,Düngemittel!$B$6:$E$64,2,FALSE)*(VLOOKUP(V56,Düngemittel!$B$6:$E$64,3,FALSE))/100*W56</f>
        <v>0</v>
      </c>
      <c r="Y56" s="1033">
        <f>VLOOKUP(V56,Düngemittel!$B$6:$E$64,2,FALSE)*W56</f>
        <v>0</v>
      </c>
      <c r="Z56" s="1033">
        <f>VLOOKUP(V56,Düngemittel!$B$6:$E$64,4,FALSE)*W56</f>
        <v>0</v>
      </c>
      <c r="AA56" s="2089"/>
      <c r="AB56" s="1329"/>
      <c r="AC56" s="1330" t="s">
        <v>795</v>
      </c>
      <c r="AD56" s="1424">
        <v>0</v>
      </c>
      <c r="AE56" s="1033">
        <f>VLOOKUP(AC56,Düngemittel!$B$6:$E$64,2,FALSE)*(VLOOKUP(AC56,Düngemittel!$B$6:$E$64,3,FALSE))/100*AD56</f>
        <v>0</v>
      </c>
      <c r="AF56" s="1033">
        <f>VLOOKUP(AC56,Düngemittel!$B$6:$E$64,2,FALSE)*AD56</f>
        <v>0</v>
      </c>
      <c r="AG56" s="1033">
        <f>VLOOKUP(AC56,Düngemittel!$B$6:$E$64,4,FALSE)*AD56</f>
        <v>0</v>
      </c>
      <c r="AH56" s="2089"/>
      <c r="AI56" s="1329"/>
      <c r="AJ56" s="1330" t="s">
        <v>795</v>
      </c>
      <c r="AK56" s="1424">
        <v>0</v>
      </c>
      <c r="AL56" s="1033">
        <f>VLOOKUP(AJ56,Düngemittel!$B$6:$E$64,2,FALSE)*(VLOOKUP(AJ56,Düngemittel!$B$6:$E$64,3,FALSE))/100*AK56</f>
        <v>0</v>
      </c>
      <c r="AM56" s="1033">
        <f>VLOOKUP(AJ56,Düngemittel!$B$6:$E$64,2,FALSE)*AK56</f>
        <v>0</v>
      </c>
      <c r="AN56" s="1033">
        <f>VLOOKUP(AJ56,Düngemittel!$B$6:$E$64,4,FALSE)*AK56</f>
        <v>0</v>
      </c>
      <c r="AO56" s="1066"/>
      <c r="AP56" s="1158" t="e">
        <f t="shared" ref="AP56:AT56" si="42">AV56</f>
        <v>#DIV/0!</v>
      </c>
      <c r="AQ56" s="414" t="e">
        <f t="shared" si="42"/>
        <v>#DIV/0!</v>
      </c>
      <c r="AR56" s="1158" t="e">
        <f t="shared" si="42"/>
        <v>#DIV/0!</v>
      </c>
      <c r="AS56" s="1157" t="e">
        <f t="shared" si="42"/>
        <v>#DIV/0!</v>
      </c>
      <c r="AT56" s="414" t="e">
        <f t="shared" si="42"/>
        <v>#DIV/0!</v>
      </c>
      <c r="AU56" s="316"/>
      <c r="AV56" s="1150" t="e">
        <f>AV55/$B55</f>
        <v>#DIV/0!</v>
      </c>
      <c r="AW56" s="1127" t="e">
        <f>AW55/$B55</f>
        <v>#DIV/0!</v>
      </c>
      <c r="AX56" s="1150" t="e">
        <f>AX55/$B55</f>
        <v>#DIV/0!</v>
      </c>
      <c r="AY56" s="1138" t="e">
        <f>AY55/$B55</f>
        <v>#DIV/0!</v>
      </c>
      <c r="AZ56" s="1127" t="e">
        <f>AZ55/$B55</f>
        <v>#DIV/0!</v>
      </c>
      <c r="BA56" s="1143" t="s">
        <v>1060</v>
      </c>
      <c r="BB56" s="1066"/>
    </row>
    <row r="57" spans="1:58" ht="51.75" customHeight="1" thickBot="1">
      <c r="A57" s="555"/>
      <c r="B57" s="546"/>
      <c r="D57" s="357"/>
      <c r="E57" s="546"/>
      <c r="H57" s="556"/>
      <c r="M57"/>
      <c r="O57" s="2494"/>
      <c r="P57" s="1164"/>
      <c r="Q57" s="2494"/>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1134" t="s">
        <v>1080</v>
      </c>
      <c r="AQ57" s="1210" t="s">
        <v>1066</v>
      </c>
      <c r="AR57" s="1210" t="s">
        <v>1083</v>
      </c>
      <c r="AS57" s="906" t="s">
        <v>1241</v>
      </c>
      <c r="AT57" s="1210" t="s">
        <v>284</v>
      </c>
      <c r="AU57" s="661"/>
      <c r="AV57" s="1141" t="s">
        <v>1080</v>
      </c>
      <c r="AW57" s="1210" t="s">
        <v>1066</v>
      </c>
      <c r="AX57" s="1142" t="s">
        <v>1082</v>
      </c>
      <c r="AY57" s="906" t="s">
        <v>1241</v>
      </c>
      <c r="AZ57" s="1210" t="s">
        <v>284</v>
      </c>
      <c r="BA57" s="1133"/>
      <c r="BB57" s="1116"/>
      <c r="BC57" s="1116"/>
    </row>
    <row r="58" spans="1:58" s="540" customFormat="1" ht="35.25" customHeight="1">
      <c r="A58" s="2745" t="s">
        <v>784</v>
      </c>
      <c r="B58" s="2525"/>
      <c r="C58" s="2525"/>
      <c r="D58" s="2746"/>
      <c r="E58" s="546"/>
      <c r="F58" s="357"/>
      <c r="G58" s="357"/>
      <c r="H58" s="556"/>
      <c r="I58" s="357"/>
      <c r="J58" s="357"/>
      <c r="K58" s="357"/>
      <c r="L58" s="357"/>
      <c r="M58" s="357"/>
      <c r="N58" s="357"/>
      <c r="O58" s="557"/>
      <c r="P58" s="557"/>
      <c r="Q58" s="1066"/>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1116"/>
      <c r="BB58" s="1116"/>
      <c r="BC58" s="1116"/>
      <c r="BD58" s="357"/>
      <c r="BE58" s="357"/>
      <c r="BF58" s="357"/>
    </row>
    <row r="59" spans="1:58" s="540" customFormat="1" ht="38.25" customHeight="1">
      <c r="A59" s="2751" t="s">
        <v>785</v>
      </c>
      <c r="B59" s="2452"/>
      <c r="C59" s="2452"/>
      <c r="D59" s="2752"/>
      <c r="F59" s="357"/>
      <c r="G59" s="357"/>
      <c r="H59" s="556"/>
      <c r="I59" s="357"/>
      <c r="J59" s="357"/>
      <c r="K59" s="357"/>
      <c r="L59" s="674"/>
      <c r="M59"/>
      <c r="N59" s="357"/>
      <c r="O59" s="357"/>
      <c r="P59" s="357"/>
      <c r="Q59" s="1066"/>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1116"/>
      <c r="BB59" s="1116"/>
      <c r="BC59" s="1116"/>
      <c r="BD59" s="357"/>
      <c r="BE59" s="357"/>
      <c r="BF59" s="357"/>
    </row>
    <row r="60" spans="1:58" ht="62.25" customHeight="1" thickBot="1">
      <c r="A60" s="821" t="s">
        <v>781</v>
      </c>
      <c r="B60" s="427" t="s">
        <v>782</v>
      </c>
      <c r="C60" s="1493" t="s">
        <v>787</v>
      </c>
      <c r="D60" s="822" t="s">
        <v>4</v>
      </c>
      <c r="E60" s="546"/>
      <c r="H60" s="556"/>
      <c r="Q60" s="1066"/>
      <c r="R60" s="1044"/>
      <c r="S60" s="1044"/>
      <c r="T60" s="1044"/>
      <c r="U60" s="1044"/>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113"/>
      <c r="BB60" s="1113"/>
      <c r="BC60" s="1113"/>
    </row>
    <row r="61" spans="1:58" ht="29.25" customHeight="1" thickBot="1">
      <c r="A61" s="1416">
        <v>10</v>
      </c>
      <c r="B61" s="1417">
        <v>6.5</v>
      </c>
      <c r="C61" s="1418">
        <v>10</v>
      </c>
      <c r="D61" s="1564">
        <f>A61*B61*C61/100</f>
        <v>6.5</v>
      </c>
      <c r="E61" s="546"/>
      <c r="H61" s="556"/>
      <c r="K61" s="1066"/>
      <c r="L61" s="1066"/>
      <c r="M61" s="1066"/>
      <c r="N61" s="1066"/>
      <c r="O61" s="1066"/>
      <c r="P61" s="1066"/>
      <c r="Q61" s="1066"/>
      <c r="R61" s="1066"/>
      <c r="S61" s="1066"/>
      <c r="T61" s="1066"/>
      <c r="U61" s="1066"/>
      <c r="V61" s="1066"/>
      <c r="W61" s="1066"/>
      <c r="X61" s="1066"/>
      <c r="Y61" s="1066"/>
      <c r="Z61" s="1066"/>
      <c r="AA61" s="1066"/>
      <c r="AB61" s="1066"/>
      <c r="AC61" s="1066"/>
      <c r="AD61" s="1066"/>
      <c r="AE61" s="1066"/>
      <c r="AF61" s="1066"/>
      <c r="AG61" s="1066"/>
      <c r="AH61" s="1124"/>
      <c r="AI61" s="1124"/>
      <c r="AJ61" s="1124"/>
      <c r="AK61" s="1124"/>
      <c r="AL61" s="1124"/>
      <c r="AM61" s="1124"/>
      <c r="AN61" s="1124"/>
      <c r="AO61" s="1066"/>
      <c r="AP61" s="1124"/>
      <c r="AQ61" s="1066"/>
      <c r="AR61" s="1066"/>
      <c r="AS61" s="1077"/>
      <c r="AT61" s="1066"/>
      <c r="AU61" s="1066"/>
      <c r="AV61" s="1124"/>
      <c r="AW61" s="1066"/>
      <c r="AX61" s="1066"/>
      <c r="AY61" s="1077"/>
      <c r="AZ61" s="1066"/>
      <c r="BA61" s="1066"/>
      <c r="BB61" s="1066"/>
    </row>
    <row r="62" spans="1:58" ht="32.25" customHeight="1" thickBot="1">
      <c r="A62" s="817"/>
      <c r="B62" s="818"/>
      <c r="C62" s="819"/>
      <c r="D62" s="825" t="s">
        <v>783</v>
      </c>
      <c r="E62" s="546"/>
      <c r="H62" s="556"/>
      <c r="K62" s="1066"/>
      <c r="M62" s="1066"/>
      <c r="N62" s="1066"/>
      <c r="P62" s="1066"/>
      <c r="Q62" s="1066"/>
      <c r="R62" s="1066"/>
      <c r="S62" s="1066"/>
      <c r="T62" s="1066"/>
      <c r="U62" s="1066"/>
      <c r="V62" s="1066"/>
      <c r="W62" s="1066"/>
      <c r="X62" s="1066"/>
      <c r="Y62" s="1066"/>
      <c r="Z62" s="1066"/>
      <c r="AA62" s="1066"/>
      <c r="AB62" s="1066"/>
      <c r="AC62" s="1066"/>
      <c r="AD62" s="1066"/>
      <c r="AE62" s="1066"/>
      <c r="AF62" s="1066"/>
      <c r="AG62" s="1066"/>
      <c r="AH62" s="1124"/>
      <c r="AI62" s="1124"/>
      <c r="AJ62" s="1124"/>
      <c r="AK62" s="1124"/>
      <c r="AL62" s="1124"/>
      <c r="AM62" s="1124"/>
      <c r="AN62" s="1124"/>
      <c r="AO62" s="1066"/>
      <c r="AP62" s="1124"/>
      <c r="AQ62" s="1066"/>
      <c r="AR62" s="1066"/>
      <c r="AS62" s="1077"/>
      <c r="AT62" s="1066"/>
      <c r="AU62" s="1066"/>
      <c r="AV62" s="1124"/>
      <c r="AW62" s="1066"/>
      <c r="AX62" s="1066"/>
      <c r="AY62" s="1077"/>
      <c r="AZ62" s="1066"/>
      <c r="BA62" s="1066"/>
      <c r="BB62" s="1066"/>
    </row>
    <row r="63" spans="1:58" s="674" customFormat="1" ht="40.5" customHeight="1">
      <c r="A63" s="546"/>
      <c r="B63" s="546"/>
      <c r="C63" s="357"/>
      <c r="E63" s="546"/>
      <c r="F63" s="357"/>
      <c r="G63" s="357"/>
      <c r="H63" s="556"/>
      <c r="I63" s="357"/>
      <c r="J63" s="357"/>
      <c r="K63" s="1066"/>
      <c r="L63" s="1066"/>
      <c r="M63" s="1066"/>
      <c r="N63" s="1066"/>
      <c r="O63" s="1066"/>
      <c r="P63" s="1066"/>
      <c r="Q63" s="1066"/>
      <c r="R63" s="1066"/>
      <c r="S63" s="1066"/>
      <c r="T63" s="1066"/>
      <c r="U63" s="1066"/>
      <c r="V63" s="1066"/>
      <c r="W63" s="1066"/>
      <c r="X63" s="1066"/>
      <c r="Y63" s="1066"/>
      <c r="Z63" s="1066"/>
      <c r="AA63" s="1066"/>
      <c r="AB63" s="1066"/>
      <c r="AC63" s="1066"/>
      <c r="AD63" s="1066"/>
      <c r="AE63" s="1066"/>
      <c r="AF63" s="1066"/>
      <c r="AG63" s="1066"/>
      <c r="AH63" s="1124"/>
      <c r="AI63" s="1124"/>
      <c r="AJ63" s="1124"/>
      <c r="AK63" s="1124"/>
      <c r="AL63" s="1124"/>
      <c r="AM63" s="1124"/>
      <c r="AN63" s="1124"/>
      <c r="AO63" s="1066"/>
      <c r="AP63" s="1124"/>
      <c r="AQ63" s="1066"/>
      <c r="AR63" s="1066"/>
      <c r="AS63" s="1077"/>
      <c r="AT63" s="1066"/>
      <c r="AU63" s="1066"/>
      <c r="AV63" s="1124"/>
      <c r="AW63" s="1066"/>
      <c r="AX63" s="1066"/>
      <c r="AY63" s="1077"/>
      <c r="AZ63" s="1066"/>
      <c r="BA63" s="673"/>
      <c r="BB63" s="673"/>
    </row>
    <row r="64" spans="1:58" s="674" customFormat="1" ht="40.5" customHeight="1">
      <c r="A64" s="546"/>
      <c r="B64" s="546"/>
      <c r="C64" s="357"/>
      <c r="E64" s="546"/>
      <c r="F64" s="357"/>
      <c r="G64" s="357"/>
      <c r="H64" s="556"/>
      <c r="I64" s="357"/>
      <c r="J64" s="357"/>
      <c r="K64" s="1073"/>
      <c r="L64" s="1073"/>
      <c r="M64" s="1073"/>
      <c r="N64" s="1073"/>
      <c r="O64" s="1073"/>
      <c r="P64" s="1063"/>
      <c r="Q64" s="1063"/>
      <c r="R64" s="1066"/>
      <c r="S64" s="1066"/>
      <c r="T64" s="1066"/>
      <c r="U64" s="1066"/>
      <c r="V64" s="1066"/>
      <c r="W64" s="1066"/>
      <c r="X64" s="1066"/>
      <c r="Y64" s="1066"/>
      <c r="Z64" s="1066"/>
      <c r="AA64" s="1066"/>
      <c r="AB64" s="1066"/>
      <c r="AC64" s="1066"/>
      <c r="AD64" s="1066"/>
      <c r="AE64" s="1066"/>
      <c r="AF64" s="1066"/>
      <c r="AG64" s="1066"/>
      <c r="AH64" s="1124"/>
      <c r="AI64" s="1124"/>
      <c r="AJ64" s="1124"/>
      <c r="AK64" s="1124"/>
      <c r="AL64" s="1124"/>
      <c r="AM64" s="1124"/>
      <c r="AN64" s="1124"/>
      <c r="AO64" s="1066"/>
      <c r="AP64" s="1124"/>
      <c r="AQ64" s="1066"/>
      <c r="AR64" s="1066"/>
      <c r="AS64" s="1077"/>
      <c r="AT64" s="1066"/>
      <c r="AU64" s="1066"/>
      <c r="AV64" s="1124"/>
      <c r="AW64" s="1066"/>
      <c r="AX64" s="1066"/>
      <c r="AY64" s="1077"/>
      <c r="AZ64" s="1066"/>
      <c r="BA64" s="673"/>
      <c r="BB64" s="673"/>
    </row>
    <row r="65" spans="1:54" ht="15.75" customHeight="1">
      <c r="A65" s="412"/>
      <c r="B65" s="412"/>
      <c r="C65" s="1066"/>
      <c r="D65" s="673"/>
      <c r="E65" s="412"/>
      <c r="F65" s="1066"/>
      <c r="G65" s="1066"/>
      <c r="H65" s="556"/>
      <c r="I65" s="1066"/>
      <c r="J65" s="1066"/>
      <c r="K65" s="1073"/>
      <c r="L65" s="1073"/>
      <c r="M65" s="1073"/>
      <c r="N65" s="1073"/>
      <c r="O65" s="1073"/>
      <c r="P65" s="1063"/>
      <c r="Q65" s="1063"/>
      <c r="R65" s="1066"/>
      <c r="S65" s="1066"/>
      <c r="T65" s="1066"/>
      <c r="U65" s="1066"/>
      <c r="V65" s="1066"/>
      <c r="W65" s="1066"/>
      <c r="X65" s="1066"/>
      <c r="Y65" s="1066"/>
      <c r="Z65" s="1066"/>
      <c r="AA65" s="1066"/>
      <c r="AB65" s="1066"/>
      <c r="AC65" s="1066"/>
      <c r="AD65" s="1066"/>
      <c r="AE65" s="1066"/>
      <c r="AF65" s="1066"/>
      <c r="AG65" s="1066"/>
      <c r="AH65" s="1124"/>
      <c r="AI65" s="1124"/>
      <c r="AJ65" s="1124"/>
      <c r="AK65" s="1124"/>
      <c r="AL65" s="1124"/>
      <c r="AM65" s="1124"/>
      <c r="AN65" s="1124"/>
      <c r="AO65" s="1066"/>
      <c r="AP65" s="1124"/>
      <c r="AQ65" s="1066"/>
      <c r="AR65" s="1066"/>
      <c r="AS65" s="1077"/>
      <c r="AT65" s="1066"/>
      <c r="AU65" s="1066"/>
      <c r="AV65" s="1124"/>
      <c r="AW65" s="1066"/>
      <c r="AX65" s="1066"/>
      <c r="AY65" s="1077"/>
      <c r="AZ65" s="1066"/>
      <c r="BA65" s="1066"/>
      <c r="BB65" s="1066"/>
    </row>
    <row r="66" spans="1:54" ht="23.25" customHeight="1">
      <c r="A66" s="412"/>
      <c r="B66" s="412"/>
      <c r="C66" s="1066"/>
      <c r="D66" s="673"/>
      <c r="E66" s="412"/>
      <c r="F66" s="1066"/>
      <c r="G66" s="1066"/>
      <c r="H66" s="55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124"/>
      <c r="AI66" s="1124"/>
      <c r="AJ66" s="1124"/>
      <c r="AK66" s="1124"/>
      <c r="AL66" s="1124"/>
      <c r="AM66" s="1124"/>
      <c r="AN66" s="1124"/>
      <c r="AO66" s="1066"/>
      <c r="AP66" s="1124"/>
      <c r="AQ66" s="1066"/>
      <c r="AR66" s="1066"/>
      <c r="AS66" s="1077"/>
      <c r="AT66" s="1066"/>
      <c r="AU66" s="1066"/>
      <c r="AV66" s="1124"/>
      <c r="AW66" s="1066"/>
      <c r="AX66" s="1066"/>
      <c r="AY66" s="1077"/>
      <c r="AZ66" s="1066"/>
      <c r="BA66" s="1066"/>
      <c r="BB66" s="1066"/>
    </row>
    <row r="67" spans="1:54" ht="23.25" customHeight="1">
      <c r="A67" s="412"/>
      <c r="B67" s="412"/>
      <c r="C67" s="1066"/>
      <c r="D67" s="673"/>
      <c r="E67" s="412"/>
      <c r="F67" s="1066"/>
      <c r="G67" s="1066"/>
      <c r="H67" s="556"/>
      <c r="I67" s="1066"/>
      <c r="J67" s="1066"/>
      <c r="K67" s="1063"/>
      <c r="L67" s="1063"/>
      <c r="M67" s="1063"/>
      <c r="N67" s="1063"/>
      <c r="O67" s="1063"/>
      <c r="P67" s="1063"/>
      <c r="Q67" s="1063"/>
      <c r="R67" s="1066"/>
      <c r="S67" s="1066"/>
      <c r="T67" s="1066"/>
      <c r="U67" s="1066"/>
      <c r="V67" s="1066"/>
      <c r="W67" s="1066"/>
      <c r="X67" s="1066"/>
      <c r="Y67" s="1066"/>
      <c r="Z67" s="1066"/>
      <c r="AA67" s="1066"/>
      <c r="AB67" s="1066"/>
      <c r="AC67" s="1066"/>
      <c r="AD67" s="1066"/>
      <c r="AE67" s="1066"/>
      <c r="AF67" s="1066"/>
      <c r="AG67" s="1066"/>
      <c r="AH67" s="1124"/>
      <c r="AI67" s="1124"/>
      <c r="AJ67" s="1124"/>
      <c r="AK67" s="1124"/>
      <c r="AL67" s="1124"/>
      <c r="AM67" s="1124"/>
      <c r="AN67" s="1124"/>
      <c r="AO67" s="1066"/>
      <c r="AP67" s="1124"/>
      <c r="AQ67" s="1066"/>
      <c r="AR67" s="1066"/>
      <c r="AS67" s="1077"/>
      <c r="AT67" s="1066"/>
      <c r="AU67" s="1066"/>
      <c r="AV67" s="1124"/>
      <c r="AW67" s="1066"/>
      <c r="AX67" s="1066"/>
      <c r="AY67" s="1077"/>
      <c r="AZ67" s="1066"/>
      <c r="BA67" s="1066"/>
      <c r="BB67" s="1066"/>
    </row>
    <row r="68" spans="1:54" ht="23.25" customHeight="1">
      <c r="B68" s="823"/>
      <c r="C68" s="1066"/>
      <c r="D68" s="1073"/>
      <c r="E68" s="1073"/>
      <c r="F68" s="1073"/>
      <c r="G68" s="1073"/>
      <c r="H68" s="1073"/>
      <c r="I68" s="1073"/>
      <c r="J68" s="1073"/>
      <c r="K68" s="1063"/>
      <c r="L68" s="1063"/>
      <c r="M68" s="1063"/>
      <c r="N68" s="1063"/>
      <c r="O68" s="1063"/>
      <c r="P68" s="1063"/>
      <c r="Q68" s="1063"/>
      <c r="R68" s="1063"/>
      <c r="S68" s="1063"/>
      <c r="T68" s="1063"/>
      <c r="U68" s="1063"/>
      <c r="V68" s="1063"/>
      <c r="W68" s="1063"/>
      <c r="X68" s="1063"/>
      <c r="Y68" s="1063"/>
      <c r="Z68" s="1063"/>
      <c r="AA68" s="1063"/>
      <c r="AB68" s="1063"/>
      <c r="AC68" s="1063"/>
      <c r="AD68" s="1063"/>
      <c r="AE68" s="1063"/>
      <c r="AF68" s="1063"/>
      <c r="AG68" s="1063"/>
      <c r="AH68" s="1122"/>
      <c r="AI68" s="1122"/>
      <c r="AJ68" s="1122"/>
      <c r="AK68" s="1122"/>
      <c r="AL68" s="1122"/>
      <c r="AM68" s="1122"/>
      <c r="AN68" s="1122"/>
      <c r="AO68" s="1063"/>
      <c r="AP68" s="1122"/>
      <c r="AQ68" s="1063"/>
      <c r="AR68" s="1063"/>
      <c r="AS68" s="1076"/>
      <c r="AT68" s="1063"/>
      <c r="AU68" s="1063"/>
      <c r="AV68" s="1122"/>
      <c r="AW68" s="1063"/>
      <c r="AX68" s="1063"/>
      <c r="AY68" s="1076"/>
      <c r="AZ68" s="1063"/>
      <c r="BA68" s="1066"/>
      <c r="BB68" s="1066"/>
    </row>
    <row r="69" spans="1:54" ht="66.75" customHeight="1">
      <c r="A69" s="2757" t="s">
        <v>1068</v>
      </c>
      <c r="B69" s="2490"/>
      <c r="C69" s="2754" t="s">
        <v>1071</v>
      </c>
      <c r="D69" s="2755"/>
      <c r="E69" s="2755"/>
      <c r="F69" s="2755"/>
      <c r="G69" s="2755"/>
      <c r="H69" s="2755"/>
      <c r="I69" s="2755"/>
      <c r="J69" s="2756"/>
      <c r="K69" s="1063"/>
      <c r="L69" s="1063"/>
      <c r="M69" s="1063"/>
      <c r="N69" s="1066"/>
      <c r="O69" s="1063"/>
      <c r="P69" s="1063"/>
      <c r="Q69" s="1063"/>
      <c r="R69" s="1063"/>
      <c r="S69" s="1063"/>
      <c r="T69" s="1063"/>
      <c r="U69" s="1063"/>
      <c r="V69" s="1063"/>
      <c r="W69" s="1063"/>
      <c r="X69" s="1063"/>
      <c r="Y69" s="1063"/>
      <c r="Z69" s="1063"/>
      <c r="AA69" s="1063"/>
      <c r="AB69" s="1063"/>
      <c r="AC69" s="1063"/>
      <c r="AD69" s="1063"/>
      <c r="AE69" s="1063"/>
      <c r="AF69" s="1063"/>
      <c r="AG69" s="1063"/>
      <c r="AH69" s="1122"/>
      <c r="AI69" s="1122"/>
      <c r="AJ69" s="1122"/>
      <c r="AK69" s="1122"/>
      <c r="AL69" s="1122"/>
      <c r="AM69" s="1122"/>
      <c r="AN69" s="1122"/>
      <c r="AO69" s="1063"/>
      <c r="AP69" s="1122"/>
      <c r="AQ69" s="1063"/>
      <c r="AR69" s="1063"/>
      <c r="AS69" s="1076"/>
      <c r="AT69" s="1063"/>
      <c r="AU69" s="1063"/>
      <c r="AV69" s="1122"/>
      <c r="AW69" s="1063"/>
      <c r="AX69" s="1063"/>
      <c r="AY69" s="1076"/>
      <c r="AZ69" s="1063"/>
      <c r="BA69" s="1066"/>
      <c r="BB69" s="1066"/>
    </row>
    <row r="70" spans="1:54" s="1066" customFormat="1" ht="8.25" customHeight="1">
      <c r="A70" s="412"/>
      <c r="C70" s="816"/>
      <c r="D70" s="820"/>
      <c r="E70" s="816"/>
      <c r="F70" s="816"/>
      <c r="G70" s="816"/>
      <c r="H70" s="816"/>
      <c r="I70" s="816"/>
      <c r="J70" s="816"/>
      <c r="K70" s="1063"/>
      <c r="L70" s="1063"/>
      <c r="M70" s="1063"/>
      <c r="N70" s="1063"/>
      <c r="O70" s="1063"/>
      <c r="P70" s="1060"/>
      <c r="Q70" s="1060"/>
      <c r="AH70" s="1124"/>
      <c r="AI70" s="1124"/>
      <c r="AJ70" s="1124"/>
      <c r="AK70" s="1124"/>
      <c r="AL70" s="1124"/>
      <c r="AM70" s="1124"/>
      <c r="AN70" s="1124"/>
      <c r="AP70" s="1124"/>
      <c r="AS70" s="1077"/>
      <c r="AV70" s="1124"/>
      <c r="AY70" s="1077"/>
    </row>
    <row r="71" spans="1:54" s="1066" customFormat="1" ht="54" customHeight="1">
      <c r="A71" s="2757" t="s">
        <v>609</v>
      </c>
      <c r="B71" s="2490"/>
      <c r="C71" s="2758" t="s">
        <v>1070</v>
      </c>
      <c r="D71" s="2759"/>
      <c r="E71" s="2759"/>
      <c r="F71" s="2759"/>
      <c r="G71" s="2759"/>
      <c r="H71" s="2759"/>
      <c r="I71" s="2759"/>
      <c r="J71" s="2760"/>
      <c r="R71" s="1063"/>
      <c r="S71" s="1063"/>
      <c r="T71" s="1063"/>
      <c r="U71" s="1063"/>
      <c r="V71" s="1063"/>
      <c r="W71" s="1063"/>
      <c r="X71" s="1063"/>
      <c r="Y71" s="1063"/>
      <c r="Z71" s="1063"/>
      <c r="AA71" s="1063"/>
      <c r="AB71" s="1063"/>
      <c r="AC71" s="1063"/>
      <c r="AD71" s="1063"/>
      <c r="AE71" s="1063"/>
      <c r="AF71" s="1063"/>
      <c r="AG71" s="1063"/>
      <c r="AH71" s="1122"/>
      <c r="AI71" s="1122"/>
      <c r="AJ71" s="1122"/>
      <c r="AK71" s="1122"/>
      <c r="AL71" s="1122"/>
      <c r="AM71" s="1122"/>
      <c r="AN71" s="1122"/>
      <c r="AO71" s="1063"/>
      <c r="AP71" s="1122"/>
      <c r="AQ71" s="1063"/>
      <c r="AR71" s="1063"/>
      <c r="AS71" s="1076"/>
      <c r="AT71" s="1063"/>
      <c r="AU71" s="1063"/>
      <c r="AV71" s="1122"/>
      <c r="AW71" s="1063"/>
      <c r="AX71" s="1063"/>
      <c r="AY71" s="1076"/>
      <c r="AZ71" s="1063"/>
    </row>
    <row r="72" spans="1:54" s="1066" customFormat="1" ht="15.75" customHeight="1">
      <c r="A72" s="823"/>
      <c r="B72" s="823"/>
      <c r="C72" s="2758" t="s">
        <v>588</v>
      </c>
      <c r="D72" s="2759"/>
      <c r="E72" s="2759"/>
      <c r="F72" s="2759"/>
      <c r="G72" s="2759"/>
      <c r="H72" s="2759"/>
      <c r="I72" s="2759"/>
      <c r="J72" s="2760"/>
      <c r="M72" s="357"/>
      <c r="R72" s="1063"/>
      <c r="S72" s="1063"/>
      <c r="T72" s="1063"/>
      <c r="U72" s="1063"/>
      <c r="V72" s="1063"/>
      <c r="W72" s="1063"/>
      <c r="X72" s="1063"/>
      <c r="Y72" s="1063"/>
      <c r="Z72" s="1063"/>
      <c r="AA72" s="1063"/>
      <c r="AB72" s="1063"/>
      <c r="AC72" s="1063"/>
      <c r="AD72" s="1063"/>
      <c r="AE72" s="1063"/>
      <c r="AF72" s="1063"/>
      <c r="AG72" s="1063"/>
      <c r="AH72" s="1122"/>
      <c r="AI72" s="1122"/>
      <c r="AJ72" s="1122"/>
      <c r="AK72" s="1122"/>
      <c r="AL72" s="1122"/>
      <c r="AM72" s="1122"/>
      <c r="AN72" s="1122"/>
      <c r="AO72" s="1063"/>
      <c r="AP72" s="1122"/>
      <c r="AQ72" s="1063"/>
      <c r="AR72" s="1063"/>
      <c r="AS72" s="1076"/>
      <c r="AT72" s="1063"/>
      <c r="AU72" s="1063"/>
      <c r="AV72" s="1122"/>
      <c r="AW72" s="1063"/>
      <c r="AX72" s="1063"/>
      <c r="AY72" s="1076"/>
      <c r="AZ72" s="1063"/>
    </row>
    <row r="73" spans="1:54" s="1066" customFormat="1" ht="20.25" customHeight="1">
      <c r="A73" s="1063"/>
      <c r="B73" s="1063"/>
      <c r="C73" s="1063"/>
      <c r="D73" s="1063"/>
      <c r="E73" s="1063"/>
      <c r="F73" s="1063"/>
      <c r="G73" s="1063"/>
      <c r="H73" s="1063"/>
      <c r="I73" s="1063"/>
      <c r="J73" s="1063"/>
      <c r="R73" s="1063"/>
      <c r="S73" s="1063"/>
      <c r="T73" s="1063"/>
      <c r="U73" s="1063"/>
      <c r="V73" s="1063"/>
      <c r="W73" s="1063"/>
      <c r="X73" s="1063"/>
      <c r="Y73" s="1063"/>
      <c r="Z73" s="1063"/>
      <c r="AA73" s="1063"/>
      <c r="AB73" s="1063"/>
      <c r="AC73" s="1063"/>
      <c r="AD73" s="1063"/>
      <c r="AE73" s="1063"/>
      <c r="AF73" s="1063"/>
      <c r="AG73" s="1063"/>
      <c r="AH73" s="1122"/>
      <c r="AI73" s="1122"/>
      <c r="AJ73" s="1122"/>
      <c r="AK73" s="1122"/>
      <c r="AL73" s="1122"/>
      <c r="AM73" s="1122"/>
      <c r="AN73" s="1122"/>
      <c r="AO73" s="1063"/>
      <c r="AP73" s="1122"/>
      <c r="AQ73" s="1063"/>
      <c r="AR73" s="1063"/>
      <c r="AS73" s="1076"/>
      <c r="AT73" s="1063"/>
      <c r="AU73" s="1063"/>
      <c r="AV73" s="1122"/>
      <c r="AW73" s="1063"/>
      <c r="AX73" s="1063"/>
      <c r="AY73" s="1076"/>
      <c r="AZ73" s="1063"/>
    </row>
    <row r="74" spans="1:54" ht="15.75" customHeight="1">
      <c r="A74" s="1063"/>
      <c r="B74" s="1063"/>
      <c r="C74" s="1066"/>
      <c r="D74" s="1063"/>
      <c r="E74" s="1063"/>
      <c r="F74" s="1063"/>
      <c r="G74" s="1063"/>
      <c r="H74" s="1063"/>
      <c r="I74" s="1063"/>
      <c r="J74" s="1063"/>
      <c r="K74" s="1066"/>
      <c r="L74" s="1066"/>
      <c r="M74" s="1066"/>
      <c r="N74" s="1066"/>
      <c r="O74" s="1066"/>
      <c r="P74" s="1066"/>
      <c r="Q74" s="1066"/>
      <c r="R74" s="1060"/>
      <c r="S74" s="1060"/>
      <c r="T74" s="1060"/>
      <c r="U74" s="1060"/>
      <c r="V74" s="1060"/>
      <c r="W74" s="1060"/>
      <c r="X74" s="1060"/>
      <c r="Y74" s="1060"/>
      <c r="Z74" s="1060"/>
      <c r="AA74" s="1060"/>
      <c r="AB74" s="1060"/>
      <c r="AC74" s="1060"/>
      <c r="AD74" s="1060"/>
      <c r="AE74" s="1060"/>
      <c r="AF74" s="1060"/>
      <c r="AG74" s="1060"/>
      <c r="AH74" s="1121"/>
      <c r="AI74" s="1121"/>
      <c r="AJ74" s="1121"/>
      <c r="AK74" s="1121"/>
      <c r="AL74" s="1121"/>
      <c r="AM74" s="1121"/>
      <c r="AN74" s="1121"/>
      <c r="AO74" s="1060"/>
      <c r="AP74" s="1121"/>
      <c r="AQ74" s="1060"/>
      <c r="AR74" s="1060"/>
      <c r="AS74" s="1075"/>
      <c r="AT74" s="1060"/>
      <c r="AU74" s="1060"/>
      <c r="AV74" s="1121"/>
      <c r="AW74" s="1060"/>
      <c r="AX74" s="1060"/>
      <c r="AY74" s="1075"/>
      <c r="AZ74" s="1060"/>
      <c r="BA74" s="1066"/>
      <c r="BB74" s="1066"/>
    </row>
    <row r="75" spans="1:54" ht="15.75" customHeight="1">
      <c r="A75" s="675"/>
      <c r="B75" s="600"/>
      <c r="C75" s="676"/>
      <c r="D75" s="677"/>
      <c r="E75" s="1066"/>
      <c r="F75" s="1066"/>
      <c r="G75" s="1066"/>
      <c r="H75" s="1066"/>
      <c r="I75" s="1066"/>
      <c r="J75" s="1066"/>
      <c r="Q75" s="1066"/>
      <c r="R75" s="1066"/>
      <c r="S75" s="1066"/>
      <c r="T75" s="1066"/>
      <c r="U75" s="1066"/>
      <c r="V75" s="1066"/>
      <c r="W75" s="1066"/>
      <c r="X75" s="1066"/>
      <c r="Y75" s="1066"/>
      <c r="Z75" s="1066"/>
      <c r="AA75" s="1066"/>
      <c r="AB75" s="1066"/>
      <c r="AC75" s="1066"/>
      <c r="AD75" s="1066"/>
      <c r="AE75" s="1066"/>
      <c r="AF75" s="1066"/>
      <c r="AG75" s="1066"/>
      <c r="AH75" s="1124"/>
      <c r="AI75" s="1124"/>
      <c r="AJ75" s="1124"/>
      <c r="AK75" s="1124"/>
      <c r="AL75" s="1124"/>
      <c r="AM75" s="1124"/>
      <c r="AN75" s="1124"/>
      <c r="AO75" s="1066"/>
      <c r="AP75" s="1124"/>
      <c r="AQ75" s="1066"/>
      <c r="AR75" s="1066"/>
      <c r="AS75" s="1077"/>
      <c r="AT75" s="1066"/>
      <c r="AU75" s="1066"/>
      <c r="AV75" s="1124"/>
      <c r="AW75" s="1066"/>
      <c r="AX75" s="1066"/>
      <c r="AY75" s="1077"/>
      <c r="AZ75" s="1066"/>
      <c r="BA75" s="1066"/>
      <c r="BB75" s="1066"/>
    </row>
    <row r="76" spans="1:54" ht="15.75" customHeight="1">
      <c r="A76" s="675"/>
      <c r="B76" s="601"/>
      <c r="C76" s="90"/>
      <c r="D76" s="90"/>
      <c r="E76" s="1066"/>
      <c r="F76" s="1066"/>
      <c r="G76" s="1066"/>
      <c r="H76" s="1066"/>
      <c r="I76" s="1066"/>
      <c r="J76" s="1066"/>
      <c r="Q76" s="1066"/>
      <c r="R76" s="1066"/>
      <c r="S76" s="1066"/>
      <c r="T76" s="1066"/>
      <c r="U76" s="1066"/>
      <c r="V76" s="1066"/>
      <c r="W76" s="1066"/>
      <c r="X76" s="1066"/>
      <c r="Y76" s="1066"/>
      <c r="Z76" s="1066"/>
      <c r="AA76" s="1066"/>
      <c r="AB76" s="1066"/>
      <c r="AC76" s="1066"/>
      <c r="AD76" s="1066"/>
      <c r="AE76" s="1066"/>
      <c r="AF76" s="1066"/>
      <c r="AG76" s="1066"/>
      <c r="AH76" s="1124"/>
      <c r="AI76" s="1124"/>
      <c r="AJ76" s="1124"/>
      <c r="AK76" s="1124"/>
      <c r="AL76" s="1124"/>
      <c r="AM76" s="1124"/>
      <c r="AN76" s="1124"/>
      <c r="AO76" s="1066"/>
      <c r="AP76" s="1124"/>
      <c r="AQ76" s="1066"/>
      <c r="AR76" s="1066"/>
      <c r="AS76" s="1077"/>
      <c r="AT76" s="1066"/>
      <c r="AU76" s="1066"/>
      <c r="AV76" s="1124"/>
      <c r="AW76" s="1066"/>
      <c r="AX76" s="1066"/>
      <c r="AY76" s="1077"/>
      <c r="AZ76" s="1066"/>
      <c r="BA76" s="1066"/>
      <c r="BB76" s="1066"/>
    </row>
    <row r="77" spans="1:54" ht="15.75" customHeight="1">
      <c r="A77" s="675"/>
      <c r="B77" s="601"/>
      <c r="C77" s="90"/>
      <c r="D77" s="90"/>
      <c r="E77" s="1066"/>
      <c r="F77" s="1066"/>
      <c r="G77" s="1066"/>
      <c r="H77" s="1066"/>
      <c r="I77" s="1066"/>
      <c r="J77" s="1066"/>
      <c r="Q77" s="1066"/>
      <c r="R77" s="1066"/>
      <c r="S77" s="1066"/>
      <c r="T77" s="1066"/>
      <c r="U77" s="1066"/>
      <c r="V77" s="1066"/>
      <c r="W77" s="1066"/>
      <c r="X77" s="1066"/>
      <c r="Y77" s="1066"/>
      <c r="Z77" s="1066"/>
      <c r="AA77" s="1066"/>
      <c r="AB77" s="1066"/>
      <c r="AC77" s="1066"/>
      <c r="AD77" s="1066"/>
      <c r="AE77" s="1066"/>
      <c r="AF77" s="1066"/>
      <c r="AG77" s="1066"/>
      <c r="AH77" s="1124"/>
      <c r="AI77" s="1124"/>
      <c r="AJ77" s="1124"/>
      <c r="AK77" s="1124"/>
      <c r="AL77" s="1124"/>
      <c r="AM77" s="1124"/>
      <c r="AN77" s="1124"/>
      <c r="AO77" s="1066"/>
      <c r="AP77" s="1124"/>
      <c r="AQ77" s="1066"/>
      <c r="AR77" s="1066"/>
      <c r="AS77" s="1077"/>
      <c r="AT77" s="1066"/>
      <c r="AU77" s="1066"/>
      <c r="AV77" s="1124"/>
      <c r="AW77" s="1066"/>
      <c r="AX77" s="1066"/>
      <c r="AY77" s="1077"/>
      <c r="AZ77" s="1066"/>
    </row>
    <row r="78" spans="1:54" ht="15.75" customHeight="1">
      <c r="A78" s="1066"/>
      <c r="B78" s="601"/>
      <c r="C78" s="619"/>
      <c r="D78" s="619"/>
      <c r="E78" s="1066"/>
      <c r="F78" s="1066"/>
      <c r="G78" s="1066"/>
      <c r="H78" s="1066"/>
      <c r="I78" s="1066"/>
      <c r="J78" s="1066"/>
      <c r="Q78" s="1066"/>
      <c r="R78" s="1066"/>
      <c r="S78" s="1066"/>
      <c r="T78" s="1066"/>
      <c r="U78" s="1066"/>
      <c r="V78" s="1066"/>
      <c r="W78" s="1066"/>
      <c r="X78" s="1066"/>
      <c r="Y78" s="1066"/>
      <c r="Z78" s="1066"/>
      <c r="AA78" s="1066"/>
      <c r="AB78" s="1066"/>
      <c r="AC78" s="1066"/>
      <c r="AD78" s="1066"/>
      <c r="AE78" s="1066"/>
      <c r="AF78" s="1066"/>
      <c r="AG78" s="1066"/>
      <c r="AH78" s="1124"/>
      <c r="AI78" s="1124"/>
      <c r="AJ78" s="1124"/>
      <c r="AK78" s="1124"/>
      <c r="AL78" s="1124"/>
      <c r="AM78" s="1124"/>
      <c r="AN78" s="1124"/>
      <c r="AO78" s="1066"/>
      <c r="AP78" s="1124"/>
      <c r="AQ78" s="1066"/>
      <c r="AR78" s="1066"/>
      <c r="AS78" s="1077"/>
      <c r="AT78" s="1066"/>
      <c r="AU78" s="1066"/>
      <c r="AV78" s="1124"/>
      <c r="AW78" s="1066"/>
      <c r="AX78" s="1066"/>
      <c r="AY78" s="1077"/>
      <c r="AZ78" s="1066"/>
    </row>
    <row r="79" spans="1:54" ht="15.75" customHeight="1">
      <c r="Q79" s="558"/>
      <c r="R79" s="1066"/>
      <c r="S79" s="1066"/>
      <c r="T79" s="1066"/>
      <c r="U79" s="1066"/>
      <c r="V79" s="1066"/>
      <c r="W79" s="1066"/>
      <c r="X79" s="1066"/>
      <c r="Y79" s="1066"/>
      <c r="Z79" s="1066"/>
      <c r="AA79" s="1066"/>
      <c r="AB79" s="1066"/>
      <c r="AC79" s="1066"/>
      <c r="AD79" s="1066"/>
      <c r="AE79" s="1066"/>
      <c r="AF79" s="1066"/>
      <c r="AG79" s="1066"/>
      <c r="AH79" s="1124"/>
      <c r="AI79" s="1124"/>
      <c r="AJ79" s="1124"/>
      <c r="AK79" s="1124"/>
      <c r="AL79" s="1124"/>
      <c r="AM79" s="1124"/>
      <c r="AN79" s="1124"/>
      <c r="AO79" s="1066"/>
      <c r="AP79" s="1124"/>
      <c r="AQ79" s="1066"/>
      <c r="AR79" s="1066"/>
      <c r="AS79" s="1077"/>
      <c r="AT79" s="1066"/>
      <c r="AU79" s="1066"/>
      <c r="AV79" s="1124"/>
      <c r="AW79" s="1066"/>
      <c r="AX79" s="1066"/>
      <c r="AY79" s="1077"/>
      <c r="AZ79" s="1066"/>
    </row>
    <row r="80" spans="1:54" ht="15.75" customHeight="1">
      <c r="A80" s="1045" t="s">
        <v>820</v>
      </c>
      <c r="Q80" s="558"/>
      <c r="R80" s="1066"/>
      <c r="S80" s="1066"/>
      <c r="T80" s="1066"/>
      <c r="U80" s="1066"/>
      <c r="V80" s="1066"/>
      <c r="W80" s="1066"/>
      <c r="X80" s="1066"/>
      <c r="Y80" s="1066"/>
      <c r="Z80" s="1066"/>
      <c r="AA80" s="1066"/>
      <c r="AB80" s="1066"/>
      <c r="AC80" s="1066"/>
      <c r="AD80" s="1066"/>
      <c r="AE80" s="1066"/>
      <c r="AF80" s="1066"/>
      <c r="AG80" s="1066"/>
      <c r="AH80" s="1124"/>
      <c r="AI80" s="1124"/>
      <c r="AJ80" s="1124"/>
      <c r="AK80" s="1124"/>
      <c r="AL80" s="1124"/>
      <c r="AM80" s="1124"/>
      <c r="AN80" s="1124"/>
      <c r="AO80" s="1066"/>
      <c r="AP80" s="1124"/>
      <c r="AQ80" s="1066"/>
      <c r="AR80" s="1066"/>
      <c r="AS80" s="1077"/>
      <c r="AT80" s="1066"/>
      <c r="AU80" s="1066"/>
      <c r="AV80" s="1124"/>
      <c r="AW80" s="1066"/>
      <c r="AX80" s="1066"/>
      <c r="AY80" s="1077"/>
      <c r="AZ80" s="1066"/>
      <c r="BA80" s="1066"/>
      <c r="BB80" s="1066"/>
    </row>
    <row r="81" spans="1:54" ht="15.75" customHeight="1">
      <c r="R81" s="1066"/>
      <c r="S81" s="1066"/>
      <c r="T81" s="1066"/>
      <c r="U81" s="1066"/>
      <c r="V81" s="1066"/>
      <c r="W81" s="1066"/>
      <c r="X81" s="1066"/>
      <c r="Y81" s="1066"/>
      <c r="Z81" s="1066"/>
      <c r="AA81" s="1066"/>
      <c r="AB81" s="1066"/>
      <c r="AC81" s="1066"/>
      <c r="AD81" s="1066"/>
      <c r="AE81" s="1066"/>
      <c r="AF81" s="1066"/>
      <c r="AG81" s="1066"/>
      <c r="AH81" s="1124"/>
      <c r="AI81" s="1124"/>
      <c r="AJ81" s="1124"/>
      <c r="AK81" s="1124"/>
      <c r="AL81" s="1124"/>
      <c r="AM81" s="1124"/>
      <c r="AN81" s="1124"/>
      <c r="AO81" s="1066"/>
      <c r="AP81" s="1124"/>
      <c r="AQ81" s="1066"/>
      <c r="AR81" s="1066"/>
      <c r="AS81" s="1077"/>
      <c r="AT81" s="1066"/>
      <c r="AU81" s="1066"/>
      <c r="AV81" s="1124"/>
      <c r="AW81" s="1066"/>
      <c r="AX81" s="1066"/>
      <c r="AY81" s="1077"/>
      <c r="AZ81" s="1066"/>
      <c r="BA81" s="1066"/>
      <c r="BB81" s="1066"/>
    </row>
    <row r="82" spans="1:54" ht="15.75" customHeight="1">
      <c r="A82" s="860" t="s">
        <v>819</v>
      </c>
      <c r="B82" s="860"/>
      <c r="C82" s="1070"/>
      <c r="D82" s="2545"/>
      <c r="E82" s="2545"/>
      <c r="F82" s="908"/>
      <c r="Q82" s="1066"/>
      <c r="R82" s="1066"/>
      <c r="S82" s="1066"/>
      <c r="T82" s="1066"/>
      <c r="U82" s="1066"/>
      <c r="V82" s="1066"/>
      <c r="W82" s="1066"/>
      <c r="X82" s="1066"/>
      <c r="Y82" s="1066"/>
      <c r="Z82" s="1066"/>
      <c r="AA82" s="1066"/>
      <c r="AB82" s="1066"/>
      <c r="AC82" s="1066"/>
      <c r="AD82" s="1066"/>
      <c r="AE82" s="1066"/>
      <c r="AF82" s="1066"/>
      <c r="AG82" s="1066"/>
      <c r="AH82" s="1124"/>
      <c r="AI82" s="1124"/>
      <c r="AJ82" s="1124"/>
      <c r="AK82" s="1124"/>
      <c r="AL82" s="1124"/>
      <c r="AM82" s="1124"/>
      <c r="AN82" s="1124"/>
      <c r="AO82" s="1066"/>
      <c r="AP82" s="1124"/>
      <c r="AQ82" s="1066"/>
      <c r="AR82" s="1066"/>
      <c r="AS82" s="1077"/>
      <c r="AT82" s="1066"/>
      <c r="AU82" s="1066"/>
      <c r="AV82" s="1124"/>
      <c r="AW82" s="1066"/>
      <c r="AX82" s="1066"/>
      <c r="AY82" s="1077"/>
      <c r="AZ82" s="1066"/>
      <c r="BA82" s="1066"/>
      <c r="BB82" s="1066"/>
    </row>
    <row r="83" spans="1:54" ht="15.75" customHeight="1">
      <c r="A83" s="860"/>
      <c r="B83" s="860"/>
      <c r="C83" s="1068" t="s">
        <v>177</v>
      </c>
      <c r="D83" s="1068" t="s">
        <v>284</v>
      </c>
      <c r="E83" s="2753" t="s">
        <v>822</v>
      </c>
      <c r="F83" s="2413"/>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row>
    <row r="84" spans="1:54" ht="15.75" customHeight="1">
      <c r="A84" s="201" t="s">
        <v>795</v>
      </c>
      <c r="B84" s="201"/>
      <c r="C84" s="1061">
        <v>0</v>
      </c>
      <c r="D84" s="1061">
        <v>0</v>
      </c>
      <c r="E84" s="210">
        <v>0</v>
      </c>
      <c r="F84" s="1072"/>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row>
    <row r="85" spans="1:54" ht="15.75" customHeight="1">
      <c r="A85" s="201" t="s">
        <v>287</v>
      </c>
      <c r="B85" s="201"/>
      <c r="C85" s="1061">
        <v>15.5</v>
      </c>
      <c r="D85" s="1061">
        <v>0</v>
      </c>
      <c r="E85" s="210">
        <v>100</v>
      </c>
      <c r="F85" s="1072"/>
      <c r="U85" s="1066"/>
      <c r="V85" s="1046"/>
      <c r="W85" s="1066"/>
      <c r="X85" s="1066"/>
      <c r="Y85" s="1066"/>
      <c r="Z85" s="1066"/>
    </row>
    <row r="86" spans="1:54" ht="15.75" customHeight="1">
      <c r="A86" s="201" t="s">
        <v>830</v>
      </c>
      <c r="B86" s="201"/>
      <c r="C86" s="1061">
        <v>27</v>
      </c>
      <c r="D86" s="1061">
        <v>0</v>
      </c>
      <c r="E86" s="210">
        <v>100</v>
      </c>
      <c r="F86" s="1072"/>
      <c r="R86" s="1066"/>
      <c r="S86" s="1066"/>
      <c r="T86" s="1066"/>
      <c r="U86" s="1066"/>
      <c r="V86" s="1066"/>
      <c r="W86" s="1066"/>
      <c r="X86" s="1066"/>
      <c r="Y86" s="1066"/>
      <c r="Z86" s="1066"/>
      <c r="AA86" s="1066"/>
      <c r="AB86" s="1066"/>
      <c r="AC86" s="1066"/>
      <c r="AD86" s="1066"/>
      <c r="AE86" s="1066"/>
      <c r="AF86" s="1066"/>
      <c r="AG86" s="1066"/>
      <c r="AH86" s="1124"/>
      <c r="AI86" s="1124"/>
      <c r="AJ86" s="1124"/>
      <c r="AK86" s="1124"/>
      <c r="AL86" s="1124"/>
      <c r="AM86" s="1124"/>
      <c r="AN86" s="1124"/>
      <c r="AO86" s="1066"/>
      <c r="AP86" s="1124"/>
      <c r="AQ86" s="1066"/>
      <c r="AR86" s="1066"/>
      <c r="AS86" s="1077"/>
      <c r="AT86" s="1066"/>
      <c r="AU86" s="1066"/>
      <c r="AV86" s="1124"/>
      <c r="AW86" s="1066"/>
      <c r="AX86" s="1066"/>
      <c r="AY86" s="1077"/>
      <c r="AZ86" s="1066"/>
    </row>
    <row r="87" spans="1:54" ht="15.75" customHeight="1">
      <c r="A87" s="201" t="s">
        <v>834</v>
      </c>
      <c r="B87" s="201"/>
      <c r="C87" s="1061">
        <v>24</v>
      </c>
      <c r="D87" s="1061">
        <v>0</v>
      </c>
      <c r="E87" s="210">
        <v>100</v>
      </c>
      <c r="F87" s="1072"/>
      <c r="U87" s="860"/>
      <c r="V87" s="860"/>
      <c r="W87" s="1064"/>
      <c r="X87" s="1064"/>
      <c r="Y87" s="1060"/>
      <c r="Z87" s="908"/>
    </row>
    <row r="88" spans="1:54" ht="15.75" customHeight="1">
      <c r="A88" s="201" t="s">
        <v>288</v>
      </c>
      <c r="B88" s="201"/>
      <c r="C88" s="1061">
        <v>24</v>
      </c>
      <c r="D88" s="1061">
        <v>0</v>
      </c>
      <c r="E88" s="210">
        <v>100</v>
      </c>
      <c r="F88" s="1072"/>
      <c r="U88" s="860"/>
      <c r="V88" s="860"/>
      <c r="W88" s="1064"/>
      <c r="X88" s="782"/>
      <c r="Y88" s="782"/>
      <c r="Z88" s="909"/>
    </row>
    <row r="89" spans="1:54" ht="15.75" customHeight="1">
      <c r="A89" s="201" t="s">
        <v>831</v>
      </c>
      <c r="B89" s="201"/>
      <c r="C89" s="1061">
        <v>26</v>
      </c>
      <c r="D89" s="1061">
        <v>0</v>
      </c>
      <c r="E89" s="210">
        <v>100</v>
      </c>
      <c r="F89" s="1072"/>
      <c r="U89" s="201"/>
      <c r="V89" s="201"/>
      <c r="W89" s="1064"/>
      <c r="X89" s="1059"/>
      <c r="Y89" s="1059"/>
      <c r="Z89" s="1072"/>
    </row>
    <row r="90" spans="1:54" ht="15.75" customHeight="1">
      <c r="A90" s="201" t="s">
        <v>835</v>
      </c>
      <c r="B90" s="201"/>
      <c r="C90" s="1061">
        <v>21</v>
      </c>
      <c r="D90" s="1061">
        <v>0</v>
      </c>
      <c r="E90" s="210">
        <v>100</v>
      </c>
      <c r="F90" s="1072"/>
      <c r="U90" s="201"/>
      <c r="V90" s="201"/>
      <c r="W90" s="1064"/>
      <c r="X90" s="1059"/>
      <c r="Y90" s="1059"/>
      <c r="Z90" s="1072"/>
    </row>
    <row r="91" spans="1:54" ht="15.75" customHeight="1">
      <c r="A91" s="201" t="s">
        <v>832</v>
      </c>
      <c r="B91" s="201"/>
      <c r="C91" s="1061">
        <v>33</v>
      </c>
      <c r="D91" s="1061">
        <v>0</v>
      </c>
      <c r="E91" s="210">
        <v>100</v>
      </c>
      <c r="F91" s="1072"/>
      <c r="U91" s="201"/>
      <c r="V91" s="201"/>
      <c r="W91" s="1064"/>
      <c r="X91" s="1059"/>
      <c r="Y91" s="1059"/>
      <c r="Z91" s="1072"/>
    </row>
    <row r="92" spans="1:54" ht="15.75" customHeight="1">
      <c r="A92" s="201" t="s">
        <v>833</v>
      </c>
      <c r="B92" s="201"/>
      <c r="C92" s="202">
        <v>38</v>
      </c>
      <c r="D92" s="1061">
        <v>0</v>
      </c>
      <c r="E92" s="210">
        <v>100</v>
      </c>
      <c r="F92" s="1072"/>
      <c r="U92" s="201"/>
      <c r="V92" s="201"/>
      <c r="W92" s="1064"/>
      <c r="X92" s="1059"/>
      <c r="Y92" s="1059"/>
      <c r="Z92" s="1072"/>
    </row>
    <row r="93" spans="1:54" ht="15.75" customHeight="1">
      <c r="A93" s="201" t="s">
        <v>289</v>
      </c>
      <c r="B93" s="201"/>
      <c r="C93" s="1061">
        <v>46</v>
      </c>
      <c r="D93" s="1061">
        <v>0</v>
      </c>
      <c r="E93" s="210">
        <v>100</v>
      </c>
      <c r="F93" s="1072"/>
      <c r="U93" s="201"/>
      <c r="V93" s="201"/>
      <c r="W93" s="1064"/>
      <c r="X93" s="1059"/>
      <c r="Y93" s="1059"/>
      <c r="Z93" s="1072"/>
    </row>
    <row r="94" spans="1:54" ht="15.75" customHeight="1">
      <c r="A94" s="201" t="s">
        <v>796</v>
      </c>
      <c r="B94" s="201"/>
      <c r="C94" s="1061">
        <v>28</v>
      </c>
      <c r="D94" s="1061">
        <v>0</v>
      </c>
      <c r="E94" s="210">
        <v>100</v>
      </c>
      <c r="F94" s="1072"/>
      <c r="U94" s="201"/>
      <c r="V94" s="201"/>
      <c r="W94" s="1064"/>
      <c r="X94" s="1059"/>
      <c r="Y94" s="1059"/>
      <c r="Z94" s="1072"/>
    </row>
    <row r="95" spans="1:54" ht="15.75" customHeight="1">
      <c r="A95" s="201" t="s">
        <v>797</v>
      </c>
      <c r="B95" s="201"/>
      <c r="C95" s="202">
        <v>30</v>
      </c>
      <c r="D95" s="1061">
        <v>0</v>
      </c>
      <c r="E95" s="210">
        <v>100</v>
      </c>
      <c r="F95" s="1072"/>
      <c r="U95" s="201"/>
      <c r="V95" s="201"/>
      <c r="W95" s="1064"/>
      <c r="X95" s="1059"/>
      <c r="Y95" s="1059"/>
      <c r="Z95" s="1072"/>
    </row>
    <row r="96" spans="1:54" ht="15.75" customHeight="1">
      <c r="A96" s="201" t="s">
        <v>290</v>
      </c>
      <c r="B96" s="201"/>
      <c r="C96" s="1061">
        <v>8</v>
      </c>
      <c r="D96" s="1061">
        <v>0</v>
      </c>
      <c r="E96" s="210">
        <v>100</v>
      </c>
      <c r="F96" s="1072"/>
      <c r="U96" s="201"/>
      <c r="V96" s="201"/>
      <c r="W96" s="1064"/>
      <c r="X96" s="1059"/>
      <c r="Y96" s="1059"/>
      <c r="Z96" s="1072"/>
    </row>
    <row r="97" spans="1:31" ht="15.75" customHeight="1">
      <c r="A97" s="201" t="s">
        <v>836</v>
      </c>
      <c r="B97" s="201"/>
      <c r="C97" s="1061">
        <v>15</v>
      </c>
      <c r="D97" s="1061">
        <v>0</v>
      </c>
      <c r="E97" s="210">
        <v>100</v>
      </c>
      <c r="F97" s="1072"/>
      <c r="U97" s="201"/>
      <c r="V97" s="201"/>
      <c r="W97" s="1064"/>
      <c r="X97" s="143"/>
      <c r="Y97" s="1059"/>
      <c r="Z97" s="1072"/>
    </row>
    <row r="98" spans="1:31" ht="15.75" customHeight="1">
      <c r="A98" s="201" t="s">
        <v>291</v>
      </c>
      <c r="B98" s="201"/>
      <c r="C98" s="1061">
        <v>19.8</v>
      </c>
      <c r="D98" s="1061">
        <v>0</v>
      </c>
      <c r="E98" s="210">
        <v>100</v>
      </c>
      <c r="F98" s="1072"/>
      <c r="U98" s="201"/>
      <c r="V98" s="201"/>
      <c r="W98" s="1064"/>
      <c r="X98" s="1059"/>
      <c r="Y98" s="1059"/>
      <c r="Z98" s="1072"/>
    </row>
    <row r="99" spans="1:31" ht="15.75" customHeight="1">
      <c r="A99" s="201" t="s">
        <v>798</v>
      </c>
      <c r="B99" s="201"/>
      <c r="C99" s="1061">
        <v>20</v>
      </c>
      <c r="D99" s="1061">
        <v>20</v>
      </c>
      <c r="E99" s="210">
        <v>100</v>
      </c>
      <c r="F99" s="1072"/>
      <c r="U99" s="201"/>
      <c r="V99" s="201"/>
      <c r="W99" s="1064"/>
      <c r="X99" s="1059"/>
      <c r="Y99" s="1059"/>
      <c r="Z99" s="1072"/>
    </row>
    <row r="100" spans="1:31" ht="15.75" customHeight="1">
      <c r="A100" s="201" t="s">
        <v>799</v>
      </c>
      <c r="B100" s="201"/>
      <c r="C100" s="1061">
        <v>10</v>
      </c>
      <c r="D100" s="1061">
        <v>34</v>
      </c>
      <c r="E100" s="210">
        <v>100</v>
      </c>
      <c r="F100" s="1072"/>
      <c r="U100" s="201"/>
      <c r="V100" s="201"/>
      <c r="W100" s="1064"/>
      <c r="X100" s="143"/>
      <c r="Y100" s="1059"/>
      <c r="Z100" s="1072"/>
    </row>
    <row r="101" spans="1:31" ht="15.75" customHeight="1">
      <c r="A101" s="201" t="s">
        <v>837</v>
      </c>
      <c r="B101" s="201"/>
      <c r="C101" s="1061">
        <v>18</v>
      </c>
      <c r="D101" s="1061">
        <v>46</v>
      </c>
      <c r="E101" s="210">
        <v>100</v>
      </c>
      <c r="F101" s="1072"/>
      <c r="U101" s="201"/>
      <c r="V101" s="201"/>
      <c r="W101" s="1064"/>
      <c r="X101" s="1059"/>
      <c r="Y101" s="1059"/>
      <c r="Z101" s="1072"/>
    </row>
    <row r="102" spans="1:31" ht="15.75" customHeight="1">
      <c r="A102" s="201" t="s">
        <v>800</v>
      </c>
      <c r="B102" s="201"/>
      <c r="C102" s="1061">
        <v>15</v>
      </c>
      <c r="D102" s="1061">
        <v>15</v>
      </c>
      <c r="E102" s="210">
        <v>100</v>
      </c>
      <c r="F102" s="1072"/>
      <c r="U102" s="201"/>
      <c r="V102" s="201"/>
      <c r="W102" s="1064"/>
      <c r="X102" s="1059"/>
      <c r="Y102" s="1059"/>
      <c r="Z102" s="1072"/>
    </row>
    <row r="103" spans="1:31" ht="15.75" customHeight="1">
      <c r="A103" s="201" t="s">
        <v>801</v>
      </c>
      <c r="B103" s="201"/>
      <c r="C103" s="202">
        <v>13</v>
      </c>
      <c r="D103" s="202">
        <v>13</v>
      </c>
      <c r="E103" s="210">
        <v>100</v>
      </c>
      <c r="F103" s="1072"/>
      <c r="U103" s="201"/>
      <c r="V103" s="201"/>
      <c r="W103" s="1064"/>
      <c r="X103" s="1059"/>
      <c r="Y103" s="1059"/>
      <c r="Z103" s="1072"/>
    </row>
    <row r="104" spans="1:31" ht="15.75" customHeight="1">
      <c r="A104" s="201" t="s">
        <v>802</v>
      </c>
      <c r="B104" s="201"/>
      <c r="C104" s="1071">
        <v>20</v>
      </c>
      <c r="D104" s="1071">
        <v>8</v>
      </c>
      <c r="E104" s="210">
        <v>100</v>
      </c>
      <c r="F104" s="1072"/>
      <c r="U104" s="201"/>
      <c r="V104" s="201"/>
      <c r="W104" s="1064"/>
      <c r="X104" s="1059"/>
      <c r="Y104" s="1059"/>
      <c r="Z104" s="1072"/>
    </row>
    <row r="105" spans="1:31" ht="15.75" customHeight="1">
      <c r="A105" s="201" t="s">
        <v>292</v>
      </c>
      <c r="B105" s="201"/>
      <c r="C105" s="1062">
        <v>0</v>
      </c>
      <c r="D105" s="1061">
        <v>18</v>
      </c>
      <c r="E105" s="210">
        <v>100</v>
      </c>
      <c r="F105" s="1072"/>
      <c r="U105" s="201"/>
      <c r="V105" s="201"/>
      <c r="W105" s="1064"/>
      <c r="X105" s="1059"/>
      <c r="Y105" s="1059"/>
      <c r="Z105" s="1072"/>
    </row>
    <row r="106" spans="1:31" s="546" customFormat="1" ht="15.75" customHeight="1">
      <c r="A106" s="201" t="s">
        <v>838</v>
      </c>
      <c r="B106" s="201"/>
      <c r="C106" s="1062">
        <v>0</v>
      </c>
      <c r="D106" s="1061">
        <v>46</v>
      </c>
      <c r="E106" s="210">
        <v>100</v>
      </c>
      <c r="F106" s="1072"/>
      <c r="G106" s="357"/>
      <c r="H106" s="357"/>
      <c r="I106" s="357"/>
      <c r="J106" s="357"/>
      <c r="K106" s="357"/>
      <c r="L106" s="357"/>
      <c r="M106" s="357"/>
      <c r="N106" s="357"/>
      <c r="O106" s="357"/>
      <c r="P106" s="357"/>
      <c r="Q106" s="357"/>
      <c r="R106" s="357"/>
      <c r="S106" s="357"/>
      <c r="T106" s="357"/>
      <c r="U106" s="201"/>
      <c r="V106" s="201"/>
      <c r="W106" s="1064"/>
      <c r="X106" s="1059"/>
      <c r="Y106" s="1059"/>
      <c r="Z106" s="1072"/>
      <c r="AA106" s="357"/>
      <c r="AB106" s="357"/>
      <c r="AC106" s="357"/>
      <c r="AD106" s="357"/>
      <c r="AE106" s="357"/>
    </row>
    <row r="107" spans="1:31" s="546" customFormat="1" ht="15.75" customHeight="1">
      <c r="A107" s="201" t="s">
        <v>1107</v>
      </c>
      <c r="B107" s="201"/>
      <c r="C107" s="1062">
        <v>0</v>
      </c>
      <c r="D107" s="1062">
        <v>0</v>
      </c>
      <c r="E107" s="210">
        <v>100</v>
      </c>
      <c r="F107" s="1072"/>
      <c r="G107" s="357"/>
      <c r="H107" s="357"/>
      <c r="I107" s="357"/>
      <c r="J107" s="357"/>
      <c r="K107" s="357"/>
      <c r="L107" s="357"/>
      <c r="M107" s="357"/>
      <c r="N107" s="357"/>
      <c r="O107" s="357"/>
      <c r="P107" s="357"/>
      <c r="Q107" s="357"/>
      <c r="R107" s="357"/>
      <c r="S107" s="357"/>
      <c r="T107" s="357"/>
      <c r="U107" s="201"/>
      <c r="V107" s="201"/>
      <c r="W107" s="1064"/>
      <c r="X107" s="1059"/>
      <c r="Y107" s="1059"/>
      <c r="Z107" s="1072"/>
      <c r="AA107" s="357"/>
      <c r="AB107" s="357"/>
      <c r="AC107" s="357"/>
      <c r="AD107" s="357"/>
      <c r="AE107" s="357"/>
    </row>
    <row r="108" spans="1:31" s="546" customFormat="1" ht="15.75" customHeight="1">
      <c r="A108" s="201" t="s">
        <v>1108</v>
      </c>
      <c r="B108" s="201"/>
      <c r="C108" s="1062">
        <v>0</v>
      </c>
      <c r="D108" s="1062">
        <v>0</v>
      </c>
      <c r="E108" s="210">
        <v>100</v>
      </c>
      <c r="F108" s="1072"/>
      <c r="G108" s="357"/>
      <c r="H108" s="357"/>
      <c r="I108" s="357"/>
      <c r="J108" s="357"/>
      <c r="K108" s="357"/>
      <c r="L108" s="357"/>
      <c r="M108" s="357"/>
      <c r="N108" s="357"/>
      <c r="O108" s="357"/>
      <c r="P108" s="357"/>
      <c r="Q108" s="357"/>
      <c r="R108" s="357"/>
      <c r="S108" s="357"/>
      <c r="T108" s="357"/>
      <c r="U108" s="201"/>
      <c r="V108" s="201"/>
      <c r="W108" s="1064"/>
      <c r="X108" s="143"/>
      <c r="Y108" s="143"/>
      <c r="Z108" s="1072"/>
      <c r="AA108" s="357"/>
      <c r="AB108" s="357"/>
      <c r="AC108" s="357"/>
      <c r="AD108" s="357"/>
      <c r="AE108" s="357"/>
    </row>
    <row r="109" spans="1:31" s="546" customFormat="1" ht="15.75" customHeight="1">
      <c r="A109" s="201" t="s">
        <v>1109</v>
      </c>
      <c r="B109" s="201"/>
      <c r="C109" s="1062">
        <v>0</v>
      </c>
      <c r="D109" s="1062">
        <v>0</v>
      </c>
      <c r="E109" s="210">
        <v>100</v>
      </c>
      <c r="F109" s="1072"/>
      <c r="G109" s="357"/>
      <c r="H109" s="357"/>
      <c r="I109" s="357"/>
      <c r="J109" s="357"/>
      <c r="K109" s="357"/>
      <c r="L109" s="357"/>
      <c r="M109" s="357"/>
      <c r="N109" s="357"/>
      <c r="O109" s="357"/>
      <c r="P109" s="357"/>
      <c r="Q109" s="357"/>
      <c r="R109" s="357"/>
      <c r="S109" s="357"/>
      <c r="T109" s="357"/>
      <c r="U109" s="201"/>
      <c r="V109" s="201"/>
      <c r="W109" s="1064"/>
      <c r="X109" s="1059"/>
      <c r="Y109" s="1059"/>
      <c r="Z109" s="1072"/>
      <c r="AA109" s="357"/>
      <c r="AB109" s="357"/>
      <c r="AC109" s="357"/>
      <c r="AD109" s="357"/>
      <c r="AE109" s="357"/>
    </row>
    <row r="110" spans="1:31" s="546" customFormat="1" ht="15.75" customHeight="1">
      <c r="A110" s="201" t="s">
        <v>1110</v>
      </c>
      <c r="B110" s="201"/>
      <c r="C110" s="1062">
        <v>0</v>
      </c>
      <c r="D110" s="1062">
        <v>0</v>
      </c>
      <c r="E110" s="210">
        <v>100</v>
      </c>
      <c r="F110" s="1072"/>
      <c r="G110" s="357"/>
      <c r="H110" s="357"/>
      <c r="I110" s="357"/>
      <c r="J110" s="357"/>
      <c r="K110" s="357"/>
      <c r="L110" s="357"/>
      <c r="M110" s="357"/>
      <c r="N110" s="357"/>
      <c r="O110" s="357"/>
      <c r="P110" s="357"/>
      <c r="Q110" s="357"/>
      <c r="R110" s="357"/>
      <c r="S110" s="357"/>
      <c r="T110" s="357"/>
      <c r="U110" s="201"/>
      <c r="V110" s="201"/>
      <c r="W110" s="1064"/>
      <c r="X110" s="1064"/>
      <c r="Y110" s="1059"/>
      <c r="Z110" s="1072"/>
      <c r="AA110" s="357"/>
      <c r="AB110" s="357"/>
      <c r="AC110" s="357"/>
      <c r="AD110" s="357"/>
      <c r="AE110" s="357"/>
    </row>
    <row r="111" spans="1:31" s="546" customFormat="1" ht="15.75" customHeight="1">
      <c r="A111" s="182" t="s">
        <v>184</v>
      </c>
      <c r="B111" s="182"/>
      <c r="C111" s="1062">
        <v>0.33</v>
      </c>
      <c r="D111" s="1062">
        <v>0.14000000000000001</v>
      </c>
      <c r="E111" s="210">
        <v>60</v>
      </c>
      <c r="F111" s="1072"/>
      <c r="G111" s="357"/>
      <c r="H111" s="357"/>
      <c r="I111" s="357"/>
      <c r="J111" s="357"/>
      <c r="K111" s="357"/>
      <c r="L111" s="357"/>
      <c r="M111" s="357"/>
      <c r="N111" s="357"/>
      <c r="O111" s="357"/>
      <c r="P111" s="357"/>
      <c r="Q111" s="357"/>
      <c r="R111" s="357"/>
      <c r="S111" s="357"/>
      <c r="T111" s="357"/>
      <c r="U111" s="201"/>
      <c r="V111" s="201"/>
      <c r="W111" s="1064"/>
      <c r="X111" s="1064"/>
      <c r="Y111" s="1059"/>
      <c r="Z111" s="1072"/>
      <c r="AA111" s="357"/>
      <c r="AB111" s="357"/>
      <c r="AC111" s="357"/>
      <c r="AD111" s="357"/>
      <c r="AE111" s="357"/>
    </row>
    <row r="112" spans="1:31" s="546" customFormat="1" ht="15.75" customHeight="1">
      <c r="A112" s="182" t="s">
        <v>185</v>
      </c>
      <c r="B112" s="182"/>
      <c r="C112" s="1062">
        <v>0.4</v>
      </c>
      <c r="D112" s="1062">
        <v>0.17</v>
      </c>
      <c r="E112" s="210">
        <v>70</v>
      </c>
      <c r="F112" s="1072"/>
      <c r="G112" s="357"/>
      <c r="H112" s="357"/>
      <c r="I112" s="357"/>
      <c r="J112" s="357"/>
      <c r="K112" s="357"/>
      <c r="L112" s="357"/>
      <c r="M112" s="357"/>
      <c r="N112" s="357"/>
      <c r="O112" s="357"/>
      <c r="P112" s="357"/>
      <c r="Q112" s="357"/>
      <c r="R112" s="357"/>
      <c r="S112" s="357"/>
      <c r="T112" s="357"/>
      <c r="U112" s="201"/>
      <c r="V112" s="201"/>
      <c r="W112" s="1064"/>
      <c r="X112" s="1064"/>
      <c r="Y112" s="1064"/>
      <c r="Z112" s="1072"/>
      <c r="AA112" s="357"/>
      <c r="AB112" s="357"/>
      <c r="AC112" s="357"/>
      <c r="AD112" s="357"/>
      <c r="AE112" s="357"/>
    </row>
    <row r="113" spans="1:52" s="546" customFormat="1" ht="15.75" customHeight="1">
      <c r="A113" s="862" t="s">
        <v>807</v>
      </c>
      <c r="B113" s="862"/>
      <c r="C113" s="1062">
        <v>0.61</v>
      </c>
      <c r="D113" s="1061">
        <v>0.33</v>
      </c>
      <c r="E113" s="210">
        <v>25</v>
      </c>
      <c r="F113" s="1072"/>
      <c r="G113" s="357"/>
      <c r="H113" s="357"/>
      <c r="I113" s="357"/>
      <c r="J113" s="357"/>
      <c r="K113" s="357"/>
      <c r="L113" s="357"/>
      <c r="M113" s="357"/>
      <c r="N113" s="357"/>
      <c r="O113" s="357"/>
      <c r="P113" s="357"/>
      <c r="Q113" s="357"/>
      <c r="R113" s="357"/>
      <c r="S113" s="357"/>
      <c r="T113" s="357"/>
      <c r="U113" s="201"/>
      <c r="V113" s="201"/>
      <c r="W113" s="1064"/>
      <c r="X113" s="1064"/>
      <c r="Y113" s="1064"/>
      <c r="Z113" s="1072"/>
      <c r="AA113" s="357"/>
      <c r="AB113" s="357"/>
      <c r="AC113" s="357"/>
      <c r="AD113" s="357"/>
      <c r="AE113" s="357"/>
    </row>
    <row r="114" spans="1:52" s="546" customFormat="1" ht="15.75" customHeight="1">
      <c r="A114" s="862" t="s">
        <v>828</v>
      </c>
      <c r="B114" s="862"/>
      <c r="C114" s="1062">
        <v>0.26</v>
      </c>
      <c r="D114" s="1061">
        <v>0.02</v>
      </c>
      <c r="E114" s="210">
        <v>90</v>
      </c>
      <c r="F114" s="1072"/>
      <c r="G114" s="357"/>
      <c r="H114" s="357"/>
      <c r="I114" s="357"/>
      <c r="J114" s="357"/>
      <c r="K114" s="357"/>
      <c r="L114" s="357"/>
      <c r="M114" s="357"/>
      <c r="N114" s="357"/>
      <c r="O114" s="357"/>
      <c r="P114" s="357"/>
      <c r="Q114" s="357"/>
      <c r="R114" s="357"/>
      <c r="S114" s="357"/>
      <c r="T114" s="357"/>
      <c r="U114" s="201"/>
      <c r="V114" s="201"/>
      <c r="W114" s="1064"/>
      <c r="X114" s="1064"/>
      <c r="Y114" s="1064"/>
      <c r="Z114" s="1072"/>
      <c r="AA114" s="357"/>
      <c r="AB114" s="357"/>
      <c r="AC114" s="357"/>
      <c r="AD114" s="357"/>
      <c r="AE114" s="357"/>
    </row>
    <row r="115" spans="1:52" s="546" customFormat="1" ht="15.75" customHeight="1">
      <c r="A115" s="862" t="s">
        <v>823</v>
      </c>
      <c r="B115" s="862"/>
      <c r="C115" s="1062">
        <v>0.76</v>
      </c>
      <c r="D115" s="1061">
        <v>0.66</v>
      </c>
      <c r="E115" s="210">
        <v>30</v>
      </c>
      <c r="F115" s="1072"/>
      <c r="G115" s="357"/>
      <c r="H115" s="357"/>
      <c r="I115" s="357"/>
      <c r="J115" s="357"/>
      <c r="K115" s="357"/>
      <c r="L115" s="357"/>
      <c r="M115" s="357"/>
      <c r="N115" s="357"/>
      <c r="O115" s="357"/>
      <c r="P115" s="357"/>
      <c r="Q115" s="357"/>
      <c r="R115" s="357"/>
      <c r="S115" s="357"/>
      <c r="T115" s="357"/>
      <c r="U115" s="201"/>
      <c r="V115" s="201"/>
      <c r="W115" s="1064"/>
      <c r="X115" s="1064"/>
      <c r="Y115" s="1064"/>
      <c r="Z115" s="1072"/>
      <c r="AA115" s="357"/>
      <c r="AB115" s="357"/>
      <c r="AC115" s="357"/>
      <c r="AD115" s="357"/>
      <c r="AE115" s="357"/>
    </row>
    <row r="116" spans="1:52" s="546" customFormat="1" ht="15.75" customHeight="1">
      <c r="A116" s="1057" t="s">
        <v>824</v>
      </c>
      <c r="B116" s="1057"/>
      <c r="C116" s="1062">
        <v>0.45</v>
      </c>
      <c r="D116" s="1061">
        <v>0.3</v>
      </c>
      <c r="E116" s="210">
        <v>25</v>
      </c>
      <c r="F116" s="1072"/>
      <c r="G116" s="357"/>
      <c r="H116" s="357"/>
      <c r="I116" s="357"/>
      <c r="J116" s="357"/>
      <c r="K116" s="357"/>
      <c r="L116" s="357"/>
      <c r="M116" s="357"/>
      <c r="N116" s="357"/>
      <c r="O116" s="357"/>
      <c r="P116" s="357"/>
      <c r="Q116" s="357"/>
      <c r="R116" s="357"/>
      <c r="S116" s="357"/>
      <c r="T116" s="357"/>
      <c r="U116" s="862"/>
      <c r="V116" s="862"/>
      <c r="W116" s="1064"/>
      <c r="X116" s="1064"/>
      <c r="Y116" s="1064"/>
      <c r="Z116" s="1072"/>
      <c r="AA116" s="357"/>
      <c r="AB116" s="357"/>
      <c r="AC116" s="357"/>
      <c r="AD116" s="357"/>
      <c r="AE116" s="357"/>
    </row>
    <row r="117" spans="1:52" s="546" customFormat="1" ht="15.75" customHeight="1">
      <c r="A117" s="1056" t="s">
        <v>825</v>
      </c>
      <c r="B117" s="1056"/>
      <c r="C117" s="1062">
        <v>0</v>
      </c>
      <c r="D117" s="1061">
        <v>0</v>
      </c>
      <c r="E117" s="210" t="s">
        <v>1111</v>
      </c>
      <c r="F117" s="1072"/>
      <c r="G117" s="357"/>
      <c r="H117" s="357"/>
      <c r="I117" s="357"/>
      <c r="J117" s="357"/>
      <c r="K117" s="357"/>
      <c r="L117" s="357"/>
      <c r="M117" s="357"/>
      <c r="N117" s="357"/>
      <c r="O117" s="357"/>
      <c r="P117" s="357"/>
      <c r="Q117" s="357"/>
      <c r="R117" s="357"/>
      <c r="S117" s="357"/>
      <c r="T117" s="357"/>
      <c r="U117" s="862"/>
      <c r="V117" s="862"/>
      <c r="W117" s="1064"/>
      <c r="X117" s="1064"/>
      <c r="Y117" s="1064"/>
      <c r="Z117" s="1072"/>
      <c r="AA117" s="357"/>
      <c r="AB117" s="357"/>
      <c r="AC117" s="357"/>
      <c r="AD117" s="357"/>
      <c r="AE117" s="357"/>
    </row>
    <row r="118" spans="1:52" s="546" customFormat="1" ht="15.75" customHeight="1">
      <c r="A118" s="1056" t="s">
        <v>826</v>
      </c>
      <c r="B118" s="1056"/>
      <c r="C118" s="1062">
        <v>0</v>
      </c>
      <c r="D118" s="1062">
        <v>0</v>
      </c>
      <c r="E118" s="196" t="s">
        <v>1111</v>
      </c>
      <c r="F118" s="908"/>
      <c r="G118" s="357"/>
      <c r="H118" s="357"/>
      <c r="I118" s="357"/>
      <c r="J118" s="357"/>
      <c r="K118" s="357"/>
      <c r="L118" s="357"/>
      <c r="M118" s="357"/>
      <c r="N118" s="357"/>
      <c r="O118" s="357"/>
      <c r="P118" s="357"/>
      <c r="Q118" s="357"/>
      <c r="R118" s="357"/>
      <c r="S118" s="357"/>
      <c r="T118" s="357"/>
      <c r="U118" s="862"/>
      <c r="V118" s="862"/>
      <c r="W118" s="1064"/>
      <c r="X118" s="1064"/>
      <c r="Y118" s="1059"/>
      <c r="Z118" s="1072"/>
      <c r="AA118" s="357"/>
      <c r="AB118" s="357"/>
      <c r="AC118" s="357"/>
      <c r="AD118" s="357"/>
      <c r="AE118" s="357"/>
    </row>
    <row r="119" spans="1:52" s="546" customFormat="1" ht="15.75" customHeight="1">
      <c r="A119" s="1056" t="s">
        <v>827</v>
      </c>
      <c r="B119" s="1056"/>
      <c r="C119" s="1062">
        <v>0</v>
      </c>
      <c r="D119" s="1061">
        <v>0</v>
      </c>
      <c r="E119" s="210" t="s">
        <v>1111</v>
      </c>
      <c r="F119" s="1072"/>
      <c r="G119" s="357"/>
      <c r="H119" s="357"/>
      <c r="I119" s="357"/>
      <c r="J119" s="357"/>
      <c r="K119" s="357"/>
      <c r="L119" s="357"/>
      <c r="M119" s="357"/>
      <c r="N119" s="357"/>
      <c r="O119" s="357"/>
      <c r="P119" s="357"/>
      <c r="Q119" s="357"/>
      <c r="R119" s="357"/>
      <c r="S119" s="357"/>
      <c r="T119" s="357"/>
      <c r="U119" s="862"/>
      <c r="V119" s="862"/>
      <c r="W119" s="1064"/>
      <c r="X119" s="1064"/>
      <c r="Y119" s="1059"/>
      <c r="Z119" s="1072"/>
      <c r="AA119" s="357"/>
      <c r="AB119" s="357"/>
      <c r="AC119" s="357"/>
      <c r="AD119" s="357"/>
      <c r="AE119" s="357"/>
    </row>
    <row r="120" spans="1:52" s="546" customFormat="1" ht="15.75" customHeight="1">
      <c r="B120" s="357"/>
      <c r="C120" s="357"/>
      <c r="E120" s="357"/>
      <c r="F120" s="357"/>
      <c r="G120" s="357"/>
      <c r="H120" s="357"/>
      <c r="I120" s="357"/>
      <c r="J120" s="357"/>
      <c r="K120" s="357"/>
      <c r="L120" s="357"/>
      <c r="M120" s="357"/>
      <c r="N120" s="357"/>
      <c r="O120" s="357"/>
      <c r="P120" s="357"/>
      <c r="Q120" s="357"/>
      <c r="R120" s="357"/>
      <c r="S120" s="357"/>
      <c r="T120" s="357"/>
      <c r="U120" s="862"/>
      <c r="V120" s="862"/>
      <c r="W120" s="1064"/>
      <c r="X120" s="1064"/>
      <c r="Y120" s="1059"/>
      <c r="Z120" s="1072"/>
      <c r="AA120" s="357"/>
      <c r="AB120" s="357"/>
      <c r="AC120" s="357"/>
      <c r="AD120" s="357"/>
      <c r="AE120" s="357"/>
    </row>
    <row r="121" spans="1:52" s="546" customFormat="1" ht="15.75" customHeight="1">
      <c r="B121" s="357"/>
      <c r="C121" s="357"/>
      <c r="E121" s="357"/>
      <c r="F121" s="357"/>
      <c r="G121" s="357"/>
      <c r="H121" s="357"/>
      <c r="I121" s="357"/>
      <c r="J121" s="357"/>
      <c r="K121" s="357"/>
      <c r="L121" s="357"/>
      <c r="M121" s="357"/>
      <c r="N121" s="357"/>
      <c r="O121" s="357"/>
      <c r="P121" s="357"/>
      <c r="Q121" s="357"/>
      <c r="R121" s="357"/>
      <c r="S121" s="357"/>
      <c r="T121" s="357"/>
      <c r="U121" s="201"/>
      <c r="V121" s="201"/>
      <c r="W121" s="1064"/>
      <c r="X121" s="1064"/>
      <c r="Y121" s="1059"/>
      <c r="Z121" s="1072"/>
      <c r="AA121" s="357"/>
      <c r="AB121" s="357"/>
      <c r="AC121" s="357"/>
      <c r="AD121" s="357"/>
      <c r="AE121" s="357"/>
    </row>
    <row r="122" spans="1:52" s="546" customFormat="1" ht="15.75" customHeight="1">
      <c r="B122" s="357"/>
      <c r="C122" s="357"/>
      <c r="E122" s="357"/>
      <c r="F122" s="357"/>
      <c r="G122" s="357"/>
      <c r="H122" s="357"/>
      <c r="I122" s="357"/>
      <c r="J122" s="357"/>
      <c r="K122" s="357"/>
      <c r="L122" s="357"/>
      <c r="M122" s="357"/>
      <c r="N122" s="357"/>
      <c r="O122" s="357"/>
      <c r="P122" s="357"/>
      <c r="Q122" s="357"/>
      <c r="R122" s="357"/>
      <c r="S122" s="357"/>
      <c r="T122" s="357"/>
      <c r="U122" s="114"/>
      <c r="V122" s="114"/>
      <c r="W122" s="1064"/>
      <c r="X122" s="1064"/>
      <c r="Y122" s="1059"/>
      <c r="Z122" s="1072"/>
      <c r="AA122" s="357"/>
      <c r="AB122" s="357"/>
      <c r="AC122" s="357"/>
      <c r="AD122" s="357"/>
      <c r="AE122" s="357"/>
    </row>
    <row r="123" spans="1:52" ht="15.75">
      <c r="C123" s="140" t="s">
        <v>183</v>
      </c>
      <c r="D123" s="141" t="s">
        <v>803</v>
      </c>
      <c r="U123" s="114"/>
      <c r="V123" s="114"/>
      <c r="W123" s="1064"/>
      <c r="X123" s="1064"/>
      <c r="Y123" s="1064"/>
      <c r="Z123" s="908"/>
    </row>
    <row r="124" spans="1:52" ht="15.75">
      <c r="C124" s="140" t="s">
        <v>179</v>
      </c>
      <c r="D124" s="1069">
        <v>90</v>
      </c>
      <c r="U124" s="114"/>
      <c r="V124" s="114"/>
      <c r="W124" s="1064"/>
      <c r="X124" s="1064"/>
      <c r="Y124" s="1059"/>
      <c r="Z124" s="1072"/>
    </row>
    <row r="125" spans="1:52" ht="15.75">
      <c r="C125" s="140" t="s">
        <v>804</v>
      </c>
      <c r="D125" s="1069">
        <v>70</v>
      </c>
      <c r="V125" s="201"/>
      <c r="W125" s="201"/>
      <c r="X125" s="1058"/>
      <c r="Y125" s="1058"/>
      <c r="Z125" s="1058"/>
      <c r="AA125" s="1058"/>
      <c r="AB125" s="1058"/>
      <c r="AC125" s="1058"/>
      <c r="AD125" s="1058"/>
      <c r="AE125" s="1058"/>
      <c r="AF125" s="1058"/>
      <c r="AG125" s="1058"/>
      <c r="AH125" s="1089"/>
      <c r="AI125" s="1089"/>
      <c r="AJ125" s="1089"/>
      <c r="AK125" s="1089"/>
      <c r="AL125" s="1089"/>
      <c r="AM125" s="1089"/>
      <c r="AN125" s="1089"/>
      <c r="AO125" s="1058"/>
      <c r="AP125" s="1089"/>
      <c r="AQ125" s="1058"/>
      <c r="AR125" s="1058"/>
      <c r="AS125" s="1074"/>
      <c r="AT125" s="1058"/>
      <c r="AU125" s="1058"/>
      <c r="AV125" s="1089"/>
      <c r="AW125" s="1058"/>
      <c r="AX125" s="1058"/>
      <c r="AY125" s="1074"/>
      <c r="AZ125" s="682"/>
    </row>
    <row r="126" spans="1:52" ht="15.75">
      <c r="C126" s="140" t="s">
        <v>805</v>
      </c>
      <c r="D126" s="1069">
        <v>70</v>
      </c>
      <c r="V126" s="201"/>
      <c r="W126" s="201"/>
      <c r="X126" s="1058"/>
      <c r="Y126" s="1058"/>
      <c r="Z126" s="1058"/>
      <c r="AA126" s="1058"/>
      <c r="AB126" s="1058"/>
      <c r="AC126" s="1058"/>
      <c r="AD126" s="1058"/>
      <c r="AE126" s="1058"/>
      <c r="AF126" s="1058"/>
      <c r="AG126" s="1058"/>
      <c r="AH126" s="1089"/>
      <c r="AI126" s="1089"/>
      <c r="AJ126" s="1089"/>
      <c r="AK126" s="1089"/>
      <c r="AL126" s="1089"/>
      <c r="AM126" s="1089"/>
      <c r="AN126" s="1089"/>
      <c r="AO126" s="1058"/>
      <c r="AP126" s="1089"/>
      <c r="AQ126" s="1058"/>
      <c r="AR126" s="1058"/>
      <c r="AS126" s="1074"/>
      <c r="AT126" s="1058"/>
      <c r="AU126" s="1058"/>
      <c r="AV126" s="1089"/>
      <c r="AW126" s="1058"/>
      <c r="AX126" s="1058"/>
      <c r="AY126" s="1074"/>
      <c r="AZ126" s="682"/>
    </row>
    <row r="127" spans="1:52" ht="15.75">
      <c r="C127" s="140" t="s">
        <v>809</v>
      </c>
      <c r="D127" s="1067">
        <v>70</v>
      </c>
      <c r="V127" s="1058"/>
      <c r="W127" s="1058"/>
      <c r="X127" s="1058"/>
      <c r="Y127" s="1058"/>
      <c r="Z127" s="1058"/>
      <c r="AA127" s="1058"/>
      <c r="AB127" s="1058"/>
      <c r="AC127" s="1058"/>
      <c r="AD127" s="1058"/>
      <c r="AE127" s="1058"/>
      <c r="AF127" s="1058"/>
      <c r="AG127" s="1058"/>
      <c r="AH127" s="1089"/>
      <c r="AI127" s="1089"/>
      <c r="AJ127" s="1089"/>
      <c r="AK127" s="1089"/>
      <c r="AL127" s="1089"/>
      <c r="AM127" s="1089"/>
      <c r="AN127" s="1089"/>
      <c r="AO127" s="1058"/>
      <c r="AP127" s="1089"/>
      <c r="AQ127" s="1058"/>
      <c r="AR127" s="1058"/>
      <c r="AS127" s="1074"/>
      <c r="AT127" s="1058"/>
      <c r="AU127" s="1058"/>
      <c r="AV127" s="1089"/>
      <c r="AW127" s="1058"/>
      <c r="AX127" s="1058"/>
      <c r="AY127" s="1074"/>
      <c r="AZ127" s="1058"/>
    </row>
    <row r="128" spans="1:52" ht="15.75">
      <c r="C128" s="168" t="s">
        <v>810</v>
      </c>
      <c r="D128" s="1067">
        <v>60</v>
      </c>
      <c r="V128" s="1058"/>
      <c r="W128" s="1058"/>
      <c r="X128" s="1058"/>
      <c r="Y128" s="1058"/>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1"/>
    </row>
    <row r="129" spans="3:52" ht="15.75">
      <c r="C129" s="140" t="s">
        <v>48</v>
      </c>
      <c r="D129" s="1067">
        <v>60</v>
      </c>
      <c r="V129" s="1058"/>
      <c r="W129" s="1058"/>
      <c r="X129" s="1058"/>
      <c r="Y129" s="1058"/>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069"/>
    </row>
    <row r="130" spans="3:52" ht="15.75">
      <c r="C130" s="140" t="s">
        <v>811</v>
      </c>
      <c r="D130" s="1069">
        <v>45</v>
      </c>
      <c r="V130" s="1058"/>
      <c r="W130" s="1058"/>
      <c r="X130" s="1058"/>
      <c r="Y130" s="1058"/>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069"/>
    </row>
    <row r="131" spans="3:52" ht="15.75">
      <c r="C131" s="168" t="s">
        <v>806</v>
      </c>
      <c r="D131" s="1067">
        <v>30</v>
      </c>
      <c r="V131" s="1058"/>
      <c r="W131" s="1058"/>
      <c r="X131" s="1058"/>
      <c r="Y131" s="1058"/>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069"/>
    </row>
    <row r="132" spans="3:52" ht="15.75">
      <c r="C132" s="140" t="s">
        <v>812</v>
      </c>
      <c r="D132" s="1067">
        <v>30</v>
      </c>
      <c r="V132" s="1060"/>
      <c r="W132" s="1060"/>
      <c r="X132" s="1060"/>
      <c r="Y132" s="1060"/>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067"/>
    </row>
    <row r="133" spans="3:52" ht="15.75">
      <c r="C133" s="140" t="s">
        <v>187</v>
      </c>
      <c r="D133" s="1067">
        <v>30</v>
      </c>
      <c r="V133" s="201"/>
      <c r="W133" s="201"/>
      <c r="X133" s="1060"/>
      <c r="Y133" s="1064"/>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067"/>
    </row>
    <row r="134" spans="3:52" ht="15.75">
      <c r="C134" s="140" t="s">
        <v>813</v>
      </c>
      <c r="D134" s="1067">
        <v>30</v>
      </c>
      <c r="V134" s="201"/>
      <c r="W134" s="201"/>
      <c r="X134" s="1060"/>
      <c r="Y134" s="1064"/>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067"/>
    </row>
    <row r="135" spans="3:52" ht="15.75">
      <c r="C135" s="140" t="s">
        <v>814</v>
      </c>
      <c r="D135" s="1067">
        <v>30</v>
      </c>
      <c r="V135" s="1060"/>
      <c r="W135" s="1060"/>
      <c r="X135" s="1060"/>
      <c r="Y135" s="1060"/>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069"/>
    </row>
    <row r="136" spans="3:52" ht="15.75">
      <c r="C136" s="140" t="s">
        <v>815</v>
      </c>
      <c r="D136" s="1067">
        <v>30</v>
      </c>
      <c r="V136" s="1060"/>
      <c r="W136" s="1060"/>
      <c r="X136" s="1060"/>
      <c r="Y136" s="1060"/>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067"/>
    </row>
    <row r="137" spans="3:52" ht="15.75">
      <c r="C137" s="140" t="s">
        <v>180</v>
      </c>
      <c r="D137" s="1067">
        <v>25</v>
      </c>
      <c r="V137" s="1058"/>
      <c r="W137" s="1058"/>
      <c r="X137" s="1058"/>
      <c r="Y137" s="1058"/>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067"/>
    </row>
    <row r="138" spans="3:52" ht="15.75">
      <c r="C138" s="140" t="s">
        <v>807</v>
      </c>
      <c r="D138" s="1067">
        <v>25</v>
      </c>
      <c r="V138" s="1058"/>
      <c r="W138" s="1058"/>
      <c r="X138" s="1058"/>
      <c r="Y138" s="1058"/>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067"/>
    </row>
    <row r="139" spans="3:52" ht="15.75">
      <c r="C139" s="168" t="s">
        <v>808</v>
      </c>
      <c r="D139" s="1067">
        <v>25</v>
      </c>
      <c r="V139" s="1058"/>
      <c r="W139" s="1058"/>
      <c r="X139" s="1058"/>
      <c r="Y139" s="1058"/>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067"/>
    </row>
    <row r="140" spans="3:52" ht="15.75">
      <c r="C140" s="168" t="s">
        <v>816</v>
      </c>
      <c r="D140" s="1067">
        <v>10</v>
      </c>
      <c r="V140" s="1058"/>
      <c r="W140" s="1058"/>
      <c r="X140" s="1058"/>
      <c r="Y140" s="1058"/>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067"/>
    </row>
    <row r="141" spans="3:52" ht="15.75">
      <c r="C141" s="168" t="s">
        <v>181</v>
      </c>
      <c r="D141" s="1067">
        <v>10</v>
      </c>
      <c r="V141" s="1058"/>
      <c r="W141" s="1058"/>
      <c r="X141" s="1058"/>
      <c r="Y141" s="1058"/>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067"/>
    </row>
    <row r="142" spans="3:52" ht="15.75">
      <c r="C142" s="168" t="s">
        <v>188</v>
      </c>
      <c r="D142" s="1067">
        <v>5</v>
      </c>
      <c r="V142" s="1058"/>
      <c r="W142" s="1058"/>
      <c r="X142" s="1058"/>
      <c r="Y142" s="1058"/>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067"/>
    </row>
    <row r="143" spans="3:52" ht="15.75">
      <c r="C143" s="168" t="s">
        <v>182</v>
      </c>
      <c r="D143" s="1067">
        <v>3</v>
      </c>
      <c r="V143" s="1058"/>
      <c r="W143" s="1058"/>
      <c r="X143" s="1058"/>
      <c r="Y143" s="1058"/>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067"/>
    </row>
    <row r="144" spans="3:52" ht="15.75">
      <c r="V144" s="1058"/>
      <c r="W144" s="1058"/>
      <c r="X144" s="1058"/>
      <c r="Y144" s="105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067"/>
    </row>
    <row r="145" spans="22:52" ht="15.75">
      <c r="V145" s="1058"/>
      <c r="W145" s="1058"/>
      <c r="X145" s="1058"/>
      <c r="Y145" s="105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067"/>
    </row>
    <row r="146" spans="22:52" ht="15.75">
      <c r="V146" s="1058"/>
      <c r="W146" s="1058"/>
      <c r="X146" s="1058"/>
      <c r="Y146" s="105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067"/>
    </row>
    <row r="147" spans="22:52" ht="15.75">
      <c r="V147" s="1058"/>
      <c r="W147" s="1058"/>
      <c r="X147" s="1058"/>
      <c r="Y147" s="105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067"/>
    </row>
    <row r="148" spans="22:52" ht="15.75">
      <c r="V148" s="1058"/>
      <c r="W148" s="1058"/>
      <c r="X148" s="1058"/>
      <c r="Y148" s="105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067"/>
    </row>
  </sheetData>
  <sheetProtection sheet="1" formatCells="0" formatColumns="0" formatRows="0" selectLockedCells="1"/>
  <mergeCells count="39">
    <mergeCell ref="S5:AN6"/>
    <mergeCell ref="AP7:AT8"/>
    <mergeCell ref="AV7:AZ8"/>
    <mergeCell ref="AI8:AN8"/>
    <mergeCell ref="S8:S9"/>
    <mergeCell ref="U8:Z8"/>
    <mergeCell ref="AB8:AG8"/>
    <mergeCell ref="AP2:AZ6"/>
    <mergeCell ref="O56:O57"/>
    <mergeCell ref="Q56:Q57"/>
    <mergeCell ref="A4:Q4"/>
    <mergeCell ref="A5:Q5"/>
    <mergeCell ref="A6:Q6"/>
    <mergeCell ref="A7:Q7"/>
    <mergeCell ref="H8:H9"/>
    <mergeCell ref="I8:I9"/>
    <mergeCell ref="J8:J9"/>
    <mergeCell ref="P8:Q8"/>
    <mergeCell ref="N8:O8"/>
    <mergeCell ref="M8:M9"/>
    <mergeCell ref="A8:A9"/>
    <mergeCell ref="B8:B9"/>
    <mergeCell ref="F8:F9"/>
    <mergeCell ref="K8:K9"/>
    <mergeCell ref="A59:D59"/>
    <mergeCell ref="D82:E82"/>
    <mergeCell ref="E83:F83"/>
    <mergeCell ref="C69:J69"/>
    <mergeCell ref="A71:B71"/>
    <mergeCell ref="C71:J71"/>
    <mergeCell ref="C72:J72"/>
    <mergeCell ref="A69:B69"/>
    <mergeCell ref="L8:L9"/>
    <mergeCell ref="C8:C9"/>
    <mergeCell ref="G8:G9"/>
    <mergeCell ref="A58:D58"/>
    <mergeCell ref="C10:C54"/>
    <mergeCell ref="D8:D9"/>
    <mergeCell ref="E8:E9"/>
  </mergeCells>
  <phoneticPr fontId="92" type="noConversion"/>
  <dataValidations count="5">
    <dataValidation type="list" allowBlank="1" showInputMessage="1" showErrorMessage="1" sqref="H10:H54">
      <formula1>BG$11:BG$13</formula1>
    </dataValidation>
    <dataValidation type="list" allowBlank="1" sqref="K10:K54">
      <formula1>"jede,jede zweite"</formula1>
    </dataValidation>
    <dataValidation type="list" allowBlank="1" sqref="D10:D54">
      <formula1>"bis 14 t/ha,über 14 t/ha"</formula1>
    </dataValidation>
    <dataValidation type="list" allowBlank="1" sqref="J10:J54">
      <formula1>BJ$11:BJ$22</formula1>
    </dataValidation>
    <dataValidation type="list" allowBlank="1" sqref="F10:F54">
      <formula1>(BD$11:BD$20)</formula1>
    </dataValidation>
  </dataValidations>
  <pageMargins left="0.78740157480314965" right="0.23622047244094491" top="0.74803149606299213" bottom="0.74803149606299213" header="0.31496062992125984" footer="0.31496062992125984"/>
  <pageSetup paperSize="9" scale="49" fitToHeight="0" orientation="landscape" horizontalDpi="4294967293" verticalDpi="4294967293" r:id="rId1"/>
  <colBreaks count="1" manualBreakCount="1">
    <brk id="17" max="3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V10:V56 AC10:AC56 AJ10:AJ56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148"/>
  <sheetViews>
    <sheetView topLeftCell="A4" zoomScale="80" zoomScaleNormal="80" zoomScaleSheetLayoutView="55" workbookViewId="0">
      <selection activeCell="A10" sqref="A10"/>
    </sheetView>
  </sheetViews>
  <sheetFormatPr baseColWidth="10" defaultRowHeight="15"/>
  <cols>
    <col min="1" max="1" width="20.85546875" style="546" customWidth="1"/>
    <col min="2" max="2" width="7.85546875" style="357" customWidth="1"/>
    <col min="3" max="3" width="12" style="357" customWidth="1"/>
    <col min="4" max="4" width="13.5703125" style="546" customWidth="1"/>
    <col min="5" max="5" width="5.7109375" style="357" customWidth="1"/>
    <col min="6" max="6" width="32.7109375" style="357" customWidth="1"/>
    <col min="7" max="7" width="6" style="357" customWidth="1"/>
    <col min="8" max="8" width="17.140625" style="357" customWidth="1"/>
    <col min="9" max="9" width="5.140625" style="357" customWidth="1"/>
    <col min="10" max="10" width="58" style="357" customWidth="1"/>
    <col min="11" max="11" width="12" style="357" customWidth="1"/>
    <col min="12" max="12" width="5.85546875" style="357" customWidth="1"/>
    <col min="13" max="13" width="13.7109375" style="357" customWidth="1"/>
    <col min="14" max="14" width="8.42578125" style="357" customWidth="1"/>
    <col min="15" max="15" width="9.5703125" style="357" customWidth="1"/>
    <col min="16" max="16" width="8.42578125" style="357" customWidth="1"/>
    <col min="17" max="17" width="9.5703125" style="357" customWidth="1"/>
    <col min="18" max="18" width="4.140625" style="357" customWidth="1"/>
    <col min="19" max="19" width="19.7109375" style="357" customWidth="1"/>
    <col min="20" max="20" width="1.140625" style="357" customWidth="1"/>
    <col min="21" max="21" width="9.85546875" style="357" customWidth="1"/>
    <col min="22" max="22" width="13.140625" style="357" customWidth="1"/>
    <col min="23" max="23" width="6.28515625" style="357" customWidth="1"/>
    <col min="24" max="26" width="6.7109375" style="357" customWidth="1"/>
    <col min="27" max="27" width="1.140625" style="357" customWidth="1"/>
    <col min="28" max="28" width="9.42578125" style="357" customWidth="1"/>
    <col min="29" max="29" width="13.140625" style="357" customWidth="1"/>
    <col min="30" max="30" width="6.28515625" style="357" customWidth="1"/>
    <col min="31" max="33" width="6.5703125" style="357" customWidth="1"/>
    <col min="34" max="34" width="1.140625" style="357" customWidth="1"/>
    <col min="35" max="35" width="9.42578125" style="357" customWidth="1"/>
    <col min="36" max="36" width="13.28515625" style="357" customWidth="1"/>
    <col min="37" max="40" width="6.5703125" style="357" customWidth="1"/>
    <col min="41" max="41" width="1.5703125" style="357" customWidth="1"/>
    <col min="42" max="42" width="7" style="357" customWidth="1"/>
    <col min="43" max="44" width="5" style="357" customWidth="1"/>
    <col min="45" max="45" width="7.42578125" style="357" customWidth="1"/>
    <col min="46" max="46" width="5.7109375" style="357" customWidth="1"/>
    <col min="47" max="47" width="1.140625" style="357" customWidth="1"/>
    <col min="48" max="48" width="7" style="357" customWidth="1"/>
    <col min="49" max="49" width="6.140625" style="357" customWidth="1"/>
    <col min="50" max="50" width="6" style="357" customWidth="1"/>
    <col min="51" max="51" width="8" style="357" customWidth="1"/>
    <col min="52" max="52" width="6.85546875" style="357" customWidth="1"/>
    <col min="53" max="53" width="12.28515625" style="357" customWidth="1"/>
    <col min="54" max="54" width="11.42578125" style="357" customWidth="1"/>
    <col min="55" max="55" width="9.7109375" style="357" customWidth="1"/>
    <col min="56" max="56" width="32.28515625" style="357" customWidth="1"/>
    <col min="57" max="57" width="8" style="357" customWidth="1"/>
    <col min="58" max="58" width="4.7109375" style="357" customWidth="1"/>
    <col min="59" max="59" width="11.42578125" style="357"/>
    <col min="60" max="60" width="8.140625" style="357" customWidth="1"/>
    <col min="61" max="61" width="3.28515625" style="357" customWidth="1"/>
    <col min="62" max="62" width="73.42578125" style="357" customWidth="1"/>
    <col min="63" max="16384" width="11.42578125" style="357"/>
  </cols>
  <sheetData>
    <row r="1" spans="1:63" ht="15.75" customHeight="1">
      <c r="A1" s="2559" t="s">
        <v>1142</v>
      </c>
      <c r="B1" s="2560"/>
      <c r="D1" s="412" t="str">
        <f>'DüV-N-Ackerbau'!C1</f>
        <v>Karl vom Land</v>
      </c>
      <c r="E1" s="607"/>
      <c r="F1" s="412" t="str">
        <f>'DüV-N-Ackerbau'!F1</f>
        <v>Erntejahr</v>
      </c>
      <c r="G1" s="607"/>
      <c r="H1" s="607"/>
      <c r="I1" s="607"/>
      <c r="J1" s="607"/>
      <c r="K1" s="607"/>
      <c r="L1" s="607"/>
      <c r="M1" s="607"/>
      <c r="N1" s="2568" t="s">
        <v>1143</v>
      </c>
      <c r="O1" s="2568"/>
      <c r="P1" s="607"/>
      <c r="Q1" s="608"/>
      <c r="R1" s="1263"/>
      <c r="S1" s="2559" t="s">
        <v>1142</v>
      </c>
      <c r="T1" s="2731"/>
      <c r="U1" s="2778" t="s">
        <v>1153</v>
      </c>
      <c r="V1" s="2778"/>
      <c r="W1" s="2778"/>
      <c r="X1" s="2778"/>
      <c r="Y1" s="2778"/>
      <c r="Z1" s="2778"/>
      <c r="AA1" s="2778"/>
      <c r="AB1" s="2778"/>
      <c r="AC1" s="2778"/>
      <c r="AD1" s="2778"/>
      <c r="AE1" s="2778"/>
      <c r="AF1" s="2778"/>
      <c r="AG1" s="2778"/>
      <c r="AH1" s="2490"/>
      <c r="AI1" s="2490"/>
      <c r="AJ1" s="2490"/>
      <c r="AK1" s="2490"/>
      <c r="AL1" s="2490"/>
      <c r="AM1" s="2490"/>
      <c r="AN1" s="2490"/>
      <c r="AO1" s="1263"/>
      <c r="AP1" s="1263"/>
      <c r="AQ1" s="1263"/>
      <c r="AR1" s="1263"/>
      <c r="AS1" s="1263"/>
      <c r="AT1" s="1263"/>
      <c r="AU1" s="1263"/>
      <c r="AV1" s="1263"/>
      <c r="AW1" s="1263"/>
      <c r="AX1" s="1263"/>
      <c r="AY1" s="1263"/>
      <c r="AZ1" s="1263"/>
      <c r="BA1" s="1263"/>
      <c r="BB1" s="1263"/>
    </row>
    <row r="2" spans="1:63" ht="22.5" customHeight="1">
      <c r="A2" s="2560"/>
      <c r="B2" s="2560"/>
      <c r="D2" s="412" t="str">
        <f>'DüV-N-Ackerbau'!C2</f>
        <v>Höfen 1</v>
      </c>
      <c r="E2" s="1263"/>
      <c r="F2" s="412">
        <f>'DüV-N-Ackerbau'!G1</f>
        <v>2022</v>
      </c>
      <c r="G2" s="1263"/>
      <c r="H2" s="1263"/>
      <c r="I2" s="1116"/>
      <c r="J2" s="1116"/>
      <c r="K2" s="1116"/>
      <c r="L2" s="1116"/>
      <c r="M2" s="1116"/>
      <c r="N2" s="2568"/>
      <c r="O2" s="2568"/>
      <c r="P2" s="1116"/>
      <c r="Q2" s="663"/>
      <c r="R2" s="1263"/>
      <c r="S2" s="2560"/>
      <c r="T2" s="2731"/>
      <c r="U2" s="2778"/>
      <c r="V2" s="2778"/>
      <c r="W2" s="2778"/>
      <c r="X2" s="2778"/>
      <c r="Y2" s="2778"/>
      <c r="Z2" s="2778"/>
      <c r="AA2" s="2778"/>
      <c r="AB2" s="2778"/>
      <c r="AC2" s="2778"/>
      <c r="AD2" s="2778"/>
      <c r="AE2" s="2778"/>
      <c r="AF2" s="2778"/>
      <c r="AG2" s="2778"/>
      <c r="AH2" s="2490"/>
      <c r="AI2" s="2490"/>
      <c r="AJ2" s="2490"/>
      <c r="AK2" s="2490"/>
      <c r="AL2" s="2490"/>
      <c r="AM2" s="2490"/>
      <c r="AN2" s="2490"/>
      <c r="AO2" s="1263"/>
      <c r="AP2" s="1251"/>
      <c r="AQ2" s="1251"/>
      <c r="AR2" s="1251"/>
      <c r="AS2" s="1251"/>
      <c r="AT2" s="1251"/>
      <c r="AU2" s="1251"/>
      <c r="AV2" s="1251"/>
      <c r="AW2" s="1251"/>
      <c r="AX2" s="1251"/>
      <c r="AY2" s="1251"/>
      <c r="AZ2" s="1251"/>
      <c r="BA2" s="1263"/>
      <c r="BB2" s="1263"/>
    </row>
    <row r="3" spans="1:63" ht="22.5" customHeight="1">
      <c r="A3" s="2560"/>
      <c r="B3" s="2560"/>
      <c r="D3" s="412" t="str">
        <f>'DüV-N-Ackerbau'!C3</f>
        <v>12345 Auf dem Feld</v>
      </c>
      <c r="E3" s="1263"/>
      <c r="F3" s="538"/>
      <c r="G3" s="1263"/>
      <c r="H3" s="1116"/>
      <c r="I3" s="1116"/>
      <c r="J3" s="1116"/>
      <c r="K3" s="1116"/>
      <c r="L3" s="1116"/>
      <c r="M3" s="1116"/>
      <c r="N3" s="2568"/>
      <c r="O3" s="2568"/>
      <c r="P3" s="1116"/>
      <c r="Q3" s="663"/>
      <c r="R3" s="1263"/>
      <c r="S3" s="2560"/>
      <c r="T3" s="2731"/>
      <c r="U3" s="2778"/>
      <c r="V3" s="2778"/>
      <c r="W3" s="2778"/>
      <c r="X3" s="2778"/>
      <c r="Y3" s="2778"/>
      <c r="Z3" s="2778"/>
      <c r="AA3" s="2778"/>
      <c r="AB3" s="2778"/>
      <c r="AC3" s="2778"/>
      <c r="AD3" s="2778"/>
      <c r="AE3" s="2778"/>
      <c r="AF3" s="2778"/>
      <c r="AG3" s="2778"/>
      <c r="AH3" s="2490"/>
      <c r="AI3" s="2490"/>
      <c r="AJ3" s="2490"/>
      <c r="AK3" s="2490"/>
      <c r="AL3" s="2490"/>
      <c r="AM3" s="2490"/>
      <c r="AN3" s="2490"/>
      <c r="AO3" s="1263"/>
      <c r="AP3" s="2541" t="s">
        <v>1155</v>
      </c>
      <c r="AQ3" s="2542"/>
      <c r="AR3" s="2542"/>
      <c r="AS3" s="2542"/>
      <c r="AT3" s="2542"/>
      <c r="AU3" s="2542"/>
      <c r="AV3" s="2542"/>
      <c r="AW3" s="2542"/>
      <c r="AX3" s="2542"/>
      <c r="AY3" s="2542"/>
      <c r="AZ3" s="2543"/>
      <c r="BA3" s="1263"/>
      <c r="BB3" s="1263"/>
    </row>
    <row r="4" spans="1:63" ht="22.5" customHeight="1">
      <c r="A4" s="2761" t="s">
        <v>608</v>
      </c>
      <c r="B4" s="2587"/>
      <c r="C4" s="2587"/>
      <c r="D4" s="2587"/>
      <c r="E4" s="2587"/>
      <c r="F4" s="2587"/>
      <c r="G4" s="2587"/>
      <c r="H4" s="2587"/>
      <c r="I4" s="2587"/>
      <c r="J4" s="2587"/>
      <c r="K4" s="2587"/>
      <c r="L4" s="2587"/>
      <c r="M4" s="2587"/>
      <c r="N4" s="2587"/>
      <c r="O4" s="2587"/>
      <c r="P4" s="2452"/>
      <c r="Q4" s="2752"/>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2485"/>
      <c r="AQ4" s="2526"/>
      <c r="AR4" s="2526"/>
      <c r="AS4" s="2526"/>
      <c r="AT4" s="2526"/>
      <c r="AU4" s="2526"/>
      <c r="AV4" s="2526"/>
      <c r="AW4" s="2526"/>
      <c r="AX4" s="2526"/>
      <c r="AY4" s="2526"/>
      <c r="AZ4" s="2486"/>
      <c r="BA4" s="1263"/>
      <c r="BB4" s="1263"/>
    </row>
    <row r="5" spans="1:63" ht="22.5" customHeight="1">
      <c r="A5" s="2761" t="s">
        <v>571</v>
      </c>
      <c r="B5" s="2587"/>
      <c r="C5" s="2587"/>
      <c r="D5" s="2587"/>
      <c r="E5" s="2587"/>
      <c r="F5" s="2587"/>
      <c r="G5" s="2587"/>
      <c r="H5" s="2587"/>
      <c r="I5" s="2587"/>
      <c r="J5" s="2587"/>
      <c r="K5" s="2587"/>
      <c r="L5" s="2587"/>
      <c r="M5" s="2587"/>
      <c r="N5" s="2587"/>
      <c r="O5" s="2587"/>
      <c r="P5" s="2452"/>
      <c r="Q5" s="2752"/>
      <c r="R5" s="1251"/>
      <c r="S5" s="2777" t="s">
        <v>1152</v>
      </c>
      <c r="T5" s="2777"/>
      <c r="U5" s="2777"/>
      <c r="V5" s="2777"/>
      <c r="W5" s="2777"/>
      <c r="X5" s="2777"/>
      <c r="Y5" s="2777"/>
      <c r="Z5" s="2777"/>
      <c r="AA5" s="2777"/>
      <c r="AB5" s="2777"/>
      <c r="AC5" s="2777"/>
      <c r="AD5" s="2777"/>
      <c r="AE5" s="2777"/>
      <c r="AF5" s="2777"/>
      <c r="AG5" s="2777"/>
      <c r="AH5" s="2777"/>
      <c r="AI5" s="2777"/>
      <c r="AJ5" s="2777"/>
      <c r="AK5" s="2777"/>
      <c r="AL5" s="2777"/>
      <c r="AM5" s="2777"/>
      <c r="AN5" s="2777"/>
      <c r="AO5" s="1251"/>
      <c r="AP5" s="2485"/>
      <c r="AQ5" s="2526"/>
      <c r="AR5" s="2526"/>
      <c r="AS5" s="2526"/>
      <c r="AT5" s="2526"/>
      <c r="AU5" s="2526"/>
      <c r="AV5" s="2526"/>
      <c r="AW5" s="2526"/>
      <c r="AX5" s="2526"/>
      <c r="AY5" s="2526"/>
      <c r="AZ5" s="2486"/>
      <c r="BA5" s="1263"/>
      <c r="BB5" s="1263"/>
    </row>
    <row r="6" spans="1:63" ht="22.5" customHeight="1">
      <c r="A6" s="2761" t="s">
        <v>570</v>
      </c>
      <c r="B6" s="2587"/>
      <c r="C6" s="2587"/>
      <c r="D6" s="2587"/>
      <c r="E6" s="2587"/>
      <c r="F6" s="2587"/>
      <c r="G6" s="2587"/>
      <c r="H6" s="2587"/>
      <c r="I6" s="2587"/>
      <c r="J6" s="2587"/>
      <c r="K6" s="2587"/>
      <c r="L6" s="2587"/>
      <c r="M6" s="2587"/>
      <c r="N6" s="2587"/>
      <c r="O6" s="2587"/>
      <c r="P6" s="2452"/>
      <c r="Q6" s="2752"/>
      <c r="R6" s="1251"/>
      <c r="S6" s="2777"/>
      <c r="T6" s="2777"/>
      <c r="U6" s="2777"/>
      <c r="V6" s="2777"/>
      <c r="W6" s="2777"/>
      <c r="X6" s="2777"/>
      <c r="Y6" s="2777"/>
      <c r="Z6" s="2777"/>
      <c r="AA6" s="2777"/>
      <c r="AB6" s="2777"/>
      <c r="AC6" s="2777"/>
      <c r="AD6" s="2777"/>
      <c r="AE6" s="2777"/>
      <c r="AF6" s="2777"/>
      <c r="AG6" s="2777"/>
      <c r="AH6" s="2777"/>
      <c r="AI6" s="2777"/>
      <c r="AJ6" s="2777"/>
      <c r="AK6" s="2777"/>
      <c r="AL6" s="2777"/>
      <c r="AM6" s="2777"/>
      <c r="AN6" s="2777"/>
      <c r="AO6" s="1251"/>
      <c r="AP6" s="2487"/>
      <c r="AQ6" s="2544"/>
      <c r="AR6" s="2544"/>
      <c r="AS6" s="2544"/>
      <c r="AT6" s="2544"/>
      <c r="AU6" s="2544"/>
      <c r="AV6" s="2544"/>
      <c r="AW6" s="2544"/>
      <c r="AX6" s="2544"/>
      <c r="AY6" s="2544"/>
      <c r="AZ6" s="2488"/>
      <c r="BA6" s="1263"/>
      <c r="BB6" s="1263"/>
    </row>
    <row r="7" spans="1:63" ht="35.25" customHeight="1" thickBot="1">
      <c r="A7" s="2761" t="s">
        <v>1085</v>
      </c>
      <c r="B7" s="2587"/>
      <c r="C7" s="2587"/>
      <c r="D7" s="2587"/>
      <c r="E7" s="2587"/>
      <c r="F7" s="2587"/>
      <c r="G7" s="2587"/>
      <c r="H7" s="2587"/>
      <c r="I7" s="2587"/>
      <c r="J7" s="2587"/>
      <c r="K7" s="2587"/>
      <c r="L7" s="2587"/>
      <c r="M7" s="2587"/>
      <c r="N7" s="2587"/>
      <c r="O7" s="2587"/>
      <c r="P7" s="2452"/>
      <c r="Q7" s="2752"/>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2546" t="s">
        <v>1065</v>
      </c>
      <c r="AQ7" s="2546"/>
      <c r="AR7" s="2546"/>
      <c r="AS7" s="2546"/>
      <c r="AT7" s="2546"/>
      <c r="AU7" s="1136"/>
      <c r="AV7" s="2548" t="s">
        <v>1076</v>
      </c>
      <c r="AW7" s="2549"/>
      <c r="AX7" s="2549"/>
      <c r="AY7" s="2549"/>
      <c r="AZ7" s="2549"/>
      <c r="BA7" s="1263"/>
      <c r="BB7" s="1263"/>
      <c r="BC7" s="539"/>
      <c r="BD7" s="540"/>
      <c r="BE7" s="540"/>
      <c r="BF7" s="540"/>
    </row>
    <row r="8" spans="1:63" ht="24.75" customHeight="1">
      <c r="A8" s="2433" t="s">
        <v>1075</v>
      </c>
      <c r="B8" s="2608" t="s">
        <v>562</v>
      </c>
      <c r="C8" s="2743" t="s">
        <v>566</v>
      </c>
      <c r="D8" s="2749" t="s">
        <v>767</v>
      </c>
      <c r="E8" s="2741" t="s">
        <v>303</v>
      </c>
      <c r="F8" s="2762" t="s">
        <v>770</v>
      </c>
      <c r="G8" s="2741" t="s">
        <v>303</v>
      </c>
      <c r="H8" s="2762" t="s">
        <v>546</v>
      </c>
      <c r="I8" s="2741" t="s">
        <v>303</v>
      </c>
      <c r="J8" s="2762" t="s">
        <v>549</v>
      </c>
      <c r="K8" s="2610" t="s">
        <v>552</v>
      </c>
      <c r="L8" s="2741" t="s">
        <v>303</v>
      </c>
      <c r="M8" s="2765" t="s">
        <v>786</v>
      </c>
      <c r="N8" s="2764" t="s">
        <v>1013</v>
      </c>
      <c r="O8" s="2693"/>
      <c r="P8" s="2497" t="s">
        <v>1132</v>
      </c>
      <c r="Q8" s="2498"/>
      <c r="R8" s="783"/>
      <c r="S8" s="2776" t="s">
        <v>818</v>
      </c>
      <c r="T8" s="1256"/>
      <c r="U8" s="2612" t="s">
        <v>1425</v>
      </c>
      <c r="V8" s="2504"/>
      <c r="W8" s="2504"/>
      <c r="X8" s="2504"/>
      <c r="Y8" s="2504"/>
      <c r="Z8" s="2504"/>
      <c r="AA8" s="525"/>
      <c r="AB8" s="2612" t="s">
        <v>1426</v>
      </c>
      <c r="AC8" s="2504"/>
      <c r="AD8" s="2504"/>
      <c r="AE8" s="2504"/>
      <c r="AF8" s="2504"/>
      <c r="AG8" s="2504"/>
      <c r="AH8" s="2099"/>
      <c r="AI8" s="2612" t="s">
        <v>1427</v>
      </c>
      <c r="AJ8" s="2504"/>
      <c r="AK8" s="2504"/>
      <c r="AL8" s="2504"/>
      <c r="AM8" s="2504"/>
      <c r="AN8" s="2504"/>
      <c r="AO8" s="1262"/>
      <c r="AP8" s="2547"/>
      <c r="AQ8" s="2547"/>
      <c r="AR8" s="2547"/>
      <c r="AS8" s="2547"/>
      <c r="AT8" s="2547"/>
      <c r="AU8" s="1136"/>
      <c r="AV8" s="2550"/>
      <c r="AW8" s="2550"/>
      <c r="AX8" s="2550"/>
      <c r="AY8" s="2550"/>
      <c r="AZ8" s="2550"/>
      <c r="BA8" s="541"/>
      <c r="BB8" s="541"/>
      <c r="BC8" s="348"/>
      <c r="BJ8" s="543"/>
      <c r="BK8" s="543"/>
    </row>
    <row r="9" spans="1:63" s="543" customFormat="1" ht="55.5" customHeight="1" thickBot="1">
      <c r="A9" s="2434"/>
      <c r="B9" s="2609"/>
      <c r="C9" s="2744"/>
      <c r="D9" s="2750"/>
      <c r="E9" s="2742"/>
      <c r="F9" s="2763"/>
      <c r="G9" s="2742"/>
      <c r="H9" s="2763"/>
      <c r="I9" s="2742"/>
      <c r="J9" s="2763"/>
      <c r="K9" s="2767"/>
      <c r="L9" s="2742"/>
      <c r="M9" s="2766"/>
      <c r="N9" s="824" t="s">
        <v>322</v>
      </c>
      <c r="O9" s="665" t="s">
        <v>602</v>
      </c>
      <c r="P9" s="644" t="s">
        <v>599</v>
      </c>
      <c r="Q9" s="641" t="s">
        <v>603</v>
      </c>
      <c r="R9" s="980"/>
      <c r="S9" s="2715"/>
      <c r="T9" s="980"/>
      <c r="U9" s="2092" t="s">
        <v>839</v>
      </c>
      <c r="V9" s="2090" t="s">
        <v>819</v>
      </c>
      <c r="W9" s="2095" t="s">
        <v>33</v>
      </c>
      <c r="X9" s="2091" t="s">
        <v>1062</v>
      </c>
      <c r="Y9" s="2095" t="s">
        <v>1063</v>
      </c>
      <c r="Z9" s="2091" t="s">
        <v>1064</v>
      </c>
      <c r="AA9" s="1421"/>
      <c r="AB9" s="2092" t="s">
        <v>839</v>
      </c>
      <c r="AC9" s="2090" t="s">
        <v>819</v>
      </c>
      <c r="AD9" s="2095" t="s">
        <v>33</v>
      </c>
      <c r="AE9" s="2091" t="s">
        <v>1062</v>
      </c>
      <c r="AF9" s="2095" t="s">
        <v>1063</v>
      </c>
      <c r="AG9" s="2091" t="s">
        <v>1064</v>
      </c>
      <c r="AH9" s="279"/>
      <c r="AI9" s="2092" t="s">
        <v>839</v>
      </c>
      <c r="AJ9" s="2090" t="s">
        <v>819</v>
      </c>
      <c r="AK9" s="2095" t="s">
        <v>33</v>
      </c>
      <c r="AL9" s="2091" t="s">
        <v>1062</v>
      </c>
      <c r="AM9" s="2095" t="s">
        <v>1063</v>
      </c>
      <c r="AN9" s="2091" t="s">
        <v>1064</v>
      </c>
      <c r="AO9" s="1256"/>
      <c r="AP9" s="1809" t="s">
        <v>1080</v>
      </c>
      <c r="AQ9" s="1270" t="s">
        <v>1066</v>
      </c>
      <c r="AR9" s="1307" t="s">
        <v>1309</v>
      </c>
      <c r="AS9" s="906" t="s">
        <v>1241</v>
      </c>
      <c r="AT9" s="1270" t="s">
        <v>284</v>
      </c>
      <c r="AU9" s="1256"/>
      <c r="AV9" s="1809" t="s">
        <v>1080</v>
      </c>
      <c r="AW9" s="1270" t="s">
        <v>1066</v>
      </c>
      <c r="AX9" s="1307" t="s">
        <v>1309</v>
      </c>
      <c r="AY9" s="906" t="s">
        <v>1241</v>
      </c>
      <c r="AZ9" s="1270" t="s">
        <v>284</v>
      </c>
      <c r="BA9" s="542"/>
      <c r="BB9" s="542"/>
      <c r="BC9" s="350"/>
      <c r="BD9" s="357"/>
    </row>
    <row r="10" spans="1:63" ht="28.5" customHeight="1">
      <c r="A10" s="513" t="s">
        <v>1020</v>
      </c>
      <c r="B10" s="1704">
        <v>0</v>
      </c>
      <c r="C10" s="2747">
        <v>40</v>
      </c>
      <c r="D10" s="1567" t="s">
        <v>572</v>
      </c>
      <c r="E10" s="1565">
        <f t="shared" ref="E10:E30" si="0">IF(D10="bis 14 t/ha",0,10)</f>
        <v>0</v>
      </c>
      <c r="F10" s="815" t="s">
        <v>559</v>
      </c>
      <c r="G10" s="595">
        <f t="shared" ref="G10:G29" si="1">VLOOKUP(F10,BD$11:BE$20,2,FALSE)</f>
        <v>0</v>
      </c>
      <c r="H10" s="596" t="s">
        <v>293</v>
      </c>
      <c r="I10" s="597">
        <f t="shared" ref="I10:I30" si="2">VLOOKUP(H10,BG$11:BH$13,2,FALSE)</f>
        <v>0</v>
      </c>
      <c r="J10" s="598" t="s">
        <v>551</v>
      </c>
      <c r="K10" s="531" t="s">
        <v>554</v>
      </c>
      <c r="L10" s="595">
        <f t="shared" ref="L10:L29" si="3">IF(K10="jede zweite",BA10,BA10*2)</f>
        <v>0</v>
      </c>
      <c r="M10" s="2200">
        <v>0</v>
      </c>
      <c r="N10" s="599">
        <f t="shared" ref="N10:N30" si="4">IF(BB10&lt;=0,0,IF(BB10&gt;=80,80,BB10))</f>
        <v>40</v>
      </c>
      <c r="O10" s="664">
        <f t="shared" ref="O10:O30" si="5">N10*B10</f>
        <v>0</v>
      </c>
      <c r="P10" s="668">
        <v>10</v>
      </c>
      <c r="Q10" s="669">
        <f t="shared" ref="Q10:Q30" si="6">B10*P10</f>
        <v>0</v>
      </c>
      <c r="R10" s="1042"/>
      <c r="S10" s="870" t="str">
        <f t="shared" ref="S10:S29" si="7">$A10</f>
        <v>Bsp. Eins</v>
      </c>
      <c r="T10" s="866"/>
      <c r="U10" s="1329"/>
      <c r="V10" s="1330" t="s">
        <v>795</v>
      </c>
      <c r="W10" s="1424">
        <v>0</v>
      </c>
      <c r="X10" s="1033">
        <f>VLOOKUP(V10,Düngemittel!$B$6:$E$64,2,FALSE)*(VLOOKUP(V10,Düngemittel!$B$6:$E$64,3,FALSE))/100*W10</f>
        <v>0</v>
      </c>
      <c r="Y10" s="1033">
        <f>VLOOKUP(V10,Düngemittel!$B$6:$E$64,2,FALSE)*W10</f>
        <v>0</v>
      </c>
      <c r="Z10" s="1033">
        <f>VLOOKUP(V10,Düngemittel!$B$6:$E$64,4,FALSE)*W10</f>
        <v>0</v>
      </c>
      <c r="AA10" s="92"/>
      <c r="AB10" s="1329"/>
      <c r="AC10" s="1330" t="s">
        <v>795</v>
      </c>
      <c r="AD10" s="1424">
        <v>0</v>
      </c>
      <c r="AE10" s="1033">
        <f>VLOOKUP(AC10,Düngemittel!$B$6:$E$64,2,FALSE)*(VLOOKUP(AC10,Düngemittel!$B$6:$E$64,3,FALSE))/100*AD10</f>
        <v>0</v>
      </c>
      <c r="AF10" s="1033">
        <f>VLOOKUP(AC10,Düngemittel!$B$6:$E$64,2,FALSE)*AD10</f>
        <v>0</v>
      </c>
      <c r="AG10" s="1033">
        <f>VLOOKUP(AC10,Düngemittel!$B$6:$E$64,4,FALSE)*AD10</f>
        <v>0</v>
      </c>
      <c r="AH10" s="92"/>
      <c r="AI10" s="1329"/>
      <c r="AJ10" s="1330" t="s">
        <v>795</v>
      </c>
      <c r="AK10" s="1424">
        <v>0</v>
      </c>
      <c r="AL10" s="1033">
        <f>VLOOKUP(AJ10,Düngemittel!$B$6:$E$64,2,FALSE)*(VLOOKUP(AJ10,Düngemittel!$B$6:$E$64,3,FALSE))/100*AK10</f>
        <v>0</v>
      </c>
      <c r="AM10" s="1033">
        <f>VLOOKUP(AJ10,Düngemittel!$B$6:$E$64,2,FALSE)*AK10</f>
        <v>0</v>
      </c>
      <c r="AN10" s="1033">
        <f>VLOOKUP(AJ10,Düngemittel!$B$6:$E$64,4,FALSE)*AK10</f>
        <v>0</v>
      </c>
      <c r="AO10" s="863"/>
      <c r="AP10" s="1812">
        <f>IF(X10&lt;Y10,0,X10)+IF(AE10&lt;AF10,0,AE10)+IF(AL10&lt;AM10,0,AL10)</f>
        <v>0</v>
      </c>
      <c r="AQ10" s="1273">
        <f>SUM(X10+AE10+AL10)</f>
        <v>0</v>
      </c>
      <c r="AR10" s="1819">
        <f>SUM(Y10+AF10+AM10)</f>
        <v>0</v>
      </c>
      <c r="AS10" s="1156">
        <f>IF(X10&lt;Y10,Y10,0)+IF(AE10&lt;AF10,AF10,0)+IF(AL10&lt;AM10,AM10,0)</f>
        <v>0</v>
      </c>
      <c r="AT10" s="1273">
        <f>SUM(Z10+AG10+AN10)</f>
        <v>0</v>
      </c>
      <c r="AU10" s="1153"/>
      <c r="AV10" s="1812">
        <f>AP10*$B10</f>
        <v>0</v>
      </c>
      <c r="AW10" s="1282">
        <f t="shared" ref="AW10:AZ10" si="8">AQ10*$B10</f>
        <v>0</v>
      </c>
      <c r="AX10" s="1812">
        <f t="shared" si="8"/>
        <v>0</v>
      </c>
      <c r="AY10" s="1824">
        <f t="shared" si="8"/>
        <v>0</v>
      </c>
      <c r="AZ10" s="1282">
        <f t="shared" si="8"/>
        <v>0</v>
      </c>
      <c r="BA10" s="544">
        <f t="shared" ref="BA10:BA30" si="9">VLOOKUP(J10,BJ$11:BK$24,2,FALSE)</f>
        <v>0</v>
      </c>
      <c r="BB10" s="545">
        <f t="shared" ref="BB10:BB30" si="10">40+E10+G10+I10+L10-M10</f>
        <v>40</v>
      </c>
      <c r="BC10" s="350"/>
      <c r="BD10" s="546" t="s">
        <v>545</v>
      </c>
      <c r="BG10" s="546" t="s">
        <v>546</v>
      </c>
      <c r="BJ10" s="546" t="s">
        <v>549</v>
      </c>
    </row>
    <row r="11" spans="1:63" ht="28.5" customHeight="1">
      <c r="A11" s="468" t="s">
        <v>563</v>
      </c>
      <c r="B11" s="1705">
        <v>0</v>
      </c>
      <c r="C11" s="2748"/>
      <c r="D11" s="1568" t="s">
        <v>572</v>
      </c>
      <c r="E11" s="1566">
        <f t="shared" si="0"/>
        <v>0</v>
      </c>
      <c r="F11" s="815" t="s">
        <v>559</v>
      </c>
      <c r="G11" s="595">
        <f t="shared" si="1"/>
        <v>0</v>
      </c>
      <c r="H11" s="596" t="s">
        <v>293</v>
      </c>
      <c r="I11" s="597">
        <f t="shared" si="2"/>
        <v>0</v>
      </c>
      <c r="J11" s="598" t="s">
        <v>551</v>
      </c>
      <c r="K11" s="531" t="s">
        <v>554</v>
      </c>
      <c r="L11" s="595">
        <f t="shared" si="3"/>
        <v>0</v>
      </c>
      <c r="M11" s="2201">
        <v>0</v>
      </c>
      <c r="N11" s="599">
        <f t="shared" si="4"/>
        <v>40</v>
      </c>
      <c r="O11" s="664">
        <f t="shared" si="5"/>
        <v>0</v>
      </c>
      <c r="P11" s="668">
        <v>10</v>
      </c>
      <c r="Q11" s="667">
        <f t="shared" si="6"/>
        <v>0</v>
      </c>
      <c r="R11" s="1042"/>
      <c r="S11" s="870" t="str">
        <f t="shared" si="7"/>
        <v>Nummer 2</v>
      </c>
      <c r="T11" s="866"/>
      <c r="U11" s="1329"/>
      <c r="V11" s="1330" t="s">
        <v>795</v>
      </c>
      <c r="W11" s="1424">
        <v>0</v>
      </c>
      <c r="X11" s="1033">
        <f>VLOOKUP(V11,Düngemittel!$B$6:$E$64,2,FALSE)*(VLOOKUP(V11,Düngemittel!$B$6:$E$64,3,FALSE))/100*W11</f>
        <v>0</v>
      </c>
      <c r="Y11" s="1033">
        <f>VLOOKUP(V11,Düngemittel!$B$6:$E$64,2,FALSE)*W11</f>
        <v>0</v>
      </c>
      <c r="Z11" s="1033">
        <f>VLOOKUP(V11,Düngemittel!$B$6:$E$64,4,FALSE)*W11</f>
        <v>0</v>
      </c>
      <c r="AA11" s="2089"/>
      <c r="AB11" s="1329"/>
      <c r="AC11" s="1330" t="s">
        <v>795</v>
      </c>
      <c r="AD11" s="1424">
        <v>0</v>
      </c>
      <c r="AE11" s="1033">
        <f>VLOOKUP(AC11,Düngemittel!$B$6:$E$64,2,FALSE)*(VLOOKUP(AC11,Düngemittel!$B$6:$E$64,3,FALSE))/100*AD11</f>
        <v>0</v>
      </c>
      <c r="AF11" s="1033">
        <f>VLOOKUP(AC11,Düngemittel!$B$6:$E$64,2,FALSE)*AD11</f>
        <v>0</v>
      </c>
      <c r="AG11" s="1033">
        <f>VLOOKUP(AC11,Düngemittel!$B$6:$E$64,4,FALSE)*AD11</f>
        <v>0</v>
      </c>
      <c r="AH11" s="2089"/>
      <c r="AI11" s="1329"/>
      <c r="AJ11" s="1330" t="s">
        <v>795</v>
      </c>
      <c r="AK11" s="1424">
        <v>0</v>
      </c>
      <c r="AL11" s="1033">
        <f>VLOOKUP(AJ11,Düngemittel!$B$6:$E$64,2,FALSE)*(VLOOKUP(AJ11,Düngemittel!$B$6:$E$64,3,FALSE))/100*AK11</f>
        <v>0</v>
      </c>
      <c r="AM11" s="1033">
        <f>VLOOKUP(AJ11,Düngemittel!$B$6:$E$64,2,FALSE)*AK11</f>
        <v>0</v>
      </c>
      <c r="AN11" s="1033">
        <f>VLOOKUP(AJ11,Düngemittel!$B$6:$E$64,4,FALSE)*AK11</f>
        <v>0</v>
      </c>
      <c r="AO11" s="863"/>
      <c r="AP11" s="1812">
        <f t="shared" ref="AP11:AP30" si="11">IF(X11&lt;Y11,0,X11)+IF(AE11&lt;AF11,0,AE11)+IF(AL11&lt;AM11,0,AL11)</f>
        <v>0</v>
      </c>
      <c r="AQ11" s="1273">
        <f t="shared" ref="AQ11:AQ30" si="12">SUM(X11+AE11+AL11)</f>
        <v>0</v>
      </c>
      <c r="AR11" s="1819">
        <f t="shared" ref="AR11:AR30" si="13">SUM(Y11+AF11+AM11)</f>
        <v>0</v>
      </c>
      <c r="AS11" s="1156">
        <f t="shared" ref="AS11:AS30" si="14">IF(X11&lt;Y11,Y11,0)+IF(AE11&lt;AF11,AF11,0)+IF(AL11&lt;AM11,AM11,0)</f>
        <v>0</v>
      </c>
      <c r="AT11" s="1273">
        <f t="shared" ref="AT11:AT30" si="15">SUM(Z11+AG11+AN11)</f>
        <v>0</v>
      </c>
      <c r="AU11" s="1153"/>
      <c r="AV11" s="1812">
        <f t="shared" ref="AV11:AV30" si="16">AP11*$B11</f>
        <v>0</v>
      </c>
      <c r="AW11" s="1282">
        <f t="shared" ref="AW11:AW30" si="17">AQ11*$B11</f>
        <v>0</v>
      </c>
      <c r="AX11" s="1812">
        <f t="shared" ref="AX11:AX30" si="18">AR11*$B11</f>
        <v>0</v>
      </c>
      <c r="AY11" s="1824">
        <f t="shared" ref="AY11:AY30" si="19">AS11*$B11</f>
        <v>0</v>
      </c>
      <c r="AZ11" s="1282">
        <f t="shared" ref="AZ11:AZ30" si="20">AT11*$B11</f>
        <v>0</v>
      </c>
      <c r="BA11" s="544">
        <f t="shared" si="9"/>
        <v>0</v>
      </c>
      <c r="BB11" s="545">
        <f t="shared" si="10"/>
        <v>40</v>
      </c>
      <c r="BC11" s="350"/>
      <c r="BD11" s="357" t="s">
        <v>555</v>
      </c>
      <c r="BE11" s="357">
        <v>20</v>
      </c>
      <c r="BG11" s="357" t="s">
        <v>547</v>
      </c>
      <c r="BH11" s="357">
        <v>30</v>
      </c>
      <c r="BJ11" s="547" t="s">
        <v>771</v>
      </c>
      <c r="BK11" s="357">
        <v>20</v>
      </c>
    </row>
    <row r="12" spans="1:63" ht="28.5" customHeight="1">
      <c r="A12" s="468" t="s">
        <v>564</v>
      </c>
      <c r="B12" s="1705">
        <v>0</v>
      </c>
      <c r="C12" s="2748"/>
      <c r="D12" s="1568" t="s">
        <v>572</v>
      </c>
      <c r="E12" s="1566">
        <f t="shared" si="0"/>
        <v>0</v>
      </c>
      <c r="F12" s="815" t="s">
        <v>559</v>
      </c>
      <c r="G12" s="595">
        <f t="shared" si="1"/>
        <v>0</v>
      </c>
      <c r="H12" s="596" t="s">
        <v>293</v>
      </c>
      <c r="I12" s="597">
        <f t="shared" si="2"/>
        <v>0</v>
      </c>
      <c r="J12" s="598" t="s">
        <v>551</v>
      </c>
      <c r="K12" s="531" t="s">
        <v>554</v>
      </c>
      <c r="L12" s="595">
        <f t="shared" si="3"/>
        <v>0</v>
      </c>
      <c r="M12" s="2201">
        <v>0</v>
      </c>
      <c r="N12" s="599">
        <f t="shared" si="4"/>
        <v>40</v>
      </c>
      <c r="O12" s="664">
        <f t="shared" si="5"/>
        <v>0</v>
      </c>
      <c r="P12" s="668">
        <v>10</v>
      </c>
      <c r="Q12" s="667">
        <f t="shared" si="6"/>
        <v>0</v>
      </c>
      <c r="R12" s="1042"/>
      <c r="S12" s="870" t="str">
        <f t="shared" si="7"/>
        <v>Fläche 3</v>
      </c>
      <c r="T12" s="866"/>
      <c r="U12" s="1329"/>
      <c r="V12" s="1330" t="s">
        <v>795</v>
      </c>
      <c r="W12" s="1424">
        <v>0</v>
      </c>
      <c r="X12" s="1033">
        <f>VLOOKUP(V12,Düngemittel!$B$6:$E$64,2,FALSE)*(VLOOKUP(V12,Düngemittel!$B$6:$E$64,3,FALSE))/100*W12</f>
        <v>0</v>
      </c>
      <c r="Y12" s="1033">
        <f>VLOOKUP(V12,Düngemittel!$B$6:$E$64,2,FALSE)*W12</f>
        <v>0</v>
      </c>
      <c r="Z12" s="1033">
        <f>VLOOKUP(V12,Düngemittel!$B$6:$E$64,4,FALSE)*W12</f>
        <v>0</v>
      </c>
      <c r="AA12" s="2089"/>
      <c r="AB12" s="1329"/>
      <c r="AC12" s="1330" t="s">
        <v>795</v>
      </c>
      <c r="AD12" s="1424">
        <v>0</v>
      </c>
      <c r="AE12" s="1033">
        <f>VLOOKUP(AC12,Düngemittel!$B$6:$E$64,2,FALSE)*(VLOOKUP(AC12,Düngemittel!$B$6:$E$64,3,FALSE))/100*AD12</f>
        <v>0</v>
      </c>
      <c r="AF12" s="1033">
        <f>VLOOKUP(AC12,Düngemittel!$B$6:$E$64,2,FALSE)*AD12</f>
        <v>0</v>
      </c>
      <c r="AG12" s="1033">
        <f>VLOOKUP(AC12,Düngemittel!$B$6:$E$64,4,FALSE)*AD12</f>
        <v>0</v>
      </c>
      <c r="AH12" s="2089"/>
      <c r="AI12" s="1329"/>
      <c r="AJ12" s="1330" t="s">
        <v>795</v>
      </c>
      <c r="AK12" s="1424">
        <v>0</v>
      </c>
      <c r="AL12" s="1033">
        <f>VLOOKUP(AJ12,Düngemittel!$B$6:$E$64,2,FALSE)*(VLOOKUP(AJ12,Düngemittel!$B$6:$E$64,3,FALSE))/100*AK12</f>
        <v>0</v>
      </c>
      <c r="AM12" s="1033">
        <f>VLOOKUP(AJ12,Düngemittel!$B$6:$E$64,2,FALSE)*AK12</f>
        <v>0</v>
      </c>
      <c r="AN12" s="1033">
        <f>VLOOKUP(AJ12,Düngemittel!$B$6:$E$64,4,FALSE)*AK12</f>
        <v>0</v>
      </c>
      <c r="AO12" s="863"/>
      <c r="AP12" s="1812">
        <f t="shared" si="11"/>
        <v>0</v>
      </c>
      <c r="AQ12" s="1273">
        <f t="shared" si="12"/>
        <v>0</v>
      </c>
      <c r="AR12" s="1819">
        <f t="shared" si="13"/>
        <v>0</v>
      </c>
      <c r="AS12" s="1156">
        <f t="shared" si="14"/>
        <v>0</v>
      </c>
      <c r="AT12" s="1273">
        <f t="shared" si="15"/>
        <v>0</v>
      </c>
      <c r="AU12" s="1153"/>
      <c r="AV12" s="1812">
        <f t="shared" si="16"/>
        <v>0</v>
      </c>
      <c r="AW12" s="1282">
        <f t="shared" si="17"/>
        <v>0</v>
      </c>
      <c r="AX12" s="1812">
        <f t="shared" si="18"/>
        <v>0</v>
      </c>
      <c r="AY12" s="1824">
        <f t="shared" si="19"/>
        <v>0</v>
      </c>
      <c r="AZ12" s="1282">
        <f t="shared" si="20"/>
        <v>0</v>
      </c>
      <c r="BA12" s="544">
        <f t="shared" si="9"/>
        <v>0</v>
      </c>
      <c r="BB12" s="545">
        <f t="shared" si="10"/>
        <v>40</v>
      </c>
      <c r="BC12" s="350"/>
      <c r="BD12" s="357" t="s">
        <v>556</v>
      </c>
      <c r="BE12" s="357">
        <v>0</v>
      </c>
      <c r="BG12" s="357" t="s">
        <v>293</v>
      </c>
      <c r="BH12" s="357">
        <v>0</v>
      </c>
      <c r="BJ12" s="547" t="s">
        <v>772</v>
      </c>
      <c r="BK12" s="357">
        <v>0</v>
      </c>
    </row>
    <row r="13" spans="1:63" ht="28.5" customHeight="1">
      <c r="A13" s="468" t="s">
        <v>565</v>
      </c>
      <c r="B13" s="1705">
        <v>0</v>
      </c>
      <c r="C13" s="2748"/>
      <c r="D13" s="1568" t="s">
        <v>572</v>
      </c>
      <c r="E13" s="1566">
        <f t="shared" si="0"/>
        <v>0</v>
      </c>
      <c r="F13" s="815" t="s">
        <v>559</v>
      </c>
      <c r="G13" s="595">
        <f t="shared" si="1"/>
        <v>0</v>
      </c>
      <c r="H13" s="596" t="s">
        <v>293</v>
      </c>
      <c r="I13" s="597">
        <f t="shared" si="2"/>
        <v>0</v>
      </c>
      <c r="J13" s="598" t="s">
        <v>551</v>
      </c>
      <c r="K13" s="531" t="s">
        <v>554</v>
      </c>
      <c r="L13" s="595">
        <f t="shared" si="3"/>
        <v>0</v>
      </c>
      <c r="M13" s="2201">
        <v>0</v>
      </c>
      <c r="N13" s="599">
        <f t="shared" si="4"/>
        <v>40</v>
      </c>
      <c r="O13" s="664">
        <f t="shared" si="5"/>
        <v>0</v>
      </c>
      <c r="P13" s="668">
        <v>10</v>
      </c>
      <c r="Q13" s="667">
        <f t="shared" si="6"/>
        <v>0</v>
      </c>
      <c r="R13" s="1042"/>
      <c r="S13" s="870" t="str">
        <f t="shared" si="7"/>
        <v>Schlag 4</v>
      </c>
      <c r="T13" s="866"/>
      <c r="U13" s="1329"/>
      <c r="V13" s="1330" t="s">
        <v>795</v>
      </c>
      <c r="W13" s="1424">
        <v>0</v>
      </c>
      <c r="X13" s="1033">
        <f>VLOOKUP(V13,Düngemittel!$B$6:$E$64,2,FALSE)*(VLOOKUP(V13,Düngemittel!$B$6:$E$64,3,FALSE))/100*W13</f>
        <v>0</v>
      </c>
      <c r="Y13" s="1033">
        <f>VLOOKUP(V13,Düngemittel!$B$6:$E$64,2,FALSE)*W13</f>
        <v>0</v>
      </c>
      <c r="Z13" s="1033">
        <f>VLOOKUP(V13,Düngemittel!$B$6:$E$64,4,FALSE)*W13</f>
        <v>0</v>
      </c>
      <c r="AA13" s="2089"/>
      <c r="AB13" s="1329"/>
      <c r="AC13" s="1330" t="s">
        <v>795</v>
      </c>
      <c r="AD13" s="1424">
        <v>0</v>
      </c>
      <c r="AE13" s="1033">
        <f>VLOOKUP(AC13,Düngemittel!$B$6:$E$64,2,FALSE)*(VLOOKUP(AC13,Düngemittel!$B$6:$E$64,3,FALSE))/100*AD13</f>
        <v>0</v>
      </c>
      <c r="AF13" s="1033">
        <f>VLOOKUP(AC13,Düngemittel!$B$6:$E$64,2,FALSE)*AD13</f>
        <v>0</v>
      </c>
      <c r="AG13" s="1033">
        <f>VLOOKUP(AC13,Düngemittel!$B$6:$E$64,4,FALSE)*AD13</f>
        <v>0</v>
      </c>
      <c r="AH13" s="2089"/>
      <c r="AI13" s="1329"/>
      <c r="AJ13" s="1330" t="s">
        <v>795</v>
      </c>
      <c r="AK13" s="1424">
        <v>0</v>
      </c>
      <c r="AL13" s="1033">
        <f>VLOOKUP(AJ13,Düngemittel!$B$6:$E$64,2,FALSE)*(VLOOKUP(AJ13,Düngemittel!$B$6:$E$64,3,FALSE))/100*AK13</f>
        <v>0</v>
      </c>
      <c r="AM13" s="1033">
        <f>VLOOKUP(AJ13,Düngemittel!$B$6:$E$64,2,FALSE)*AK13</f>
        <v>0</v>
      </c>
      <c r="AN13" s="1033">
        <f>VLOOKUP(AJ13,Düngemittel!$B$6:$E$64,4,FALSE)*AK13</f>
        <v>0</v>
      </c>
      <c r="AO13" s="863"/>
      <c r="AP13" s="1812">
        <f t="shared" si="11"/>
        <v>0</v>
      </c>
      <c r="AQ13" s="1273">
        <f t="shared" si="12"/>
        <v>0</v>
      </c>
      <c r="AR13" s="1819">
        <f t="shared" si="13"/>
        <v>0</v>
      </c>
      <c r="AS13" s="1156">
        <f t="shared" si="14"/>
        <v>0</v>
      </c>
      <c r="AT13" s="1273">
        <f t="shared" si="15"/>
        <v>0</v>
      </c>
      <c r="AU13" s="1153"/>
      <c r="AV13" s="1812">
        <f t="shared" si="16"/>
        <v>0</v>
      </c>
      <c r="AW13" s="1282">
        <f t="shared" si="17"/>
        <v>0</v>
      </c>
      <c r="AX13" s="1812">
        <f t="shared" si="18"/>
        <v>0</v>
      </c>
      <c r="AY13" s="1824">
        <f t="shared" si="19"/>
        <v>0</v>
      </c>
      <c r="AZ13" s="1282">
        <f t="shared" si="20"/>
        <v>0</v>
      </c>
      <c r="BA13" s="544">
        <f t="shared" si="9"/>
        <v>0</v>
      </c>
      <c r="BB13" s="545">
        <f t="shared" si="10"/>
        <v>40</v>
      </c>
      <c r="BC13" s="350"/>
      <c r="BD13" s="357" t="s">
        <v>557</v>
      </c>
      <c r="BE13" s="357">
        <v>-40</v>
      </c>
      <c r="BG13" s="357" t="s">
        <v>548</v>
      </c>
      <c r="BH13" s="357">
        <v>-30</v>
      </c>
      <c r="BJ13" s="547" t="s">
        <v>773</v>
      </c>
      <c r="BK13" s="357">
        <v>0</v>
      </c>
    </row>
    <row r="14" spans="1:63" ht="28.5" customHeight="1">
      <c r="A14" s="468">
        <v>5</v>
      </c>
      <c r="B14" s="1705">
        <v>0</v>
      </c>
      <c r="C14" s="2748"/>
      <c r="D14" s="1568" t="s">
        <v>572</v>
      </c>
      <c r="E14" s="1566">
        <f t="shared" si="0"/>
        <v>0</v>
      </c>
      <c r="F14" s="815" t="s">
        <v>559</v>
      </c>
      <c r="G14" s="595">
        <f t="shared" si="1"/>
        <v>0</v>
      </c>
      <c r="H14" s="596" t="s">
        <v>293</v>
      </c>
      <c r="I14" s="597">
        <f t="shared" si="2"/>
        <v>0</v>
      </c>
      <c r="J14" s="598" t="s">
        <v>551</v>
      </c>
      <c r="K14" s="531" t="s">
        <v>554</v>
      </c>
      <c r="L14" s="595">
        <f t="shared" si="3"/>
        <v>0</v>
      </c>
      <c r="M14" s="2201">
        <v>0</v>
      </c>
      <c r="N14" s="599">
        <f t="shared" si="4"/>
        <v>40</v>
      </c>
      <c r="O14" s="664">
        <f t="shared" si="5"/>
        <v>0</v>
      </c>
      <c r="P14" s="668">
        <v>10</v>
      </c>
      <c r="Q14" s="667">
        <f t="shared" si="6"/>
        <v>0</v>
      </c>
      <c r="R14" s="1042"/>
      <c r="S14" s="870">
        <f t="shared" si="7"/>
        <v>5</v>
      </c>
      <c r="T14" s="866"/>
      <c r="U14" s="1329"/>
      <c r="V14" s="1330" t="s">
        <v>795</v>
      </c>
      <c r="W14" s="1424">
        <v>0</v>
      </c>
      <c r="X14" s="1033">
        <f>VLOOKUP(V14,Düngemittel!$B$6:$E$64,2,FALSE)*(VLOOKUP(V14,Düngemittel!$B$6:$E$64,3,FALSE))/100*W14</f>
        <v>0</v>
      </c>
      <c r="Y14" s="1033">
        <f>VLOOKUP(V14,Düngemittel!$B$6:$E$64,2,FALSE)*W14</f>
        <v>0</v>
      </c>
      <c r="Z14" s="1033">
        <f>VLOOKUP(V14,Düngemittel!$B$6:$E$64,4,FALSE)*W14</f>
        <v>0</v>
      </c>
      <c r="AA14" s="2089"/>
      <c r="AB14" s="1329"/>
      <c r="AC14" s="1330" t="s">
        <v>795</v>
      </c>
      <c r="AD14" s="1424">
        <v>0</v>
      </c>
      <c r="AE14" s="1033">
        <f>VLOOKUP(AC14,Düngemittel!$B$6:$E$64,2,FALSE)*(VLOOKUP(AC14,Düngemittel!$B$6:$E$64,3,FALSE))/100*AD14</f>
        <v>0</v>
      </c>
      <c r="AF14" s="1033">
        <f>VLOOKUP(AC14,Düngemittel!$B$6:$E$64,2,FALSE)*AD14</f>
        <v>0</v>
      </c>
      <c r="AG14" s="1033">
        <f>VLOOKUP(AC14,Düngemittel!$B$6:$E$64,4,FALSE)*AD14</f>
        <v>0</v>
      </c>
      <c r="AH14" s="2089"/>
      <c r="AI14" s="1329"/>
      <c r="AJ14" s="1330" t="s">
        <v>795</v>
      </c>
      <c r="AK14" s="1424">
        <v>0</v>
      </c>
      <c r="AL14" s="1033">
        <f>VLOOKUP(AJ14,Düngemittel!$B$6:$E$64,2,FALSE)*(VLOOKUP(AJ14,Düngemittel!$B$6:$E$64,3,FALSE))/100*AK14</f>
        <v>0</v>
      </c>
      <c r="AM14" s="1033">
        <f>VLOOKUP(AJ14,Düngemittel!$B$6:$E$64,2,FALSE)*AK14</f>
        <v>0</v>
      </c>
      <c r="AN14" s="1033">
        <f>VLOOKUP(AJ14,Düngemittel!$B$6:$E$64,4,FALSE)*AK14</f>
        <v>0</v>
      </c>
      <c r="AO14" s="863"/>
      <c r="AP14" s="1812">
        <f t="shared" si="11"/>
        <v>0</v>
      </c>
      <c r="AQ14" s="1273">
        <f t="shared" si="12"/>
        <v>0</v>
      </c>
      <c r="AR14" s="1819">
        <f t="shared" si="13"/>
        <v>0</v>
      </c>
      <c r="AS14" s="1156">
        <f t="shared" si="14"/>
        <v>0</v>
      </c>
      <c r="AT14" s="1273">
        <f t="shared" si="15"/>
        <v>0</v>
      </c>
      <c r="AU14" s="1153"/>
      <c r="AV14" s="1812">
        <f t="shared" si="16"/>
        <v>0</v>
      </c>
      <c r="AW14" s="1282">
        <f t="shared" si="17"/>
        <v>0</v>
      </c>
      <c r="AX14" s="1812">
        <f t="shared" si="18"/>
        <v>0</v>
      </c>
      <c r="AY14" s="1824">
        <f t="shared" si="19"/>
        <v>0</v>
      </c>
      <c r="AZ14" s="1282">
        <f t="shared" si="20"/>
        <v>0</v>
      </c>
      <c r="BA14" s="544">
        <f t="shared" si="9"/>
        <v>0</v>
      </c>
      <c r="BB14" s="545">
        <f t="shared" si="10"/>
        <v>40</v>
      </c>
      <c r="BC14" s="350"/>
      <c r="BD14" s="357" t="s">
        <v>558</v>
      </c>
      <c r="BE14" s="357">
        <v>20</v>
      </c>
      <c r="BJ14" s="547" t="s">
        <v>774</v>
      </c>
      <c r="BK14" s="357">
        <v>-15</v>
      </c>
    </row>
    <row r="15" spans="1:63" ht="28.5" customHeight="1">
      <c r="A15" s="468">
        <v>6</v>
      </c>
      <c r="B15" s="1705">
        <v>0</v>
      </c>
      <c r="C15" s="2748"/>
      <c r="D15" s="1568" t="s">
        <v>572</v>
      </c>
      <c r="E15" s="1566">
        <f t="shared" si="0"/>
        <v>0</v>
      </c>
      <c r="F15" s="815" t="s">
        <v>559</v>
      </c>
      <c r="G15" s="595">
        <f t="shared" si="1"/>
        <v>0</v>
      </c>
      <c r="H15" s="596" t="s">
        <v>293</v>
      </c>
      <c r="I15" s="597">
        <f t="shared" si="2"/>
        <v>0</v>
      </c>
      <c r="J15" s="598" t="s">
        <v>551</v>
      </c>
      <c r="K15" s="531" t="s">
        <v>554</v>
      </c>
      <c r="L15" s="595">
        <f t="shared" si="3"/>
        <v>0</v>
      </c>
      <c r="M15" s="2201">
        <v>0</v>
      </c>
      <c r="N15" s="599">
        <f t="shared" si="4"/>
        <v>40</v>
      </c>
      <c r="O15" s="664">
        <f t="shared" si="5"/>
        <v>0</v>
      </c>
      <c r="P15" s="668">
        <v>10</v>
      </c>
      <c r="Q15" s="667">
        <f t="shared" si="6"/>
        <v>0</v>
      </c>
      <c r="R15" s="1042"/>
      <c r="S15" s="870">
        <f t="shared" si="7"/>
        <v>6</v>
      </c>
      <c r="T15" s="866"/>
      <c r="U15" s="1329"/>
      <c r="V15" s="1330" t="s">
        <v>795</v>
      </c>
      <c r="W15" s="1424">
        <v>0</v>
      </c>
      <c r="X15" s="1033">
        <f>VLOOKUP(V15,Düngemittel!$B$6:$E$64,2,FALSE)*(VLOOKUP(V15,Düngemittel!$B$6:$E$64,3,FALSE))/100*W15</f>
        <v>0</v>
      </c>
      <c r="Y15" s="1033">
        <f>VLOOKUP(V15,Düngemittel!$B$6:$E$64,2,FALSE)*W15</f>
        <v>0</v>
      </c>
      <c r="Z15" s="1033">
        <f>VLOOKUP(V15,Düngemittel!$B$6:$E$64,4,FALSE)*W15</f>
        <v>0</v>
      </c>
      <c r="AA15" s="2089"/>
      <c r="AB15" s="1329"/>
      <c r="AC15" s="1330" t="s">
        <v>795</v>
      </c>
      <c r="AD15" s="1424">
        <v>0</v>
      </c>
      <c r="AE15" s="1033">
        <f>VLOOKUP(AC15,Düngemittel!$B$6:$E$64,2,FALSE)*(VLOOKUP(AC15,Düngemittel!$B$6:$E$64,3,FALSE))/100*AD15</f>
        <v>0</v>
      </c>
      <c r="AF15" s="1033">
        <f>VLOOKUP(AC15,Düngemittel!$B$6:$E$64,2,FALSE)*AD15</f>
        <v>0</v>
      </c>
      <c r="AG15" s="1033">
        <f>VLOOKUP(AC15,Düngemittel!$B$6:$E$64,4,FALSE)*AD15</f>
        <v>0</v>
      </c>
      <c r="AH15" s="2089"/>
      <c r="AI15" s="1329"/>
      <c r="AJ15" s="1330" t="s">
        <v>795</v>
      </c>
      <c r="AK15" s="1424">
        <v>0</v>
      </c>
      <c r="AL15" s="1033">
        <f>VLOOKUP(AJ15,Düngemittel!$B$6:$E$64,2,FALSE)*(VLOOKUP(AJ15,Düngemittel!$B$6:$E$64,3,FALSE))/100*AK15</f>
        <v>0</v>
      </c>
      <c r="AM15" s="1033">
        <f>VLOOKUP(AJ15,Düngemittel!$B$6:$E$64,2,FALSE)*AK15</f>
        <v>0</v>
      </c>
      <c r="AN15" s="1033">
        <f>VLOOKUP(AJ15,Düngemittel!$B$6:$E$64,4,FALSE)*AK15</f>
        <v>0</v>
      </c>
      <c r="AO15" s="863"/>
      <c r="AP15" s="1812">
        <f t="shared" si="11"/>
        <v>0</v>
      </c>
      <c r="AQ15" s="1273">
        <f t="shared" si="12"/>
        <v>0</v>
      </c>
      <c r="AR15" s="1819">
        <f t="shared" si="13"/>
        <v>0</v>
      </c>
      <c r="AS15" s="1156">
        <f t="shared" si="14"/>
        <v>0</v>
      </c>
      <c r="AT15" s="1273">
        <f t="shared" si="15"/>
        <v>0</v>
      </c>
      <c r="AU15" s="1153"/>
      <c r="AV15" s="1812">
        <f t="shared" si="16"/>
        <v>0</v>
      </c>
      <c r="AW15" s="1282">
        <f t="shared" si="17"/>
        <v>0</v>
      </c>
      <c r="AX15" s="1812">
        <f t="shared" si="18"/>
        <v>0</v>
      </c>
      <c r="AY15" s="1824">
        <f t="shared" si="19"/>
        <v>0</v>
      </c>
      <c r="AZ15" s="1282">
        <f t="shared" si="20"/>
        <v>0</v>
      </c>
      <c r="BA15" s="544">
        <f t="shared" si="9"/>
        <v>0</v>
      </c>
      <c r="BB15" s="545">
        <f t="shared" si="10"/>
        <v>40</v>
      </c>
      <c r="BC15" s="347"/>
      <c r="BD15" s="357" t="s">
        <v>559</v>
      </c>
      <c r="BE15" s="357">
        <v>0</v>
      </c>
      <c r="BJ15" s="547" t="s">
        <v>775</v>
      </c>
      <c r="BK15" s="357">
        <v>-20</v>
      </c>
    </row>
    <row r="16" spans="1:63" ht="28.5" customHeight="1">
      <c r="A16" s="468">
        <v>7</v>
      </c>
      <c r="B16" s="1705">
        <v>0</v>
      </c>
      <c r="C16" s="2748"/>
      <c r="D16" s="1568" t="s">
        <v>572</v>
      </c>
      <c r="E16" s="1566">
        <f t="shared" si="0"/>
        <v>0</v>
      </c>
      <c r="F16" s="815" t="s">
        <v>559</v>
      </c>
      <c r="G16" s="595">
        <f t="shared" si="1"/>
        <v>0</v>
      </c>
      <c r="H16" s="596" t="s">
        <v>293</v>
      </c>
      <c r="I16" s="597">
        <f t="shared" si="2"/>
        <v>0</v>
      </c>
      <c r="J16" s="598" t="s">
        <v>551</v>
      </c>
      <c r="K16" s="531" t="s">
        <v>554</v>
      </c>
      <c r="L16" s="595">
        <f t="shared" si="3"/>
        <v>0</v>
      </c>
      <c r="M16" s="2201">
        <v>0</v>
      </c>
      <c r="N16" s="599">
        <f t="shared" si="4"/>
        <v>40</v>
      </c>
      <c r="O16" s="664">
        <f t="shared" si="5"/>
        <v>0</v>
      </c>
      <c r="P16" s="668">
        <v>10</v>
      </c>
      <c r="Q16" s="667">
        <f t="shared" si="6"/>
        <v>0</v>
      </c>
      <c r="R16" s="1042"/>
      <c r="S16" s="870">
        <f t="shared" si="7"/>
        <v>7</v>
      </c>
      <c r="T16" s="866"/>
      <c r="U16" s="1329"/>
      <c r="V16" s="1330" t="s">
        <v>795</v>
      </c>
      <c r="W16" s="1424">
        <v>0</v>
      </c>
      <c r="X16" s="1033">
        <f>VLOOKUP(V16,Düngemittel!$B$6:$E$64,2,FALSE)*(VLOOKUP(V16,Düngemittel!$B$6:$E$64,3,FALSE))/100*W16</f>
        <v>0</v>
      </c>
      <c r="Y16" s="1033">
        <f>VLOOKUP(V16,Düngemittel!$B$6:$E$64,2,FALSE)*W16</f>
        <v>0</v>
      </c>
      <c r="Z16" s="1033">
        <f>VLOOKUP(V16,Düngemittel!$B$6:$E$64,4,FALSE)*W16</f>
        <v>0</v>
      </c>
      <c r="AA16" s="2089"/>
      <c r="AB16" s="1329"/>
      <c r="AC16" s="1330" t="s">
        <v>795</v>
      </c>
      <c r="AD16" s="1424">
        <v>0</v>
      </c>
      <c r="AE16" s="1033">
        <f>VLOOKUP(AC16,Düngemittel!$B$6:$E$64,2,FALSE)*(VLOOKUP(AC16,Düngemittel!$B$6:$E$64,3,FALSE))/100*AD16</f>
        <v>0</v>
      </c>
      <c r="AF16" s="1033">
        <f>VLOOKUP(AC16,Düngemittel!$B$6:$E$64,2,FALSE)*AD16</f>
        <v>0</v>
      </c>
      <c r="AG16" s="1033">
        <f>VLOOKUP(AC16,Düngemittel!$B$6:$E$64,4,FALSE)*AD16</f>
        <v>0</v>
      </c>
      <c r="AH16" s="2089"/>
      <c r="AI16" s="1329"/>
      <c r="AJ16" s="1330" t="s">
        <v>795</v>
      </c>
      <c r="AK16" s="1424">
        <v>0</v>
      </c>
      <c r="AL16" s="1033">
        <f>VLOOKUP(AJ16,Düngemittel!$B$6:$E$64,2,FALSE)*(VLOOKUP(AJ16,Düngemittel!$B$6:$E$64,3,FALSE))/100*AK16</f>
        <v>0</v>
      </c>
      <c r="AM16" s="1033">
        <f>VLOOKUP(AJ16,Düngemittel!$B$6:$E$64,2,FALSE)*AK16</f>
        <v>0</v>
      </c>
      <c r="AN16" s="1033">
        <f>VLOOKUP(AJ16,Düngemittel!$B$6:$E$64,4,FALSE)*AK16</f>
        <v>0</v>
      </c>
      <c r="AO16" s="863"/>
      <c r="AP16" s="1812">
        <f t="shared" si="11"/>
        <v>0</v>
      </c>
      <c r="AQ16" s="1273">
        <f t="shared" si="12"/>
        <v>0</v>
      </c>
      <c r="AR16" s="1819">
        <f t="shared" si="13"/>
        <v>0</v>
      </c>
      <c r="AS16" s="1156">
        <f t="shared" si="14"/>
        <v>0</v>
      </c>
      <c r="AT16" s="1273">
        <f t="shared" si="15"/>
        <v>0</v>
      </c>
      <c r="AU16" s="1153"/>
      <c r="AV16" s="1812">
        <f t="shared" si="16"/>
        <v>0</v>
      </c>
      <c r="AW16" s="1282">
        <f t="shared" si="17"/>
        <v>0</v>
      </c>
      <c r="AX16" s="1812">
        <f t="shared" si="18"/>
        <v>0</v>
      </c>
      <c r="AY16" s="1824">
        <f t="shared" si="19"/>
        <v>0</v>
      </c>
      <c r="AZ16" s="1282">
        <f t="shared" si="20"/>
        <v>0</v>
      </c>
      <c r="BA16" s="544">
        <f t="shared" si="9"/>
        <v>0</v>
      </c>
      <c r="BB16" s="545">
        <f t="shared" si="10"/>
        <v>40</v>
      </c>
      <c r="BD16" s="357" t="s">
        <v>560</v>
      </c>
      <c r="BE16" s="357">
        <v>-40</v>
      </c>
      <c r="BJ16" s="547" t="s">
        <v>776</v>
      </c>
      <c r="BK16" s="357">
        <v>-40</v>
      </c>
    </row>
    <row r="17" spans="1:63" ht="28.5" customHeight="1">
      <c r="A17" s="468">
        <v>8</v>
      </c>
      <c r="B17" s="1705">
        <v>0</v>
      </c>
      <c r="C17" s="2748"/>
      <c r="D17" s="1568" t="s">
        <v>572</v>
      </c>
      <c r="E17" s="1566">
        <f t="shared" si="0"/>
        <v>0</v>
      </c>
      <c r="F17" s="815" t="s">
        <v>559</v>
      </c>
      <c r="G17" s="595">
        <f t="shared" si="1"/>
        <v>0</v>
      </c>
      <c r="H17" s="596" t="s">
        <v>293</v>
      </c>
      <c r="I17" s="597">
        <f t="shared" si="2"/>
        <v>0</v>
      </c>
      <c r="J17" s="598" t="s">
        <v>551</v>
      </c>
      <c r="K17" s="531" t="s">
        <v>554</v>
      </c>
      <c r="L17" s="595">
        <f t="shared" si="3"/>
        <v>0</v>
      </c>
      <c r="M17" s="2201">
        <v>0</v>
      </c>
      <c r="N17" s="599">
        <f t="shared" si="4"/>
        <v>40</v>
      </c>
      <c r="O17" s="664">
        <f t="shared" si="5"/>
        <v>0</v>
      </c>
      <c r="P17" s="668">
        <v>10</v>
      </c>
      <c r="Q17" s="667">
        <f t="shared" si="6"/>
        <v>0</v>
      </c>
      <c r="R17" s="1042"/>
      <c r="S17" s="870">
        <f t="shared" si="7"/>
        <v>8</v>
      </c>
      <c r="T17" s="866"/>
      <c r="U17" s="1329"/>
      <c r="V17" s="1330" t="s">
        <v>795</v>
      </c>
      <c r="W17" s="1424">
        <v>0</v>
      </c>
      <c r="X17" s="1033">
        <f>VLOOKUP(V17,Düngemittel!$B$6:$E$64,2,FALSE)*(VLOOKUP(V17,Düngemittel!$B$6:$E$64,3,FALSE))/100*W17</f>
        <v>0</v>
      </c>
      <c r="Y17" s="1033">
        <f>VLOOKUP(V17,Düngemittel!$B$6:$E$64,2,FALSE)*W17</f>
        <v>0</v>
      </c>
      <c r="Z17" s="1033">
        <f>VLOOKUP(V17,Düngemittel!$B$6:$E$64,4,FALSE)*W17</f>
        <v>0</v>
      </c>
      <c r="AA17" s="2089"/>
      <c r="AB17" s="1329"/>
      <c r="AC17" s="1330" t="s">
        <v>795</v>
      </c>
      <c r="AD17" s="1424">
        <v>0</v>
      </c>
      <c r="AE17" s="1033">
        <f>VLOOKUP(AC17,Düngemittel!$B$6:$E$64,2,FALSE)*(VLOOKUP(AC17,Düngemittel!$B$6:$E$64,3,FALSE))/100*AD17</f>
        <v>0</v>
      </c>
      <c r="AF17" s="1033">
        <f>VLOOKUP(AC17,Düngemittel!$B$6:$E$64,2,FALSE)*AD17</f>
        <v>0</v>
      </c>
      <c r="AG17" s="1033">
        <f>VLOOKUP(AC17,Düngemittel!$B$6:$E$64,4,FALSE)*AD17</f>
        <v>0</v>
      </c>
      <c r="AH17" s="2089"/>
      <c r="AI17" s="1329"/>
      <c r="AJ17" s="1330" t="s">
        <v>795</v>
      </c>
      <c r="AK17" s="1424">
        <v>0</v>
      </c>
      <c r="AL17" s="1033">
        <f>VLOOKUP(AJ17,Düngemittel!$B$6:$E$64,2,FALSE)*(VLOOKUP(AJ17,Düngemittel!$B$6:$E$64,3,FALSE))/100*AK17</f>
        <v>0</v>
      </c>
      <c r="AM17" s="1033">
        <f>VLOOKUP(AJ17,Düngemittel!$B$6:$E$64,2,FALSE)*AK17</f>
        <v>0</v>
      </c>
      <c r="AN17" s="1033">
        <f>VLOOKUP(AJ17,Düngemittel!$B$6:$E$64,4,FALSE)*AK17</f>
        <v>0</v>
      </c>
      <c r="AO17" s="863"/>
      <c r="AP17" s="1812">
        <f t="shared" si="11"/>
        <v>0</v>
      </c>
      <c r="AQ17" s="1273">
        <f t="shared" si="12"/>
        <v>0</v>
      </c>
      <c r="AR17" s="1819">
        <f t="shared" si="13"/>
        <v>0</v>
      </c>
      <c r="AS17" s="1156">
        <f t="shared" si="14"/>
        <v>0</v>
      </c>
      <c r="AT17" s="1273">
        <f t="shared" si="15"/>
        <v>0</v>
      </c>
      <c r="AU17" s="1153"/>
      <c r="AV17" s="1812">
        <f t="shared" si="16"/>
        <v>0</v>
      </c>
      <c r="AW17" s="1282">
        <f t="shared" si="17"/>
        <v>0</v>
      </c>
      <c r="AX17" s="1812">
        <f t="shared" si="18"/>
        <v>0</v>
      </c>
      <c r="AY17" s="1824">
        <f t="shared" si="19"/>
        <v>0</v>
      </c>
      <c r="AZ17" s="1282">
        <f t="shared" si="20"/>
        <v>0</v>
      </c>
      <c r="BA17" s="544">
        <f t="shared" si="9"/>
        <v>0</v>
      </c>
      <c r="BB17" s="545">
        <f t="shared" si="10"/>
        <v>40</v>
      </c>
      <c r="BC17" s="350"/>
      <c r="BD17" s="357" t="s">
        <v>561</v>
      </c>
      <c r="BE17" s="357">
        <v>0</v>
      </c>
      <c r="BJ17" s="547" t="s">
        <v>777</v>
      </c>
      <c r="BK17" s="357">
        <v>-10</v>
      </c>
    </row>
    <row r="18" spans="1:63" ht="28.5" customHeight="1">
      <c r="A18" s="468">
        <v>9</v>
      </c>
      <c r="B18" s="1705">
        <v>0</v>
      </c>
      <c r="C18" s="2748"/>
      <c r="D18" s="1568" t="s">
        <v>572</v>
      </c>
      <c r="E18" s="1566">
        <f t="shared" si="0"/>
        <v>0</v>
      </c>
      <c r="F18" s="815" t="s">
        <v>559</v>
      </c>
      <c r="G18" s="595">
        <f t="shared" si="1"/>
        <v>0</v>
      </c>
      <c r="H18" s="596" t="s">
        <v>293</v>
      </c>
      <c r="I18" s="597">
        <f t="shared" si="2"/>
        <v>0</v>
      </c>
      <c r="J18" s="598" t="s">
        <v>551</v>
      </c>
      <c r="K18" s="531" t="s">
        <v>554</v>
      </c>
      <c r="L18" s="595">
        <f t="shared" si="3"/>
        <v>0</v>
      </c>
      <c r="M18" s="2201">
        <v>0</v>
      </c>
      <c r="N18" s="599">
        <f t="shared" si="4"/>
        <v>40</v>
      </c>
      <c r="O18" s="664">
        <f t="shared" si="5"/>
        <v>0</v>
      </c>
      <c r="P18" s="668">
        <v>10</v>
      </c>
      <c r="Q18" s="667">
        <f t="shared" si="6"/>
        <v>0</v>
      </c>
      <c r="R18" s="1042"/>
      <c r="S18" s="870">
        <f t="shared" si="7"/>
        <v>9</v>
      </c>
      <c r="T18" s="866"/>
      <c r="U18" s="1329"/>
      <c r="V18" s="1330" t="s">
        <v>795</v>
      </c>
      <c r="W18" s="1424">
        <v>0</v>
      </c>
      <c r="X18" s="1033">
        <f>VLOOKUP(V18,Düngemittel!$B$6:$E$64,2,FALSE)*(VLOOKUP(V18,Düngemittel!$B$6:$E$64,3,FALSE))/100*W18</f>
        <v>0</v>
      </c>
      <c r="Y18" s="1033">
        <f>VLOOKUP(V18,Düngemittel!$B$6:$E$64,2,FALSE)*W18</f>
        <v>0</v>
      </c>
      <c r="Z18" s="1033">
        <f>VLOOKUP(V18,Düngemittel!$B$6:$E$64,4,FALSE)*W18</f>
        <v>0</v>
      </c>
      <c r="AA18" s="2089"/>
      <c r="AB18" s="1329"/>
      <c r="AC18" s="1330" t="s">
        <v>795</v>
      </c>
      <c r="AD18" s="1424">
        <v>0</v>
      </c>
      <c r="AE18" s="1033">
        <f>VLOOKUP(AC18,Düngemittel!$B$6:$E$64,2,FALSE)*(VLOOKUP(AC18,Düngemittel!$B$6:$E$64,3,FALSE))/100*AD18</f>
        <v>0</v>
      </c>
      <c r="AF18" s="1033">
        <f>VLOOKUP(AC18,Düngemittel!$B$6:$E$64,2,FALSE)*AD18</f>
        <v>0</v>
      </c>
      <c r="AG18" s="1033">
        <f>VLOOKUP(AC18,Düngemittel!$B$6:$E$64,4,FALSE)*AD18</f>
        <v>0</v>
      </c>
      <c r="AH18" s="2089"/>
      <c r="AI18" s="1329"/>
      <c r="AJ18" s="1330" t="s">
        <v>795</v>
      </c>
      <c r="AK18" s="1424">
        <v>0</v>
      </c>
      <c r="AL18" s="1033">
        <f>VLOOKUP(AJ18,Düngemittel!$B$6:$E$64,2,FALSE)*(VLOOKUP(AJ18,Düngemittel!$B$6:$E$64,3,FALSE))/100*AK18</f>
        <v>0</v>
      </c>
      <c r="AM18" s="1033">
        <f>VLOOKUP(AJ18,Düngemittel!$B$6:$E$64,2,FALSE)*AK18</f>
        <v>0</v>
      </c>
      <c r="AN18" s="1033">
        <f>VLOOKUP(AJ18,Düngemittel!$B$6:$E$64,4,FALSE)*AK18</f>
        <v>0</v>
      </c>
      <c r="AO18" s="863"/>
      <c r="AP18" s="1812">
        <f t="shared" si="11"/>
        <v>0</v>
      </c>
      <c r="AQ18" s="1273">
        <f t="shared" si="12"/>
        <v>0</v>
      </c>
      <c r="AR18" s="1819">
        <f t="shared" si="13"/>
        <v>0</v>
      </c>
      <c r="AS18" s="1156">
        <f t="shared" si="14"/>
        <v>0</v>
      </c>
      <c r="AT18" s="1273">
        <f t="shared" si="15"/>
        <v>0</v>
      </c>
      <c r="AU18" s="1153"/>
      <c r="AV18" s="1812">
        <f t="shared" si="16"/>
        <v>0</v>
      </c>
      <c r="AW18" s="1282">
        <f t="shared" si="17"/>
        <v>0</v>
      </c>
      <c r="AX18" s="1812">
        <f t="shared" si="18"/>
        <v>0</v>
      </c>
      <c r="AY18" s="1824">
        <f t="shared" si="19"/>
        <v>0</v>
      </c>
      <c r="AZ18" s="1282">
        <f t="shared" si="20"/>
        <v>0</v>
      </c>
      <c r="BA18" s="544">
        <f t="shared" si="9"/>
        <v>0</v>
      </c>
      <c r="BB18" s="545">
        <f t="shared" si="10"/>
        <v>40</v>
      </c>
      <c r="BC18" s="350"/>
      <c r="BD18" s="357" t="s">
        <v>697</v>
      </c>
      <c r="BE18" s="357">
        <v>-40</v>
      </c>
      <c r="BJ18" s="547" t="s">
        <v>779</v>
      </c>
      <c r="BK18" s="357">
        <v>-25</v>
      </c>
    </row>
    <row r="19" spans="1:63" ht="28.5" customHeight="1">
      <c r="A19" s="468">
        <v>10</v>
      </c>
      <c r="B19" s="1705">
        <v>0</v>
      </c>
      <c r="C19" s="2748"/>
      <c r="D19" s="1568" t="s">
        <v>572</v>
      </c>
      <c r="E19" s="1566">
        <f t="shared" si="0"/>
        <v>0</v>
      </c>
      <c r="F19" s="815" t="s">
        <v>559</v>
      </c>
      <c r="G19" s="595">
        <f t="shared" si="1"/>
        <v>0</v>
      </c>
      <c r="H19" s="596" t="s">
        <v>293</v>
      </c>
      <c r="I19" s="597">
        <f t="shared" si="2"/>
        <v>0</v>
      </c>
      <c r="J19" s="598" t="s">
        <v>551</v>
      </c>
      <c r="K19" s="531" t="s">
        <v>554</v>
      </c>
      <c r="L19" s="595">
        <f t="shared" si="3"/>
        <v>0</v>
      </c>
      <c r="M19" s="2201">
        <v>0</v>
      </c>
      <c r="N19" s="599">
        <f t="shared" si="4"/>
        <v>40</v>
      </c>
      <c r="O19" s="664">
        <f t="shared" si="5"/>
        <v>0</v>
      </c>
      <c r="P19" s="668">
        <v>10</v>
      </c>
      <c r="Q19" s="667">
        <f t="shared" si="6"/>
        <v>0</v>
      </c>
      <c r="R19" s="1042"/>
      <c r="S19" s="870">
        <f t="shared" si="7"/>
        <v>10</v>
      </c>
      <c r="T19" s="866"/>
      <c r="U19" s="1329"/>
      <c r="V19" s="1330" t="s">
        <v>795</v>
      </c>
      <c r="W19" s="1424">
        <v>0</v>
      </c>
      <c r="X19" s="1033">
        <f>VLOOKUP(V19,Düngemittel!$B$6:$E$64,2,FALSE)*(VLOOKUP(V19,Düngemittel!$B$6:$E$64,3,FALSE))/100*W19</f>
        <v>0</v>
      </c>
      <c r="Y19" s="1033">
        <f>VLOOKUP(V19,Düngemittel!$B$6:$E$64,2,FALSE)*W19</f>
        <v>0</v>
      </c>
      <c r="Z19" s="1033">
        <f>VLOOKUP(V19,Düngemittel!$B$6:$E$64,4,FALSE)*W19</f>
        <v>0</v>
      </c>
      <c r="AA19" s="2089"/>
      <c r="AB19" s="1329"/>
      <c r="AC19" s="1330" t="s">
        <v>795</v>
      </c>
      <c r="AD19" s="1424">
        <v>0</v>
      </c>
      <c r="AE19" s="1033">
        <f>VLOOKUP(AC19,Düngemittel!$B$6:$E$64,2,FALSE)*(VLOOKUP(AC19,Düngemittel!$B$6:$E$64,3,FALSE))/100*AD19</f>
        <v>0</v>
      </c>
      <c r="AF19" s="1033">
        <f>VLOOKUP(AC19,Düngemittel!$B$6:$E$64,2,FALSE)*AD19</f>
        <v>0</v>
      </c>
      <c r="AG19" s="1033">
        <f>VLOOKUP(AC19,Düngemittel!$B$6:$E$64,4,FALSE)*AD19</f>
        <v>0</v>
      </c>
      <c r="AH19" s="2089"/>
      <c r="AI19" s="1329"/>
      <c r="AJ19" s="1330" t="s">
        <v>795</v>
      </c>
      <c r="AK19" s="1424">
        <v>0</v>
      </c>
      <c r="AL19" s="1033">
        <f>VLOOKUP(AJ19,Düngemittel!$B$6:$E$64,2,FALSE)*(VLOOKUP(AJ19,Düngemittel!$B$6:$E$64,3,FALSE))/100*AK19</f>
        <v>0</v>
      </c>
      <c r="AM19" s="1033">
        <f>VLOOKUP(AJ19,Düngemittel!$B$6:$E$64,2,FALSE)*AK19</f>
        <v>0</v>
      </c>
      <c r="AN19" s="1033">
        <f>VLOOKUP(AJ19,Düngemittel!$B$6:$E$64,4,FALSE)*AK19</f>
        <v>0</v>
      </c>
      <c r="AO19" s="863"/>
      <c r="AP19" s="1812">
        <f t="shared" si="11"/>
        <v>0</v>
      </c>
      <c r="AQ19" s="1273">
        <f t="shared" si="12"/>
        <v>0</v>
      </c>
      <c r="AR19" s="1819">
        <f t="shared" si="13"/>
        <v>0</v>
      </c>
      <c r="AS19" s="1156">
        <f t="shared" si="14"/>
        <v>0</v>
      </c>
      <c r="AT19" s="1273">
        <f t="shared" si="15"/>
        <v>0</v>
      </c>
      <c r="AU19" s="1153"/>
      <c r="AV19" s="1812">
        <f t="shared" si="16"/>
        <v>0</v>
      </c>
      <c r="AW19" s="1282">
        <f t="shared" si="17"/>
        <v>0</v>
      </c>
      <c r="AX19" s="1812">
        <f t="shared" si="18"/>
        <v>0</v>
      </c>
      <c r="AY19" s="1824">
        <f t="shared" si="19"/>
        <v>0</v>
      </c>
      <c r="AZ19" s="1282">
        <f t="shared" si="20"/>
        <v>0</v>
      </c>
      <c r="BA19" s="544">
        <f t="shared" si="9"/>
        <v>0</v>
      </c>
      <c r="BB19" s="545">
        <f t="shared" si="10"/>
        <v>40</v>
      </c>
      <c r="BC19" s="350"/>
      <c r="BD19" s="357" t="s">
        <v>768</v>
      </c>
      <c r="BE19" s="357">
        <v>0</v>
      </c>
      <c r="BJ19" s="547" t="s">
        <v>778</v>
      </c>
      <c r="BK19" s="357">
        <v>-50</v>
      </c>
    </row>
    <row r="20" spans="1:63" ht="28.5" customHeight="1">
      <c r="A20" s="468">
        <v>11</v>
      </c>
      <c r="B20" s="1705">
        <v>0</v>
      </c>
      <c r="C20" s="2748"/>
      <c r="D20" s="1568" t="s">
        <v>572</v>
      </c>
      <c r="E20" s="1566">
        <f t="shared" si="0"/>
        <v>0</v>
      </c>
      <c r="F20" s="815" t="s">
        <v>559</v>
      </c>
      <c r="G20" s="595">
        <f t="shared" si="1"/>
        <v>0</v>
      </c>
      <c r="H20" s="596" t="s">
        <v>293</v>
      </c>
      <c r="I20" s="597">
        <f t="shared" si="2"/>
        <v>0</v>
      </c>
      <c r="J20" s="598" t="s">
        <v>551</v>
      </c>
      <c r="K20" s="531" t="s">
        <v>554</v>
      </c>
      <c r="L20" s="595">
        <f t="shared" si="3"/>
        <v>0</v>
      </c>
      <c r="M20" s="2201">
        <v>0</v>
      </c>
      <c r="N20" s="599">
        <f t="shared" si="4"/>
        <v>40</v>
      </c>
      <c r="O20" s="664">
        <f t="shared" si="5"/>
        <v>0</v>
      </c>
      <c r="P20" s="668">
        <v>10</v>
      </c>
      <c r="Q20" s="667">
        <f t="shared" si="6"/>
        <v>0</v>
      </c>
      <c r="R20" s="1042"/>
      <c r="S20" s="870">
        <f t="shared" si="7"/>
        <v>11</v>
      </c>
      <c r="T20" s="866"/>
      <c r="U20" s="1329"/>
      <c r="V20" s="1330" t="s">
        <v>795</v>
      </c>
      <c r="W20" s="1424">
        <v>0</v>
      </c>
      <c r="X20" s="1033">
        <f>VLOOKUP(V20,Düngemittel!$B$6:$E$64,2,FALSE)*(VLOOKUP(V20,Düngemittel!$B$6:$E$64,3,FALSE))/100*W20</f>
        <v>0</v>
      </c>
      <c r="Y20" s="1033">
        <f>VLOOKUP(V20,Düngemittel!$B$6:$E$64,2,FALSE)*W20</f>
        <v>0</v>
      </c>
      <c r="Z20" s="1033">
        <f>VLOOKUP(V20,Düngemittel!$B$6:$E$64,4,FALSE)*W20</f>
        <v>0</v>
      </c>
      <c r="AA20" s="2089"/>
      <c r="AB20" s="1329"/>
      <c r="AC20" s="1330" t="s">
        <v>795</v>
      </c>
      <c r="AD20" s="1424">
        <v>0</v>
      </c>
      <c r="AE20" s="1033">
        <f>VLOOKUP(AC20,Düngemittel!$B$6:$E$64,2,FALSE)*(VLOOKUP(AC20,Düngemittel!$B$6:$E$64,3,FALSE))/100*AD20</f>
        <v>0</v>
      </c>
      <c r="AF20" s="1033">
        <f>VLOOKUP(AC20,Düngemittel!$B$6:$E$64,2,FALSE)*AD20</f>
        <v>0</v>
      </c>
      <c r="AG20" s="1033">
        <f>VLOOKUP(AC20,Düngemittel!$B$6:$E$64,4,FALSE)*AD20</f>
        <v>0</v>
      </c>
      <c r="AH20" s="2089"/>
      <c r="AI20" s="1329"/>
      <c r="AJ20" s="1330" t="s">
        <v>795</v>
      </c>
      <c r="AK20" s="1424">
        <v>0</v>
      </c>
      <c r="AL20" s="1033">
        <f>VLOOKUP(AJ20,Düngemittel!$B$6:$E$64,2,FALSE)*(VLOOKUP(AJ20,Düngemittel!$B$6:$E$64,3,FALSE))/100*AK20</f>
        <v>0</v>
      </c>
      <c r="AM20" s="1033">
        <f>VLOOKUP(AJ20,Düngemittel!$B$6:$E$64,2,FALSE)*AK20</f>
        <v>0</v>
      </c>
      <c r="AN20" s="1033">
        <f>VLOOKUP(AJ20,Düngemittel!$B$6:$E$64,4,FALSE)*AK20</f>
        <v>0</v>
      </c>
      <c r="AO20" s="863"/>
      <c r="AP20" s="1812">
        <f t="shared" si="11"/>
        <v>0</v>
      </c>
      <c r="AQ20" s="1273">
        <f t="shared" si="12"/>
        <v>0</v>
      </c>
      <c r="AR20" s="1819">
        <f t="shared" si="13"/>
        <v>0</v>
      </c>
      <c r="AS20" s="1156">
        <f t="shared" si="14"/>
        <v>0</v>
      </c>
      <c r="AT20" s="1273">
        <f t="shared" si="15"/>
        <v>0</v>
      </c>
      <c r="AU20" s="1153"/>
      <c r="AV20" s="1812">
        <f t="shared" si="16"/>
        <v>0</v>
      </c>
      <c r="AW20" s="1282">
        <f t="shared" si="17"/>
        <v>0</v>
      </c>
      <c r="AX20" s="1812">
        <f t="shared" si="18"/>
        <v>0</v>
      </c>
      <c r="AY20" s="1824">
        <f t="shared" si="19"/>
        <v>0</v>
      </c>
      <c r="AZ20" s="1282">
        <f t="shared" si="20"/>
        <v>0</v>
      </c>
      <c r="BA20" s="544">
        <f t="shared" si="9"/>
        <v>0</v>
      </c>
      <c r="BB20" s="545">
        <f t="shared" si="10"/>
        <v>40</v>
      </c>
      <c r="BC20" s="350"/>
      <c r="BD20" s="357" t="s">
        <v>769</v>
      </c>
      <c r="BE20" s="357">
        <v>-40</v>
      </c>
      <c r="BJ20" s="547" t="s">
        <v>550</v>
      </c>
      <c r="BK20" s="357">
        <v>-10</v>
      </c>
    </row>
    <row r="21" spans="1:63" ht="28.5" customHeight="1">
      <c r="A21" s="468">
        <v>12</v>
      </c>
      <c r="B21" s="1705">
        <v>0</v>
      </c>
      <c r="C21" s="2748"/>
      <c r="D21" s="1568" t="s">
        <v>572</v>
      </c>
      <c r="E21" s="1566">
        <f t="shared" si="0"/>
        <v>0</v>
      </c>
      <c r="F21" s="815" t="s">
        <v>559</v>
      </c>
      <c r="G21" s="595">
        <f t="shared" si="1"/>
        <v>0</v>
      </c>
      <c r="H21" s="596" t="s">
        <v>293</v>
      </c>
      <c r="I21" s="597">
        <f t="shared" si="2"/>
        <v>0</v>
      </c>
      <c r="J21" s="598" t="s">
        <v>551</v>
      </c>
      <c r="K21" s="531" t="s">
        <v>554</v>
      </c>
      <c r="L21" s="595">
        <f t="shared" si="3"/>
        <v>0</v>
      </c>
      <c r="M21" s="2201">
        <v>0</v>
      </c>
      <c r="N21" s="599">
        <f t="shared" si="4"/>
        <v>40</v>
      </c>
      <c r="O21" s="664">
        <f t="shared" si="5"/>
        <v>0</v>
      </c>
      <c r="P21" s="668">
        <v>10</v>
      </c>
      <c r="Q21" s="667">
        <f t="shared" si="6"/>
        <v>0</v>
      </c>
      <c r="R21" s="1042"/>
      <c r="S21" s="870">
        <f t="shared" si="7"/>
        <v>12</v>
      </c>
      <c r="T21" s="866"/>
      <c r="U21" s="1329"/>
      <c r="V21" s="1330" t="s">
        <v>795</v>
      </c>
      <c r="W21" s="1424">
        <v>0</v>
      </c>
      <c r="X21" s="1033">
        <f>VLOOKUP(V21,Düngemittel!$B$6:$E$64,2,FALSE)*(VLOOKUP(V21,Düngemittel!$B$6:$E$64,3,FALSE))/100*W21</f>
        <v>0</v>
      </c>
      <c r="Y21" s="1033">
        <f>VLOOKUP(V21,Düngemittel!$B$6:$E$64,2,FALSE)*W21</f>
        <v>0</v>
      </c>
      <c r="Z21" s="1033">
        <f>VLOOKUP(V21,Düngemittel!$B$6:$E$64,4,FALSE)*W21</f>
        <v>0</v>
      </c>
      <c r="AA21" s="2089"/>
      <c r="AB21" s="1329"/>
      <c r="AC21" s="1330" t="s">
        <v>795</v>
      </c>
      <c r="AD21" s="1424">
        <v>0</v>
      </c>
      <c r="AE21" s="1033">
        <f>VLOOKUP(AC21,Düngemittel!$B$6:$E$64,2,FALSE)*(VLOOKUP(AC21,Düngemittel!$B$6:$E$64,3,FALSE))/100*AD21</f>
        <v>0</v>
      </c>
      <c r="AF21" s="1033">
        <f>VLOOKUP(AC21,Düngemittel!$B$6:$E$64,2,FALSE)*AD21</f>
        <v>0</v>
      </c>
      <c r="AG21" s="1033">
        <f>VLOOKUP(AC21,Düngemittel!$B$6:$E$64,4,FALSE)*AD21</f>
        <v>0</v>
      </c>
      <c r="AH21" s="2089"/>
      <c r="AI21" s="1329"/>
      <c r="AJ21" s="1330" t="s">
        <v>795</v>
      </c>
      <c r="AK21" s="1424">
        <v>0</v>
      </c>
      <c r="AL21" s="1033">
        <f>VLOOKUP(AJ21,Düngemittel!$B$6:$E$64,2,FALSE)*(VLOOKUP(AJ21,Düngemittel!$B$6:$E$64,3,FALSE))/100*AK21</f>
        <v>0</v>
      </c>
      <c r="AM21" s="1033">
        <f>VLOOKUP(AJ21,Düngemittel!$B$6:$E$64,2,FALSE)*AK21</f>
        <v>0</v>
      </c>
      <c r="AN21" s="1033">
        <f>VLOOKUP(AJ21,Düngemittel!$B$6:$E$64,4,FALSE)*AK21</f>
        <v>0</v>
      </c>
      <c r="AO21" s="863"/>
      <c r="AP21" s="1812">
        <f t="shared" si="11"/>
        <v>0</v>
      </c>
      <c r="AQ21" s="1273">
        <f t="shared" si="12"/>
        <v>0</v>
      </c>
      <c r="AR21" s="1819">
        <f t="shared" si="13"/>
        <v>0</v>
      </c>
      <c r="AS21" s="1156">
        <f t="shared" si="14"/>
        <v>0</v>
      </c>
      <c r="AT21" s="1273">
        <f t="shared" si="15"/>
        <v>0</v>
      </c>
      <c r="AU21" s="1153"/>
      <c r="AV21" s="1812">
        <f t="shared" si="16"/>
        <v>0</v>
      </c>
      <c r="AW21" s="1282">
        <f t="shared" si="17"/>
        <v>0</v>
      </c>
      <c r="AX21" s="1812">
        <f t="shared" si="18"/>
        <v>0</v>
      </c>
      <c r="AY21" s="1824">
        <f t="shared" si="19"/>
        <v>0</v>
      </c>
      <c r="AZ21" s="1282">
        <f t="shared" si="20"/>
        <v>0</v>
      </c>
      <c r="BA21" s="544">
        <f t="shared" si="9"/>
        <v>0</v>
      </c>
      <c r="BB21" s="545">
        <f t="shared" si="10"/>
        <v>40</v>
      </c>
      <c r="BC21" s="350"/>
      <c r="BJ21" s="357" t="s">
        <v>780</v>
      </c>
      <c r="BK21" s="357">
        <v>-10</v>
      </c>
    </row>
    <row r="22" spans="1:63" ht="28.5" customHeight="1">
      <c r="A22" s="468">
        <v>13</v>
      </c>
      <c r="B22" s="1705">
        <v>0</v>
      </c>
      <c r="C22" s="2748"/>
      <c r="D22" s="1568" t="s">
        <v>572</v>
      </c>
      <c r="E22" s="1566">
        <f t="shared" si="0"/>
        <v>0</v>
      </c>
      <c r="F22" s="815" t="s">
        <v>559</v>
      </c>
      <c r="G22" s="595">
        <f t="shared" si="1"/>
        <v>0</v>
      </c>
      <c r="H22" s="596" t="s">
        <v>293</v>
      </c>
      <c r="I22" s="597">
        <f t="shared" si="2"/>
        <v>0</v>
      </c>
      <c r="J22" s="598" t="s">
        <v>551</v>
      </c>
      <c r="K22" s="531" t="s">
        <v>553</v>
      </c>
      <c r="L22" s="595">
        <f t="shared" si="3"/>
        <v>0</v>
      </c>
      <c r="M22" s="2201">
        <v>0</v>
      </c>
      <c r="N22" s="599">
        <f t="shared" si="4"/>
        <v>40</v>
      </c>
      <c r="O22" s="664">
        <f t="shared" si="5"/>
        <v>0</v>
      </c>
      <c r="P22" s="668">
        <v>10</v>
      </c>
      <c r="Q22" s="667">
        <f t="shared" si="6"/>
        <v>0</v>
      </c>
      <c r="R22" s="1042"/>
      <c r="S22" s="870">
        <f t="shared" si="7"/>
        <v>13</v>
      </c>
      <c r="T22" s="866"/>
      <c r="U22" s="1329"/>
      <c r="V22" s="1330" t="s">
        <v>795</v>
      </c>
      <c r="W22" s="1424">
        <v>0</v>
      </c>
      <c r="X22" s="1033">
        <f>VLOOKUP(V22,Düngemittel!$B$6:$E$64,2,FALSE)*(VLOOKUP(V22,Düngemittel!$B$6:$E$64,3,FALSE))/100*W22</f>
        <v>0</v>
      </c>
      <c r="Y22" s="1033">
        <f>VLOOKUP(V22,Düngemittel!$B$6:$E$64,2,FALSE)*W22</f>
        <v>0</v>
      </c>
      <c r="Z22" s="1033">
        <f>VLOOKUP(V22,Düngemittel!$B$6:$E$64,4,FALSE)*W22</f>
        <v>0</v>
      </c>
      <c r="AA22" s="2089"/>
      <c r="AB22" s="1329"/>
      <c r="AC22" s="1330" t="s">
        <v>795</v>
      </c>
      <c r="AD22" s="1424">
        <v>0</v>
      </c>
      <c r="AE22" s="1033">
        <f>VLOOKUP(AC22,Düngemittel!$B$6:$E$64,2,FALSE)*(VLOOKUP(AC22,Düngemittel!$B$6:$E$64,3,FALSE))/100*AD22</f>
        <v>0</v>
      </c>
      <c r="AF22" s="1033">
        <f>VLOOKUP(AC22,Düngemittel!$B$6:$E$64,2,FALSE)*AD22</f>
        <v>0</v>
      </c>
      <c r="AG22" s="1033">
        <f>VLOOKUP(AC22,Düngemittel!$B$6:$E$64,4,FALSE)*AD22</f>
        <v>0</v>
      </c>
      <c r="AH22" s="2089"/>
      <c r="AI22" s="1329"/>
      <c r="AJ22" s="1330" t="s">
        <v>795</v>
      </c>
      <c r="AK22" s="1424">
        <v>0</v>
      </c>
      <c r="AL22" s="1033">
        <f>VLOOKUP(AJ22,Düngemittel!$B$6:$E$64,2,FALSE)*(VLOOKUP(AJ22,Düngemittel!$B$6:$E$64,3,FALSE))/100*AK22</f>
        <v>0</v>
      </c>
      <c r="AM22" s="1033">
        <f>VLOOKUP(AJ22,Düngemittel!$B$6:$E$64,2,FALSE)*AK22</f>
        <v>0</v>
      </c>
      <c r="AN22" s="1033">
        <f>VLOOKUP(AJ22,Düngemittel!$B$6:$E$64,4,FALSE)*AK22</f>
        <v>0</v>
      </c>
      <c r="AO22" s="863"/>
      <c r="AP22" s="1812">
        <f t="shared" si="11"/>
        <v>0</v>
      </c>
      <c r="AQ22" s="1273">
        <f t="shared" si="12"/>
        <v>0</v>
      </c>
      <c r="AR22" s="1819">
        <f t="shared" si="13"/>
        <v>0</v>
      </c>
      <c r="AS22" s="1156">
        <f t="shared" si="14"/>
        <v>0</v>
      </c>
      <c r="AT22" s="1273">
        <f t="shared" si="15"/>
        <v>0</v>
      </c>
      <c r="AU22" s="1153"/>
      <c r="AV22" s="1812">
        <f t="shared" si="16"/>
        <v>0</v>
      </c>
      <c r="AW22" s="1282">
        <f t="shared" si="17"/>
        <v>0</v>
      </c>
      <c r="AX22" s="1812">
        <f t="shared" si="18"/>
        <v>0</v>
      </c>
      <c r="AY22" s="1824">
        <f t="shared" si="19"/>
        <v>0</v>
      </c>
      <c r="AZ22" s="1282">
        <f t="shared" si="20"/>
        <v>0</v>
      </c>
      <c r="BA22" s="544">
        <f t="shared" si="9"/>
        <v>0</v>
      </c>
      <c r="BB22" s="545">
        <f t="shared" si="10"/>
        <v>40</v>
      </c>
      <c r="BC22" s="350"/>
      <c r="BJ22" s="357" t="s">
        <v>551</v>
      </c>
      <c r="BK22" s="357">
        <v>0</v>
      </c>
    </row>
    <row r="23" spans="1:63" ht="28.5" customHeight="1">
      <c r="A23" s="468">
        <v>14</v>
      </c>
      <c r="B23" s="1705">
        <v>0</v>
      </c>
      <c r="C23" s="2748"/>
      <c r="D23" s="1568" t="s">
        <v>572</v>
      </c>
      <c r="E23" s="1566">
        <f t="shared" si="0"/>
        <v>0</v>
      </c>
      <c r="F23" s="815" t="s">
        <v>559</v>
      </c>
      <c r="G23" s="595">
        <f t="shared" si="1"/>
        <v>0</v>
      </c>
      <c r="H23" s="596" t="s">
        <v>293</v>
      </c>
      <c r="I23" s="597">
        <f t="shared" si="2"/>
        <v>0</v>
      </c>
      <c r="J23" s="598" t="s">
        <v>551</v>
      </c>
      <c r="K23" s="531" t="s">
        <v>553</v>
      </c>
      <c r="L23" s="595">
        <f t="shared" si="3"/>
        <v>0</v>
      </c>
      <c r="M23" s="2201">
        <v>0</v>
      </c>
      <c r="N23" s="599">
        <f t="shared" si="4"/>
        <v>40</v>
      </c>
      <c r="O23" s="664">
        <f t="shared" si="5"/>
        <v>0</v>
      </c>
      <c r="P23" s="668">
        <v>10</v>
      </c>
      <c r="Q23" s="667">
        <f t="shared" si="6"/>
        <v>0</v>
      </c>
      <c r="R23" s="1042"/>
      <c r="S23" s="870">
        <f t="shared" si="7"/>
        <v>14</v>
      </c>
      <c r="T23" s="866"/>
      <c r="U23" s="1329"/>
      <c r="V23" s="1330" t="s">
        <v>795</v>
      </c>
      <c r="W23" s="1424">
        <v>0</v>
      </c>
      <c r="X23" s="1033">
        <f>VLOOKUP(V23,Düngemittel!$B$6:$E$64,2,FALSE)*(VLOOKUP(V23,Düngemittel!$B$6:$E$64,3,FALSE))/100*W23</f>
        <v>0</v>
      </c>
      <c r="Y23" s="1033">
        <f>VLOOKUP(V23,Düngemittel!$B$6:$E$64,2,FALSE)*W23</f>
        <v>0</v>
      </c>
      <c r="Z23" s="1033">
        <f>VLOOKUP(V23,Düngemittel!$B$6:$E$64,4,FALSE)*W23</f>
        <v>0</v>
      </c>
      <c r="AA23" s="2089"/>
      <c r="AB23" s="1329"/>
      <c r="AC23" s="1330" t="s">
        <v>795</v>
      </c>
      <c r="AD23" s="1424">
        <v>0</v>
      </c>
      <c r="AE23" s="1033">
        <f>VLOOKUP(AC23,Düngemittel!$B$6:$E$64,2,FALSE)*(VLOOKUP(AC23,Düngemittel!$B$6:$E$64,3,FALSE))/100*AD23</f>
        <v>0</v>
      </c>
      <c r="AF23" s="1033">
        <f>VLOOKUP(AC23,Düngemittel!$B$6:$E$64,2,FALSE)*AD23</f>
        <v>0</v>
      </c>
      <c r="AG23" s="1033">
        <f>VLOOKUP(AC23,Düngemittel!$B$6:$E$64,4,FALSE)*AD23</f>
        <v>0</v>
      </c>
      <c r="AH23" s="2089"/>
      <c r="AI23" s="1329"/>
      <c r="AJ23" s="1330" t="s">
        <v>795</v>
      </c>
      <c r="AK23" s="1424">
        <v>0</v>
      </c>
      <c r="AL23" s="1033">
        <f>VLOOKUP(AJ23,Düngemittel!$B$6:$E$64,2,FALSE)*(VLOOKUP(AJ23,Düngemittel!$B$6:$E$64,3,FALSE))/100*AK23</f>
        <v>0</v>
      </c>
      <c r="AM23" s="1033">
        <f>VLOOKUP(AJ23,Düngemittel!$B$6:$E$64,2,FALSE)*AK23</f>
        <v>0</v>
      </c>
      <c r="AN23" s="1033">
        <f>VLOOKUP(AJ23,Düngemittel!$B$6:$E$64,4,FALSE)*AK23</f>
        <v>0</v>
      </c>
      <c r="AO23" s="863"/>
      <c r="AP23" s="1812">
        <f t="shared" si="11"/>
        <v>0</v>
      </c>
      <c r="AQ23" s="1273">
        <f t="shared" si="12"/>
        <v>0</v>
      </c>
      <c r="AR23" s="1819">
        <f t="shared" si="13"/>
        <v>0</v>
      </c>
      <c r="AS23" s="1156">
        <f t="shared" si="14"/>
        <v>0</v>
      </c>
      <c r="AT23" s="1273">
        <f t="shared" si="15"/>
        <v>0</v>
      </c>
      <c r="AU23" s="1153"/>
      <c r="AV23" s="1812">
        <f t="shared" si="16"/>
        <v>0</v>
      </c>
      <c r="AW23" s="1282">
        <f t="shared" si="17"/>
        <v>0</v>
      </c>
      <c r="AX23" s="1812">
        <f t="shared" si="18"/>
        <v>0</v>
      </c>
      <c r="AY23" s="1824">
        <f t="shared" si="19"/>
        <v>0</v>
      </c>
      <c r="AZ23" s="1282">
        <f t="shared" si="20"/>
        <v>0</v>
      </c>
      <c r="BA23" s="544">
        <f t="shared" si="9"/>
        <v>0</v>
      </c>
      <c r="BB23" s="545">
        <f t="shared" si="10"/>
        <v>40</v>
      </c>
      <c r="BC23" s="350"/>
      <c r="BJ23" s="547"/>
    </row>
    <row r="24" spans="1:63" ht="28.5" customHeight="1">
      <c r="A24" s="468">
        <v>15</v>
      </c>
      <c r="B24" s="1705">
        <v>0</v>
      </c>
      <c r="C24" s="2748"/>
      <c r="D24" s="1568" t="s">
        <v>572</v>
      </c>
      <c r="E24" s="1566">
        <f t="shared" si="0"/>
        <v>0</v>
      </c>
      <c r="F24" s="815" t="s">
        <v>559</v>
      </c>
      <c r="G24" s="595">
        <f t="shared" si="1"/>
        <v>0</v>
      </c>
      <c r="H24" s="596" t="s">
        <v>293</v>
      </c>
      <c r="I24" s="597">
        <f t="shared" si="2"/>
        <v>0</v>
      </c>
      <c r="J24" s="598" t="s">
        <v>551</v>
      </c>
      <c r="K24" s="531" t="s">
        <v>553</v>
      </c>
      <c r="L24" s="595">
        <f t="shared" si="3"/>
        <v>0</v>
      </c>
      <c r="M24" s="2201">
        <v>0</v>
      </c>
      <c r="N24" s="599">
        <f t="shared" si="4"/>
        <v>40</v>
      </c>
      <c r="O24" s="664">
        <f t="shared" si="5"/>
        <v>0</v>
      </c>
      <c r="P24" s="668">
        <v>10</v>
      </c>
      <c r="Q24" s="667">
        <f t="shared" si="6"/>
        <v>0</v>
      </c>
      <c r="R24" s="1042"/>
      <c r="S24" s="870">
        <f t="shared" si="7"/>
        <v>15</v>
      </c>
      <c r="T24" s="866"/>
      <c r="U24" s="1329"/>
      <c r="V24" s="1330" t="s">
        <v>795</v>
      </c>
      <c r="W24" s="1424">
        <v>0</v>
      </c>
      <c r="X24" s="1033">
        <f>VLOOKUP(V24,Düngemittel!$B$6:$E$64,2,FALSE)*(VLOOKUP(V24,Düngemittel!$B$6:$E$64,3,FALSE))/100*W24</f>
        <v>0</v>
      </c>
      <c r="Y24" s="1033">
        <f>VLOOKUP(V24,Düngemittel!$B$6:$E$64,2,FALSE)*W24</f>
        <v>0</v>
      </c>
      <c r="Z24" s="1033">
        <f>VLOOKUP(V24,Düngemittel!$B$6:$E$64,4,FALSE)*W24</f>
        <v>0</v>
      </c>
      <c r="AA24" s="2089"/>
      <c r="AB24" s="1329"/>
      <c r="AC24" s="1330" t="s">
        <v>795</v>
      </c>
      <c r="AD24" s="1424">
        <v>0</v>
      </c>
      <c r="AE24" s="1033">
        <f>VLOOKUP(AC24,Düngemittel!$B$6:$E$64,2,FALSE)*(VLOOKUP(AC24,Düngemittel!$B$6:$E$64,3,FALSE))/100*AD24</f>
        <v>0</v>
      </c>
      <c r="AF24" s="1033">
        <f>VLOOKUP(AC24,Düngemittel!$B$6:$E$64,2,FALSE)*AD24</f>
        <v>0</v>
      </c>
      <c r="AG24" s="1033">
        <f>VLOOKUP(AC24,Düngemittel!$B$6:$E$64,4,FALSE)*AD24</f>
        <v>0</v>
      </c>
      <c r="AH24" s="2089"/>
      <c r="AI24" s="1329"/>
      <c r="AJ24" s="1330" t="s">
        <v>795</v>
      </c>
      <c r="AK24" s="1424">
        <v>0</v>
      </c>
      <c r="AL24" s="1033">
        <f>VLOOKUP(AJ24,Düngemittel!$B$6:$E$64,2,FALSE)*(VLOOKUP(AJ24,Düngemittel!$B$6:$E$64,3,FALSE))/100*AK24</f>
        <v>0</v>
      </c>
      <c r="AM24" s="1033">
        <f>VLOOKUP(AJ24,Düngemittel!$B$6:$E$64,2,FALSE)*AK24</f>
        <v>0</v>
      </c>
      <c r="AN24" s="1033">
        <f>VLOOKUP(AJ24,Düngemittel!$B$6:$E$64,4,FALSE)*AK24</f>
        <v>0</v>
      </c>
      <c r="AO24" s="863"/>
      <c r="AP24" s="1812">
        <f t="shared" si="11"/>
        <v>0</v>
      </c>
      <c r="AQ24" s="1273">
        <f t="shared" si="12"/>
        <v>0</v>
      </c>
      <c r="AR24" s="1819">
        <f t="shared" si="13"/>
        <v>0</v>
      </c>
      <c r="AS24" s="1156">
        <f t="shared" si="14"/>
        <v>0</v>
      </c>
      <c r="AT24" s="1273">
        <f t="shared" si="15"/>
        <v>0</v>
      </c>
      <c r="AU24" s="1153"/>
      <c r="AV24" s="1812">
        <f t="shared" si="16"/>
        <v>0</v>
      </c>
      <c r="AW24" s="1282">
        <f t="shared" si="17"/>
        <v>0</v>
      </c>
      <c r="AX24" s="1812">
        <f t="shared" si="18"/>
        <v>0</v>
      </c>
      <c r="AY24" s="1824">
        <f t="shared" si="19"/>
        <v>0</v>
      </c>
      <c r="AZ24" s="1282">
        <f t="shared" si="20"/>
        <v>0</v>
      </c>
      <c r="BA24" s="544">
        <f t="shared" si="9"/>
        <v>0</v>
      </c>
      <c r="BB24" s="545">
        <f t="shared" si="10"/>
        <v>40</v>
      </c>
      <c r="BC24" s="350"/>
      <c r="BJ24" s="547"/>
    </row>
    <row r="25" spans="1:63" ht="28.5" customHeight="1">
      <c r="A25" s="468">
        <v>16</v>
      </c>
      <c r="B25" s="1705">
        <v>0</v>
      </c>
      <c r="C25" s="2748"/>
      <c r="D25" s="1568" t="s">
        <v>572</v>
      </c>
      <c r="E25" s="1566">
        <f t="shared" si="0"/>
        <v>0</v>
      </c>
      <c r="F25" s="815" t="s">
        <v>559</v>
      </c>
      <c r="G25" s="595">
        <f t="shared" si="1"/>
        <v>0</v>
      </c>
      <c r="H25" s="596" t="s">
        <v>293</v>
      </c>
      <c r="I25" s="597">
        <f t="shared" si="2"/>
        <v>0</v>
      </c>
      <c r="J25" s="598" t="s">
        <v>551</v>
      </c>
      <c r="K25" s="531" t="s">
        <v>553</v>
      </c>
      <c r="L25" s="595">
        <f t="shared" si="3"/>
        <v>0</v>
      </c>
      <c r="M25" s="2201">
        <v>0</v>
      </c>
      <c r="N25" s="599">
        <f t="shared" si="4"/>
        <v>40</v>
      </c>
      <c r="O25" s="664">
        <f t="shared" si="5"/>
        <v>0</v>
      </c>
      <c r="P25" s="668">
        <v>10</v>
      </c>
      <c r="Q25" s="667">
        <f t="shared" si="6"/>
        <v>0</v>
      </c>
      <c r="R25" s="1042"/>
      <c r="S25" s="870">
        <f t="shared" si="7"/>
        <v>16</v>
      </c>
      <c r="T25" s="866"/>
      <c r="U25" s="1329"/>
      <c r="V25" s="1330" t="s">
        <v>795</v>
      </c>
      <c r="W25" s="1424">
        <v>0</v>
      </c>
      <c r="X25" s="1033">
        <f>VLOOKUP(V25,Düngemittel!$B$6:$E$64,2,FALSE)*(VLOOKUP(V25,Düngemittel!$B$6:$E$64,3,FALSE))/100*W25</f>
        <v>0</v>
      </c>
      <c r="Y25" s="1033">
        <f>VLOOKUP(V25,Düngemittel!$B$6:$E$64,2,FALSE)*W25</f>
        <v>0</v>
      </c>
      <c r="Z25" s="1033">
        <f>VLOOKUP(V25,Düngemittel!$B$6:$E$64,4,FALSE)*W25</f>
        <v>0</v>
      </c>
      <c r="AA25" s="2089"/>
      <c r="AB25" s="1329"/>
      <c r="AC25" s="1330" t="s">
        <v>795</v>
      </c>
      <c r="AD25" s="1424">
        <v>0</v>
      </c>
      <c r="AE25" s="1033">
        <f>VLOOKUP(AC25,Düngemittel!$B$6:$E$64,2,FALSE)*(VLOOKUP(AC25,Düngemittel!$B$6:$E$64,3,FALSE))/100*AD25</f>
        <v>0</v>
      </c>
      <c r="AF25" s="1033">
        <f>VLOOKUP(AC25,Düngemittel!$B$6:$E$64,2,FALSE)*AD25</f>
        <v>0</v>
      </c>
      <c r="AG25" s="1033">
        <f>VLOOKUP(AC25,Düngemittel!$B$6:$E$64,4,FALSE)*AD25</f>
        <v>0</v>
      </c>
      <c r="AH25" s="2089"/>
      <c r="AI25" s="1329"/>
      <c r="AJ25" s="1330" t="s">
        <v>795</v>
      </c>
      <c r="AK25" s="1424">
        <v>0</v>
      </c>
      <c r="AL25" s="1033">
        <f>VLOOKUP(AJ25,Düngemittel!$B$6:$E$64,2,FALSE)*(VLOOKUP(AJ25,Düngemittel!$B$6:$E$64,3,FALSE))/100*AK25</f>
        <v>0</v>
      </c>
      <c r="AM25" s="1033">
        <f>VLOOKUP(AJ25,Düngemittel!$B$6:$E$64,2,FALSE)*AK25</f>
        <v>0</v>
      </c>
      <c r="AN25" s="1033">
        <f>VLOOKUP(AJ25,Düngemittel!$B$6:$E$64,4,FALSE)*AK25</f>
        <v>0</v>
      </c>
      <c r="AO25" s="863"/>
      <c r="AP25" s="1812">
        <f t="shared" si="11"/>
        <v>0</v>
      </c>
      <c r="AQ25" s="1273">
        <f t="shared" si="12"/>
        <v>0</v>
      </c>
      <c r="AR25" s="1819">
        <f t="shared" si="13"/>
        <v>0</v>
      </c>
      <c r="AS25" s="1156">
        <f t="shared" si="14"/>
        <v>0</v>
      </c>
      <c r="AT25" s="1273">
        <f t="shared" si="15"/>
        <v>0</v>
      </c>
      <c r="AU25" s="1153"/>
      <c r="AV25" s="1812">
        <f t="shared" si="16"/>
        <v>0</v>
      </c>
      <c r="AW25" s="1282">
        <f t="shared" si="17"/>
        <v>0</v>
      </c>
      <c r="AX25" s="1812">
        <f t="shared" si="18"/>
        <v>0</v>
      </c>
      <c r="AY25" s="1824">
        <f t="shared" si="19"/>
        <v>0</v>
      </c>
      <c r="AZ25" s="1282">
        <f t="shared" si="20"/>
        <v>0</v>
      </c>
      <c r="BA25" s="544">
        <f t="shared" si="9"/>
        <v>0</v>
      </c>
      <c r="BB25" s="545">
        <f t="shared" si="10"/>
        <v>40</v>
      </c>
      <c r="BC25" s="350"/>
    </row>
    <row r="26" spans="1:63" ht="28.5" customHeight="1">
      <c r="A26" s="468">
        <v>17</v>
      </c>
      <c r="B26" s="1705">
        <v>0</v>
      </c>
      <c r="C26" s="2748"/>
      <c r="D26" s="1568" t="s">
        <v>572</v>
      </c>
      <c r="E26" s="1566">
        <f t="shared" si="0"/>
        <v>0</v>
      </c>
      <c r="F26" s="815" t="s">
        <v>559</v>
      </c>
      <c r="G26" s="595">
        <f t="shared" si="1"/>
        <v>0</v>
      </c>
      <c r="H26" s="596" t="s">
        <v>293</v>
      </c>
      <c r="I26" s="597">
        <f t="shared" si="2"/>
        <v>0</v>
      </c>
      <c r="J26" s="598" t="s">
        <v>551</v>
      </c>
      <c r="K26" s="531" t="s">
        <v>553</v>
      </c>
      <c r="L26" s="595">
        <f t="shared" si="3"/>
        <v>0</v>
      </c>
      <c r="M26" s="2201">
        <v>0</v>
      </c>
      <c r="N26" s="599">
        <f t="shared" si="4"/>
        <v>40</v>
      </c>
      <c r="O26" s="664">
        <f t="shared" si="5"/>
        <v>0</v>
      </c>
      <c r="P26" s="668">
        <v>10</v>
      </c>
      <c r="Q26" s="667">
        <f t="shared" si="6"/>
        <v>0</v>
      </c>
      <c r="R26" s="1042"/>
      <c r="S26" s="870">
        <f t="shared" si="7"/>
        <v>17</v>
      </c>
      <c r="T26" s="866"/>
      <c r="U26" s="1329"/>
      <c r="V26" s="1330" t="s">
        <v>795</v>
      </c>
      <c r="W26" s="1424">
        <v>0</v>
      </c>
      <c r="X26" s="1033">
        <f>VLOOKUP(V26,Düngemittel!$B$6:$E$64,2,FALSE)*(VLOOKUP(V26,Düngemittel!$B$6:$E$64,3,FALSE))/100*W26</f>
        <v>0</v>
      </c>
      <c r="Y26" s="1033">
        <f>VLOOKUP(V26,Düngemittel!$B$6:$E$64,2,FALSE)*W26</f>
        <v>0</v>
      </c>
      <c r="Z26" s="1033">
        <f>VLOOKUP(V26,Düngemittel!$B$6:$E$64,4,FALSE)*W26</f>
        <v>0</v>
      </c>
      <c r="AA26" s="2089"/>
      <c r="AB26" s="1329"/>
      <c r="AC26" s="1330" t="s">
        <v>795</v>
      </c>
      <c r="AD26" s="1424">
        <v>0</v>
      </c>
      <c r="AE26" s="1033">
        <f>VLOOKUP(AC26,Düngemittel!$B$6:$E$64,2,FALSE)*(VLOOKUP(AC26,Düngemittel!$B$6:$E$64,3,FALSE))/100*AD26</f>
        <v>0</v>
      </c>
      <c r="AF26" s="1033">
        <f>VLOOKUP(AC26,Düngemittel!$B$6:$E$64,2,FALSE)*AD26</f>
        <v>0</v>
      </c>
      <c r="AG26" s="1033">
        <f>VLOOKUP(AC26,Düngemittel!$B$6:$E$64,4,FALSE)*AD26</f>
        <v>0</v>
      </c>
      <c r="AH26" s="2089"/>
      <c r="AI26" s="1329"/>
      <c r="AJ26" s="1330" t="s">
        <v>795</v>
      </c>
      <c r="AK26" s="1424">
        <v>0</v>
      </c>
      <c r="AL26" s="1033">
        <f>VLOOKUP(AJ26,Düngemittel!$B$6:$E$64,2,FALSE)*(VLOOKUP(AJ26,Düngemittel!$B$6:$E$64,3,FALSE))/100*AK26</f>
        <v>0</v>
      </c>
      <c r="AM26" s="1033">
        <f>VLOOKUP(AJ26,Düngemittel!$B$6:$E$64,2,FALSE)*AK26</f>
        <v>0</v>
      </c>
      <c r="AN26" s="1033">
        <f>VLOOKUP(AJ26,Düngemittel!$B$6:$E$64,4,FALSE)*AK26</f>
        <v>0</v>
      </c>
      <c r="AO26" s="863"/>
      <c r="AP26" s="1812">
        <f t="shared" si="11"/>
        <v>0</v>
      </c>
      <c r="AQ26" s="1273">
        <f t="shared" si="12"/>
        <v>0</v>
      </c>
      <c r="AR26" s="1819">
        <f t="shared" si="13"/>
        <v>0</v>
      </c>
      <c r="AS26" s="1156">
        <f t="shared" si="14"/>
        <v>0</v>
      </c>
      <c r="AT26" s="1273">
        <f t="shared" si="15"/>
        <v>0</v>
      </c>
      <c r="AU26" s="1153"/>
      <c r="AV26" s="1812">
        <f t="shared" si="16"/>
        <v>0</v>
      </c>
      <c r="AW26" s="1282">
        <f t="shared" si="17"/>
        <v>0</v>
      </c>
      <c r="AX26" s="1812">
        <f t="shared" si="18"/>
        <v>0</v>
      </c>
      <c r="AY26" s="1824">
        <f t="shared" si="19"/>
        <v>0</v>
      </c>
      <c r="AZ26" s="1282">
        <f t="shared" si="20"/>
        <v>0</v>
      </c>
      <c r="BA26" s="544">
        <f t="shared" si="9"/>
        <v>0</v>
      </c>
      <c r="BB26" s="545">
        <f t="shared" si="10"/>
        <v>40</v>
      </c>
      <c r="BC26" s="350"/>
    </row>
    <row r="27" spans="1:63" ht="28.5" customHeight="1">
      <c r="A27" s="468">
        <v>18</v>
      </c>
      <c r="B27" s="1705">
        <v>0</v>
      </c>
      <c r="C27" s="2748"/>
      <c r="D27" s="1568" t="s">
        <v>572</v>
      </c>
      <c r="E27" s="1566">
        <f t="shared" si="0"/>
        <v>0</v>
      </c>
      <c r="F27" s="815" t="s">
        <v>559</v>
      </c>
      <c r="G27" s="595">
        <f t="shared" si="1"/>
        <v>0</v>
      </c>
      <c r="H27" s="596" t="s">
        <v>293</v>
      </c>
      <c r="I27" s="597">
        <f t="shared" si="2"/>
        <v>0</v>
      </c>
      <c r="J27" s="598" t="s">
        <v>551</v>
      </c>
      <c r="K27" s="531" t="s">
        <v>553</v>
      </c>
      <c r="L27" s="595">
        <f t="shared" si="3"/>
        <v>0</v>
      </c>
      <c r="M27" s="2201">
        <v>0</v>
      </c>
      <c r="N27" s="599">
        <f t="shared" si="4"/>
        <v>40</v>
      </c>
      <c r="O27" s="664">
        <f t="shared" si="5"/>
        <v>0</v>
      </c>
      <c r="P27" s="668">
        <v>10</v>
      </c>
      <c r="Q27" s="667">
        <f t="shared" si="6"/>
        <v>0</v>
      </c>
      <c r="R27" s="1042"/>
      <c r="S27" s="870">
        <f t="shared" si="7"/>
        <v>18</v>
      </c>
      <c r="T27" s="866"/>
      <c r="U27" s="1329"/>
      <c r="V27" s="1330" t="s">
        <v>795</v>
      </c>
      <c r="W27" s="1424">
        <v>0</v>
      </c>
      <c r="X27" s="1033">
        <f>VLOOKUP(V27,Düngemittel!$B$6:$E$64,2,FALSE)*(VLOOKUP(V27,Düngemittel!$B$6:$E$64,3,FALSE))/100*W27</f>
        <v>0</v>
      </c>
      <c r="Y27" s="1033">
        <f>VLOOKUP(V27,Düngemittel!$B$6:$E$64,2,FALSE)*W27</f>
        <v>0</v>
      </c>
      <c r="Z27" s="1033">
        <f>VLOOKUP(V27,Düngemittel!$B$6:$E$64,4,FALSE)*W27</f>
        <v>0</v>
      </c>
      <c r="AA27" s="2089"/>
      <c r="AB27" s="1329"/>
      <c r="AC27" s="1330" t="s">
        <v>795</v>
      </c>
      <c r="AD27" s="1424">
        <v>0</v>
      </c>
      <c r="AE27" s="1033">
        <f>VLOOKUP(AC27,Düngemittel!$B$6:$E$64,2,FALSE)*(VLOOKUP(AC27,Düngemittel!$B$6:$E$64,3,FALSE))/100*AD27</f>
        <v>0</v>
      </c>
      <c r="AF27" s="1033">
        <f>VLOOKUP(AC27,Düngemittel!$B$6:$E$64,2,FALSE)*AD27</f>
        <v>0</v>
      </c>
      <c r="AG27" s="1033">
        <f>VLOOKUP(AC27,Düngemittel!$B$6:$E$64,4,FALSE)*AD27</f>
        <v>0</v>
      </c>
      <c r="AH27" s="2089"/>
      <c r="AI27" s="1329"/>
      <c r="AJ27" s="1330" t="s">
        <v>795</v>
      </c>
      <c r="AK27" s="1424">
        <v>0</v>
      </c>
      <c r="AL27" s="1033">
        <f>VLOOKUP(AJ27,Düngemittel!$B$6:$E$64,2,FALSE)*(VLOOKUP(AJ27,Düngemittel!$B$6:$E$64,3,FALSE))/100*AK27</f>
        <v>0</v>
      </c>
      <c r="AM27" s="1033">
        <f>VLOOKUP(AJ27,Düngemittel!$B$6:$E$64,2,FALSE)*AK27</f>
        <v>0</v>
      </c>
      <c r="AN27" s="1033">
        <f>VLOOKUP(AJ27,Düngemittel!$B$6:$E$64,4,FALSE)*AK27</f>
        <v>0</v>
      </c>
      <c r="AO27" s="863"/>
      <c r="AP27" s="1812">
        <f t="shared" si="11"/>
        <v>0</v>
      </c>
      <c r="AQ27" s="1273">
        <f t="shared" si="12"/>
        <v>0</v>
      </c>
      <c r="AR27" s="1819">
        <f t="shared" si="13"/>
        <v>0</v>
      </c>
      <c r="AS27" s="1156">
        <f t="shared" si="14"/>
        <v>0</v>
      </c>
      <c r="AT27" s="1273">
        <f t="shared" si="15"/>
        <v>0</v>
      </c>
      <c r="AU27" s="1153"/>
      <c r="AV27" s="1812">
        <f t="shared" si="16"/>
        <v>0</v>
      </c>
      <c r="AW27" s="1282">
        <f t="shared" si="17"/>
        <v>0</v>
      </c>
      <c r="AX27" s="1812">
        <f t="shared" si="18"/>
        <v>0</v>
      </c>
      <c r="AY27" s="1824">
        <f t="shared" si="19"/>
        <v>0</v>
      </c>
      <c r="AZ27" s="1282">
        <f t="shared" si="20"/>
        <v>0</v>
      </c>
      <c r="BA27" s="544">
        <f t="shared" si="9"/>
        <v>0</v>
      </c>
      <c r="BB27" s="545">
        <f t="shared" si="10"/>
        <v>40</v>
      </c>
    </row>
    <row r="28" spans="1:63" ht="28.5" customHeight="1">
      <c r="A28" s="468">
        <v>19</v>
      </c>
      <c r="B28" s="1705">
        <v>0</v>
      </c>
      <c r="C28" s="2748"/>
      <c r="D28" s="1568" t="s">
        <v>572</v>
      </c>
      <c r="E28" s="1566">
        <f t="shared" si="0"/>
        <v>0</v>
      </c>
      <c r="F28" s="815" t="s">
        <v>559</v>
      </c>
      <c r="G28" s="595">
        <f t="shared" si="1"/>
        <v>0</v>
      </c>
      <c r="H28" s="596" t="s">
        <v>293</v>
      </c>
      <c r="I28" s="597">
        <f t="shared" si="2"/>
        <v>0</v>
      </c>
      <c r="J28" s="598" t="s">
        <v>551</v>
      </c>
      <c r="K28" s="531" t="s">
        <v>553</v>
      </c>
      <c r="L28" s="595">
        <f t="shared" si="3"/>
        <v>0</v>
      </c>
      <c r="M28" s="2201">
        <v>0</v>
      </c>
      <c r="N28" s="599">
        <f t="shared" si="4"/>
        <v>40</v>
      </c>
      <c r="O28" s="664">
        <f t="shared" si="5"/>
        <v>0</v>
      </c>
      <c r="P28" s="668">
        <v>10</v>
      </c>
      <c r="Q28" s="667">
        <f t="shared" si="6"/>
        <v>0</v>
      </c>
      <c r="R28" s="1042"/>
      <c r="S28" s="870">
        <f t="shared" si="7"/>
        <v>19</v>
      </c>
      <c r="T28" s="866"/>
      <c r="U28" s="1329"/>
      <c r="V28" s="1330" t="s">
        <v>795</v>
      </c>
      <c r="W28" s="1424">
        <v>0</v>
      </c>
      <c r="X28" s="1033">
        <f>VLOOKUP(V28,Düngemittel!$B$6:$E$64,2,FALSE)*(VLOOKUP(V28,Düngemittel!$B$6:$E$64,3,FALSE))/100*W28</f>
        <v>0</v>
      </c>
      <c r="Y28" s="1033">
        <f>VLOOKUP(V28,Düngemittel!$B$6:$E$64,2,FALSE)*W28</f>
        <v>0</v>
      </c>
      <c r="Z28" s="1033">
        <f>VLOOKUP(V28,Düngemittel!$B$6:$E$64,4,FALSE)*W28</f>
        <v>0</v>
      </c>
      <c r="AA28" s="2089"/>
      <c r="AB28" s="1329"/>
      <c r="AC28" s="1330" t="s">
        <v>795</v>
      </c>
      <c r="AD28" s="1424">
        <v>0</v>
      </c>
      <c r="AE28" s="1033">
        <f>VLOOKUP(AC28,Düngemittel!$B$6:$E$64,2,FALSE)*(VLOOKUP(AC28,Düngemittel!$B$6:$E$64,3,FALSE))/100*AD28</f>
        <v>0</v>
      </c>
      <c r="AF28" s="1033">
        <f>VLOOKUP(AC28,Düngemittel!$B$6:$E$64,2,FALSE)*AD28</f>
        <v>0</v>
      </c>
      <c r="AG28" s="1033">
        <f>VLOOKUP(AC28,Düngemittel!$B$6:$E$64,4,FALSE)*AD28</f>
        <v>0</v>
      </c>
      <c r="AH28" s="2089"/>
      <c r="AI28" s="1329"/>
      <c r="AJ28" s="1330" t="s">
        <v>795</v>
      </c>
      <c r="AK28" s="1424">
        <v>0</v>
      </c>
      <c r="AL28" s="1033">
        <f>VLOOKUP(AJ28,Düngemittel!$B$6:$E$64,2,FALSE)*(VLOOKUP(AJ28,Düngemittel!$B$6:$E$64,3,FALSE))/100*AK28</f>
        <v>0</v>
      </c>
      <c r="AM28" s="1033">
        <f>VLOOKUP(AJ28,Düngemittel!$B$6:$E$64,2,FALSE)*AK28</f>
        <v>0</v>
      </c>
      <c r="AN28" s="1033">
        <f>VLOOKUP(AJ28,Düngemittel!$B$6:$E$64,4,FALSE)*AK28</f>
        <v>0</v>
      </c>
      <c r="AO28" s="863"/>
      <c r="AP28" s="1812">
        <f t="shared" si="11"/>
        <v>0</v>
      </c>
      <c r="AQ28" s="1273">
        <f t="shared" si="12"/>
        <v>0</v>
      </c>
      <c r="AR28" s="1819">
        <f t="shared" si="13"/>
        <v>0</v>
      </c>
      <c r="AS28" s="1156">
        <f t="shared" si="14"/>
        <v>0</v>
      </c>
      <c r="AT28" s="1273">
        <f t="shared" si="15"/>
        <v>0</v>
      </c>
      <c r="AU28" s="1153"/>
      <c r="AV28" s="1812">
        <f t="shared" si="16"/>
        <v>0</v>
      </c>
      <c r="AW28" s="1282">
        <f t="shared" si="17"/>
        <v>0</v>
      </c>
      <c r="AX28" s="1812">
        <f t="shared" si="18"/>
        <v>0</v>
      </c>
      <c r="AY28" s="1824">
        <f t="shared" si="19"/>
        <v>0</v>
      </c>
      <c r="AZ28" s="1282">
        <f t="shared" si="20"/>
        <v>0</v>
      </c>
      <c r="BA28" s="544">
        <f t="shared" si="9"/>
        <v>0</v>
      </c>
      <c r="BB28" s="545">
        <f t="shared" si="10"/>
        <v>40</v>
      </c>
    </row>
    <row r="29" spans="1:63" ht="28.5" customHeight="1">
      <c r="A29" s="468">
        <v>20</v>
      </c>
      <c r="B29" s="1705">
        <v>0</v>
      </c>
      <c r="C29" s="2748"/>
      <c r="D29" s="1568" t="s">
        <v>572</v>
      </c>
      <c r="E29" s="1566">
        <f t="shared" si="0"/>
        <v>0</v>
      </c>
      <c r="F29" s="815" t="s">
        <v>559</v>
      </c>
      <c r="G29" s="595">
        <f t="shared" si="1"/>
        <v>0</v>
      </c>
      <c r="H29" s="596" t="s">
        <v>293</v>
      </c>
      <c r="I29" s="597">
        <f t="shared" si="2"/>
        <v>0</v>
      </c>
      <c r="J29" s="598" t="s">
        <v>551</v>
      </c>
      <c r="K29" s="531" t="s">
        <v>553</v>
      </c>
      <c r="L29" s="595">
        <f t="shared" si="3"/>
        <v>0</v>
      </c>
      <c r="M29" s="2201">
        <v>0</v>
      </c>
      <c r="N29" s="599">
        <f t="shared" si="4"/>
        <v>40</v>
      </c>
      <c r="O29" s="664">
        <f t="shared" si="5"/>
        <v>0</v>
      </c>
      <c r="P29" s="668">
        <v>10</v>
      </c>
      <c r="Q29" s="667">
        <f t="shared" si="6"/>
        <v>0</v>
      </c>
      <c r="R29" s="1048"/>
      <c r="S29" s="870">
        <f t="shared" si="7"/>
        <v>20</v>
      </c>
      <c r="T29" s="866"/>
      <c r="U29" s="1329"/>
      <c r="V29" s="1330" t="s">
        <v>795</v>
      </c>
      <c r="W29" s="1424">
        <v>0</v>
      </c>
      <c r="X29" s="1033">
        <f>VLOOKUP(V29,Düngemittel!$B$6:$E$64,2,FALSE)*(VLOOKUP(V29,Düngemittel!$B$6:$E$64,3,FALSE))/100*W29</f>
        <v>0</v>
      </c>
      <c r="Y29" s="1033">
        <f>VLOOKUP(V29,Düngemittel!$B$6:$E$64,2,FALSE)*W29</f>
        <v>0</v>
      </c>
      <c r="Z29" s="1033">
        <f>VLOOKUP(V29,Düngemittel!$B$6:$E$64,4,FALSE)*W29</f>
        <v>0</v>
      </c>
      <c r="AA29" s="2089"/>
      <c r="AB29" s="1329"/>
      <c r="AC29" s="1330" t="s">
        <v>795</v>
      </c>
      <c r="AD29" s="1424">
        <v>0</v>
      </c>
      <c r="AE29" s="1033">
        <f>VLOOKUP(AC29,Düngemittel!$B$6:$E$64,2,FALSE)*(VLOOKUP(AC29,Düngemittel!$B$6:$E$64,3,FALSE))/100*AD29</f>
        <v>0</v>
      </c>
      <c r="AF29" s="1033">
        <f>VLOOKUP(AC29,Düngemittel!$B$6:$E$64,2,FALSE)*AD29</f>
        <v>0</v>
      </c>
      <c r="AG29" s="1033">
        <f>VLOOKUP(AC29,Düngemittel!$B$6:$E$64,4,FALSE)*AD29</f>
        <v>0</v>
      </c>
      <c r="AH29" s="2089"/>
      <c r="AI29" s="1329"/>
      <c r="AJ29" s="1330" t="s">
        <v>795</v>
      </c>
      <c r="AK29" s="1424">
        <v>0</v>
      </c>
      <c r="AL29" s="1033">
        <f>VLOOKUP(AJ29,Düngemittel!$B$6:$E$64,2,FALSE)*(VLOOKUP(AJ29,Düngemittel!$B$6:$E$64,3,FALSE))/100*AK29</f>
        <v>0</v>
      </c>
      <c r="AM29" s="1033">
        <f>VLOOKUP(AJ29,Düngemittel!$B$6:$E$64,2,FALSE)*AK29</f>
        <v>0</v>
      </c>
      <c r="AN29" s="1033">
        <f>VLOOKUP(AJ29,Düngemittel!$B$6:$E$64,4,FALSE)*AK29</f>
        <v>0</v>
      </c>
      <c r="AO29" s="865"/>
      <c r="AP29" s="1812">
        <f t="shared" si="11"/>
        <v>0</v>
      </c>
      <c r="AQ29" s="1273">
        <f t="shared" si="12"/>
        <v>0</v>
      </c>
      <c r="AR29" s="1819">
        <f t="shared" si="13"/>
        <v>0</v>
      </c>
      <c r="AS29" s="1156">
        <f t="shared" si="14"/>
        <v>0</v>
      </c>
      <c r="AT29" s="1273">
        <f t="shared" si="15"/>
        <v>0</v>
      </c>
      <c r="AU29" s="1154"/>
      <c r="AV29" s="1812">
        <f t="shared" si="16"/>
        <v>0</v>
      </c>
      <c r="AW29" s="1282">
        <f t="shared" si="17"/>
        <v>0</v>
      </c>
      <c r="AX29" s="1812">
        <f t="shared" si="18"/>
        <v>0</v>
      </c>
      <c r="AY29" s="1824">
        <f t="shared" si="19"/>
        <v>0</v>
      </c>
      <c r="AZ29" s="1282">
        <f t="shared" si="20"/>
        <v>0</v>
      </c>
      <c r="BA29" s="544">
        <f t="shared" si="9"/>
        <v>0</v>
      </c>
      <c r="BB29" s="545">
        <f t="shared" si="10"/>
        <v>40</v>
      </c>
    </row>
    <row r="30" spans="1:63" ht="28.5" customHeight="1">
      <c r="A30" s="468">
        <v>21</v>
      </c>
      <c r="B30" s="1705">
        <v>0</v>
      </c>
      <c r="C30" s="2748"/>
      <c r="D30" s="1568" t="s">
        <v>572</v>
      </c>
      <c r="E30" s="1566">
        <f t="shared" si="0"/>
        <v>0</v>
      </c>
      <c r="F30" s="796" t="s">
        <v>559</v>
      </c>
      <c r="G30" s="1047">
        <v>0</v>
      </c>
      <c r="H30" s="590" t="s">
        <v>293</v>
      </c>
      <c r="I30" s="597">
        <f t="shared" si="2"/>
        <v>0</v>
      </c>
      <c r="J30" s="1049" t="s">
        <v>551</v>
      </c>
      <c r="K30" s="1050" t="s">
        <v>553</v>
      </c>
      <c r="L30" s="1047">
        <v>0</v>
      </c>
      <c r="M30" s="2201">
        <v>0</v>
      </c>
      <c r="N30" s="599">
        <f t="shared" si="4"/>
        <v>40</v>
      </c>
      <c r="O30" s="664">
        <f t="shared" si="5"/>
        <v>0</v>
      </c>
      <c r="P30" s="668">
        <v>10</v>
      </c>
      <c r="Q30" s="667">
        <f t="shared" si="6"/>
        <v>0</v>
      </c>
      <c r="R30" s="1051"/>
      <c r="S30" s="870">
        <v>21</v>
      </c>
      <c r="T30" s="870"/>
      <c r="U30" s="1329"/>
      <c r="V30" s="1330" t="s">
        <v>795</v>
      </c>
      <c r="W30" s="1424">
        <v>0</v>
      </c>
      <c r="X30" s="1033">
        <f>VLOOKUP(V30,Düngemittel!$B$6:$E$64,2,FALSE)*(VLOOKUP(V30,Düngemittel!$B$6:$E$64,3,FALSE))/100*W30</f>
        <v>0</v>
      </c>
      <c r="Y30" s="1033">
        <f>VLOOKUP(V30,Düngemittel!$B$6:$E$64,2,FALSE)*W30</f>
        <v>0</v>
      </c>
      <c r="Z30" s="1033">
        <f>VLOOKUP(V30,Düngemittel!$B$6:$E$64,4,FALSE)*W30</f>
        <v>0</v>
      </c>
      <c r="AA30" s="142"/>
      <c r="AB30" s="1329"/>
      <c r="AC30" s="1330" t="s">
        <v>795</v>
      </c>
      <c r="AD30" s="1424">
        <v>0</v>
      </c>
      <c r="AE30" s="1033">
        <f>VLOOKUP(AC30,Düngemittel!$B$6:$E$64,2,FALSE)*(VLOOKUP(AC30,Düngemittel!$B$6:$E$64,3,FALSE))/100*AD30</f>
        <v>0</v>
      </c>
      <c r="AF30" s="1033">
        <f>VLOOKUP(AC30,Düngemittel!$B$6:$E$64,2,FALSE)*AD30</f>
        <v>0</v>
      </c>
      <c r="AG30" s="1033">
        <f>VLOOKUP(AC30,Düngemittel!$B$6:$E$64,4,FALSE)*AD30</f>
        <v>0</v>
      </c>
      <c r="AH30" s="142"/>
      <c r="AI30" s="1329"/>
      <c r="AJ30" s="1330" t="s">
        <v>795</v>
      </c>
      <c r="AK30" s="1424">
        <v>0</v>
      </c>
      <c r="AL30" s="1033">
        <f>VLOOKUP(AJ30,Düngemittel!$B$6:$E$64,2,FALSE)*(VLOOKUP(AJ30,Düngemittel!$B$6:$E$64,3,FALSE))/100*AK30</f>
        <v>0</v>
      </c>
      <c r="AM30" s="1033">
        <f>VLOOKUP(AJ30,Düngemittel!$B$6:$E$64,2,FALSE)*AK30</f>
        <v>0</v>
      </c>
      <c r="AN30" s="1033">
        <f>VLOOKUP(AJ30,Düngemittel!$B$6:$E$64,4,FALSE)*AK30</f>
        <v>0</v>
      </c>
      <c r="AO30" s="1052"/>
      <c r="AP30" s="1812">
        <f t="shared" si="11"/>
        <v>0</v>
      </c>
      <c r="AQ30" s="1273">
        <f t="shared" si="12"/>
        <v>0</v>
      </c>
      <c r="AR30" s="1819">
        <f t="shared" si="13"/>
        <v>0</v>
      </c>
      <c r="AS30" s="1156">
        <f t="shared" si="14"/>
        <v>0</v>
      </c>
      <c r="AT30" s="1273">
        <f t="shared" si="15"/>
        <v>0</v>
      </c>
      <c r="AU30" s="1155"/>
      <c r="AV30" s="1812">
        <f t="shared" si="16"/>
        <v>0</v>
      </c>
      <c r="AW30" s="1282">
        <f t="shared" si="17"/>
        <v>0</v>
      </c>
      <c r="AX30" s="1812">
        <f t="shared" si="18"/>
        <v>0</v>
      </c>
      <c r="AY30" s="1824">
        <f t="shared" si="19"/>
        <v>0</v>
      </c>
      <c r="AZ30" s="1282">
        <f t="shared" si="20"/>
        <v>0</v>
      </c>
      <c r="BA30" s="544">
        <f t="shared" si="9"/>
        <v>0</v>
      </c>
      <c r="BB30" s="545">
        <f t="shared" si="10"/>
        <v>40</v>
      </c>
    </row>
    <row r="31" spans="1:63" ht="28.5" customHeight="1">
      <c r="A31" s="468">
        <v>22</v>
      </c>
      <c r="B31" s="1705">
        <v>0</v>
      </c>
      <c r="C31" s="2748"/>
      <c r="D31" s="1568" t="s">
        <v>572</v>
      </c>
      <c r="E31" s="1566">
        <f t="shared" ref="E31:E54" si="21">IF(D31="bis 14 t/ha",0,10)</f>
        <v>0</v>
      </c>
      <c r="F31" s="796" t="s">
        <v>559</v>
      </c>
      <c r="G31" s="1047">
        <v>1</v>
      </c>
      <c r="H31" s="590" t="s">
        <v>293</v>
      </c>
      <c r="I31" s="597">
        <f t="shared" ref="I31:I54" si="22">VLOOKUP(H31,BG$11:BH$13,2,FALSE)</f>
        <v>0</v>
      </c>
      <c r="J31" s="1049" t="s">
        <v>551</v>
      </c>
      <c r="K31" s="1050" t="s">
        <v>553</v>
      </c>
      <c r="L31" s="1047">
        <v>0</v>
      </c>
      <c r="M31" s="2201">
        <v>0</v>
      </c>
      <c r="N31" s="599">
        <f t="shared" ref="N31:N54" si="23">IF(BB31&lt;=0,0,IF(BB31&gt;=80,80,BB31))</f>
        <v>41</v>
      </c>
      <c r="O31" s="664">
        <f t="shared" ref="O31:O54" si="24">N31*B31</f>
        <v>0</v>
      </c>
      <c r="P31" s="668">
        <v>11</v>
      </c>
      <c r="Q31" s="667">
        <f t="shared" ref="Q31:Q54" si="25">B31*P31</f>
        <v>0</v>
      </c>
      <c r="R31" s="1051"/>
      <c r="S31" s="870">
        <v>22</v>
      </c>
      <c r="T31" s="870"/>
      <c r="U31" s="1329"/>
      <c r="V31" s="1330" t="s">
        <v>795</v>
      </c>
      <c r="W31" s="1424">
        <v>0</v>
      </c>
      <c r="X31" s="1033">
        <f>VLOOKUP(V31,Düngemittel!$B$6:$E$64,2,FALSE)*(VLOOKUP(V31,Düngemittel!$B$6:$E$64,3,FALSE))/100*W31</f>
        <v>0</v>
      </c>
      <c r="Y31" s="1033">
        <f>VLOOKUP(V31,Düngemittel!$B$6:$E$64,2,FALSE)*W31</f>
        <v>0</v>
      </c>
      <c r="Z31" s="1033">
        <f>VLOOKUP(V31,Düngemittel!$B$6:$E$64,4,FALSE)*W31</f>
        <v>0</v>
      </c>
      <c r="AA31" s="142"/>
      <c r="AB31" s="1329"/>
      <c r="AC31" s="1330" t="s">
        <v>795</v>
      </c>
      <c r="AD31" s="1424">
        <v>0</v>
      </c>
      <c r="AE31" s="1033">
        <f>VLOOKUP(AC31,Düngemittel!$B$6:$E$64,2,FALSE)*(VLOOKUP(AC31,Düngemittel!$B$6:$E$64,3,FALSE))/100*AD31</f>
        <v>0</v>
      </c>
      <c r="AF31" s="1033">
        <f>VLOOKUP(AC31,Düngemittel!$B$6:$E$64,2,FALSE)*AD31</f>
        <v>0</v>
      </c>
      <c r="AG31" s="1033">
        <f>VLOOKUP(AC31,Düngemittel!$B$6:$E$64,4,FALSE)*AD31</f>
        <v>0</v>
      </c>
      <c r="AH31" s="142"/>
      <c r="AI31" s="1329"/>
      <c r="AJ31" s="1330" t="s">
        <v>795</v>
      </c>
      <c r="AK31" s="1424">
        <v>0</v>
      </c>
      <c r="AL31" s="1033">
        <f>VLOOKUP(AJ31,Düngemittel!$B$6:$E$64,2,FALSE)*(VLOOKUP(AJ31,Düngemittel!$B$6:$E$64,3,FALSE))/100*AK31</f>
        <v>0</v>
      </c>
      <c r="AM31" s="1033">
        <f>VLOOKUP(AJ31,Düngemittel!$B$6:$E$64,2,FALSE)*AK31</f>
        <v>0</v>
      </c>
      <c r="AN31" s="1033">
        <f>VLOOKUP(AJ31,Düngemittel!$B$6:$E$64,4,FALSE)*AK31</f>
        <v>0</v>
      </c>
      <c r="AO31" s="1052"/>
      <c r="AP31" s="1812">
        <f t="shared" ref="AP31:AP54" si="26">IF(X31&lt;Y31,0,X31)+IF(AE31&lt;AF31,0,AE31)+IF(AL31&lt;AM31,0,AL31)</f>
        <v>0</v>
      </c>
      <c r="AQ31" s="2326">
        <f t="shared" ref="AQ31:AQ54" si="27">SUM(X31+AE31+AL31)</f>
        <v>0</v>
      </c>
      <c r="AR31" s="1819">
        <f t="shared" ref="AR31:AR54" si="28">SUM(Y31+AF31+AM31)</f>
        <v>0</v>
      </c>
      <c r="AS31" s="1156">
        <f t="shared" ref="AS31:AS54" si="29">IF(X31&lt;Y31,Y31,0)+IF(AE31&lt;AF31,AF31,0)+IF(AL31&lt;AM31,AM31,0)</f>
        <v>0</v>
      </c>
      <c r="AT31" s="2326">
        <f t="shared" ref="AT31:AT54" si="30">SUM(Z31+AG31+AN31)</f>
        <v>0</v>
      </c>
      <c r="AU31" s="1155"/>
      <c r="AV31" s="1812">
        <f t="shared" ref="AV31:AV54" si="31">AP31*$B31</f>
        <v>0</v>
      </c>
      <c r="AW31" s="1282">
        <f t="shared" ref="AW31:AW54" si="32">AQ31*$B31</f>
        <v>0</v>
      </c>
      <c r="AX31" s="1812">
        <f t="shared" ref="AX31:AX54" si="33">AR31*$B31</f>
        <v>0</v>
      </c>
      <c r="AY31" s="1824">
        <f t="shared" ref="AY31:AY54" si="34">AS31*$B31</f>
        <v>0</v>
      </c>
      <c r="AZ31" s="1282">
        <f t="shared" ref="AZ31:AZ54" si="35">AT31*$B31</f>
        <v>0</v>
      </c>
      <c r="BA31" s="544">
        <f t="shared" ref="BA31:BA54" si="36">VLOOKUP(J31,BJ$11:BK$24,2,FALSE)</f>
        <v>0</v>
      </c>
      <c r="BB31" s="545">
        <f t="shared" ref="BB31:BB54" si="37">40+E31+G31+I31+L31-M31</f>
        <v>41</v>
      </c>
    </row>
    <row r="32" spans="1:63" ht="28.5" customHeight="1">
      <c r="A32" s="468">
        <v>23</v>
      </c>
      <c r="B32" s="1705">
        <v>0</v>
      </c>
      <c r="C32" s="2748"/>
      <c r="D32" s="1568" t="s">
        <v>572</v>
      </c>
      <c r="E32" s="1566">
        <f t="shared" si="21"/>
        <v>0</v>
      </c>
      <c r="F32" s="796" t="s">
        <v>559</v>
      </c>
      <c r="G32" s="1047">
        <v>2</v>
      </c>
      <c r="H32" s="590" t="s">
        <v>293</v>
      </c>
      <c r="I32" s="597">
        <f t="shared" si="22"/>
        <v>0</v>
      </c>
      <c r="J32" s="1049" t="s">
        <v>551</v>
      </c>
      <c r="K32" s="1050" t="s">
        <v>553</v>
      </c>
      <c r="L32" s="1047">
        <v>0</v>
      </c>
      <c r="M32" s="2201">
        <v>0</v>
      </c>
      <c r="N32" s="599">
        <f t="shared" si="23"/>
        <v>42</v>
      </c>
      <c r="O32" s="664">
        <f t="shared" si="24"/>
        <v>0</v>
      </c>
      <c r="P32" s="668">
        <v>12</v>
      </c>
      <c r="Q32" s="667">
        <f t="shared" si="25"/>
        <v>0</v>
      </c>
      <c r="R32" s="1051"/>
      <c r="S32" s="870">
        <v>23</v>
      </c>
      <c r="T32" s="870"/>
      <c r="U32" s="1329"/>
      <c r="V32" s="1330" t="s">
        <v>795</v>
      </c>
      <c r="W32" s="1424">
        <v>0</v>
      </c>
      <c r="X32" s="1033">
        <f>VLOOKUP(V32,Düngemittel!$B$6:$E$64,2,FALSE)*(VLOOKUP(V32,Düngemittel!$B$6:$E$64,3,FALSE))/100*W32</f>
        <v>0</v>
      </c>
      <c r="Y32" s="1033">
        <f>VLOOKUP(V32,Düngemittel!$B$6:$E$64,2,FALSE)*W32</f>
        <v>0</v>
      </c>
      <c r="Z32" s="1033">
        <f>VLOOKUP(V32,Düngemittel!$B$6:$E$64,4,FALSE)*W32</f>
        <v>0</v>
      </c>
      <c r="AA32" s="142"/>
      <c r="AB32" s="1329"/>
      <c r="AC32" s="1330" t="s">
        <v>795</v>
      </c>
      <c r="AD32" s="1424">
        <v>0</v>
      </c>
      <c r="AE32" s="1033">
        <f>VLOOKUP(AC32,Düngemittel!$B$6:$E$64,2,FALSE)*(VLOOKUP(AC32,Düngemittel!$B$6:$E$64,3,FALSE))/100*AD32</f>
        <v>0</v>
      </c>
      <c r="AF32" s="1033">
        <f>VLOOKUP(AC32,Düngemittel!$B$6:$E$64,2,FALSE)*AD32</f>
        <v>0</v>
      </c>
      <c r="AG32" s="1033">
        <f>VLOOKUP(AC32,Düngemittel!$B$6:$E$64,4,FALSE)*AD32</f>
        <v>0</v>
      </c>
      <c r="AH32" s="142"/>
      <c r="AI32" s="1329"/>
      <c r="AJ32" s="1330" t="s">
        <v>795</v>
      </c>
      <c r="AK32" s="1424">
        <v>0</v>
      </c>
      <c r="AL32" s="1033">
        <f>VLOOKUP(AJ32,Düngemittel!$B$6:$E$64,2,FALSE)*(VLOOKUP(AJ32,Düngemittel!$B$6:$E$64,3,FALSE))/100*AK32</f>
        <v>0</v>
      </c>
      <c r="AM32" s="1033">
        <f>VLOOKUP(AJ32,Düngemittel!$B$6:$E$64,2,FALSE)*AK32</f>
        <v>0</v>
      </c>
      <c r="AN32" s="1033">
        <f>VLOOKUP(AJ32,Düngemittel!$B$6:$E$64,4,FALSE)*AK32</f>
        <v>0</v>
      </c>
      <c r="AO32" s="1052"/>
      <c r="AP32" s="1812">
        <f t="shared" si="26"/>
        <v>0</v>
      </c>
      <c r="AQ32" s="2326">
        <f t="shared" si="27"/>
        <v>0</v>
      </c>
      <c r="AR32" s="1819">
        <f t="shared" si="28"/>
        <v>0</v>
      </c>
      <c r="AS32" s="1156">
        <f t="shared" si="29"/>
        <v>0</v>
      </c>
      <c r="AT32" s="2326">
        <f t="shared" si="30"/>
        <v>0</v>
      </c>
      <c r="AU32" s="1155"/>
      <c r="AV32" s="1812">
        <f t="shared" si="31"/>
        <v>0</v>
      </c>
      <c r="AW32" s="1282">
        <f t="shared" si="32"/>
        <v>0</v>
      </c>
      <c r="AX32" s="1812">
        <f t="shared" si="33"/>
        <v>0</v>
      </c>
      <c r="AY32" s="1824">
        <f t="shared" si="34"/>
        <v>0</v>
      </c>
      <c r="AZ32" s="1282">
        <f t="shared" si="35"/>
        <v>0</v>
      </c>
      <c r="BA32" s="544">
        <f t="shared" si="36"/>
        <v>0</v>
      </c>
      <c r="BB32" s="545">
        <f t="shared" si="37"/>
        <v>42</v>
      </c>
    </row>
    <row r="33" spans="1:54" ht="28.5" customHeight="1">
      <c r="A33" s="468">
        <v>24</v>
      </c>
      <c r="B33" s="1705">
        <v>0</v>
      </c>
      <c r="C33" s="2748"/>
      <c r="D33" s="1568" t="s">
        <v>572</v>
      </c>
      <c r="E33" s="1566">
        <f t="shared" si="21"/>
        <v>0</v>
      </c>
      <c r="F33" s="796" t="s">
        <v>559</v>
      </c>
      <c r="G33" s="1047">
        <v>3</v>
      </c>
      <c r="H33" s="590" t="s">
        <v>293</v>
      </c>
      <c r="I33" s="597">
        <f t="shared" si="22"/>
        <v>0</v>
      </c>
      <c r="J33" s="1049" t="s">
        <v>551</v>
      </c>
      <c r="K33" s="1050" t="s">
        <v>553</v>
      </c>
      <c r="L33" s="1047">
        <v>0</v>
      </c>
      <c r="M33" s="2201">
        <v>0</v>
      </c>
      <c r="N33" s="599">
        <f t="shared" si="23"/>
        <v>43</v>
      </c>
      <c r="O33" s="664">
        <f t="shared" si="24"/>
        <v>0</v>
      </c>
      <c r="P33" s="668">
        <v>13</v>
      </c>
      <c r="Q33" s="667">
        <f t="shared" si="25"/>
        <v>0</v>
      </c>
      <c r="R33" s="1051"/>
      <c r="S33" s="870">
        <v>24</v>
      </c>
      <c r="T33" s="870"/>
      <c r="U33" s="1329"/>
      <c r="V33" s="1330" t="s">
        <v>795</v>
      </c>
      <c r="W33" s="1424">
        <v>0</v>
      </c>
      <c r="X33" s="1033">
        <f>VLOOKUP(V33,Düngemittel!$B$6:$E$64,2,FALSE)*(VLOOKUP(V33,Düngemittel!$B$6:$E$64,3,FALSE))/100*W33</f>
        <v>0</v>
      </c>
      <c r="Y33" s="1033">
        <f>VLOOKUP(V33,Düngemittel!$B$6:$E$64,2,FALSE)*W33</f>
        <v>0</v>
      </c>
      <c r="Z33" s="1033">
        <f>VLOOKUP(V33,Düngemittel!$B$6:$E$64,4,FALSE)*W33</f>
        <v>0</v>
      </c>
      <c r="AA33" s="142"/>
      <c r="AB33" s="1329"/>
      <c r="AC33" s="1330" t="s">
        <v>795</v>
      </c>
      <c r="AD33" s="1424">
        <v>0</v>
      </c>
      <c r="AE33" s="1033">
        <f>VLOOKUP(AC33,Düngemittel!$B$6:$E$64,2,FALSE)*(VLOOKUP(AC33,Düngemittel!$B$6:$E$64,3,FALSE))/100*AD33</f>
        <v>0</v>
      </c>
      <c r="AF33" s="1033">
        <f>VLOOKUP(AC33,Düngemittel!$B$6:$E$64,2,FALSE)*AD33</f>
        <v>0</v>
      </c>
      <c r="AG33" s="1033">
        <f>VLOOKUP(AC33,Düngemittel!$B$6:$E$64,4,FALSE)*AD33</f>
        <v>0</v>
      </c>
      <c r="AH33" s="142"/>
      <c r="AI33" s="1329"/>
      <c r="AJ33" s="1330" t="s">
        <v>795</v>
      </c>
      <c r="AK33" s="1424">
        <v>0</v>
      </c>
      <c r="AL33" s="1033">
        <f>VLOOKUP(AJ33,Düngemittel!$B$6:$E$64,2,FALSE)*(VLOOKUP(AJ33,Düngemittel!$B$6:$E$64,3,FALSE))/100*AK33</f>
        <v>0</v>
      </c>
      <c r="AM33" s="1033">
        <f>VLOOKUP(AJ33,Düngemittel!$B$6:$E$64,2,FALSE)*AK33</f>
        <v>0</v>
      </c>
      <c r="AN33" s="1033">
        <f>VLOOKUP(AJ33,Düngemittel!$B$6:$E$64,4,FALSE)*AK33</f>
        <v>0</v>
      </c>
      <c r="AO33" s="1052"/>
      <c r="AP33" s="1812">
        <f t="shared" si="26"/>
        <v>0</v>
      </c>
      <c r="AQ33" s="2326">
        <f t="shared" si="27"/>
        <v>0</v>
      </c>
      <c r="AR33" s="1819">
        <f t="shared" si="28"/>
        <v>0</v>
      </c>
      <c r="AS33" s="1156">
        <f t="shared" si="29"/>
        <v>0</v>
      </c>
      <c r="AT33" s="2326">
        <f t="shared" si="30"/>
        <v>0</v>
      </c>
      <c r="AU33" s="1155"/>
      <c r="AV33" s="1812">
        <f t="shared" si="31"/>
        <v>0</v>
      </c>
      <c r="AW33" s="1282">
        <f t="shared" si="32"/>
        <v>0</v>
      </c>
      <c r="AX33" s="1812">
        <f t="shared" si="33"/>
        <v>0</v>
      </c>
      <c r="AY33" s="1824">
        <f t="shared" si="34"/>
        <v>0</v>
      </c>
      <c r="AZ33" s="1282">
        <f t="shared" si="35"/>
        <v>0</v>
      </c>
      <c r="BA33" s="544">
        <f t="shared" si="36"/>
        <v>0</v>
      </c>
      <c r="BB33" s="545">
        <f t="shared" si="37"/>
        <v>43</v>
      </c>
    </row>
    <row r="34" spans="1:54" ht="28.5" customHeight="1">
      <c r="A34" s="468">
        <v>25</v>
      </c>
      <c r="B34" s="1705">
        <v>0</v>
      </c>
      <c r="C34" s="2748"/>
      <c r="D34" s="1568" t="s">
        <v>572</v>
      </c>
      <c r="E34" s="1566">
        <f t="shared" si="21"/>
        <v>0</v>
      </c>
      <c r="F34" s="796" t="s">
        <v>559</v>
      </c>
      <c r="G34" s="1047">
        <v>4</v>
      </c>
      <c r="H34" s="590" t="s">
        <v>293</v>
      </c>
      <c r="I34" s="597">
        <f t="shared" si="22"/>
        <v>0</v>
      </c>
      <c r="J34" s="1049" t="s">
        <v>551</v>
      </c>
      <c r="K34" s="1050" t="s">
        <v>553</v>
      </c>
      <c r="L34" s="1047">
        <v>0</v>
      </c>
      <c r="M34" s="2201">
        <v>0</v>
      </c>
      <c r="N34" s="599">
        <f t="shared" si="23"/>
        <v>44</v>
      </c>
      <c r="O34" s="664">
        <f t="shared" si="24"/>
        <v>0</v>
      </c>
      <c r="P34" s="668">
        <v>14</v>
      </c>
      <c r="Q34" s="667">
        <f t="shared" si="25"/>
        <v>0</v>
      </c>
      <c r="R34" s="1051"/>
      <c r="S34" s="870">
        <v>25</v>
      </c>
      <c r="T34" s="870"/>
      <c r="U34" s="1329"/>
      <c r="V34" s="1330" t="s">
        <v>795</v>
      </c>
      <c r="W34" s="1424">
        <v>0</v>
      </c>
      <c r="X34" s="1033">
        <f>VLOOKUP(V34,Düngemittel!$B$6:$E$64,2,FALSE)*(VLOOKUP(V34,Düngemittel!$B$6:$E$64,3,FALSE))/100*W34</f>
        <v>0</v>
      </c>
      <c r="Y34" s="1033">
        <f>VLOOKUP(V34,Düngemittel!$B$6:$E$64,2,FALSE)*W34</f>
        <v>0</v>
      </c>
      <c r="Z34" s="1033">
        <f>VLOOKUP(V34,Düngemittel!$B$6:$E$64,4,FALSE)*W34</f>
        <v>0</v>
      </c>
      <c r="AA34" s="142"/>
      <c r="AB34" s="1329"/>
      <c r="AC34" s="1330" t="s">
        <v>795</v>
      </c>
      <c r="AD34" s="1424">
        <v>0</v>
      </c>
      <c r="AE34" s="1033">
        <f>VLOOKUP(AC34,Düngemittel!$B$6:$E$64,2,FALSE)*(VLOOKUP(AC34,Düngemittel!$B$6:$E$64,3,FALSE))/100*AD34</f>
        <v>0</v>
      </c>
      <c r="AF34" s="1033">
        <f>VLOOKUP(AC34,Düngemittel!$B$6:$E$64,2,FALSE)*AD34</f>
        <v>0</v>
      </c>
      <c r="AG34" s="1033">
        <f>VLOOKUP(AC34,Düngemittel!$B$6:$E$64,4,FALSE)*AD34</f>
        <v>0</v>
      </c>
      <c r="AH34" s="142"/>
      <c r="AI34" s="1329"/>
      <c r="AJ34" s="1330" t="s">
        <v>795</v>
      </c>
      <c r="AK34" s="1424">
        <v>0</v>
      </c>
      <c r="AL34" s="1033">
        <f>VLOOKUP(AJ34,Düngemittel!$B$6:$E$64,2,FALSE)*(VLOOKUP(AJ34,Düngemittel!$B$6:$E$64,3,FALSE))/100*AK34</f>
        <v>0</v>
      </c>
      <c r="AM34" s="1033">
        <f>VLOOKUP(AJ34,Düngemittel!$B$6:$E$64,2,FALSE)*AK34</f>
        <v>0</v>
      </c>
      <c r="AN34" s="1033">
        <f>VLOOKUP(AJ34,Düngemittel!$B$6:$E$64,4,FALSE)*AK34</f>
        <v>0</v>
      </c>
      <c r="AO34" s="1052"/>
      <c r="AP34" s="1812">
        <f t="shared" si="26"/>
        <v>0</v>
      </c>
      <c r="AQ34" s="2326">
        <f t="shared" si="27"/>
        <v>0</v>
      </c>
      <c r="AR34" s="1819">
        <f t="shared" si="28"/>
        <v>0</v>
      </c>
      <c r="AS34" s="1156">
        <f t="shared" si="29"/>
        <v>0</v>
      </c>
      <c r="AT34" s="2326">
        <f t="shared" si="30"/>
        <v>0</v>
      </c>
      <c r="AU34" s="1155"/>
      <c r="AV34" s="1812">
        <f t="shared" si="31"/>
        <v>0</v>
      </c>
      <c r="AW34" s="1282">
        <f t="shared" si="32"/>
        <v>0</v>
      </c>
      <c r="AX34" s="1812">
        <f t="shared" si="33"/>
        <v>0</v>
      </c>
      <c r="AY34" s="1824">
        <f t="shared" si="34"/>
        <v>0</v>
      </c>
      <c r="AZ34" s="1282">
        <f t="shared" si="35"/>
        <v>0</v>
      </c>
      <c r="BA34" s="544">
        <f t="shared" si="36"/>
        <v>0</v>
      </c>
      <c r="BB34" s="545">
        <f t="shared" si="37"/>
        <v>44</v>
      </c>
    </row>
    <row r="35" spans="1:54" ht="28.5" customHeight="1">
      <c r="A35" s="468">
        <v>26</v>
      </c>
      <c r="B35" s="1705">
        <v>0</v>
      </c>
      <c r="C35" s="2748"/>
      <c r="D35" s="1568" t="s">
        <v>572</v>
      </c>
      <c r="E35" s="1566">
        <f t="shared" si="21"/>
        <v>0</v>
      </c>
      <c r="F35" s="796" t="s">
        <v>559</v>
      </c>
      <c r="G35" s="1047">
        <v>5</v>
      </c>
      <c r="H35" s="590" t="s">
        <v>293</v>
      </c>
      <c r="I35" s="597">
        <f t="shared" si="22"/>
        <v>0</v>
      </c>
      <c r="J35" s="1049" t="s">
        <v>551</v>
      </c>
      <c r="K35" s="1050" t="s">
        <v>553</v>
      </c>
      <c r="L35" s="1047">
        <v>0</v>
      </c>
      <c r="M35" s="2201">
        <v>0</v>
      </c>
      <c r="N35" s="599">
        <f t="shared" si="23"/>
        <v>45</v>
      </c>
      <c r="O35" s="664">
        <f t="shared" si="24"/>
        <v>0</v>
      </c>
      <c r="P35" s="668">
        <v>15</v>
      </c>
      <c r="Q35" s="667">
        <f t="shared" si="25"/>
        <v>0</v>
      </c>
      <c r="R35" s="1051"/>
      <c r="S35" s="870">
        <v>26</v>
      </c>
      <c r="T35" s="870"/>
      <c r="U35" s="1329"/>
      <c r="V35" s="1330" t="s">
        <v>795</v>
      </c>
      <c r="W35" s="1424">
        <v>0</v>
      </c>
      <c r="X35" s="1033">
        <f>VLOOKUP(V35,Düngemittel!$B$6:$E$64,2,FALSE)*(VLOOKUP(V35,Düngemittel!$B$6:$E$64,3,FALSE))/100*W35</f>
        <v>0</v>
      </c>
      <c r="Y35" s="1033">
        <f>VLOOKUP(V35,Düngemittel!$B$6:$E$64,2,FALSE)*W35</f>
        <v>0</v>
      </c>
      <c r="Z35" s="1033">
        <f>VLOOKUP(V35,Düngemittel!$B$6:$E$64,4,FALSE)*W35</f>
        <v>0</v>
      </c>
      <c r="AA35" s="142"/>
      <c r="AB35" s="1329"/>
      <c r="AC35" s="1330" t="s">
        <v>795</v>
      </c>
      <c r="AD35" s="1424">
        <v>0</v>
      </c>
      <c r="AE35" s="1033">
        <f>VLOOKUP(AC35,Düngemittel!$B$6:$E$64,2,FALSE)*(VLOOKUP(AC35,Düngemittel!$B$6:$E$64,3,FALSE))/100*AD35</f>
        <v>0</v>
      </c>
      <c r="AF35" s="1033">
        <f>VLOOKUP(AC35,Düngemittel!$B$6:$E$64,2,FALSE)*AD35</f>
        <v>0</v>
      </c>
      <c r="AG35" s="1033">
        <f>VLOOKUP(AC35,Düngemittel!$B$6:$E$64,4,FALSE)*AD35</f>
        <v>0</v>
      </c>
      <c r="AH35" s="142"/>
      <c r="AI35" s="1329"/>
      <c r="AJ35" s="1330" t="s">
        <v>795</v>
      </c>
      <c r="AK35" s="1424">
        <v>0</v>
      </c>
      <c r="AL35" s="1033">
        <f>VLOOKUP(AJ35,Düngemittel!$B$6:$E$64,2,FALSE)*(VLOOKUP(AJ35,Düngemittel!$B$6:$E$64,3,FALSE))/100*AK35</f>
        <v>0</v>
      </c>
      <c r="AM35" s="1033">
        <f>VLOOKUP(AJ35,Düngemittel!$B$6:$E$64,2,FALSE)*AK35</f>
        <v>0</v>
      </c>
      <c r="AN35" s="1033">
        <f>VLOOKUP(AJ35,Düngemittel!$B$6:$E$64,4,FALSE)*AK35</f>
        <v>0</v>
      </c>
      <c r="AO35" s="1052"/>
      <c r="AP35" s="1812">
        <f t="shared" si="26"/>
        <v>0</v>
      </c>
      <c r="AQ35" s="2326">
        <f t="shared" si="27"/>
        <v>0</v>
      </c>
      <c r="AR35" s="1819">
        <f t="shared" si="28"/>
        <v>0</v>
      </c>
      <c r="AS35" s="1156">
        <f t="shared" si="29"/>
        <v>0</v>
      </c>
      <c r="AT35" s="2326">
        <f t="shared" si="30"/>
        <v>0</v>
      </c>
      <c r="AU35" s="1155"/>
      <c r="AV35" s="1812">
        <f t="shared" si="31"/>
        <v>0</v>
      </c>
      <c r="AW35" s="1282">
        <f t="shared" si="32"/>
        <v>0</v>
      </c>
      <c r="AX35" s="1812">
        <f t="shared" si="33"/>
        <v>0</v>
      </c>
      <c r="AY35" s="1824">
        <f t="shared" si="34"/>
        <v>0</v>
      </c>
      <c r="AZ35" s="1282">
        <f t="shared" si="35"/>
        <v>0</v>
      </c>
      <c r="BA35" s="544">
        <f t="shared" si="36"/>
        <v>0</v>
      </c>
      <c r="BB35" s="545">
        <f t="shared" si="37"/>
        <v>45</v>
      </c>
    </row>
    <row r="36" spans="1:54" ht="28.5" customHeight="1">
      <c r="A36" s="468">
        <v>27</v>
      </c>
      <c r="B36" s="1705">
        <v>0</v>
      </c>
      <c r="C36" s="2748"/>
      <c r="D36" s="1568" t="s">
        <v>572</v>
      </c>
      <c r="E36" s="1566">
        <f t="shared" si="21"/>
        <v>0</v>
      </c>
      <c r="F36" s="796" t="s">
        <v>559</v>
      </c>
      <c r="G36" s="1047">
        <v>6</v>
      </c>
      <c r="H36" s="590" t="s">
        <v>293</v>
      </c>
      <c r="I36" s="597">
        <f t="shared" si="22"/>
        <v>0</v>
      </c>
      <c r="J36" s="1049" t="s">
        <v>551</v>
      </c>
      <c r="K36" s="1050" t="s">
        <v>553</v>
      </c>
      <c r="L36" s="1047">
        <v>0</v>
      </c>
      <c r="M36" s="2201">
        <v>0</v>
      </c>
      <c r="N36" s="599">
        <f t="shared" si="23"/>
        <v>46</v>
      </c>
      <c r="O36" s="664">
        <f t="shared" si="24"/>
        <v>0</v>
      </c>
      <c r="P36" s="668">
        <v>16</v>
      </c>
      <c r="Q36" s="667">
        <f t="shared" si="25"/>
        <v>0</v>
      </c>
      <c r="R36" s="1051"/>
      <c r="S36" s="870">
        <v>27</v>
      </c>
      <c r="T36" s="870"/>
      <c r="U36" s="1329"/>
      <c r="V36" s="1330" t="s">
        <v>795</v>
      </c>
      <c r="W36" s="1424">
        <v>0</v>
      </c>
      <c r="X36" s="1033">
        <f>VLOOKUP(V36,Düngemittel!$B$6:$E$64,2,FALSE)*(VLOOKUP(V36,Düngemittel!$B$6:$E$64,3,FALSE))/100*W36</f>
        <v>0</v>
      </c>
      <c r="Y36" s="1033">
        <f>VLOOKUP(V36,Düngemittel!$B$6:$E$64,2,FALSE)*W36</f>
        <v>0</v>
      </c>
      <c r="Z36" s="1033">
        <f>VLOOKUP(V36,Düngemittel!$B$6:$E$64,4,FALSE)*W36</f>
        <v>0</v>
      </c>
      <c r="AA36" s="142"/>
      <c r="AB36" s="1329"/>
      <c r="AC36" s="1330" t="s">
        <v>795</v>
      </c>
      <c r="AD36" s="1424">
        <v>0</v>
      </c>
      <c r="AE36" s="1033">
        <f>VLOOKUP(AC36,Düngemittel!$B$6:$E$64,2,FALSE)*(VLOOKUP(AC36,Düngemittel!$B$6:$E$64,3,FALSE))/100*AD36</f>
        <v>0</v>
      </c>
      <c r="AF36" s="1033">
        <f>VLOOKUP(AC36,Düngemittel!$B$6:$E$64,2,FALSE)*AD36</f>
        <v>0</v>
      </c>
      <c r="AG36" s="1033">
        <f>VLOOKUP(AC36,Düngemittel!$B$6:$E$64,4,FALSE)*AD36</f>
        <v>0</v>
      </c>
      <c r="AH36" s="142"/>
      <c r="AI36" s="1329"/>
      <c r="AJ36" s="1330" t="s">
        <v>795</v>
      </c>
      <c r="AK36" s="1424">
        <v>0</v>
      </c>
      <c r="AL36" s="1033">
        <f>VLOOKUP(AJ36,Düngemittel!$B$6:$E$64,2,FALSE)*(VLOOKUP(AJ36,Düngemittel!$B$6:$E$64,3,FALSE))/100*AK36</f>
        <v>0</v>
      </c>
      <c r="AM36" s="1033">
        <f>VLOOKUP(AJ36,Düngemittel!$B$6:$E$64,2,FALSE)*AK36</f>
        <v>0</v>
      </c>
      <c r="AN36" s="1033">
        <f>VLOOKUP(AJ36,Düngemittel!$B$6:$E$64,4,FALSE)*AK36</f>
        <v>0</v>
      </c>
      <c r="AO36" s="1052"/>
      <c r="AP36" s="1812">
        <f t="shared" si="26"/>
        <v>0</v>
      </c>
      <c r="AQ36" s="2326">
        <f t="shared" si="27"/>
        <v>0</v>
      </c>
      <c r="AR36" s="1819">
        <f t="shared" si="28"/>
        <v>0</v>
      </c>
      <c r="AS36" s="1156">
        <f t="shared" si="29"/>
        <v>0</v>
      </c>
      <c r="AT36" s="2326">
        <f t="shared" si="30"/>
        <v>0</v>
      </c>
      <c r="AU36" s="1155"/>
      <c r="AV36" s="1812">
        <f t="shared" si="31"/>
        <v>0</v>
      </c>
      <c r="AW36" s="1282">
        <f t="shared" si="32"/>
        <v>0</v>
      </c>
      <c r="AX36" s="1812">
        <f t="shared" si="33"/>
        <v>0</v>
      </c>
      <c r="AY36" s="1824">
        <f t="shared" si="34"/>
        <v>0</v>
      </c>
      <c r="AZ36" s="1282">
        <f t="shared" si="35"/>
        <v>0</v>
      </c>
      <c r="BA36" s="544">
        <f t="shared" si="36"/>
        <v>0</v>
      </c>
      <c r="BB36" s="545">
        <f t="shared" si="37"/>
        <v>46</v>
      </c>
    </row>
    <row r="37" spans="1:54" ht="28.5" customHeight="1">
      <c r="A37" s="468">
        <v>28</v>
      </c>
      <c r="B37" s="1705">
        <v>0</v>
      </c>
      <c r="C37" s="2748"/>
      <c r="D37" s="1568" t="s">
        <v>572</v>
      </c>
      <c r="E37" s="1566">
        <f t="shared" si="21"/>
        <v>0</v>
      </c>
      <c r="F37" s="796" t="s">
        <v>559</v>
      </c>
      <c r="G37" s="1047">
        <v>7</v>
      </c>
      <c r="H37" s="590" t="s">
        <v>293</v>
      </c>
      <c r="I37" s="597">
        <f t="shared" si="22"/>
        <v>0</v>
      </c>
      <c r="J37" s="1049" t="s">
        <v>551</v>
      </c>
      <c r="K37" s="1050" t="s">
        <v>553</v>
      </c>
      <c r="L37" s="1047">
        <v>0</v>
      </c>
      <c r="M37" s="2201">
        <v>0</v>
      </c>
      <c r="N37" s="599">
        <f t="shared" si="23"/>
        <v>47</v>
      </c>
      <c r="O37" s="664">
        <f t="shared" si="24"/>
        <v>0</v>
      </c>
      <c r="P37" s="668">
        <v>17</v>
      </c>
      <c r="Q37" s="667">
        <f t="shared" si="25"/>
        <v>0</v>
      </c>
      <c r="R37" s="1051"/>
      <c r="S37" s="870">
        <v>28</v>
      </c>
      <c r="T37" s="870"/>
      <c r="U37" s="1329"/>
      <c r="V37" s="1330" t="s">
        <v>795</v>
      </c>
      <c r="W37" s="1424">
        <v>0</v>
      </c>
      <c r="X37" s="1033">
        <f>VLOOKUP(V37,Düngemittel!$B$6:$E$64,2,FALSE)*(VLOOKUP(V37,Düngemittel!$B$6:$E$64,3,FALSE))/100*W37</f>
        <v>0</v>
      </c>
      <c r="Y37" s="1033">
        <f>VLOOKUP(V37,Düngemittel!$B$6:$E$64,2,FALSE)*W37</f>
        <v>0</v>
      </c>
      <c r="Z37" s="1033">
        <f>VLOOKUP(V37,Düngemittel!$B$6:$E$64,4,FALSE)*W37</f>
        <v>0</v>
      </c>
      <c r="AA37" s="142"/>
      <c r="AB37" s="1329"/>
      <c r="AC37" s="1330" t="s">
        <v>795</v>
      </c>
      <c r="AD37" s="1424">
        <v>0</v>
      </c>
      <c r="AE37" s="1033">
        <f>VLOOKUP(AC37,Düngemittel!$B$6:$E$64,2,FALSE)*(VLOOKUP(AC37,Düngemittel!$B$6:$E$64,3,FALSE))/100*AD37</f>
        <v>0</v>
      </c>
      <c r="AF37" s="1033">
        <f>VLOOKUP(AC37,Düngemittel!$B$6:$E$64,2,FALSE)*AD37</f>
        <v>0</v>
      </c>
      <c r="AG37" s="1033">
        <f>VLOOKUP(AC37,Düngemittel!$B$6:$E$64,4,FALSE)*AD37</f>
        <v>0</v>
      </c>
      <c r="AH37" s="142"/>
      <c r="AI37" s="1329"/>
      <c r="AJ37" s="1330" t="s">
        <v>795</v>
      </c>
      <c r="AK37" s="1424">
        <v>0</v>
      </c>
      <c r="AL37" s="1033">
        <f>VLOOKUP(AJ37,Düngemittel!$B$6:$E$64,2,FALSE)*(VLOOKUP(AJ37,Düngemittel!$B$6:$E$64,3,FALSE))/100*AK37</f>
        <v>0</v>
      </c>
      <c r="AM37" s="1033">
        <f>VLOOKUP(AJ37,Düngemittel!$B$6:$E$64,2,FALSE)*AK37</f>
        <v>0</v>
      </c>
      <c r="AN37" s="1033">
        <f>VLOOKUP(AJ37,Düngemittel!$B$6:$E$64,4,FALSE)*AK37</f>
        <v>0</v>
      </c>
      <c r="AO37" s="1052"/>
      <c r="AP37" s="1812">
        <f t="shared" si="26"/>
        <v>0</v>
      </c>
      <c r="AQ37" s="2326">
        <f t="shared" si="27"/>
        <v>0</v>
      </c>
      <c r="AR37" s="1819">
        <f t="shared" si="28"/>
        <v>0</v>
      </c>
      <c r="AS37" s="1156">
        <f t="shared" si="29"/>
        <v>0</v>
      </c>
      <c r="AT37" s="2326">
        <f t="shared" si="30"/>
        <v>0</v>
      </c>
      <c r="AU37" s="1155"/>
      <c r="AV37" s="1812">
        <f t="shared" si="31"/>
        <v>0</v>
      </c>
      <c r="AW37" s="1282">
        <f t="shared" si="32"/>
        <v>0</v>
      </c>
      <c r="AX37" s="1812">
        <f t="shared" si="33"/>
        <v>0</v>
      </c>
      <c r="AY37" s="1824">
        <f t="shared" si="34"/>
        <v>0</v>
      </c>
      <c r="AZ37" s="1282">
        <f t="shared" si="35"/>
        <v>0</v>
      </c>
      <c r="BA37" s="544">
        <f t="shared" si="36"/>
        <v>0</v>
      </c>
      <c r="BB37" s="545">
        <f t="shared" si="37"/>
        <v>47</v>
      </c>
    </row>
    <row r="38" spans="1:54" ht="28.5" customHeight="1">
      <c r="A38" s="468">
        <v>29</v>
      </c>
      <c r="B38" s="1705">
        <v>0</v>
      </c>
      <c r="C38" s="2748"/>
      <c r="D38" s="1568" t="s">
        <v>572</v>
      </c>
      <c r="E38" s="1566">
        <f t="shared" si="21"/>
        <v>0</v>
      </c>
      <c r="F38" s="796" t="s">
        <v>559</v>
      </c>
      <c r="G38" s="1047">
        <v>8</v>
      </c>
      <c r="H38" s="590" t="s">
        <v>293</v>
      </c>
      <c r="I38" s="597">
        <f t="shared" si="22"/>
        <v>0</v>
      </c>
      <c r="J38" s="1049" t="s">
        <v>551</v>
      </c>
      <c r="K38" s="1050" t="s">
        <v>553</v>
      </c>
      <c r="L38" s="1047">
        <v>0</v>
      </c>
      <c r="M38" s="2201">
        <v>0</v>
      </c>
      <c r="N38" s="599">
        <f t="shared" si="23"/>
        <v>48</v>
      </c>
      <c r="O38" s="664">
        <f t="shared" si="24"/>
        <v>0</v>
      </c>
      <c r="P38" s="668">
        <v>18</v>
      </c>
      <c r="Q38" s="667">
        <f t="shared" si="25"/>
        <v>0</v>
      </c>
      <c r="R38" s="1051"/>
      <c r="S38" s="870">
        <v>29</v>
      </c>
      <c r="T38" s="870"/>
      <c r="U38" s="1329"/>
      <c r="V38" s="1330" t="s">
        <v>795</v>
      </c>
      <c r="W38" s="1424">
        <v>0</v>
      </c>
      <c r="X38" s="1033">
        <f>VLOOKUP(V38,Düngemittel!$B$6:$E$64,2,FALSE)*(VLOOKUP(V38,Düngemittel!$B$6:$E$64,3,FALSE))/100*W38</f>
        <v>0</v>
      </c>
      <c r="Y38" s="1033">
        <f>VLOOKUP(V38,Düngemittel!$B$6:$E$64,2,FALSE)*W38</f>
        <v>0</v>
      </c>
      <c r="Z38" s="1033">
        <f>VLOOKUP(V38,Düngemittel!$B$6:$E$64,4,FALSE)*W38</f>
        <v>0</v>
      </c>
      <c r="AA38" s="142"/>
      <c r="AB38" s="1329"/>
      <c r="AC38" s="1330" t="s">
        <v>795</v>
      </c>
      <c r="AD38" s="1424">
        <v>0</v>
      </c>
      <c r="AE38" s="1033">
        <f>VLOOKUP(AC38,Düngemittel!$B$6:$E$64,2,FALSE)*(VLOOKUP(AC38,Düngemittel!$B$6:$E$64,3,FALSE))/100*AD38</f>
        <v>0</v>
      </c>
      <c r="AF38" s="1033">
        <f>VLOOKUP(AC38,Düngemittel!$B$6:$E$64,2,FALSE)*AD38</f>
        <v>0</v>
      </c>
      <c r="AG38" s="1033">
        <f>VLOOKUP(AC38,Düngemittel!$B$6:$E$64,4,FALSE)*AD38</f>
        <v>0</v>
      </c>
      <c r="AH38" s="142"/>
      <c r="AI38" s="1329"/>
      <c r="AJ38" s="1330" t="s">
        <v>795</v>
      </c>
      <c r="AK38" s="1424">
        <v>0</v>
      </c>
      <c r="AL38" s="1033">
        <f>VLOOKUP(AJ38,Düngemittel!$B$6:$E$64,2,FALSE)*(VLOOKUP(AJ38,Düngemittel!$B$6:$E$64,3,FALSE))/100*AK38</f>
        <v>0</v>
      </c>
      <c r="AM38" s="1033">
        <f>VLOOKUP(AJ38,Düngemittel!$B$6:$E$64,2,FALSE)*AK38</f>
        <v>0</v>
      </c>
      <c r="AN38" s="1033">
        <f>VLOOKUP(AJ38,Düngemittel!$B$6:$E$64,4,FALSE)*AK38</f>
        <v>0</v>
      </c>
      <c r="AO38" s="1052"/>
      <c r="AP38" s="1812">
        <f t="shared" si="26"/>
        <v>0</v>
      </c>
      <c r="AQ38" s="2326">
        <f t="shared" si="27"/>
        <v>0</v>
      </c>
      <c r="AR38" s="1819">
        <f t="shared" si="28"/>
        <v>0</v>
      </c>
      <c r="AS38" s="1156">
        <f t="shared" si="29"/>
        <v>0</v>
      </c>
      <c r="AT38" s="2326">
        <f t="shared" si="30"/>
        <v>0</v>
      </c>
      <c r="AU38" s="1155"/>
      <c r="AV38" s="1812">
        <f t="shared" si="31"/>
        <v>0</v>
      </c>
      <c r="AW38" s="1282">
        <f t="shared" si="32"/>
        <v>0</v>
      </c>
      <c r="AX38" s="1812">
        <f t="shared" si="33"/>
        <v>0</v>
      </c>
      <c r="AY38" s="1824">
        <f t="shared" si="34"/>
        <v>0</v>
      </c>
      <c r="AZ38" s="1282">
        <f t="shared" si="35"/>
        <v>0</v>
      </c>
      <c r="BA38" s="544">
        <f t="shared" si="36"/>
        <v>0</v>
      </c>
      <c r="BB38" s="545">
        <f t="shared" si="37"/>
        <v>48</v>
      </c>
    </row>
    <row r="39" spans="1:54" ht="28.5" customHeight="1">
      <c r="A39" s="468">
        <v>30</v>
      </c>
      <c r="B39" s="1705">
        <v>0</v>
      </c>
      <c r="C39" s="2748"/>
      <c r="D39" s="1568" t="s">
        <v>572</v>
      </c>
      <c r="E39" s="1566">
        <f t="shared" si="21"/>
        <v>0</v>
      </c>
      <c r="F39" s="796" t="s">
        <v>559</v>
      </c>
      <c r="G39" s="1047">
        <v>9</v>
      </c>
      <c r="H39" s="590" t="s">
        <v>293</v>
      </c>
      <c r="I39" s="597">
        <f t="shared" si="22"/>
        <v>0</v>
      </c>
      <c r="J39" s="1049" t="s">
        <v>551</v>
      </c>
      <c r="K39" s="1050" t="s">
        <v>553</v>
      </c>
      <c r="L39" s="1047">
        <v>0</v>
      </c>
      <c r="M39" s="2201">
        <v>0</v>
      </c>
      <c r="N39" s="599">
        <f t="shared" si="23"/>
        <v>49</v>
      </c>
      <c r="O39" s="664">
        <f t="shared" si="24"/>
        <v>0</v>
      </c>
      <c r="P39" s="668">
        <v>19</v>
      </c>
      <c r="Q39" s="667">
        <f t="shared" si="25"/>
        <v>0</v>
      </c>
      <c r="R39" s="1051"/>
      <c r="S39" s="870">
        <v>30</v>
      </c>
      <c r="T39" s="870"/>
      <c r="U39" s="1329"/>
      <c r="V39" s="1330" t="s">
        <v>795</v>
      </c>
      <c r="W39" s="1424">
        <v>0</v>
      </c>
      <c r="X39" s="1033">
        <f>VLOOKUP(V39,Düngemittel!$B$6:$E$64,2,FALSE)*(VLOOKUP(V39,Düngemittel!$B$6:$E$64,3,FALSE))/100*W39</f>
        <v>0</v>
      </c>
      <c r="Y39" s="1033">
        <f>VLOOKUP(V39,Düngemittel!$B$6:$E$64,2,FALSE)*W39</f>
        <v>0</v>
      </c>
      <c r="Z39" s="1033">
        <f>VLOOKUP(V39,Düngemittel!$B$6:$E$64,4,FALSE)*W39</f>
        <v>0</v>
      </c>
      <c r="AA39" s="142"/>
      <c r="AB39" s="1329"/>
      <c r="AC39" s="1330" t="s">
        <v>795</v>
      </c>
      <c r="AD39" s="1424">
        <v>0</v>
      </c>
      <c r="AE39" s="1033">
        <f>VLOOKUP(AC39,Düngemittel!$B$6:$E$64,2,FALSE)*(VLOOKUP(AC39,Düngemittel!$B$6:$E$64,3,FALSE))/100*AD39</f>
        <v>0</v>
      </c>
      <c r="AF39" s="1033">
        <f>VLOOKUP(AC39,Düngemittel!$B$6:$E$64,2,FALSE)*AD39</f>
        <v>0</v>
      </c>
      <c r="AG39" s="1033">
        <f>VLOOKUP(AC39,Düngemittel!$B$6:$E$64,4,FALSE)*AD39</f>
        <v>0</v>
      </c>
      <c r="AH39" s="142"/>
      <c r="AI39" s="1329"/>
      <c r="AJ39" s="1330" t="s">
        <v>795</v>
      </c>
      <c r="AK39" s="1424">
        <v>0</v>
      </c>
      <c r="AL39" s="1033">
        <f>VLOOKUP(AJ39,Düngemittel!$B$6:$E$64,2,FALSE)*(VLOOKUP(AJ39,Düngemittel!$B$6:$E$64,3,FALSE))/100*AK39</f>
        <v>0</v>
      </c>
      <c r="AM39" s="1033">
        <f>VLOOKUP(AJ39,Düngemittel!$B$6:$E$64,2,FALSE)*AK39</f>
        <v>0</v>
      </c>
      <c r="AN39" s="1033">
        <f>VLOOKUP(AJ39,Düngemittel!$B$6:$E$64,4,FALSE)*AK39</f>
        <v>0</v>
      </c>
      <c r="AO39" s="1052"/>
      <c r="AP39" s="1812">
        <f t="shared" si="26"/>
        <v>0</v>
      </c>
      <c r="AQ39" s="2326">
        <f t="shared" si="27"/>
        <v>0</v>
      </c>
      <c r="AR39" s="1819">
        <f t="shared" si="28"/>
        <v>0</v>
      </c>
      <c r="AS39" s="1156">
        <f t="shared" si="29"/>
        <v>0</v>
      </c>
      <c r="AT39" s="2326">
        <f t="shared" si="30"/>
        <v>0</v>
      </c>
      <c r="AU39" s="1155"/>
      <c r="AV39" s="1812">
        <f t="shared" si="31"/>
        <v>0</v>
      </c>
      <c r="AW39" s="1282">
        <f t="shared" si="32"/>
        <v>0</v>
      </c>
      <c r="AX39" s="1812">
        <f t="shared" si="33"/>
        <v>0</v>
      </c>
      <c r="AY39" s="1824">
        <f t="shared" si="34"/>
        <v>0</v>
      </c>
      <c r="AZ39" s="1282">
        <f t="shared" si="35"/>
        <v>0</v>
      </c>
      <c r="BA39" s="544">
        <f t="shared" si="36"/>
        <v>0</v>
      </c>
      <c r="BB39" s="545">
        <f t="shared" si="37"/>
        <v>49</v>
      </c>
    </row>
    <row r="40" spans="1:54" ht="28.5" customHeight="1">
      <c r="A40" s="468">
        <v>31</v>
      </c>
      <c r="B40" s="1705">
        <v>0</v>
      </c>
      <c r="C40" s="2748"/>
      <c r="D40" s="1568" t="s">
        <v>572</v>
      </c>
      <c r="E40" s="1566">
        <f t="shared" si="21"/>
        <v>0</v>
      </c>
      <c r="F40" s="796" t="s">
        <v>559</v>
      </c>
      <c r="G40" s="1047">
        <v>10</v>
      </c>
      <c r="H40" s="590" t="s">
        <v>293</v>
      </c>
      <c r="I40" s="597">
        <f t="shared" si="22"/>
        <v>0</v>
      </c>
      <c r="J40" s="1049" t="s">
        <v>551</v>
      </c>
      <c r="K40" s="1050" t="s">
        <v>553</v>
      </c>
      <c r="L40" s="1047">
        <v>0</v>
      </c>
      <c r="M40" s="2201">
        <v>0</v>
      </c>
      <c r="N40" s="599">
        <f t="shared" si="23"/>
        <v>50</v>
      </c>
      <c r="O40" s="664">
        <f t="shared" si="24"/>
        <v>0</v>
      </c>
      <c r="P40" s="668">
        <v>20</v>
      </c>
      <c r="Q40" s="667">
        <f t="shared" si="25"/>
        <v>0</v>
      </c>
      <c r="R40" s="1051"/>
      <c r="S40" s="870">
        <v>31</v>
      </c>
      <c r="T40" s="870"/>
      <c r="U40" s="1329"/>
      <c r="V40" s="1330" t="s">
        <v>795</v>
      </c>
      <c r="W40" s="1424">
        <v>0</v>
      </c>
      <c r="X40" s="1033">
        <f>VLOOKUP(V40,Düngemittel!$B$6:$E$64,2,FALSE)*(VLOOKUP(V40,Düngemittel!$B$6:$E$64,3,FALSE))/100*W40</f>
        <v>0</v>
      </c>
      <c r="Y40" s="1033">
        <f>VLOOKUP(V40,Düngemittel!$B$6:$E$64,2,FALSE)*W40</f>
        <v>0</v>
      </c>
      <c r="Z40" s="1033">
        <f>VLOOKUP(V40,Düngemittel!$B$6:$E$64,4,FALSE)*W40</f>
        <v>0</v>
      </c>
      <c r="AA40" s="142"/>
      <c r="AB40" s="1329"/>
      <c r="AC40" s="1330" t="s">
        <v>795</v>
      </c>
      <c r="AD40" s="1424">
        <v>0</v>
      </c>
      <c r="AE40" s="1033">
        <f>VLOOKUP(AC40,Düngemittel!$B$6:$E$64,2,FALSE)*(VLOOKUP(AC40,Düngemittel!$B$6:$E$64,3,FALSE))/100*AD40</f>
        <v>0</v>
      </c>
      <c r="AF40" s="1033">
        <f>VLOOKUP(AC40,Düngemittel!$B$6:$E$64,2,FALSE)*AD40</f>
        <v>0</v>
      </c>
      <c r="AG40" s="1033">
        <f>VLOOKUP(AC40,Düngemittel!$B$6:$E$64,4,FALSE)*AD40</f>
        <v>0</v>
      </c>
      <c r="AH40" s="142"/>
      <c r="AI40" s="1329"/>
      <c r="AJ40" s="1330" t="s">
        <v>795</v>
      </c>
      <c r="AK40" s="1424">
        <v>0</v>
      </c>
      <c r="AL40" s="1033">
        <f>VLOOKUP(AJ40,Düngemittel!$B$6:$E$64,2,FALSE)*(VLOOKUP(AJ40,Düngemittel!$B$6:$E$64,3,FALSE))/100*AK40</f>
        <v>0</v>
      </c>
      <c r="AM40" s="1033">
        <f>VLOOKUP(AJ40,Düngemittel!$B$6:$E$64,2,FALSE)*AK40</f>
        <v>0</v>
      </c>
      <c r="AN40" s="1033">
        <f>VLOOKUP(AJ40,Düngemittel!$B$6:$E$64,4,FALSE)*AK40</f>
        <v>0</v>
      </c>
      <c r="AO40" s="1052"/>
      <c r="AP40" s="1812">
        <f t="shared" si="26"/>
        <v>0</v>
      </c>
      <c r="AQ40" s="2326">
        <f t="shared" si="27"/>
        <v>0</v>
      </c>
      <c r="AR40" s="1819">
        <f t="shared" si="28"/>
        <v>0</v>
      </c>
      <c r="AS40" s="1156">
        <f t="shared" si="29"/>
        <v>0</v>
      </c>
      <c r="AT40" s="2326">
        <f t="shared" si="30"/>
        <v>0</v>
      </c>
      <c r="AU40" s="1155"/>
      <c r="AV40" s="1812">
        <f t="shared" si="31"/>
        <v>0</v>
      </c>
      <c r="AW40" s="1282">
        <f t="shared" si="32"/>
        <v>0</v>
      </c>
      <c r="AX40" s="1812">
        <f t="shared" si="33"/>
        <v>0</v>
      </c>
      <c r="AY40" s="1824">
        <f t="shared" si="34"/>
        <v>0</v>
      </c>
      <c r="AZ40" s="1282">
        <f t="shared" si="35"/>
        <v>0</v>
      </c>
      <c r="BA40" s="544">
        <f t="shared" si="36"/>
        <v>0</v>
      </c>
      <c r="BB40" s="545">
        <f t="shared" si="37"/>
        <v>50</v>
      </c>
    </row>
    <row r="41" spans="1:54" ht="28.5" customHeight="1">
      <c r="A41" s="468">
        <v>32</v>
      </c>
      <c r="B41" s="1705">
        <v>0</v>
      </c>
      <c r="C41" s="2748"/>
      <c r="D41" s="1568" t="s">
        <v>572</v>
      </c>
      <c r="E41" s="1566">
        <f t="shared" si="21"/>
        <v>0</v>
      </c>
      <c r="F41" s="796" t="s">
        <v>559</v>
      </c>
      <c r="G41" s="1047">
        <v>11</v>
      </c>
      <c r="H41" s="590" t="s">
        <v>293</v>
      </c>
      <c r="I41" s="597">
        <f t="shared" si="22"/>
        <v>0</v>
      </c>
      <c r="J41" s="1049" t="s">
        <v>551</v>
      </c>
      <c r="K41" s="1050" t="s">
        <v>553</v>
      </c>
      <c r="L41" s="1047">
        <v>0</v>
      </c>
      <c r="M41" s="2201">
        <v>0</v>
      </c>
      <c r="N41" s="599">
        <f t="shared" si="23"/>
        <v>51</v>
      </c>
      <c r="O41" s="664">
        <f t="shared" si="24"/>
        <v>0</v>
      </c>
      <c r="P41" s="668">
        <v>21</v>
      </c>
      <c r="Q41" s="667">
        <f t="shared" si="25"/>
        <v>0</v>
      </c>
      <c r="R41" s="1051"/>
      <c r="S41" s="870">
        <v>32</v>
      </c>
      <c r="T41" s="870"/>
      <c r="U41" s="1329"/>
      <c r="V41" s="1330" t="s">
        <v>795</v>
      </c>
      <c r="W41" s="1424">
        <v>0</v>
      </c>
      <c r="X41" s="1033">
        <f>VLOOKUP(V41,Düngemittel!$B$6:$E$64,2,FALSE)*(VLOOKUP(V41,Düngemittel!$B$6:$E$64,3,FALSE))/100*W41</f>
        <v>0</v>
      </c>
      <c r="Y41" s="1033">
        <f>VLOOKUP(V41,Düngemittel!$B$6:$E$64,2,FALSE)*W41</f>
        <v>0</v>
      </c>
      <c r="Z41" s="1033">
        <f>VLOOKUP(V41,Düngemittel!$B$6:$E$64,4,FALSE)*W41</f>
        <v>0</v>
      </c>
      <c r="AA41" s="142"/>
      <c r="AB41" s="1329"/>
      <c r="AC41" s="1330" t="s">
        <v>795</v>
      </c>
      <c r="AD41" s="1424">
        <v>0</v>
      </c>
      <c r="AE41" s="1033">
        <f>VLOOKUP(AC41,Düngemittel!$B$6:$E$64,2,FALSE)*(VLOOKUP(AC41,Düngemittel!$B$6:$E$64,3,FALSE))/100*AD41</f>
        <v>0</v>
      </c>
      <c r="AF41" s="1033">
        <f>VLOOKUP(AC41,Düngemittel!$B$6:$E$64,2,FALSE)*AD41</f>
        <v>0</v>
      </c>
      <c r="AG41" s="1033">
        <f>VLOOKUP(AC41,Düngemittel!$B$6:$E$64,4,FALSE)*AD41</f>
        <v>0</v>
      </c>
      <c r="AH41" s="142"/>
      <c r="AI41" s="1329"/>
      <c r="AJ41" s="1330" t="s">
        <v>795</v>
      </c>
      <c r="AK41" s="1424">
        <v>0</v>
      </c>
      <c r="AL41" s="1033">
        <f>VLOOKUP(AJ41,Düngemittel!$B$6:$E$64,2,FALSE)*(VLOOKUP(AJ41,Düngemittel!$B$6:$E$64,3,FALSE))/100*AK41</f>
        <v>0</v>
      </c>
      <c r="AM41" s="1033">
        <f>VLOOKUP(AJ41,Düngemittel!$B$6:$E$64,2,FALSE)*AK41</f>
        <v>0</v>
      </c>
      <c r="AN41" s="1033">
        <f>VLOOKUP(AJ41,Düngemittel!$B$6:$E$64,4,FALSE)*AK41</f>
        <v>0</v>
      </c>
      <c r="AO41" s="1052"/>
      <c r="AP41" s="1812">
        <f t="shared" si="26"/>
        <v>0</v>
      </c>
      <c r="AQ41" s="2326">
        <f t="shared" si="27"/>
        <v>0</v>
      </c>
      <c r="AR41" s="1819">
        <f t="shared" si="28"/>
        <v>0</v>
      </c>
      <c r="AS41" s="1156">
        <f t="shared" si="29"/>
        <v>0</v>
      </c>
      <c r="AT41" s="2326">
        <f t="shared" si="30"/>
        <v>0</v>
      </c>
      <c r="AU41" s="1155"/>
      <c r="AV41" s="1812">
        <f t="shared" si="31"/>
        <v>0</v>
      </c>
      <c r="AW41" s="1282">
        <f t="shared" si="32"/>
        <v>0</v>
      </c>
      <c r="AX41" s="1812">
        <f t="shared" si="33"/>
        <v>0</v>
      </c>
      <c r="AY41" s="1824">
        <f t="shared" si="34"/>
        <v>0</v>
      </c>
      <c r="AZ41" s="1282">
        <f t="shared" si="35"/>
        <v>0</v>
      </c>
      <c r="BA41" s="544">
        <f t="shared" si="36"/>
        <v>0</v>
      </c>
      <c r="BB41" s="545">
        <f t="shared" si="37"/>
        <v>51</v>
      </c>
    </row>
    <row r="42" spans="1:54" ht="28.5" customHeight="1">
      <c r="A42" s="468">
        <v>33</v>
      </c>
      <c r="B42" s="1705">
        <v>0</v>
      </c>
      <c r="C42" s="2748"/>
      <c r="D42" s="1568" t="s">
        <v>572</v>
      </c>
      <c r="E42" s="1566">
        <f t="shared" si="21"/>
        <v>0</v>
      </c>
      <c r="F42" s="796" t="s">
        <v>559</v>
      </c>
      <c r="G42" s="1047">
        <v>12</v>
      </c>
      <c r="H42" s="590" t="s">
        <v>293</v>
      </c>
      <c r="I42" s="597">
        <f t="shared" si="22"/>
        <v>0</v>
      </c>
      <c r="J42" s="1049" t="s">
        <v>551</v>
      </c>
      <c r="K42" s="1050" t="s">
        <v>553</v>
      </c>
      <c r="L42" s="1047">
        <v>0</v>
      </c>
      <c r="M42" s="2201">
        <v>0</v>
      </c>
      <c r="N42" s="599">
        <f t="shared" si="23"/>
        <v>52</v>
      </c>
      <c r="O42" s="664">
        <f t="shared" si="24"/>
        <v>0</v>
      </c>
      <c r="P42" s="668">
        <v>22</v>
      </c>
      <c r="Q42" s="667">
        <f t="shared" si="25"/>
        <v>0</v>
      </c>
      <c r="R42" s="1051"/>
      <c r="S42" s="870">
        <v>33</v>
      </c>
      <c r="T42" s="870"/>
      <c r="U42" s="1329"/>
      <c r="V42" s="1330" t="s">
        <v>795</v>
      </c>
      <c r="W42" s="1424">
        <v>0</v>
      </c>
      <c r="X42" s="1033">
        <f>VLOOKUP(V42,Düngemittel!$B$6:$E$64,2,FALSE)*(VLOOKUP(V42,Düngemittel!$B$6:$E$64,3,FALSE))/100*W42</f>
        <v>0</v>
      </c>
      <c r="Y42" s="1033">
        <f>VLOOKUP(V42,Düngemittel!$B$6:$E$64,2,FALSE)*W42</f>
        <v>0</v>
      </c>
      <c r="Z42" s="1033">
        <f>VLOOKUP(V42,Düngemittel!$B$6:$E$64,4,FALSE)*W42</f>
        <v>0</v>
      </c>
      <c r="AA42" s="142"/>
      <c r="AB42" s="1329"/>
      <c r="AC42" s="1330" t="s">
        <v>795</v>
      </c>
      <c r="AD42" s="1424">
        <v>0</v>
      </c>
      <c r="AE42" s="1033">
        <f>VLOOKUP(AC42,Düngemittel!$B$6:$E$64,2,FALSE)*(VLOOKUP(AC42,Düngemittel!$B$6:$E$64,3,FALSE))/100*AD42</f>
        <v>0</v>
      </c>
      <c r="AF42" s="1033">
        <f>VLOOKUP(AC42,Düngemittel!$B$6:$E$64,2,FALSE)*AD42</f>
        <v>0</v>
      </c>
      <c r="AG42" s="1033">
        <f>VLOOKUP(AC42,Düngemittel!$B$6:$E$64,4,FALSE)*AD42</f>
        <v>0</v>
      </c>
      <c r="AH42" s="142"/>
      <c r="AI42" s="1329"/>
      <c r="AJ42" s="1330" t="s">
        <v>795</v>
      </c>
      <c r="AK42" s="1424">
        <v>0</v>
      </c>
      <c r="AL42" s="1033">
        <f>VLOOKUP(AJ42,Düngemittel!$B$6:$E$64,2,FALSE)*(VLOOKUP(AJ42,Düngemittel!$B$6:$E$64,3,FALSE))/100*AK42</f>
        <v>0</v>
      </c>
      <c r="AM42" s="1033">
        <f>VLOOKUP(AJ42,Düngemittel!$B$6:$E$64,2,FALSE)*AK42</f>
        <v>0</v>
      </c>
      <c r="AN42" s="1033">
        <f>VLOOKUP(AJ42,Düngemittel!$B$6:$E$64,4,FALSE)*AK42</f>
        <v>0</v>
      </c>
      <c r="AO42" s="1052"/>
      <c r="AP42" s="1812">
        <f t="shared" si="26"/>
        <v>0</v>
      </c>
      <c r="AQ42" s="2326">
        <f t="shared" si="27"/>
        <v>0</v>
      </c>
      <c r="AR42" s="1819">
        <f t="shared" si="28"/>
        <v>0</v>
      </c>
      <c r="AS42" s="1156">
        <f t="shared" si="29"/>
        <v>0</v>
      </c>
      <c r="AT42" s="2326">
        <f t="shared" si="30"/>
        <v>0</v>
      </c>
      <c r="AU42" s="1155"/>
      <c r="AV42" s="1812">
        <f t="shared" si="31"/>
        <v>0</v>
      </c>
      <c r="AW42" s="1282">
        <f t="shared" si="32"/>
        <v>0</v>
      </c>
      <c r="AX42" s="1812">
        <f t="shared" si="33"/>
        <v>0</v>
      </c>
      <c r="AY42" s="1824">
        <f t="shared" si="34"/>
        <v>0</v>
      </c>
      <c r="AZ42" s="1282">
        <f t="shared" si="35"/>
        <v>0</v>
      </c>
      <c r="BA42" s="544">
        <f t="shared" si="36"/>
        <v>0</v>
      </c>
      <c r="BB42" s="545">
        <f t="shared" si="37"/>
        <v>52</v>
      </c>
    </row>
    <row r="43" spans="1:54" ht="28.5" customHeight="1">
      <c r="A43" s="468">
        <v>34</v>
      </c>
      <c r="B43" s="1705">
        <v>0</v>
      </c>
      <c r="C43" s="2748"/>
      <c r="D43" s="1568" t="s">
        <v>572</v>
      </c>
      <c r="E43" s="1566">
        <f t="shared" si="21"/>
        <v>0</v>
      </c>
      <c r="F43" s="796" t="s">
        <v>559</v>
      </c>
      <c r="G43" s="1047">
        <v>13</v>
      </c>
      <c r="H43" s="590" t="s">
        <v>293</v>
      </c>
      <c r="I43" s="597">
        <f t="shared" si="22"/>
        <v>0</v>
      </c>
      <c r="J43" s="1049" t="s">
        <v>551</v>
      </c>
      <c r="K43" s="1050" t="s">
        <v>553</v>
      </c>
      <c r="L43" s="1047">
        <v>0</v>
      </c>
      <c r="M43" s="2201">
        <v>0</v>
      </c>
      <c r="N43" s="599">
        <f t="shared" si="23"/>
        <v>53</v>
      </c>
      <c r="O43" s="664">
        <f t="shared" si="24"/>
        <v>0</v>
      </c>
      <c r="P43" s="668">
        <v>23</v>
      </c>
      <c r="Q43" s="667">
        <f t="shared" si="25"/>
        <v>0</v>
      </c>
      <c r="R43" s="1051"/>
      <c r="S43" s="870">
        <v>34</v>
      </c>
      <c r="T43" s="870"/>
      <c r="U43" s="1329"/>
      <c r="V43" s="1330" t="s">
        <v>795</v>
      </c>
      <c r="W43" s="1424">
        <v>0</v>
      </c>
      <c r="X43" s="1033">
        <f>VLOOKUP(V43,Düngemittel!$B$6:$E$64,2,FALSE)*(VLOOKUP(V43,Düngemittel!$B$6:$E$64,3,FALSE))/100*W43</f>
        <v>0</v>
      </c>
      <c r="Y43" s="1033">
        <f>VLOOKUP(V43,Düngemittel!$B$6:$E$64,2,FALSE)*W43</f>
        <v>0</v>
      </c>
      <c r="Z43" s="1033">
        <f>VLOOKUP(V43,Düngemittel!$B$6:$E$64,4,FALSE)*W43</f>
        <v>0</v>
      </c>
      <c r="AA43" s="142"/>
      <c r="AB43" s="1329"/>
      <c r="AC43" s="1330" t="s">
        <v>795</v>
      </c>
      <c r="AD43" s="1424">
        <v>0</v>
      </c>
      <c r="AE43" s="1033">
        <f>VLOOKUP(AC43,Düngemittel!$B$6:$E$64,2,FALSE)*(VLOOKUP(AC43,Düngemittel!$B$6:$E$64,3,FALSE))/100*AD43</f>
        <v>0</v>
      </c>
      <c r="AF43" s="1033">
        <f>VLOOKUP(AC43,Düngemittel!$B$6:$E$64,2,FALSE)*AD43</f>
        <v>0</v>
      </c>
      <c r="AG43" s="1033">
        <f>VLOOKUP(AC43,Düngemittel!$B$6:$E$64,4,FALSE)*AD43</f>
        <v>0</v>
      </c>
      <c r="AH43" s="142"/>
      <c r="AI43" s="1329"/>
      <c r="AJ43" s="1330" t="s">
        <v>795</v>
      </c>
      <c r="AK43" s="1424">
        <v>0</v>
      </c>
      <c r="AL43" s="1033">
        <f>VLOOKUP(AJ43,Düngemittel!$B$6:$E$64,2,FALSE)*(VLOOKUP(AJ43,Düngemittel!$B$6:$E$64,3,FALSE))/100*AK43</f>
        <v>0</v>
      </c>
      <c r="AM43" s="1033">
        <f>VLOOKUP(AJ43,Düngemittel!$B$6:$E$64,2,FALSE)*AK43</f>
        <v>0</v>
      </c>
      <c r="AN43" s="1033">
        <f>VLOOKUP(AJ43,Düngemittel!$B$6:$E$64,4,FALSE)*AK43</f>
        <v>0</v>
      </c>
      <c r="AO43" s="1052"/>
      <c r="AP43" s="1812">
        <f t="shared" si="26"/>
        <v>0</v>
      </c>
      <c r="AQ43" s="2326">
        <f t="shared" si="27"/>
        <v>0</v>
      </c>
      <c r="AR43" s="1819">
        <f t="shared" si="28"/>
        <v>0</v>
      </c>
      <c r="AS43" s="1156">
        <f t="shared" si="29"/>
        <v>0</v>
      </c>
      <c r="AT43" s="2326">
        <f t="shared" si="30"/>
        <v>0</v>
      </c>
      <c r="AU43" s="1155"/>
      <c r="AV43" s="1812">
        <f t="shared" si="31"/>
        <v>0</v>
      </c>
      <c r="AW43" s="1282">
        <f t="shared" si="32"/>
        <v>0</v>
      </c>
      <c r="AX43" s="1812">
        <f t="shared" si="33"/>
        <v>0</v>
      </c>
      <c r="AY43" s="1824">
        <f t="shared" si="34"/>
        <v>0</v>
      </c>
      <c r="AZ43" s="1282">
        <f t="shared" si="35"/>
        <v>0</v>
      </c>
      <c r="BA43" s="544">
        <f t="shared" si="36"/>
        <v>0</v>
      </c>
      <c r="BB43" s="545">
        <f t="shared" si="37"/>
        <v>53</v>
      </c>
    </row>
    <row r="44" spans="1:54" ht="28.5" customHeight="1">
      <c r="A44" s="468">
        <v>35</v>
      </c>
      <c r="B44" s="1705">
        <v>0</v>
      </c>
      <c r="C44" s="2748"/>
      <c r="D44" s="1568" t="s">
        <v>572</v>
      </c>
      <c r="E44" s="1566">
        <f t="shared" si="21"/>
        <v>0</v>
      </c>
      <c r="F44" s="796" t="s">
        <v>559</v>
      </c>
      <c r="G44" s="1047">
        <v>14</v>
      </c>
      <c r="H44" s="590" t="s">
        <v>293</v>
      </c>
      <c r="I44" s="597">
        <f t="shared" si="22"/>
        <v>0</v>
      </c>
      <c r="J44" s="1049" t="s">
        <v>551</v>
      </c>
      <c r="K44" s="1050" t="s">
        <v>553</v>
      </c>
      <c r="L44" s="1047">
        <v>0</v>
      </c>
      <c r="M44" s="2201">
        <v>0</v>
      </c>
      <c r="N44" s="599">
        <f t="shared" si="23"/>
        <v>54</v>
      </c>
      <c r="O44" s="664">
        <f t="shared" si="24"/>
        <v>0</v>
      </c>
      <c r="P44" s="668">
        <v>24</v>
      </c>
      <c r="Q44" s="667">
        <f t="shared" si="25"/>
        <v>0</v>
      </c>
      <c r="R44" s="1051"/>
      <c r="S44" s="870">
        <v>35</v>
      </c>
      <c r="T44" s="870"/>
      <c r="U44" s="1329"/>
      <c r="V44" s="1330" t="s">
        <v>795</v>
      </c>
      <c r="W44" s="1424">
        <v>0</v>
      </c>
      <c r="X44" s="1033">
        <f>VLOOKUP(V44,Düngemittel!$B$6:$E$64,2,FALSE)*(VLOOKUP(V44,Düngemittel!$B$6:$E$64,3,FALSE))/100*W44</f>
        <v>0</v>
      </c>
      <c r="Y44" s="1033">
        <f>VLOOKUP(V44,Düngemittel!$B$6:$E$64,2,FALSE)*W44</f>
        <v>0</v>
      </c>
      <c r="Z44" s="1033">
        <f>VLOOKUP(V44,Düngemittel!$B$6:$E$64,4,FALSE)*W44</f>
        <v>0</v>
      </c>
      <c r="AA44" s="142"/>
      <c r="AB44" s="1329"/>
      <c r="AC44" s="1330" t="s">
        <v>795</v>
      </c>
      <c r="AD44" s="1424">
        <v>0</v>
      </c>
      <c r="AE44" s="1033">
        <f>VLOOKUP(AC44,Düngemittel!$B$6:$E$64,2,FALSE)*(VLOOKUP(AC44,Düngemittel!$B$6:$E$64,3,FALSE))/100*AD44</f>
        <v>0</v>
      </c>
      <c r="AF44" s="1033">
        <f>VLOOKUP(AC44,Düngemittel!$B$6:$E$64,2,FALSE)*AD44</f>
        <v>0</v>
      </c>
      <c r="AG44" s="1033">
        <f>VLOOKUP(AC44,Düngemittel!$B$6:$E$64,4,FALSE)*AD44</f>
        <v>0</v>
      </c>
      <c r="AH44" s="142"/>
      <c r="AI44" s="1329"/>
      <c r="AJ44" s="1330" t="s">
        <v>795</v>
      </c>
      <c r="AK44" s="1424">
        <v>0</v>
      </c>
      <c r="AL44" s="1033">
        <f>VLOOKUP(AJ44,Düngemittel!$B$6:$E$64,2,FALSE)*(VLOOKUP(AJ44,Düngemittel!$B$6:$E$64,3,FALSE))/100*AK44</f>
        <v>0</v>
      </c>
      <c r="AM44" s="1033">
        <f>VLOOKUP(AJ44,Düngemittel!$B$6:$E$64,2,FALSE)*AK44</f>
        <v>0</v>
      </c>
      <c r="AN44" s="1033">
        <f>VLOOKUP(AJ44,Düngemittel!$B$6:$E$64,4,FALSE)*AK44</f>
        <v>0</v>
      </c>
      <c r="AO44" s="1052"/>
      <c r="AP44" s="1812">
        <f t="shared" si="26"/>
        <v>0</v>
      </c>
      <c r="AQ44" s="2326">
        <f t="shared" si="27"/>
        <v>0</v>
      </c>
      <c r="AR44" s="1819">
        <f t="shared" si="28"/>
        <v>0</v>
      </c>
      <c r="AS44" s="1156">
        <f t="shared" si="29"/>
        <v>0</v>
      </c>
      <c r="AT44" s="2326">
        <f t="shared" si="30"/>
        <v>0</v>
      </c>
      <c r="AU44" s="1155"/>
      <c r="AV44" s="1812">
        <f t="shared" si="31"/>
        <v>0</v>
      </c>
      <c r="AW44" s="1282">
        <f t="shared" si="32"/>
        <v>0</v>
      </c>
      <c r="AX44" s="1812">
        <f t="shared" si="33"/>
        <v>0</v>
      </c>
      <c r="AY44" s="1824">
        <f t="shared" si="34"/>
        <v>0</v>
      </c>
      <c r="AZ44" s="1282">
        <f t="shared" si="35"/>
        <v>0</v>
      </c>
      <c r="BA44" s="544">
        <f t="shared" si="36"/>
        <v>0</v>
      </c>
      <c r="BB44" s="545">
        <f t="shared" si="37"/>
        <v>54</v>
      </c>
    </row>
    <row r="45" spans="1:54" ht="28.5" customHeight="1">
      <c r="A45" s="468">
        <v>36</v>
      </c>
      <c r="B45" s="1705">
        <v>0</v>
      </c>
      <c r="C45" s="2748"/>
      <c r="D45" s="1568" t="s">
        <v>572</v>
      </c>
      <c r="E45" s="1566">
        <f t="shared" si="21"/>
        <v>0</v>
      </c>
      <c r="F45" s="796" t="s">
        <v>559</v>
      </c>
      <c r="G45" s="1047">
        <v>15</v>
      </c>
      <c r="H45" s="590" t="s">
        <v>293</v>
      </c>
      <c r="I45" s="597">
        <f t="shared" si="22"/>
        <v>0</v>
      </c>
      <c r="J45" s="1049" t="s">
        <v>551</v>
      </c>
      <c r="K45" s="1050" t="s">
        <v>553</v>
      </c>
      <c r="L45" s="1047">
        <v>0</v>
      </c>
      <c r="M45" s="2201">
        <v>0</v>
      </c>
      <c r="N45" s="599">
        <f t="shared" si="23"/>
        <v>55</v>
      </c>
      <c r="O45" s="664">
        <f t="shared" si="24"/>
        <v>0</v>
      </c>
      <c r="P45" s="668">
        <v>25</v>
      </c>
      <c r="Q45" s="667">
        <f t="shared" si="25"/>
        <v>0</v>
      </c>
      <c r="R45" s="1051"/>
      <c r="S45" s="870">
        <v>36</v>
      </c>
      <c r="T45" s="870"/>
      <c r="U45" s="1329"/>
      <c r="V45" s="1330" t="s">
        <v>795</v>
      </c>
      <c r="W45" s="1424">
        <v>0</v>
      </c>
      <c r="X45" s="1033">
        <f>VLOOKUP(V45,Düngemittel!$B$6:$E$64,2,FALSE)*(VLOOKUP(V45,Düngemittel!$B$6:$E$64,3,FALSE))/100*W45</f>
        <v>0</v>
      </c>
      <c r="Y45" s="1033">
        <f>VLOOKUP(V45,Düngemittel!$B$6:$E$64,2,FALSE)*W45</f>
        <v>0</v>
      </c>
      <c r="Z45" s="1033">
        <f>VLOOKUP(V45,Düngemittel!$B$6:$E$64,4,FALSE)*W45</f>
        <v>0</v>
      </c>
      <c r="AA45" s="142"/>
      <c r="AB45" s="1329"/>
      <c r="AC45" s="1330" t="s">
        <v>795</v>
      </c>
      <c r="AD45" s="1424">
        <v>0</v>
      </c>
      <c r="AE45" s="1033">
        <f>VLOOKUP(AC45,Düngemittel!$B$6:$E$64,2,FALSE)*(VLOOKUP(AC45,Düngemittel!$B$6:$E$64,3,FALSE))/100*AD45</f>
        <v>0</v>
      </c>
      <c r="AF45" s="1033">
        <f>VLOOKUP(AC45,Düngemittel!$B$6:$E$64,2,FALSE)*AD45</f>
        <v>0</v>
      </c>
      <c r="AG45" s="1033">
        <f>VLOOKUP(AC45,Düngemittel!$B$6:$E$64,4,FALSE)*AD45</f>
        <v>0</v>
      </c>
      <c r="AH45" s="142"/>
      <c r="AI45" s="1329"/>
      <c r="AJ45" s="1330" t="s">
        <v>795</v>
      </c>
      <c r="AK45" s="1424">
        <v>0</v>
      </c>
      <c r="AL45" s="1033">
        <f>VLOOKUP(AJ45,Düngemittel!$B$6:$E$64,2,FALSE)*(VLOOKUP(AJ45,Düngemittel!$B$6:$E$64,3,FALSE))/100*AK45</f>
        <v>0</v>
      </c>
      <c r="AM45" s="1033">
        <f>VLOOKUP(AJ45,Düngemittel!$B$6:$E$64,2,FALSE)*AK45</f>
        <v>0</v>
      </c>
      <c r="AN45" s="1033">
        <f>VLOOKUP(AJ45,Düngemittel!$B$6:$E$64,4,FALSE)*AK45</f>
        <v>0</v>
      </c>
      <c r="AO45" s="1052"/>
      <c r="AP45" s="1812">
        <f t="shared" si="26"/>
        <v>0</v>
      </c>
      <c r="AQ45" s="2326">
        <f t="shared" si="27"/>
        <v>0</v>
      </c>
      <c r="AR45" s="1819">
        <f t="shared" si="28"/>
        <v>0</v>
      </c>
      <c r="AS45" s="1156">
        <f t="shared" si="29"/>
        <v>0</v>
      </c>
      <c r="AT45" s="2326">
        <f t="shared" si="30"/>
        <v>0</v>
      </c>
      <c r="AU45" s="1155"/>
      <c r="AV45" s="1812">
        <f t="shared" si="31"/>
        <v>0</v>
      </c>
      <c r="AW45" s="1282">
        <f t="shared" si="32"/>
        <v>0</v>
      </c>
      <c r="AX45" s="1812">
        <f t="shared" si="33"/>
        <v>0</v>
      </c>
      <c r="AY45" s="1824">
        <f t="shared" si="34"/>
        <v>0</v>
      </c>
      <c r="AZ45" s="1282">
        <f t="shared" si="35"/>
        <v>0</v>
      </c>
      <c r="BA45" s="544">
        <f t="shared" si="36"/>
        <v>0</v>
      </c>
      <c r="BB45" s="545">
        <f t="shared" si="37"/>
        <v>55</v>
      </c>
    </row>
    <row r="46" spans="1:54" ht="28.5" customHeight="1">
      <c r="A46" s="468">
        <v>37</v>
      </c>
      <c r="B46" s="1705">
        <v>0</v>
      </c>
      <c r="C46" s="2748"/>
      <c r="D46" s="1568" t="s">
        <v>572</v>
      </c>
      <c r="E46" s="1566">
        <f t="shared" si="21"/>
        <v>0</v>
      </c>
      <c r="F46" s="796" t="s">
        <v>559</v>
      </c>
      <c r="G46" s="1047">
        <v>16</v>
      </c>
      <c r="H46" s="590" t="s">
        <v>293</v>
      </c>
      <c r="I46" s="597">
        <f t="shared" si="22"/>
        <v>0</v>
      </c>
      <c r="J46" s="1049" t="s">
        <v>551</v>
      </c>
      <c r="K46" s="1050" t="s">
        <v>553</v>
      </c>
      <c r="L46" s="1047">
        <v>0</v>
      </c>
      <c r="M46" s="2201">
        <v>0</v>
      </c>
      <c r="N46" s="599">
        <f t="shared" si="23"/>
        <v>56</v>
      </c>
      <c r="O46" s="664">
        <f t="shared" si="24"/>
        <v>0</v>
      </c>
      <c r="P46" s="668">
        <v>26</v>
      </c>
      <c r="Q46" s="667">
        <f t="shared" si="25"/>
        <v>0</v>
      </c>
      <c r="R46" s="1051"/>
      <c r="S46" s="870">
        <v>37</v>
      </c>
      <c r="T46" s="870"/>
      <c r="U46" s="1329"/>
      <c r="V46" s="1330" t="s">
        <v>795</v>
      </c>
      <c r="W46" s="1424">
        <v>0</v>
      </c>
      <c r="X46" s="1033">
        <f>VLOOKUP(V46,Düngemittel!$B$6:$E$64,2,FALSE)*(VLOOKUP(V46,Düngemittel!$B$6:$E$64,3,FALSE))/100*W46</f>
        <v>0</v>
      </c>
      <c r="Y46" s="1033">
        <f>VLOOKUP(V46,Düngemittel!$B$6:$E$64,2,FALSE)*W46</f>
        <v>0</v>
      </c>
      <c r="Z46" s="1033">
        <f>VLOOKUP(V46,Düngemittel!$B$6:$E$64,4,FALSE)*W46</f>
        <v>0</v>
      </c>
      <c r="AA46" s="142"/>
      <c r="AB46" s="1329"/>
      <c r="AC46" s="1330" t="s">
        <v>795</v>
      </c>
      <c r="AD46" s="1424">
        <v>0</v>
      </c>
      <c r="AE46" s="1033">
        <f>VLOOKUP(AC46,Düngemittel!$B$6:$E$64,2,FALSE)*(VLOOKUP(AC46,Düngemittel!$B$6:$E$64,3,FALSE))/100*AD46</f>
        <v>0</v>
      </c>
      <c r="AF46" s="1033">
        <f>VLOOKUP(AC46,Düngemittel!$B$6:$E$64,2,FALSE)*AD46</f>
        <v>0</v>
      </c>
      <c r="AG46" s="1033">
        <f>VLOOKUP(AC46,Düngemittel!$B$6:$E$64,4,FALSE)*AD46</f>
        <v>0</v>
      </c>
      <c r="AH46" s="142"/>
      <c r="AI46" s="1329"/>
      <c r="AJ46" s="1330" t="s">
        <v>795</v>
      </c>
      <c r="AK46" s="1424">
        <v>0</v>
      </c>
      <c r="AL46" s="1033">
        <f>VLOOKUP(AJ46,Düngemittel!$B$6:$E$64,2,FALSE)*(VLOOKUP(AJ46,Düngemittel!$B$6:$E$64,3,FALSE))/100*AK46</f>
        <v>0</v>
      </c>
      <c r="AM46" s="1033">
        <f>VLOOKUP(AJ46,Düngemittel!$B$6:$E$64,2,FALSE)*AK46</f>
        <v>0</v>
      </c>
      <c r="AN46" s="1033">
        <f>VLOOKUP(AJ46,Düngemittel!$B$6:$E$64,4,FALSE)*AK46</f>
        <v>0</v>
      </c>
      <c r="AO46" s="1052"/>
      <c r="AP46" s="1812">
        <f t="shared" si="26"/>
        <v>0</v>
      </c>
      <c r="AQ46" s="2326">
        <f t="shared" si="27"/>
        <v>0</v>
      </c>
      <c r="AR46" s="1819">
        <f t="shared" si="28"/>
        <v>0</v>
      </c>
      <c r="AS46" s="1156">
        <f t="shared" si="29"/>
        <v>0</v>
      </c>
      <c r="AT46" s="2326">
        <f t="shared" si="30"/>
        <v>0</v>
      </c>
      <c r="AU46" s="1155"/>
      <c r="AV46" s="1812">
        <f t="shared" si="31"/>
        <v>0</v>
      </c>
      <c r="AW46" s="1282">
        <f t="shared" si="32"/>
        <v>0</v>
      </c>
      <c r="AX46" s="1812">
        <f t="shared" si="33"/>
        <v>0</v>
      </c>
      <c r="AY46" s="1824">
        <f t="shared" si="34"/>
        <v>0</v>
      </c>
      <c r="AZ46" s="1282">
        <f t="shared" si="35"/>
        <v>0</v>
      </c>
      <c r="BA46" s="544">
        <f t="shared" si="36"/>
        <v>0</v>
      </c>
      <c r="BB46" s="545">
        <f t="shared" si="37"/>
        <v>56</v>
      </c>
    </row>
    <row r="47" spans="1:54" ht="28.5" customHeight="1">
      <c r="A47" s="468">
        <v>38</v>
      </c>
      <c r="B47" s="1705">
        <v>0</v>
      </c>
      <c r="C47" s="2748"/>
      <c r="D47" s="1568" t="s">
        <v>572</v>
      </c>
      <c r="E47" s="1566">
        <f t="shared" si="21"/>
        <v>0</v>
      </c>
      <c r="F47" s="796" t="s">
        <v>559</v>
      </c>
      <c r="G47" s="1047">
        <v>17</v>
      </c>
      <c r="H47" s="590" t="s">
        <v>293</v>
      </c>
      <c r="I47" s="597">
        <f t="shared" si="22"/>
        <v>0</v>
      </c>
      <c r="J47" s="1049" t="s">
        <v>551</v>
      </c>
      <c r="K47" s="1050" t="s">
        <v>553</v>
      </c>
      <c r="L47" s="1047">
        <v>0</v>
      </c>
      <c r="M47" s="2201">
        <v>0</v>
      </c>
      <c r="N47" s="599">
        <f t="shared" si="23"/>
        <v>57</v>
      </c>
      <c r="O47" s="664">
        <f t="shared" si="24"/>
        <v>0</v>
      </c>
      <c r="P47" s="668">
        <v>27</v>
      </c>
      <c r="Q47" s="667">
        <f t="shared" si="25"/>
        <v>0</v>
      </c>
      <c r="R47" s="1051"/>
      <c r="S47" s="870">
        <v>38</v>
      </c>
      <c r="T47" s="870"/>
      <c r="U47" s="1329"/>
      <c r="V47" s="1330" t="s">
        <v>795</v>
      </c>
      <c r="W47" s="1424">
        <v>0</v>
      </c>
      <c r="X47" s="1033">
        <f>VLOOKUP(V47,Düngemittel!$B$6:$E$64,2,FALSE)*(VLOOKUP(V47,Düngemittel!$B$6:$E$64,3,FALSE))/100*W47</f>
        <v>0</v>
      </c>
      <c r="Y47" s="1033">
        <f>VLOOKUP(V47,Düngemittel!$B$6:$E$64,2,FALSE)*W47</f>
        <v>0</v>
      </c>
      <c r="Z47" s="1033">
        <f>VLOOKUP(V47,Düngemittel!$B$6:$E$64,4,FALSE)*W47</f>
        <v>0</v>
      </c>
      <c r="AA47" s="142"/>
      <c r="AB47" s="1329"/>
      <c r="AC47" s="1330" t="s">
        <v>795</v>
      </c>
      <c r="AD47" s="1424">
        <v>0</v>
      </c>
      <c r="AE47" s="1033">
        <f>VLOOKUP(AC47,Düngemittel!$B$6:$E$64,2,FALSE)*(VLOOKUP(AC47,Düngemittel!$B$6:$E$64,3,FALSE))/100*AD47</f>
        <v>0</v>
      </c>
      <c r="AF47" s="1033">
        <f>VLOOKUP(AC47,Düngemittel!$B$6:$E$64,2,FALSE)*AD47</f>
        <v>0</v>
      </c>
      <c r="AG47" s="1033">
        <f>VLOOKUP(AC47,Düngemittel!$B$6:$E$64,4,FALSE)*AD47</f>
        <v>0</v>
      </c>
      <c r="AH47" s="142"/>
      <c r="AI47" s="1329"/>
      <c r="AJ47" s="1330" t="s">
        <v>795</v>
      </c>
      <c r="AK47" s="1424">
        <v>0</v>
      </c>
      <c r="AL47" s="1033">
        <f>VLOOKUP(AJ47,Düngemittel!$B$6:$E$64,2,FALSE)*(VLOOKUP(AJ47,Düngemittel!$B$6:$E$64,3,FALSE))/100*AK47</f>
        <v>0</v>
      </c>
      <c r="AM47" s="1033">
        <f>VLOOKUP(AJ47,Düngemittel!$B$6:$E$64,2,FALSE)*AK47</f>
        <v>0</v>
      </c>
      <c r="AN47" s="1033">
        <f>VLOOKUP(AJ47,Düngemittel!$B$6:$E$64,4,FALSE)*AK47</f>
        <v>0</v>
      </c>
      <c r="AO47" s="1052"/>
      <c r="AP47" s="1812">
        <f t="shared" si="26"/>
        <v>0</v>
      </c>
      <c r="AQ47" s="2326">
        <f t="shared" si="27"/>
        <v>0</v>
      </c>
      <c r="AR47" s="1819">
        <f t="shared" si="28"/>
        <v>0</v>
      </c>
      <c r="AS47" s="1156">
        <f t="shared" si="29"/>
        <v>0</v>
      </c>
      <c r="AT47" s="2326">
        <f t="shared" si="30"/>
        <v>0</v>
      </c>
      <c r="AU47" s="1155"/>
      <c r="AV47" s="1812">
        <f t="shared" si="31"/>
        <v>0</v>
      </c>
      <c r="AW47" s="1282">
        <f t="shared" si="32"/>
        <v>0</v>
      </c>
      <c r="AX47" s="1812">
        <f t="shared" si="33"/>
        <v>0</v>
      </c>
      <c r="AY47" s="1824">
        <f t="shared" si="34"/>
        <v>0</v>
      </c>
      <c r="AZ47" s="1282">
        <f t="shared" si="35"/>
        <v>0</v>
      </c>
      <c r="BA47" s="544">
        <f t="shared" si="36"/>
        <v>0</v>
      </c>
      <c r="BB47" s="545">
        <f t="shared" si="37"/>
        <v>57</v>
      </c>
    </row>
    <row r="48" spans="1:54" ht="28.5" customHeight="1">
      <c r="A48" s="468">
        <v>39</v>
      </c>
      <c r="B48" s="1705">
        <v>0</v>
      </c>
      <c r="C48" s="2748"/>
      <c r="D48" s="1568" t="s">
        <v>572</v>
      </c>
      <c r="E48" s="1566">
        <f t="shared" si="21"/>
        <v>0</v>
      </c>
      <c r="F48" s="796" t="s">
        <v>559</v>
      </c>
      <c r="G48" s="1047">
        <v>18</v>
      </c>
      <c r="H48" s="590" t="s">
        <v>293</v>
      </c>
      <c r="I48" s="597">
        <f t="shared" si="22"/>
        <v>0</v>
      </c>
      <c r="J48" s="1049" t="s">
        <v>551</v>
      </c>
      <c r="K48" s="1050" t="s">
        <v>553</v>
      </c>
      <c r="L48" s="1047">
        <v>0</v>
      </c>
      <c r="M48" s="2201">
        <v>0</v>
      </c>
      <c r="N48" s="599">
        <f t="shared" si="23"/>
        <v>58</v>
      </c>
      <c r="O48" s="664">
        <f t="shared" si="24"/>
        <v>0</v>
      </c>
      <c r="P48" s="668">
        <v>28</v>
      </c>
      <c r="Q48" s="667">
        <f t="shared" si="25"/>
        <v>0</v>
      </c>
      <c r="R48" s="1051"/>
      <c r="S48" s="870">
        <v>39</v>
      </c>
      <c r="T48" s="870"/>
      <c r="U48" s="1329"/>
      <c r="V48" s="1330" t="s">
        <v>795</v>
      </c>
      <c r="W48" s="1424">
        <v>0</v>
      </c>
      <c r="X48" s="1033">
        <f>VLOOKUP(V48,Düngemittel!$B$6:$E$64,2,FALSE)*(VLOOKUP(V48,Düngemittel!$B$6:$E$64,3,FALSE))/100*W48</f>
        <v>0</v>
      </c>
      <c r="Y48" s="1033">
        <f>VLOOKUP(V48,Düngemittel!$B$6:$E$64,2,FALSE)*W48</f>
        <v>0</v>
      </c>
      <c r="Z48" s="1033">
        <f>VLOOKUP(V48,Düngemittel!$B$6:$E$64,4,FALSE)*W48</f>
        <v>0</v>
      </c>
      <c r="AA48" s="142"/>
      <c r="AB48" s="1329"/>
      <c r="AC48" s="1330" t="s">
        <v>795</v>
      </c>
      <c r="AD48" s="1424">
        <v>0</v>
      </c>
      <c r="AE48" s="1033">
        <f>VLOOKUP(AC48,Düngemittel!$B$6:$E$64,2,FALSE)*(VLOOKUP(AC48,Düngemittel!$B$6:$E$64,3,FALSE))/100*AD48</f>
        <v>0</v>
      </c>
      <c r="AF48" s="1033">
        <f>VLOOKUP(AC48,Düngemittel!$B$6:$E$64,2,FALSE)*AD48</f>
        <v>0</v>
      </c>
      <c r="AG48" s="1033">
        <f>VLOOKUP(AC48,Düngemittel!$B$6:$E$64,4,FALSE)*AD48</f>
        <v>0</v>
      </c>
      <c r="AH48" s="142"/>
      <c r="AI48" s="1329"/>
      <c r="AJ48" s="1330" t="s">
        <v>795</v>
      </c>
      <c r="AK48" s="1424">
        <v>0</v>
      </c>
      <c r="AL48" s="1033">
        <f>VLOOKUP(AJ48,Düngemittel!$B$6:$E$64,2,FALSE)*(VLOOKUP(AJ48,Düngemittel!$B$6:$E$64,3,FALSE))/100*AK48</f>
        <v>0</v>
      </c>
      <c r="AM48" s="1033">
        <f>VLOOKUP(AJ48,Düngemittel!$B$6:$E$64,2,FALSE)*AK48</f>
        <v>0</v>
      </c>
      <c r="AN48" s="1033">
        <f>VLOOKUP(AJ48,Düngemittel!$B$6:$E$64,4,FALSE)*AK48</f>
        <v>0</v>
      </c>
      <c r="AO48" s="1052"/>
      <c r="AP48" s="1812">
        <f t="shared" si="26"/>
        <v>0</v>
      </c>
      <c r="AQ48" s="2326">
        <f t="shared" si="27"/>
        <v>0</v>
      </c>
      <c r="AR48" s="1819">
        <f t="shared" si="28"/>
        <v>0</v>
      </c>
      <c r="AS48" s="1156">
        <f t="shared" si="29"/>
        <v>0</v>
      </c>
      <c r="AT48" s="2326">
        <f t="shared" si="30"/>
        <v>0</v>
      </c>
      <c r="AU48" s="1155"/>
      <c r="AV48" s="1812">
        <f t="shared" si="31"/>
        <v>0</v>
      </c>
      <c r="AW48" s="1282">
        <f t="shared" si="32"/>
        <v>0</v>
      </c>
      <c r="AX48" s="1812">
        <f t="shared" si="33"/>
        <v>0</v>
      </c>
      <c r="AY48" s="1824">
        <f t="shared" si="34"/>
        <v>0</v>
      </c>
      <c r="AZ48" s="1282">
        <f t="shared" si="35"/>
        <v>0</v>
      </c>
      <c r="BA48" s="544">
        <f t="shared" si="36"/>
        <v>0</v>
      </c>
      <c r="BB48" s="545">
        <f t="shared" si="37"/>
        <v>58</v>
      </c>
    </row>
    <row r="49" spans="1:58" ht="28.5" customHeight="1">
      <c r="A49" s="468">
        <v>40</v>
      </c>
      <c r="B49" s="1705">
        <v>0</v>
      </c>
      <c r="C49" s="2748"/>
      <c r="D49" s="1568" t="s">
        <v>572</v>
      </c>
      <c r="E49" s="1566">
        <f t="shared" si="21"/>
        <v>0</v>
      </c>
      <c r="F49" s="796" t="s">
        <v>559</v>
      </c>
      <c r="G49" s="1047">
        <v>19</v>
      </c>
      <c r="H49" s="590" t="s">
        <v>293</v>
      </c>
      <c r="I49" s="597">
        <f t="shared" si="22"/>
        <v>0</v>
      </c>
      <c r="J49" s="1049" t="s">
        <v>551</v>
      </c>
      <c r="K49" s="1050" t="s">
        <v>553</v>
      </c>
      <c r="L49" s="1047">
        <v>0</v>
      </c>
      <c r="M49" s="2201">
        <v>0</v>
      </c>
      <c r="N49" s="599">
        <f t="shared" si="23"/>
        <v>59</v>
      </c>
      <c r="O49" s="664">
        <f t="shared" si="24"/>
        <v>0</v>
      </c>
      <c r="P49" s="668">
        <v>29</v>
      </c>
      <c r="Q49" s="667">
        <f t="shared" si="25"/>
        <v>0</v>
      </c>
      <c r="R49" s="1051"/>
      <c r="S49" s="870">
        <v>40</v>
      </c>
      <c r="T49" s="870"/>
      <c r="U49" s="1329"/>
      <c r="V49" s="1330" t="s">
        <v>795</v>
      </c>
      <c r="W49" s="1424">
        <v>0</v>
      </c>
      <c r="X49" s="1033">
        <f>VLOOKUP(V49,Düngemittel!$B$6:$E$64,2,FALSE)*(VLOOKUP(V49,Düngemittel!$B$6:$E$64,3,FALSE))/100*W49</f>
        <v>0</v>
      </c>
      <c r="Y49" s="1033">
        <f>VLOOKUP(V49,Düngemittel!$B$6:$E$64,2,FALSE)*W49</f>
        <v>0</v>
      </c>
      <c r="Z49" s="1033">
        <f>VLOOKUP(V49,Düngemittel!$B$6:$E$64,4,FALSE)*W49</f>
        <v>0</v>
      </c>
      <c r="AA49" s="142"/>
      <c r="AB49" s="1329"/>
      <c r="AC49" s="1330" t="s">
        <v>795</v>
      </c>
      <c r="AD49" s="1424">
        <v>0</v>
      </c>
      <c r="AE49" s="1033">
        <f>VLOOKUP(AC49,Düngemittel!$B$6:$E$64,2,FALSE)*(VLOOKUP(AC49,Düngemittel!$B$6:$E$64,3,FALSE))/100*AD49</f>
        <v>0</v>
      </c>
      <c r="AF49" s="1033">
        <f>VLOOKUP(AC49,Düngemittel!$B$6:$E$64,2,FALSE)*AD49</f>
        <v>0</v>
      </c>
      <c r="AG49" s="1033">
        <f>VLOOKUP(AC49,Düngemittel!$B$6:$E$64,4,FALSE)*AD49</f>
        <v>0</v>
      </c>
      <c r="AH49" s="142"/>
      <c r="AI49" s="1329"/>
      <c r="AJ49" s="1330" t="s">
        <v>795</v>
      </c>
      <c r="AK49" s="1424">
        <v>0</v>
      </c>
      <c r="AL49" s="1033">
        <f>VLOOKUP(AJ49,Düngemittel!$B$6:$E$64,2,FALSE)*(VLOOKUP(AJ49,Düngemittel!$B$6:$E$64,3,FALSE))/100*AK49</f>
        <v>0</v>
      </c>
      <c r="AM49" s="1033">
        <f>VLOOKUP(AJ49,Düngemittel!$B$6:$E$64,2,FALSE)*AK49</f>
        <v>0</v>
      </c>
      <c r="AN49" s="1033">
        <f>VLOOKUP(AJ49,Düngemittel!$B$6:$E$64,4,FALSE)*AK49</f>
        <v>0</v>
      </c>
      <c r="AO49" s="1052"/>
      <c r="AP49" s="1812">
        <f t="shared" si="26"/>
        <v>0</v>
      </c>
      <c r="AQ49" s="2326">
        <f t="shared" si="27"/>
        <v>0</v>
      </c>
      <c r="AR49" s="1819">
        <f t="shared" si="28"/>
        <v>0</v>
      </c>
      <c r="AS49" s="1156">
        <f t="shared" si="29"/>
        <v>0</v>
      </c>
      <c r="AT49" s="2326">
        <f t="shared" si="30"/>
        <v>0</v>
      </c>
      <c r="AU49" s="1155"/>
      <c r="AV49" s="1812">
        <f t="shared" si="31"/>
        <v>0</v>
      </c>
      <c r="AW49" s="1282">
        <f t="shared" si="32"/>
        <v>0</v>
      </c>
      <c r="AX49" s="1812">
        <f t="shared" si="33"/>
        <v>0</v>
      </c>
      <c r="AY49" s="1824">
        <f t="shared" si="34"/>
        <v>0</v>
      </c>
      <c r="AZ49" s="1282">
        <f t="shared" si="35"/>
        <v>0</v>
      </c>
      <c r="BA49" s="544">
        <f t="shared" si="36"/>
        <v>0</v>
      </c>
      <c r="BB49" s="545">
        <f t="shared" si="37"/>
        <v>59</v>
      </c>
    </row>
    <row r="50" spans="1:58" ht="28.5" customHeight="1">
      <c r="A50" s="468">
        <v>41</v>
      </c>
      <c r="B50" s="1705">
        <v>0</v>
      </c>
      <c r="C50" s="2748"/>
      <c r="D50" s="1568" t="s">
        <v>572</v>
      </c>
      <c r="E50" s="1566">
        <f t="shared" si="21"/>
        <v>0</v>
      </c>
      <c r="F50" s="796" t="s">
        <v>559</v>
      </c>
      <c r="G50" s="1047">
        <v>20</v>
      </c>
      <c r="H50" s="590" t="s">
        <v>293</v>
      </c>
      <c r="I50" s="597">
        <f t="shared" si="22"/>
        <v>0</v>
      </c>
      <c r="J50" s="1049" t="s">
        <v>551</v>
      </c>
      <c r="K50" s="1050" t="s">
        <v>553</v>
      </c>
      <c r="L50" s="1047">
        <v>0</v>
      </c>
      <c r="M50" s="2201">
        <v>0</v>
      </c>
      <c r="N50" s="599">
        <f t="shared" si="23"/>
        <v>60</v>
      </c>
      <c r="O50" s="664">
        <f t="shared" si="24"/>
        <v>0</v>
      </c>
      <c r="P50" s="668">
        <v>30</v>
      </c>
      <c r="Q50" s="667">
        <f t="shared" si="25"/>
        <v>0</v>
      </c>
      <c r="R50" s="1051"/>
      <c r="S50" s="870">
        <v>41</v>
      </c>
      <c r="T50" s="870"/>
      <c r="U50" s="1329"/>
      <c r="V50" s="1330" t="s">
        <v>795</v>
      </c>
      <c r="W50" s="1424">
        <v>0</v>
      </c>
      <c r="X50" s="1033">
        <f>VLOOKUP(V50,Düngemittel!$B$6:$E$64,2,FALSE)*(VLOOKUP(V50,Düngemittel!$B$6:$E$64,3,FALSE))/100*W50</f>
        <v>0</v>
      </c>
      <c r="Y50" s="1033">
        <f>VLOOKUP(V50,Düngemittel!$B$6:$E$64,2,FALSE)*W50</f>
        <v>0</v>
      </c>
      <c r="Z50" s="1033">
        <f>VLOOKUP(V50,Düngemittel!$B$6:$E$64,4,FALSE)*W50</f>
        <v>0</v>
      </c>
      <c r="AA50" s="142"/>
      <c r="AB50" s="1329"/>
      <c r="AC50" s="1330" t="s">
        <v>795</v>
      </c>
      <c r="AD50" s="1424">
        <v>0</v>
      </c>
      <c r="AE50" s="1033">
        <f>VLOOKUP(AC50,Düngemittel!$B$6:$E$64,2,FALSE)*(VLOOKUP(AC50,Düngemittel!$B$6:$E$64,3,FALSE))/100*AD50</f>
        <v>0</v>
      </c>
      <c r="AF50" s="1033">
        <f>VLOOKUP(AC50,Düngemittel!$B$6:$E$64,2,FALSE)*AD50</f>
        <v>0</v>
      </c>
      <c r="AG50" s="1033">
        <f>VLOOKUP(AC50,Düngemittel!$B$6:$E$64,4,FALSE)*AD50</f>
        <v>0</v>
      </c>
      <c r="AH50" s="142"/>
      <c r="AI50" s="1329"/>
      <c r="AJ50" s="1330" t="s">
        <v>795</v>
      </c>
      <c r="AK50" s="1424">
        <v>0</v>
      </c>
      <c r="AL50" s="1033">
        <f>VLOOKUP(AJ50,Düngemittel!$B$6:$E$64,2,FALSE)*(VLOOKUP(AJ50,Düngemittel!$B$6:$E$64,3,FALSE))/100*AK50</f>
        <v>0</v>
      </c>
      <c r="AM50" s="1033">
        <f>VLOOKUP(AJ50,Düngemittel!$B$6:$E$64,2,FALSE)*AK50</f>
        <v>0</v>
      </c>
      <c r="AN50" s="1033">
        <f>VLOOKUP(AJ50,Düngemittel!$B$6:$E$64,4,FALSE)*AK50</f>
        <v>0</v>
      </c>
      <c r="AO50" s="1052"/>
      <c r="AP50" s="1812">
        <f t="shared" si="26"/>
        <v>0</v>
      </c>
      <c r="AQ50" s="2326">
        <f t="shared" si="27"/>
        <v>0</v>
      </c>
      <c r="AR50" s="1819">
        <f t="shared" si="28"/>
        <v>0</v>
      </c>
      <c r="AS50" s="1156">
        <f t="shared" si="29"/>
        <v>0</v>
      </c>
      <c r="AT50" s="2326">
        <f t="shared" si="30"/>
        <v>0</v>
      </c>
      <c r="AU50" s="1155"/>
      <c r="AV50" s="1812">
        <f t="shared" si="31"/>
        <v>0</v>
      </c>
      <c r="AW50" s="1282">
        <f t="shared" si="32"/>
        <v>0</v>
      </c>
      <c r="AX50" s="1812">
        <f t="shared" si="33"/>
        <v>0</v>
      </c>
      <c r="AY50" s="1824">
        <f t="shared" si="34"/>
        <v>0</v>
      </c>
      <c r="AZ50" s="1282">
        <f t="shared" si="35"/>
        <v>0</v>
      </c>
      <c r="BA50" s="544">
        <f t="shared" si="36"/>
        <v>0</v>
      </c>
      <c r="BB50" s="545">
        <f t="shared" si="37"/>
        <v>60</v>
      </c>
    </row>
    <row r="51" spans="1:58" ht="28.5" customHeight="1">
      <c r="A51" s="468">
        <v>42</v>
      </c>
      <c r="B51" s="1705">
        <v>0</v>
      </c>
      <c r="C51" s="2748"/>
      <c r="D51" s="1568" t="s">
        <v>572</v>
      </c>
      <c r="E51" s="1566">
        <f t="shared" si="21"/>
        <v>0</v>
      </c>
      <c r="F51" s="796" t="s">
        <v>559</v>
      </c>
      <c r="G51" s="1047">
        <v>21</v>
      </c>
      <c r="H51" s="590" t="s">
        <v>293</v>
      </c>
      <c r="I51" s="597">
        <f t="shared" si="22"/>
        <v>0</v>
      </c>
      <c r="J51" s="1049" t="s">
        <v>551</v>
      </c>
      <c r="K51" s="1050" t="s">
        <v>553</v>
      </c>
      <c r="L51" s="1047">
        <v>0</v>
      </c>
      <c r="M51" s="2201">
        <v>0</v>
      </c>
      <c r="N51" s="599">
        <f t="shared" si="23"/>
        <v>61</v>
      </c>
      <c r="O51" s="664">
        <f t="shared" si="24"/>
        <v>0</v>
      </c>
      <c r="P51" s="668">
        <v>31</v>
      </c>
      <c r="Q51" s="667">
        <f t="shared" si="25"/>
        <v>0</v>
      </c>
      <c r="R51" s="1051"/>
      <c r="S51" s="870">
        <v>42</v>
      </c>
      <c r="T51" s="870"/>
      <c r="U51" s="1329"/>
      <c r="V51" s="1330" t="s">
        <v>795</v>
      </c>
      <c r="W51" s="1424">
        <v>0</v>
      </c>
      <c r="X51" s="1033">
        <f>VLOOKUP(V51,Düngemittel!$B$6:$E$64,2,FALSE)*(VLOOKUP(V51,Düngemittel!$B$6:$E$64,3,FALSE))/100*W51</f>
        <v>0</v>
      </c>
      <c r="Y51" s="1033">
        <f>VLOOKUP(V51,Düngemittel!$B$6:$E$64,2,FALSE)*W51</f>
        <v>0</v>
      </c>
      <c r="Z51" s="1033">
        <f>VLOOKUP(V51,Düngemittel!$B$6:$E$64,4,FALSE)*W51</f>
        <v>0</v>
      </c>
      <c r="AA51" s="142"/>
      <c r="AB51" s="1329"/>
      <c r="AC51" s="1330" t="s">
        <v>795</v>
      </c>
      <c r="AD51" s="1424">
        <v>0</v>
      </c>
      <c r="AE51" s="1033">
        <f>VLOOKUP(AC51,Düngemittel!$B$6:$E$64,2,FALSE)*(VLOOKUP(AC51,Düngemittel!$B$6:$E$64,3,FALSE))/100*AD51</f>
        <v>0</v>
      </c>
      <c r="AF51" s="1033">
        <f>VLOOKUP(AC51,Düngemittel!$B$6:$E$64,2,FALSE)*AD51</f>
        <v>0</v>
      </c>
      <c r="AG51" s="1033">
        <f>VLOOKUP(AC51,Düngemittel!$B$6:$E$64,4,FALSE)*AD51</f>
        <v>0</v>
      </c>
      <c r="AH51" s="142"/>
      <c r="AI51" s="1329"/>
      <c r="AJ51" s="1330" t="s">
        <v>795</v>
      </c>
      <c r="AK51" s="1424">
        <v>0</v>
      </c>
      <c r="AL51" s="1033">
        <f>VLOOKUP(AJ51,Düngemittel!$B$6:$E$64,2,FALSE)*(VLOOKUP(AJ51,Düngemittel!$B$6:$E$64,3,FALSE))/100*AK51</f>
        <v>0</v>
      </c>
      <c r="AM51" s="1033">
        <f>VLOOKUP(AJ51,Düngemittel!$B$6:$E$64,2,FALSE)*AK51</f>
        <v>0</v>
      </c>
      <c r="AN51" s="1033">
        <f>VLOOKUP(AJ51,Düngemittel!$B$6:$E$64,4,FALSE)*AK51</f>
        <v>0</v>
      </c>
      <c r="AO51" s="1052"/>
      <c r="AP51" s="1812">
        <f t="shared" si="26"/>
        <v>0</v>
      </c>
      <c r="AQ51" s="2326">
        <f t="shared" si="27"/>
        <v>0</v>
      </c>
      <c r="AR51" s="1819">
        <f t="shared" si="28"/>
        <v>0</v>
      </c>
      <c r="AS51" s="1156">
        <f t="shared" si="29"/>
        <v>0</v>
      </c>
      <c r="AT51" s="2326">
        <f t="shared" si="30"/>
        <v>0</v>
      </c>
      <c r="AU51" s="1155"/>
      <c r="AV51" s="1812">
        <f t="shared" si="31"/>
        <v>0</v>
      </c>
      <c r="AW51" s="1282">
        <f t="shared" si="32"/>
        <v>0</v>
      </c>
      <c r="AX51" s="1812">
        <f t="shared" si="33"/>
        <v>0</v>
      </c>
      <c r="AY51" s="1824">
        <f t="shared" si="34"/>
        <v>0</v>
      </c>
      <c r="AZ51" s="1282">
        <f t="shared" si="35"/>
        <v>0</v>
      </c>
      <c r="BA51" s="544">
        <f t="shared" si="36"/>
        <v>0</v>
      </c>
      <c r="BB51" s="545">
        <f t="shared" si="37"/>
        <v>61</v>
      </c>
    </row>
    <row r="52" spans="1:58" ht="28.5" customHeight="1">
      <c r="A52" s="468">
        <v>43</v>
      </c>
      <c r="B52" s="1705">
        <v>0</v>
      </c>
      <c r="C52" s="2748"/>
      <c r="D52" s="1568" t="s">
        <v>572</v>
      </c>
      <c r="E52" s="1566">
        <f t="shared" si="21"/>
        <v>0</v>
      </c>
      <c r="F52" s="796" t="s">
        <v>559</v>
      </c>
      <c r="G52" s="1047">
        <v>22</v>
      </c>
      <c r="H52" s="590" t="s">
        <v>293</v>
      </c>
      <c r="I52" s="597">
        <f t="shared" si="22"/>
        <v>0</v>
      </c>
      <c r="J52" s="1049" t="s">
        <v>551</v>
      </c>
      <c r="K52" s="1050" t="s">
        <v>553</v>
      </c>
      <c r="L52" s="1047">
        <v>0</v>
      </c>
      <c r="M52" s="2201">
        <v>0</v>
      </c>
      <c r="N52" s="599">
        <f t="shared" si="23"/>
        <v>62</v>
      </c>
      <c r="O52" s="664">
        <f t="shared" si="24"/>
        <v>0</v>
      </c>
      <c r="P52" s="668">
        <v>32</v>
      </c>
      <c r="Q52" s="667">
        <f t="shared" si="25"/>
        <v>0</v>
      </c>
      <c r="R52" s="1051"/>
      <c r="S52" s="870">
        <v>43</v>
      </c>
      <c r="T52" s="870"/>
      <c r="U52" s="1329"/>
      <c r="V52" s="1330" t="s">
        <v>795</v>
      </c>
      <c r="W52" s="1424">
        <v>0</v>
      </c>
      <c r="X52" s="1033">
        <f>VLOOKUP(V52,Düngemittel!$B$6:$E$64,2,FALSE)*(VLOOKUP(V52,Düngemittel!$B$6:$E$64,3,FALSE))/100*W52</f>
        <v>0</v>
      </c>
      <c r="Y52" s="1033">
        <f>VLOOKUP(V52,Düngemittel!$B$6:$E$64,2,FALSE)*W52</f>
        <v>0</v>
      </c>
      <c r="Z52" s="1033">
        <f>VLOOKUP(V52,Düngemittel!$B$6:$E$64,4,FALSE)*W52</f>
        <v>0</v>
      </c>
      <c r="AA52" s="142"/>
      <c r="AB52" s="1329"/>
      <c r="AC52" s="1330" t="s">
        <v>795</v>
      </c>
      <c r="AD52" s="1424">
        <v>0</v>
      </c>
      <c r="AE52" s="1033">
        <f>VLOOKUP(AC52,Düngemittel!$B$6:$E$64,2,FALSE)*(VLOOKUP(AC52,Düngemittel!$B$6:$E$64,3,FALSE))/100*AD52</f>
        <v>0</v>
      </c>
      <c r="AF52" s="1033">
        <f>VLOOKUP(AC52,Düngemittel!$B$6:$E$64,2,FALSE)*AD52</f>
        <v>0</v>
      </c>
      <c r="AG52" s="1033">
        <f>VLOOKUP(AC52,Düngemittel!$B$6:$E$64,4,FALSE)*AD52</f>
        <v>0</v>
      </c>
      <c r="AH52" s="142"/>
      <c r="AI52" s="1329"/>
      <c r="AJ52" s="1330" t="s">
        <v>795</v>
      </c>
      <c r="AK52" s="1424">
        <v>0</v>
      </c>
      <c r="AL52" s="1033">
        <f>VLOOKUP(AJ52,Düngemittel!$B$6:$E$64,2,FALSE)*(VLOOKUP(AJ52,Düngemittel!$B$6:$E$64,3,FALSE))/100*AK52</f>
        <v>0</v>
      </c>
      <c r="AM52" s="1033">
        <f>VLOOKUP(AJ52,Düngemittel!$B$6:$E$64,2,FALSE)*AK52</f>
        <v>0</v>
      </c>
      <c r="AN52" s="1033">
        <f>VLOOKUP(AJ52,Düngemittel!$B$6:$E$64,4,FALSE)*AK52</f>
        <v>0</v>
      </c>
      <c r="AO52" s="1052"/>
      <c r="AP52" s="1812">
        <f t="shared" si="26"/>
        <v>0</v>
      </c>
      <c r="AQ52" s="2326">
        <f t="shared" si="27"/>
        <v>0</v>
      </c>
      <c r="AR52" s="1819">
        <f t="shared" si="28"/>
        <v>0</v>
      </c>
      <c r="AS52" s="1156">
        <f t="shared" si="29"/>
        <v>0</v>
      </c>
      <c r="AT52" s="2326">
        <f t="shared" si="30"/>
        <v>0</v>
      </c>
      <c r="AU52" s="1155"/>
      <c r="AV52" s="1812">
        <f t="shared" si="31"/>
        <v>0</v>
      </c>
      <c r="AW52" s="1282">
        <f t="shared" si="32"/>
        <v>0</v>
      </c>
      <c r="AX52" s="1812">
        <f t="shared" si="33"/>
        <v>0</v>
      </c>
      <c r="AY52" s="1824">
        <f t="shared" si="34"/>
        <v>0</v>
      </c>
      <c r="AZ52" s="1282">
        <f t="shared" si="35"/>
        <v>0</v>
      </c>
      <c r="BA52" s="544">
        <f t="shared" si="36"/>
        <v>0</v>
      </c>
      <c r="BB52" s="545">
        <f t="shared" si="37"/>
        <v>62</v>
      </c>
    </row>
    <row r="53" spans="1:58" ht="28.5" customHeight="1">
      <c r="A53" s="468">
        <v>44</v>
      </c>
      <c r="B53" s="1705">
        <v>0</v>
      </c>
      <c r="C53" s="2748"/>
      <c r="D53" s="1568" t="s">
        <v>572</v>
      </c>
      <c r="E53" s="1566">
        <f t="shared" si="21"/>
        <v>0</v>
      </c>
      <c r="F53" s="796" t="s">
        <v>559</v>
      </c>
      <c r="G53" s="1047">
        <v>23</v>
      </c>
      <c r="H53" s="590" t="s">
        <v>293</v>
      </c>
      <c r="I53" s="597">
        <f t="shared" si="22"/>
        <v>0</v>
      </c>
      <c r="J53" s="1049" t="s">
        <v>551</v>
      </c>
      <c r="K53" s="1050" t="s">
        <v>553</v>
      </c>
      <c r="L53" s="1047">
        <v>0</v>
      </c>
      <c r="M53" s="2201">
        <v>0</v>
      </c>
      <c r="N53" s="599">
        <f t="shared" si="23"/>
        <v>63</v>
      </c>
      <c r="O53" s="664">
        <f t="shared" si="24"/>
        <v>0</v>
      </c>
      <c r="P53" s="668">
        <v>33</v>
      </c>
      <c r="Q53" s="667">
        <f t="shared" si="25"/>
        <v>0</v>
      </c>
      <c r="R53" s="1051"/>
      <c r="S53" s="870">
        <v>44</v>
      </c>
      <c r="T53" s="870"/>
      <c r="U53" s="1329"/>
      <c r="V53" s="1330" t="s">
        <v>795</v>
      </c>
      <c r="W53" s="1424">
        <v>0</v>
      </c>
      <c r="X53" s="1033">
        <f>VLOOKUP(V53,Düngemittel!$B$6:$E$64,2,FALSE)*(VLOOKUP(V53,Düngemittel!$B$6:$E$64,3,FALSE))/100*W53</f>
        <v>0</v>
      </c>
      <c r="Y53" s="1033">
        <f>VLOOKUP(V53,Düngemittel!$B$6:$E$64,2,FALSE)*W53</f>
        <v>0</v>
      </c>
      <c r="Z53" s="1033">
        <f>VLOOKUP(V53,Düngemittel!$B$6:$E$64,4,FALSE)*W53</f>
        <v>0</v>
      </c>
      <c r="AA53" s="142"/>
      <c r="AB53" s="1329"/>
      <c r="AC53" s="1330" t="s">
        <v>795</v>
      </c>
      <c r="AD53" s="1424">
        <v>0</v>
      </c>
      <c r="AE53" s="1033">
        <f>VLOOKUP(AC53,Düngemittel!$B$6:$E$64,2,FALSE)*(VLOOKUP(AC53,Düngemittel!$B$6:$E$64,3,FALSE))/100*AD53</f>
        <v>0</v>
      </c>
      <c r="AF53" s="1033">
        <f>VLOOKUP(AC53,Düngemittel!$B$6:$E$64,2,FALSE)*AD53</f>
        <v>0</v>
      </c>
      <c r="AG53" s="1033">
        <f>VLOOKUP(AC53,Düngemittel!$B$6:$E$64,4,FALSE)*AD53</f>
        <v>0</v>
      </c>
      <c r="AH53" s="142"/>
      <c r="AI53" s="1329"/>
      <c r="AJ53" s="1330" t="s">
        <v>795</v>
      </c>
      <c r="AK53" s="1424">
        <v>0</v>
      </c>
      <c r="AL53" s="1033">
        <f>VLOOKUP(AJ53,Düngemittel!$B$6:$E$64,2,FALSE)*(VLOOKUP(AJ53,Düngemittel!$B$6:$E$64,3,FALSE))/100*AK53</f>
        <v>0</v>
      </c>
      <c r="AM53" s="1033">
        <f>VLOOKUP(AJ53,Düngemittel!$B$6:$E$64,2,FALSE)*AK53</f>
        <v>0</v>
      </c>
      <c r="AN53" s="1033">
        <f>VLOOKUP(AJ53,Düngemittel!$B$6:$E$64,4,FALSE)*AK53</f>
        <v>0</v>
      </c>
      <c r="AO53" s="1052"/>
      <c r="AP53" s="1812">
        <f t="shared" si="26"/>
        <v>0</v>
      </c>
      <c r="AQ53" s="2326">
        <f t="shared" si="27"/>
        <v>0</v>
      </c>
      <c r="AR53" s="1819">
        <f t="shared" si="28"/>
        <v>0</v>
      </c>
      <c r="AS53" s="1156">
        <f t="shared" si="29"/>
        <v>0</v>
      </c>
      <c r="AT53" s="2326">
        <f t="shared" si="30"/>
        <v>0</v>
      </c>
      <c r="AU53" s="1155"/>
      <c r="AV53" s="1812">
        <f t="shared" si="31"/>
        <v>0</v>
      </c>
      <c r="AW53" s="1282">
        <f t="shared" si="32"/>
        <v>0</v>
      </c>
      <c r="AX53" s="1812">
        <f t="shared" si="33"/>
        <v>0</v>
      </c>
      <c r="AY53" s="1824">
        <f t="shared" si="34"/>
        <v>0</v>
      </c>
      <c r="AZ53" s="1282">
        <f t="shared" si="35"/>
        <v>0</v>
      </c>
      <c r="BA53" s="544">
        <f t="shared" si="36"/>
        <v>0</v>
      </c>
      <c r="BB53" s="545">
        <f t="shared" si="37"/>
        <v>63</v>
      </c>
    </row>
    <row r="54" spans="1:58" ht="28.5" customHeight="1" thickBot="1">
      <c r="A54" s="468">
        <v>45</v>
      </c>
      <c r="B54" s="1705">
        <v>0</v>
      </c>
      <c r="C54" s="2748"/>
      <c r="D54" s="1568" t="s">
        <v>572</v>
      </c>
      <c r="E54" s="1566">
        <f t="shared" si="21"/>
        <v>0</v>
      </c>
      <c r="F54" s="796" t="s">
        <v>559</v>
      </c>
      <c r="G54" s="1047">
        <v>24</v>
      </c>
      <c r="H54" s="590" t="s">
        <v>293</v>
      </c>
      <c r="I54" s="597">
        <f t="shared" si="22"/>
        <v>0</v>
      </c>
      <c r="J54" s="1049" t="s">
        <v>551</v>
      </c>
      <c r="K54" s="1050" t="s">
        <v>553</v>
      </c>
      <c r="L54" s="1047">
        <v>0</v>
      </c>
      <c r="M54" s="2201">
        <v>0</v>
      </c>
      <c r="N54" s="599">
        <f t="shared" si="23"/>
        <v>64</v>
      </c>
      <c r="O54" s="664">
        <f t="shared" si="24"/>
        <v>0</v>
      </c>
      <c r="P54" s="668">
        <v>34</v>
      </c>
      <c r="Q54" s="667">
        <f t="shared" si="25"/>
        <v>0</v>
      </c>
      <c r="R54" s="1051"/>
      <c r="S54" s="870">
        <v>45</v>
      </c>
      <c r="T54" s="870"/>
      <c r="U54" s="1329"/>
      <c r="V54" s="1330" t="s">
        <v>795</v>
      </c>
      <c r="W54" s="1424">
        <v>0</v>
      </c>
      <c r="X54" s="1033">
        <f>VLOOKUP(V54,Düngemittel!$B$6:$E$64,2,FALSE)*(VLOOKUP(V54,Düngemittel!$B$6:$E$64,3,FALSE))/100*W54</f>
        <v>0</v>
      </c>
      <c r="Y54" s="1033">
        <f>VLOOKUP(V54,Düngemittel!$B$6:$E$64,2,FALSE)*W54</f>
        <v>0</v>
      </c>
      <c r="Z54" s="1033">
        <f>VLOOKUP(V54,Düngemittel!$B$6:$E$64,4,FALSE)*W54</f>
        <v>0</v>
      </c>
      <c r="AA54" s="142"/>
      <c r="AB54" s="1329"/>
      <c r="AC54" s="1330" t="s">
        <v>795</v>
      </c>
      <c r="AD54" s="1424">
        <v>0</v>
      </c>
      <c r="AE54" s="1033">
        <f>VLOOKUP(AC54,Düngemittel!$B$6:$E$64,2,FALSE)*(VLOOKUP(AC54,Düngemittel!$B$6:$E$64,3,FALSE))/100*AD54</f>
        <v>0</v>
      </c>
      <c r="AF54" s="1033">
        <f>VLOOKUP(AC54,Düngemittel!$B$6:$E$64,2,FALSE)*AD54</f>
        <v>0</v>
      </c>
      <c r="AG54" s="1033">
        <f>VLOOKUP(AC54,Düngemittel!$B$6:$E$64,4,FALSE)*AD54</f>
        <v>0</v>
      </c>
      <c r="AH54" s="142"/>
      <c r="AI54" s="1329"/>
      <c r="AJ54" s="1330" t="s">
        <v>795</v>
      </c>
      <c r="AK54" s="1424">
        <v>0</v>
      </c>
      <c r="AL54" s="1033">
        <f>VLOOKUP(AJ54,Düngemittel!$B$6:$E$64,2,FALSE)*(VLOOKUP(AJ54,Düngemittel!$B$6:$E$64,3,FALSE))/100*AK54</f>
        <v>0</v>
      </c>
      <c r="AM54" s="1033">
        <f>VLOOKUP(AJ54,Düngemittel!$B$6:$E$64,2,FALSE)*AK54</f>
        <v>0</v>
      </c>
      <c r="AN54" s="1033">
        <f>VLOOKUP(AJ54,Düngemittel!$B$6:$E$64,4,FALSE)*AK54</f>
        <v>0</v>
      </c>
      <c r="AO54" s="1052"/>
      <c r="AP54" s="1812">
        <f t="shared" si="26"/>
        <v>0</v>
      </c>
      <c r="AQ54" s="2326">
        <f t="shared" si="27"/>
        <v>0</v>
      </c>
      <c r="AR54" s="1819">
        <f t="shared" si="28"/>
        <v>0</v>
      </c>
      <c r="AS54" s="1156">
        <f t="shared" si="29"/>
        <v>0</v>
      </c>
      <c r="AT54" s="2326">
        <f t="shared" si="30"/>
        <v>0</v>
      </c>
      <c r="AU54" s="1155"/>
      <c r="AV54" s="1812">
        <f t="shared" si="31"/>
        <v>0</v>
      </c>
      <c r="AW54" s="1282">
        <f t="shared" si="32"/>
        <v>0</v>
      </c>
      <c r="AX54" s="1812">
        <f t="shared" si="33"/>
        <v>0</v>
      </c>
      <c r="AY54" s="1824">
        <f t="shared" si="34"/>
        <v>0</v>
      </c>
      <c r="AZ54" s="1282">
        <f t="shared" si="35"/>
        <v>0</v>
      </c>
      <c r="BA54" s="544">
        <f t="shared" si="36"/>
        <v>0</v>
      </c>
      <c r="BB54" s="545">
        <f t="shared" si="37"/>
        <v>64</v>
      </c>
    </row>
    <row r="55" spans="1:58" ht="26.25" customHeight="1" thickBot="1">
      <c r="A55" s="548" t="s">
        <v>286</v>
      </c>
      <c r="B55" s="549">
        <f>SUM(B10:B54)</f>
        <v>0</v>
      </c>
      <c r="C55" s="550"/>
      <c r="D55" s="593"/>
      <c r="E55" s="594"/>
      <c r="F55" s="551"/>
      <c r="G55" s="551"/>
      <c r="H55" s="551"/>
      <c r="I55" s="550"/>
      <c r="J55" s="550"/>
      <c r="K55" s="550"/>
      <c r="L55" s="552"/>
      <c r="M55" s="2198"/>
      <c r="N55" s="553" t="s">
        <v>544</v>
      </c>
      <c r="O55" s="666">
        <f>SUM(O10:O54)</f>
        <v>0</v>
      </c>
      <c r="P55" s="666"/>
      <c r="Q55" s="554">
        <f>SUM(Q10:Q54)</f>
        <v>0</v>
      </c>
      <c r="R55" s="1043"/>
      <c r="S55" s="1043"/>
      <c r="T55" s="1043"/>
      <c r="U55" s="1329"/>
      <c r="V55" s="1330" t="s">
        <v>795</v>
      </c>
      <c r="W55" s="1424">
        <v>0</v>
      </c>
      <c r="X55" s="1033">
        <f>VLOOKUP(V55,Düngemittel!$B$6:$E$64,2,FALSE)*(VLOOKUP(V55,Düngemittel!$B$6:$E$64,3,FALSE))/100*W55</f>
        <v>0</v>
      </c>
      <c r="Y55" s="1033">
        <f>VLOOKUP(V55,Düngemittel!$B$6:$E$64,2,FALSE)*W55</f>
        <v>0</v>
      </c>
      <c r="Z55" s="1033">
        <f>VLOOKUP(V55,Düngemittel!$B$6:$E$64,4,FALSE)*W55</f>
        <v>0</v>
      </c>
      <c r="AA55" s="2089"/>
      <c r="AB55" s="1329"/>
      <c r="AC55" s="1330" t="s">
        <v>795</v>
      </c>
      <c r="AD55" s="1424">
        <v>0</v>
      </c>
      <c r="AE55" s="1033">
        <f>VLOOKUP(AC55,Düngemittel!$B$6:$E$64,2,FALSE)*(VLOOKUP(AC55,Düngemittel!$B$6:$E$64,3,FALSE))/100*AD55</f>
        <v>0</v>
      </c>
      <c r="AF55" s="1033">
        <f>VLOOKUP(AC55,Düngemittel!$B$6:$E$64,2,FALSE)*AD55</f>
        <v>0</v>
      </c>
      <c r="AG55" s="1033">
        <f>VLOOKUP(AC55,Düngemittel!$B$6:$E$64,4,FALSE)*AD55</f>
        <v>0</v>
      </c>
      <c r="AH55" s="2089"/>
      <c r="AI55" s="1329"/>
      <c r="AJ55" s="1330" t="s">
        <v>795</v>
      </c>
      <c r="AK55" s="1424">
        <v>0</v>
      </c>
      <c r="AL55" s="1033">
        <f>VLOOKUP(AJ55,Düngemittel!$B$6:$E$64,2,FALSE)*(VLOOKUP(AJ55,Düngemittel!$B$6:$E$64,3,FALSE))/100*AK55</f>
        <v>0</v>
      </c>
      <c r="AM55" s="1033">
        <f>VLOOKUP(AJ55,Düngemittel!$B$6:$E$64,2,FALSE)*AK55</f>
        <v>0</v>
      </c>
      <c r="AN55" s="1033">
        <f>VLOOKUP(AJ55,Düngemittel!$B$6:$E$64,4,FALSE)*AK55</f>
        <v>0</v>
      </c>
      <c r="AO55" s="1043"/>
      <c r="AP55" s="1817"/>
      <c r="AQ55" s="661"/>
      <c r="AR55" s="1817"/>
      <c r="AS55" s="661"/>
      <c r="AT55" s="661"/>
      <c r="AU55" s="316"/>
      <c r="AV55" s="1814">
        <f>SUM(AV10:AV54)</f>
        <v>0</v>
      </c>
      <c r="AW55" s="1277">
        <f>SUM(AW10:AW54)</f>
        <v>0</v>
      </c>
      <c r="AX55" s="1814">
        <f>SUM(AX10:AX54)</f>
        <v>0</v>
      </c>
      <c r="AY55" s="1138">
        <f>SUM(AY10:AY54)</f>
        <v>0</v>
      </c>
      <c r="AZ55" s="1277">
        <f>SUM(AZ10:AZ54)</f>
        <v>0</v>
      </c>
      <c r="BA55" s="1143" t="s">
        <v>1081</v>
      </c>
      <c r="BB55" s="541"/>
    </row>
    <row r="56" spans="1:58" ht="27.75" customHeight="1">
      <c r="A56" s="555"/>
      <c r="B56" s="546"/>
      <c r="D56" s="357"/>
      <c r="E56" s="546"/>
      <c r="H56" s="556"/>
      <c r="M56"/>
      <c r="O56" s="2493" t="s">
        <v>1100</v>
      </c>
      <c r="P56" s="1251"/>
      <c r="Q56" s="2493" t="s">
        <v>1101</v>
      </c>
      <c r="R56" s="1263"/>
      <c r="S56" s="1263"/>
      <c r="T56" s="1263"/>
      <c r="U56" s="1329"/>
      <c r="V56" s="1330" t="s">
        <v>795</v>
      </c>
      <c r="W56" s="1424">
        <v>0</v>
      </c>
      <c r="X56" s="1033">
        <f>VLOOKUP(V56,Düngemittel!$B$6:$E$64,2,FALSE)*(VLOOKUP(V56,Düngemittel!$B$6:$E$64,3,FALSE))/100*W56</f>
        <v>0</v>
      </c>
      <c r="Y56" s="1033">
        <f>VLOOKUP(V56,Düngemittel!$B$6:$E$64,2,FALSE)*W56</f>
        <v>0</v>
      </c>
      <c r="Z56" s="1033">
        <f>VLOOKUP(V56,Düngemittel!$B$6:$E$64,4,FALSE)*W56</f>
        <v>0</v>
      </c>
      <c r="AA56" s="2089"/>
      <c r="AB56" s="1329"/>
      <c r="AC56" s="1330" t="s">
        <v>795</v>
      </c>
      <c r="AD56" s="1424">
        <v>0</v>
      </c>
      <c r="AE56" s="1033">
        <f>VLOOKUP(AC56,Düngemittel!$B$6:$E$64,2,FALSE)*(VLOOKUP(AC56,Düngemittel!$B$6:$E$64,3,FALSE))/100*AD56</f>
        <v>0</v>
      </c>
      <c r="AF56" s="1033">
        <f>VLOOKUP(AC56,Düngemittel!$B$6:$E$64,2,FALSE)*AD56</f>
        <v>0</v>
      </c>
      <c r="AG56" s="1033">
        <f>VLOOKUP(AC56,Düngemittel!$B$6:$E$64,4,FALSE)*AD56</f>
        <v>0</v>
      </c>
      <c r="AH56" s="2089"/>
      <c r="AI56" s="1329"/>
      <c r="AJ56" s="1330" t="s">
        <v>795</v>
      </c>
      <c r="AK56" s="1424">
        <v>0</v>
      </c>
      <c r="AL56" s="1033">
        <f>VLOOKUP(AJ56,Düngemittel!$B$6:$E$64,2,FALSE)*(VLOOKUP(AJ56,Düngemittel!$B$6:$E$64,3,FALSE))/100*AK56</f>
        <v>0</v>
      </c>
      <c r="AM56" s="1033">
        <f>VLOOKUP(AJ56,Düngemittel!$B$6:$E$64,2,FALSE)*AK56</f>
        <v>0</v>
      </c>
      <c r="AN56" s="1033">
        <f>VLOOKUP(AJ56,Düngemittel!$B$6:$E$64,4,FALSE)*AK56</f>
        <v>0</v>
      </c>
      <c r="AO56" s="1263"/>
      <c r="AP56" s="1494" t="e">
        <f t="shared" ref="AP56:AT56" si="38">AV56</f>
        <v>#DIV/0!</v>
      </c>
      <c r="AQ56" s="414" t="e">
        <f t="shared" si="38"/>
        <v>#DIV/0!</v>
      </c>
      <c r="AR56" s="1494" t="e">
        <f t="shared" si="38"/>
        <v>#DIV/0!</v>
      </c>
      <c r="AS56" s="1157" t="e">
        <f t="shared" si="38"/>
        <v>#DIV/0!</v>
      </c>
      <c r="AT56" s="414" t="e">
        <f t="shared" si="38"/>
        <v>#DIV/0!</v>
      </c>
      <c r="AU56" s="316"/>
      <c r="AV56" s="1814" t="e">
        <f>AV55/$B55</f>
        <v>#DIV/0!</v>
      </c>
      <c r="AW56" s="1277" t="e">
        <f>AW55/$B55</f>
        <v>#DIV/0!</v>
      </c>
      <c r="AX56" s="1814" t="e">
        <f>AX55/$B55</f>
        <v>#DIV/0!</v>
      </c>
      <c r="AY56" s="1138" t="e">
        <f>AY55/$B55</f>
        <v>#DIV/0!</v>
      </c>
      <c r="AZ56" s="1277" t="e">
        <f>AZ55/$B55</f>
        <v>#DIV/0!</v>
      </c>
      <c r="BA56" s="1143" t="s">
        <v>1060</v>
      </c>
      <c r="BB56" s="1263"/>
    </row>
    <row r="57" spans="1:58" ht="51.75" customHeight="1" thickBot="1">
      <c r="A57" s="555"/>
      <c r="B57" s="546"/>
      <c r="D57" s="357"/>
      <c r="E57" s="546"/>
      <c r="H57" s="556"/>
      <c r="O57" s="2494"/>
      <c r="P57" s="1251"/>
      <c r="Q57" s="2494"/>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1809" t="s">
        <v>1080</v>
      </c>
      <c r="AQ57" s="1270" t="s">
        <v>1066</v>
      </c>
      <c r="AR57" s="1307" t="s">
        <v>1309</v>
      </c>
      <c r="AS57" s="906" t="s">
        <v>1241</v>
      </c>
      <c r="AT57" s="1270" t="s">
        <v>284</v>
      </c>
      <c r="AU57" s="661"/>
      <c r="AV57" s="1809" t="s">
        <v>1080</v>
      </c>
      <c r="AW57" s="1270" t="s">
        <v>1066</v>
      </c>
      <c r="AX57" s="1307" t="s">
        <v>1309</v>
      </c>
      <c r="AY57" s="906" t="s">
        <v>1241</v>
      </c>
      <c r="AZ57" s="1270" t="s">
        <v>284</v>
      </c>
      <c r="BA57" s="1133"/>
      <c r="BB57" s="1116"/>
      <c r="BC57" s="1116"/>
    </row>
    <row r="58" spans="1:58" s="540" customFormat="1" ht="42" customHeight="1">
      <c r="A58" s="2745" t="s">
        <v>784</v>
      </c>
      <c r="B58" s="2525"/>
      <c r="C58" s="2525"/>
      <c r="D58" s="2746"/>
      <c r="E58" s="546"/>
      <c r="F58" s="357"/>
      <c r="G58" s="357"/>
      <c r="H58" s="556"/>
      <c r="I58" s="357"/>
      <c r="J58" s="357"/>
      <c r="K58" s="357"/>
      <c r="L58" s="357"/>
      <c r="M58" s="357"/>
      <c r="N58" s="357"/>
      <c r="O58" s="557"/>
      <c r="P58" s="557"/>
      <c r="Q58" s="1263"/>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1116"/>
      <c r="BB58" s="1116"/>
      <c r="BC58" s="1116"/>
      <c r="BD58" s="357"/>
      <c r="BE58" s="357"/>
      <c r="BF58" s="357"/>
    </row>
    <row r="59" spans="1:58" s="540" customFormat="1" ht="38.25" customHeight="1">
      <c r="A59" s="2751" t="s">
        <v>785</v>
      </c>
      <c r="B59" s="2452"/>
      <c r="C59" s="2452"/>
      <c r="D59" s="2752"/>
      <c r="F59" s="357"/>
      <c r="G59" s="357"/>
      <c r="H59" s="556"/>
      <c r="I59" s="357"/>
      <c r="J59" s="357"/>
      <c r="K59" s="357"/>
      <c r="L59" s="674"/>
      <c r="M59" s="357"/>
      <c r="N59" s="357"/>
      <c r="O59" s="357"/>
      <c r="P59" s="357"/>
      <c r="Q59" s="1263"/>
      <c r="R59" s="636"/>
      <c r="S59" s="636"/>
      <c r="T59" s="636"/>
      <c r="U59" s="636"/>
      <c r="V59" s="636"/>
      <c r="W59" s="636"/>
      <c r="X59" s="636"/>
      <c r="Y59" s="636"/>
      <c r="Z59" s="636"/>
      <c r="AA59" s="636"/>
      <c r="AB59" s="636"/>
      <c r="AC59" s="636"/>
      <c r="AD59" s="636"/>
      <c r="AE59" s="636"/>
      <c r="AF59" s="636"/>
      <c r="AG59" s="636"/>
      <c r="AH59" s="636"/>
      <c r="AI59" s="636"/>
      <c r="AJ59" s="636"/>
      <c r="AK59" s="636"/>
      <c r="AL59" s="636"/>
      <c r="AM59" s="636"/>
      <c r="AN59" s="636"/>
      <c r="AO59" s="636"/>
      <c r="AP59" s="636"/>
      <c r="AQ59" s="636"/>
      <c r="AR59" s="636"/>
      <c r="AS59" s="636"/>
      <c r="AT59" s="636"/>
      <c r="AU59" s="636"/>
      <c r="AV59" s="636"/>
      <c r="AW59" s="636"/>
      <c r="AX59" s="636"/>
      <c r="AY59" s="636"/>
      <c r="AZ59" s="636"/>
      <c r="BA59" s="1116"/>
      <c r="BB59" s="1116"/>
      <c r="BC59" s="1116"/>
      <c r="BD59" s="357"/>
      <c r="BE59" s="357"/>
      <c r="BF59" s="357"/>
    </row>
    <row r="60" spans="1:58" ht="58.5" customHeight="1" thickBot="1">
      <c r="A60" s="821" t="s">
        <v>781</v>
      </c>
      <c r="B60" s="427" t="s">
        <v>782</v>
      </c>
      <c r="C60" s="1493" t="s">
        <v>787</v>
      </c>
      <c r="D60" s="822" t="s">
        <v>4</v>
      </c>
      <c r="E60" s="546"/>
      <c r="H60" s="556"/>
      <c r="Q60" s="1263"/>
      <c r="R60" s="1044"/>
      <c r="S60" s="1044"/>
      <c r="T60" s="1044"/>
      <c r="U60" s="1044"/>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251"/>
      <c r="BB60" s="1251"/>
      <c r="BC60" s="1251"/>
    </row>
    <row r="61" spans="1:58" ht="29.25" customHeight="1" thickBot="1">
      <c r="A61" s="1416">
        <v>10</v>
      </c>
      <c r="B61" s="1417">
        <v>6.5</v>
      </c>
      <c r="C61" s="1418">
        <v>10</v>
      </c>
      <c r="D61" s="1564">
        <f>A61*B61*C61/100</f>
        <v>6.5</v>
      </c>
      <c r="E61" s="546"/>
      <c r="H61" s="556"/>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row>
    <row r="62" spans="1:58" ht="32.25" customHeight="1" thickBot="1">
      <c r="A62" s="817"/>
      <c r="B62" s="818"/>
      <c r="C62" s="819"/>
      <c r="D62" s="825" t="s">
        <v>783</v>
      </c>
      <c r="E62" s="546"/>
      <c r="H62" s="556"/>
      <c r="K62" s="1263"/>
      <c r="M62" s="1263"/>
      <c r="N62" s="1263"/>
      <c r="P62" s="1263"/>
      <c r="Q62" s="1263"/>
      <c r="R62" s="1263"/>
      <c r="S62" s="1263"/>
      <c r="T62" s="1263"/>
      <c r="U62" s="1263"/>
      <c r="V62" s="1263"/>
      <c r="W62" s="1263"/>
      <c r="X62" s="1263"/>
      <c r="Y62" s="1263"/>
      <c r="Z62" s="1263"/>
      <c r="AA62" s="1263"/>
      <c r="AB62" s="1263"/>
      <c r="AC62" s="1263"/>
      <c r="AD62" s="1263"/>
      <c r="AE62" s="1263"/>
      <c r="AF62" s="1263"/>
      <c r="AG62" s="1263"/>
      <c r="AH62" s="1263"/>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row>
    <row r="63" spans="1:58" s="674" customFormat="1" ht="40.5" customHeight="1">
      <c r="A63" s="546"/>
      <c r="B63" s="546"/>
      <c r="C63" s="357"/>
      <c r="E63" s="546"/>
      <c r="F63" s="357"/>
      <c r="G63" s="357"/>
      <c r="H63" s="556"/>
      <c r="I63" s="357"/>
      <c r="J63" s="357"/>
      <c r="K63" s="1263"/>
      <c r="L63" s="1263"/>
      <c r="M63" s="1263"/>
      <c r="N63" s="1263"/>
      <c r="O63" s="1263"/>
      <c r="P63" s="1263"/>
      <c r="Q63" s="1263"/>
      <c r="R63" s="1263"/>
      <c r="S63" s="1263"/>
      <c r="T63" s="1263"/>
      <c r="U63" s="1263"/>
      <c r="V63" s="1263"/>
      <c r="W63" s="1263"/>
      <c r="X63" s="1263"/>
      <c r="Y63" s="1263"/>
      <c r="Z63" s="1263"/>
      <c r="AA63" s="1263"/>
      <c r="AB63" s="1263"/>
      <c r="AC63" s="1263"/>
      <c r="AD63" s="1263"/>
      <c r="AE63" s="1263"/>
      <c r="AF63" s="1263"/>
      <c r="AG63" s="1263"/>
      <c r="AH63" s="1263"/>
      <c r="AI63" s="1263"/>
      <c r="AJ63" s="1263"/>
      <c r="AK63" s="1263"/>
      <c r="AL63" s="1263"/>
      <c r="AM63" s="1263"/>
      <c r="AN63" s="1263"/>
      <c r="AO63" s="1263"/>
      <c r="AP63" s="1263"/>
      <c r="AQ63" s="1263"/>
      <c r="AR63" s="1263"/>
      <c r="AS63" s="1263"/>
      <c r="AT63" s="1263"/>
      <c r="AU63" s="1263"/>
      <c r="AV63" s="1263"/>
      <c r="AW63" s="1263"/>
      <c r="AX63" s="1263"/>
      <c r="AY63" s="1263"/>
      <c r="AZ63" s="1263"/>
      <c r="BA63" s="673"/>
      <c r="BB63" s="673"/>
    </row>
    <row r="64" spans="1:58" s="674" customFormat="1" ht="40.5" customHeight="1">
      <c r="A64" s="546"/>
      <c r="B64" s="546"/>
      <c r="C64" s="357"/>
      <c r="E64" s="546"/>
      <c r="F64" s="357"/>
      <c r="G64" s="357"/>
      <c r="H64" s="556"/>
      <c r="I64" s="357"/>
      <c r="J64" s="357"/>
      <c r="K64" s="1271"/>
      <c r="L64" s="1271"/>
      <c r="M64" s="1271"/>
      <c r="N64" s="1271"/>
      <c r="O64" s="1271"/>
      <c r="P64" s="1262"/>
      <c r="Q64" s="1262"/>
      <c r="R64" s="1263"/>
      <c r="S64" s="1263"/>
      <c r="T64" s="1263"/>
      <c r="U64" s="1263"/>
      <c r="V64" s="1263"/>
      <c r="W64" s="1263"/>
      <c r="X64" s="1263"/>
      <c r="Y64" s="1263"/>
      <c r="Z64" s="1263"/>
      <c r="AA64" s="1263"/>
      <c r="AB64" s="1263"/>
      <c r="AC64" s="1263"/>
      <c r="AD64" s="1263"/>
      <c r="AE64" s="1263"/>
      <c r="AF64" s="1263"/>
      <c r="AG64" s="1263"/>
      <c r="AH64" s="1263"/>
      <c r="AI64" s="1263"/>
      <c r="AJ64" s="1263"/>
      <c r="AK64" s="1263"/>
      <c r="AL64" s="1263"/>
      <c r="AM64" s="1263"/>
      <c r="AN64" s="1263"/>
      <c r="AO64" s="1263"/>
      <c r="AP64" s="1263"/>
      <c r="AQ64" s="1263"/>
      <c r="AR64" s="1263"/>
      <c r="AS64" s="1263"/>
      <c r="AT64" s="1263"/>
      <c r="AU64" s="1263"/>
      <c r="AV64" s="1263"/>
      <c r="AW64" s="1263"/>
      <c r="AX64" s="1263"/>
      <c r="AY64" s="1263"/>
      <c r="AZ64" s="1263"/>
      <c r="BA64" s="673"/>
      <c r="BB64" s="673"/>
    </row>
    <row r="65" spans="1:54" ht="15.75" customHeight="1">
      <c r="A65" s="412"/>
      <c r="B65" s="412"/>
      <c r="C65" s="1263"/>
      <c r="D65" s="673"/>
      <c r="E65" s="412"/>
      <c r="F65" s="1263"/>
      <c r="G65" s="1263"/>
      <c r="H65" s="556"/>
      <c r="I65" s="1263"/>
      <c r="J65" s="1263"/>
      <c r="K65" s="1271"/>
      <c r="L65" s="1271"/>
      <c r="M65" s="1271"/>
      <c r="N65" s="1271"/>
      <c r="O65" s="1271"/>
      <c r="P65" s="1262"/>
      <c r="Q65" s="1262"/>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row>
    <row r="66" spans="1:54" ht="23.25" customHeight="1">
      <c r="A66" s="412"/>
      <c r="B66" s="412"/>
      <c r="C66" s="1263"/>
      <c r="D66" s="673"/>
      <c r="E66" s="412"/>
      <c r="F66" s="1263"/>
      <c r="G66" s="1263"/>
      <c r="H66" s="556"/>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row>
    <row r="67" spans="1:54" ht="23.25" customHeight="1">
      <c r="A67" s="412"/>
      <c r="B67" s="412"/>
      <c r="C67" s="1263"/>
      <c r="D67" s="673"/>
      <c r="E67" s="412"/>
      <c r="F67" s="1263"/>
      <c r="G67" s="1263"/>
      <c r="H67" s="556"/>
      <c r="I67" s="1263"/>
      <c r="J67" s="1263"/>
      <c r="K67" s="1262"/>
      <c r="L67" s="1262"/>
      <c r="M67" s="1262"/>
      <c r="N67" s="1262"/>
      <c r="O67" s="1262"/>
      <c r="P67" s="1262"/>
      <c r="Q67" s="1262"/>
      <c r="R67" s="1263"/>
      <c r="S67" s="1263"/>
      <c r="T67" s="1263"/>
      <c r="U67" s="1263"/>
      <c r="V67" s="1263"/>
      <c r="W67" s="1263"/>
      <c r="X67" s="1263"/>
      <c r="Y67" s="1263"/>
      <c r="Z67" s="1263"/>
      <c r="AA67" s="1263"/>
      <c r="AB67" s="1263"/>
      <c r="AC67" s="1263"/>
      <c r="AD67" s="1263"/>
      <c r="AE67" s="1263"/>
      <c r="AF67" s="1263"/>
      <c r="AG67" s="1263"/>
      <c r="AH67" s="1263"/>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row>
    <row r="68" spans="1:54" ht="23.25" customHeight="1">
      <c r="B68" s="823"/>
      <c r="C68" s="1263"/>
      <c r="D68" s="1271"/>
      <c r="E68" s="1271"/>
      <c r="F68" s="1271"/>
      <c r="G68" s="1271"/>
      <c r="H68" s="1271"/>
      <c r="I68" s="1271"/>
      <c r="J68" s="1271"/>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c r="BA68" s="1263"/>
      <c r="BB68" s="1263"/>
    </row>
    <row r="69" spans="1:54" ht="66.75" customHeight="1">
      <c r="A69" s="2757" t="s">
        <v>1068</v>
      </c>
      <c r="B69" s="2490"/>
      <c r="C69" s="2754" t="s">
        <v>1071</v>
      </c>
      <c r="D69" s="2755"/>
      <c r="E69" s="2755"/>
      <c r="F69" s="2755"/>
      <c r="G69" s="2755"/>
      <c r="H69" s="2755"/>
      <c r="I69" s="2755"/>
      <c r="J69" s="2756"/>
      <c r="K69" s="1262"/>
      <c r="L69" s="1262"/>
      <c r="M69" s="1262"/>
      <c r="N69" s="1263"/>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c r="AL69" s="1262"/>
      <c r="AM69" s="1262"/>
      <c r="AN69" s="1262"/>
      <c r="AO69" s="1262"/>
      <c r="AP69" s="1262"/>
      <c r="AQ69" s="1262"/>
      <c r="AR69" s="1262"/>
      <c r="AS69" s="1262"/>
      <c r="AT69" s="1262"/>
      <c r="AU69" s="1262"/>
      <c r="AV69" s="1262"/>
      <c r="AW69" s="1262"/>
      <c r="AX69" s="1262"/>
      <c r="AY69" s="1262"/>
      <c r="AZ69" s="1262"/>
      <c r="BA69" s="1263"/>
      <c r="BB69" s="1263"/>
    </row>
    <row r="70" spans="1:54" s="1263" customFormat="1" ht="8.25" customHeight="1">
      <c r="A70" s="412"/>
      <c r="C70" s="816"/>
      <c r="D70" s="820"/>
      <c r="E70" s="816"/>
      <c r="F70" s="816"/>
      <c r="G70" s="816"/>
      <c r="H70" s="816"/>
      <c r="I70" s="816"/>
      <c r="J70" s="816"/>
      <c r="K70" s="1262"/>
      <c r="L70" s="1262"/>
      <c r="M70" s="1262"/>
      <c r="N70" s="1262"/>
      <c r="O70" s="1262"/>
      <c r="P70" s="1251"/>
      <c r="Q70" s="1251"/>
    </row>
    <row r="71" spans="1:54" s="1263" customFormat="1" ht="54" customHeight="1">
      <c r="A71" s="2757" t="s">
        <v>609</v>
      </c>
      <c r="B71" s="2490"/>
      <c r="C71" s="2758" t="s">
        <v>1070</v>
      </c>
      <c r="D71" s="2759"/>
      <c r="E71" s="2759"/>
      <c r="F71" s="2759"/>
      <c r="G71" s="2759"/>
      <c r="H71" s="2759"/>
      <c r="I71" s="2759"/>
      <c r="J71" s="2760"/>
      <c r="R71" s="1262"/>
      <c r="S71" s="1262"/>
      <c r="T71" s="1262"/>
      <c r="U71" s="1262"/>
      <c r="V71" s="1262"/>
      <c r="W71" s="1262"/>
      <c r="X71" s="1262"/>
      <c r="Y71" s="1262"/>
      <c r="Z71" s="1262"/>
      <c r="AA71" s="1262"/>
      <c r="AB71" s="1262"/>
      <c r="AC71" s="1262"/>
      <c r="AD71" s="1262"/>
      <c r="AE71" s="1262"/>
      <c r="AF71" s="1262"/>
      <c r="AG71" s="1262"/>
      <c r="AH71" s="1262"/>
      <c r="AI71" s="1262"/>
      <c r="AJ71" s="1262"/>
      <c r="AK71" s="1262"/>
      <c r="AL71" s="1262"/>
      <c r="AM71" s="1262"/>
      <c r="AN71" s="1262"/>
      <c r="AO71" s="1262"/>
      <c r="AP71" s="1262"/>
      <c r="AQ71" s="1262"/>
      <c r="AR71" s="1262"/>
      <c r="AS71" s="1262"/>
      <c r="AT71" s="1262"/>
      <c r="AU71" s="1262"/>
      <c r="AV71" s="1262"/>
      <c r="AW71" s="1262"/>
      <c r="AX71" s="1262"/>
      <c r="AY71" s="1262"/>
      <c r="AZ71" s="1262"/>
    </row>
    <row r="72" spans="1:54" s="1263" customFormat="1" ht="15.75" customHeight="1">
      <c r="A72" s="823"/>
      <c r="B72" s="823"/>
      <c r="C72" s="2758" t="s">
        <v>588</v>
      </c>
      <c r="D72" s="2759"/>
      <c r="E72" s="2759"/>
      <c r="F72" s="2759"/>
      <c r="G72" s="2759"/>
      <c r="H72" s="2759"/>
      <c r="I72" s="2759"/>
      <c r="J72" s="2760"/>
      <c r="M72" s="357"/>
      <c r="R72" s="1262"/>
      <c r="S72" s="1262"/>
      <c r="T72" s="1262"/>
      <c r="U72" s="1262"/>
      <c r="V72" s="1262"/>
      <c r="W72" s="1262"/>
      <c r="X72" s="1262"/>
      <c r="Y72" s="1262"/>
      <c r="Z72" s="1262"/>
      <c r="AA72" s="1262"/>
      <c r="AB72" s="1262"/>
      <c r="AC72" s="1262"/>
      <c r="AD72" s="1262"/>
      <c r="AE72" s="1262"/>
      <c r="AF72" s="1262"/>
      <c r="AG72" s="1262"/>
      <c r="AH72" s="1262"/>
      <c r="AI72" s="1262"/>
      <c r="AJ72" s="1262"/>
      <c r="AK72" s="1262"/>
      <c r="AL72" s="1262"/>
      <c r="AM72" s="1262"/>
      <c r="AN72" s="1262"/>
      <c r="AO72" s="1262"/>
      <c r="AP72" s="1262"/>
      <c r="AQ72" s="1262"/>
      <c r="AR72" s="1262"/>
      <c r="AS72" s="1262"/>
      <c r="AT72" s="1262"/>
      <c r="AU72" s="1262"/>
      <c r="AV72" s="1262"/>
      <c r="AW72" s="1262"/>
      <c r="AX72" s="1262"/>
      <c r="AY72" s="1262"/>
      <c r="AZ72" s="1262"/>
    </row>
    <row r="73" spans="1:54" s="1263" customFormat="1" ht="20.25" customHeight="1">
      <c r="A73" s="1262"/>
      <c r="B73" s="1262"/>
      <c r="C73" s="1262"/>
      <c r="D73" s="1262"/>
      <c r="E73" s="1262"/>
      <c r="F73" s="1262"/>
      <c r="G73" s="1262"/>
      <c r="H73" s="1262"/>
      <c r="I73" s="1262"/>
      <c r="J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c r="AR73" s="1262"/>
      <c r="AS73" s="1262"/>
      <c r="AT73" s="1262"/>
      <c r="AU73" s="1262"/>
      <c r="AV73" s="1262"/>
      <c r="AW73" s="1262"/>
      <c r="AX73" s="1262"/>
      <c r="AY73" s="1262"/>
      <c r="AZ73" s="1262"/>
    </row>
    <row r="74" spans="1:54" ht="15.75" customHeight="1">
      <c r="A74" s="1262"/>
      <c r="B74" s="1262"/>
      <c r="C74" s="1263"/>
      <c r="D74" s="1262"/>
      <c r="E74" s="1262"/>
      <c r="F74" s="1262"/>
      <c r="G74" s="1262"/>
      <c r="H74" s="1262"/>
      <c r="I74" s="1262"/>
      <c r="J74" s="1262"/>
      <c r="K74" s="1263"/>
      <c r="L74" s="1263"/>
      <c r="M74" s="1263"/>
      <c r="N74" s="1263"/>
      <c r="O74" s="1263"/>
      <c r="P74" s="1263"/>
      <c r="Q74" s="1263"/>
      <c r="R74" s="1251"/>
      <c r="S74" s="1251"/>
      <c r="T74" s="1251"/>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63"/>
      <c r="BB74" s="1263"/>
    </row>
    <row r="75" spans="1:54" ht="15.75" customHeight="1">
      <c r="A75" s="675"/>
      <c r="B75" s="600"/>
      <c r="C75" s="676"/>
      <c r="D75" s="677"/>
      <c r="E75" s="1263"/>
      <c r="F75" s="1263"/>
      <c r="G75" s="1263"/>
      <c r="H75" s="1263"/>
      <c r="I75" s="1263"/>
      <c r="J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row>
    <row r="76" spans="1:54" ht="15.75" customHeight="1">
      <c r="A76" s="675"/>
      <c r="B76" s="601"/>
      <c r="C76" s="90"/>
      <c r="D76" s="90"/>
      <c r="E76" s="1263"/>
      <c r="F76" s="1263"/>
      <c r="G76" s="1263"/>
      <c r="H76" s="1263"/>
      <c r="I76" s="1263"/>
      <c r="J76" s="1263"/>
      <c r="Q76" s="1263"/>
      <c r="R76" s="1263"/>
      <c r="S76" s="1263"/>
      <c r="T76" s="1263"/>
      <c r="U76" s="1263"/>
      <c r="V76" s="1263"/>
      <c r="W76" s="1263"/>
      <c r="X76" s="1263"/>
      <c r="Y76" s="1263"/>
      <c r="Z76" s="1263"/>
      <c r="AA76" s="1263"/>
      <c r="AB76" s="1263"/>
      <c r="AC76" s="1263"/>
      <c r="AD76" s="1263"/>
      <c r="AE76" s="1263"/>
      <c r="AF76" s="1263"/>
      <c r="AG76" s="1263"/>
      <c r="AH76" s="1263"/>
      <c r="AI76" s="1263"/>
      <c r="AJ76" s="1263"/>
      <c r="AK76" s="1263"/>
      <c r="AL76" s="1263"/>
      <c r="AM76" s="1263"/>
      <c r="AN76" s="1263"/>
      <c r="AO76" s="1263"/>
      <c r="AP76" s="1263"/>
      <c r="AQ76" s="1263"/>
      <c r="AR76" s="1263"/>
      <c r="AS76" s="1263"/>
      <c r="AT76" s="1263"/>
      <c r="AU76" s="1263"/>
      <c r="AV76" s="1263"/>
      <c r="AW76" s="1263"/>
      <c r="AX76" s="1263"/>
      <c r="AY76" s="1263"/>
      <c r="AZ76" s="1263"/>
      <c r="BA76" s="1263"/>
      <c r="BB76" s="1263"/>
    </row>
    <row r="77" spans="1:54" ht="15.75" customHeight="1">
      <c r="A77" s="675"/>
      <c r="B77" s="601"/>
      <c r="C77" s="90"/>
      <c r="D77" s="90"/>
      <c r="E77" s="1263"/>
      <c r="F77" s="1263"/>
      <c r="G77" s="1263"/>
      <c r="H77" s="1263"/>
      <c r="I77" s="1263"/>
      <c r="J77" s="1263"/>
      <c r="Q77" s="1263"/>
      <c r="R77" s="1263"/>
      <c r="S77" s="1263"/>
      <c r="T77" s="1263"/>
      <c r="U77" s="1263"/>
      <c r="V77" s="1263"/>
      <c r="W77" s="1263"/>
      <c r="X77" s="1263"/>
      <c r="Y77" s="1263"/>
      <c r="Z77" s="1263"/>
      <c r="AA77" s="1263"/>
      <c r="AB77" s="1263"/>
      <c r="AC77" s="1263"/>
      <c r="AD77" s="1263"/>
      <c r="AE77" s="1263"/>
      <c r="AF77" s="1263"/>
      <c r="AG77" s="1263"/>
      <c r="AH77" s="1263"/>
      <c r="AI77" s="1263"/>
      <c r="AJ77" s="1263"/>
      <c r="AK77" s="1263"/>
      <c r="AL77" s="1263"/>
      <c r="AM77" s="1263"/>
      <c r="AN77" s="1263"/>
      <c r="AO77" s="1263"/>
      <c r="AP77" s="1263"/>
      <c r="AQ77" s="1263"/>
      <c r="AR77" s="1263"/>
      <c r="AS77" s="1263"/>
      <c r="AT77" s="1263"/>
      <c r="AU77" s="1263"/>
      <c r="AV77" s="1263"/>
      <c r="AW77" s="1263"/>
      <c r="AX77" s="1263"/>
      <c r="AY77" s="1263"/>
      <c r="AZ77" s="1263"/>
    </row>
    <row r="78" spans="1:54" ht="15.75" customHeight="1">
      <c r="A78" s="1263"/>
      <c r="B78" s="601"/>
      <c r="C78" s="619"/>
      <c r="D78" s="619"/>
      <c r="E78" s="1263"/>
      <c r="F78" s="1263"/>
      <c r="G78" s="1263"/>
      <c r="H78" s="1263"/>
      <c r="I78" s="1263"/>
      <c r="J78" s="1263"/>
      <c r="Q78" s="1263"/>
      <c r="R78" s="1263"/>
      <c r="S78" s="1263"/>
      <c r="T78" s="1263"/>
      <c r="U78" s="1263"/>
      <c r="V78" s="1263"/>
      <c r="W78" s="1263"/>
      <c r="X78" s="1263"/>
      <c r="Y78" s="1263"/>
      <c r="Z78" s="1263"/>
      <c r="AA78" s="1263"/>
      <c r="AB78" s="1263"/>
      <c r="AC78" s="1263"/>
      <c r="AD78" s="1263"/>
      <c r="AE78" s="1263"/>
      <c r="AF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row>
    <row r="79" spans="1:54" ht="15.75" customHeight="1">
      <c r="Q79" s="558"/>
      <c r="R79" s="1263"/>
      <c r="S79" s="1263"/>
      <c r="T79" s="1263"/>
      <c r="U79" s="1263"/>
      <c r="V79" s="1263"/>
      <c r="W79" s="1263"/>
      <c r="X79" s="1263"/>
      <c r="Y79" s="1263"/>
      <c r="Z79" s="1263"/>
      <c r="AA79" s="1263"/>
      <c r="AB79" s="1263"/>
      <c r="AC79" s="1263"/>
      <c r="AD79" s="1263"/>
      <c r="AE79" s="1263"/>
      <c r="AF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row>
    <row r="80" spans="1:54" ht="15.75" customHeight="1">
      <c r="A80" s="1045" t="s">
        <v>820</v>
      </c>
      <c r="Q80" s="558"/>
      <c r="R80" s="1263"/>
      <c r="S80" s="1263"/>
      <c r="T80" s="1263"/>
      <c r="U80" s="1263"/>
      <c r="V80" s="1263"/>
      <c r="W80" s="1263"/>
      <c r="X80" s="1263"/>
      <c r="Y80" s="1263"/>
      <c r="Z80" s="1263"/>
      <c r="AA80" s="1263"/>
      <c r="AB80" s="1263"/>
      <c r="AC80" s="1263"/>
      <c r="AD80" s="1263"/>
      <c r="AE80" s="1263"/>
      <c r="AF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row>
    <row r="81" spans="1:54" ht="15.75" customHeight="1">
      <c r="R81" s="1263"/>
      <c r="S81" s="1263"/>
      <c r="T81" s="1263"/>
      <c r="U81" s="1263"/>
      <c r="V81" s="1263"/>
      <c r="W81" s="1263"/>
      <c r="X81" s="1263"/>
      <c r="Y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row>
    <row r="82" spans="1:54" ht="15.75" customHeight="1">
      <c r="A82" s="860" t="s">
        <v>819</v>
      </c>
      <c r="B82" s="860"/>
      <c r="C82" s="1070"/>
      <c r="D82" s="2545"/>
      <c r="E82" s="2545"/>
      <c r="F82" s="908"/>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row>
    <row r="83" spans="1:54" ht="15.75" customHeight="1">
      <c r="A83" s="860"/>
      <c r="B83" s="860"/>
      <c r="C83" s="1270" t="s">
        <v>177</v>
      </c>
      <c r="D83" s="1270" t="s">
        <v>284</v>
      </c>
      <c r="E83" s="2753" t="s">
        <v>822</v>
      </c>
      <c r="F83" s="2413"/>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row>
    <row r="84" spans="1:54" ht="15.75" customHeight="1">
      <c r="A84" s="201" t="s">
        <v>795</v>
      </c>
      <c r="B84" s="201"/>
      <c r="C84" s="1252">
        <v>0</v>
      </c>
      <c r="D84" s="1252">
        <v>0</v>
      </c>
      <c r="E84" s="210">
        <v>0</v>
      </c>
      <c r="F84" s="1117"/>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c r="AO84" s="558"/>
      <c r="AP84" s="558"/>
      <c r="AQ84" s="558"/>
      <c r="AR84" s="558"/>
      <c r="AS84" s="558"/>
      <c r="AT84" s="558"/>
      <c r="AU84" s="558"/>
      <c r="AV84" s="558"/>
      <c r="AW84" s="558"/>
      <c r="AX84" s="558"/>
      <c r="AY84" s="558"/>
      <c r="AZ84" s="558"/>
    </row>
    <row r="85" spans="1:54" ht="15.75" customHeight="1">
      <c r="A85" s="201" t="s">
        <v>287</v>
      </c>
      <c r="B85" s="201"/>
      <c r="C85" s="1252">
        <v>15.5</v>
      </c>
      <c r="D85" s="1252">
        <v>0</v>
      </c>
      <c r="E85" s="210">
        <v>100</v>
      </c>
      <c r="F85" s="1117"/>
      <c r="U85" s="1263"/>
      <c r="V85" s="1046"/>
      <c r="W85" s="1263"/>
      <c r="X85" s="1263"/>
      <c r="Y85" s="1263"/>
      <c r="Z85" s="1263"/>
    </row>
    <row r="86" spans="1:54" ht="15.75" customHeight="1">
      <c r="A86" s="201" t="s">
        <v>830</v>
      </c>
      <c r="B86" s="201"/>
      <c r="C86" s="1252">
        <v>27</v>
      </c>
      <c r="D86" s="1252">
        <v>0</v>
      </c>
      <c r="E86" s="210">
        <v>100</v>
      </c>
      <c r="F86" s="1117"/>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row>
    <row r="87" spans="1:54" ht="15.75" customHeight="1">
      <c r="A87" s="201" t="s">
        <v>834</v>
      </c>
      <c r="B87" s="201"/>
      <c r="C87" s="1252">
        <v>24</v>
      </c>
      <c r="D87" s="1252">
        <v>0</v>
      </c>
      <c r="E87" s="210">
        <v>100</v>
      </c>
      <c r="F87" s="1117"/>
      <c r="U87" s="860"/>
      <c r="V87" s="860"/>
      <c r="W87" s="1266"/>
      <c r="X87" s="1266"/>
      <c r="Y87" s="1251"/>
      <c r="Z87" s="908"/>
    </row>
    <row r="88" spans="1:54" ht="15.75" customHeight="1">
      <c r="A88" s="201" t="s">
        <v>288</v>
      </c>
      <c r="B88" s="201"/>
      <c r="C88" s="1252">
        <v>24</v>
      </c>
      <c r="D88" s="1252">
        <v>0</v>
      </c>
      <c r="E88" s="210">
        <v>100</v>
      </c>
      <c r="F88" s="1117"/>
      <c r="U88" s="860"/>
      <c r="V88" s="860"/>
      <c r="W88" s="1266"/>
      <c r="X88" s="1256"/>
      <c r="Y88" s="1256"/>
      <c r="Z88" s="909"/>
    </row>
    <row r="89" spans="1:54" ht="15.75" customHeight="1">
      <c r="A89" s="201" t="s">
        <v>831</v>
      </c>
      <c r="B89" s="201"/>
      <c r="C89" s="1252">
        <v>26</v>
      </c>
      <c r="D89" s="1252">
        <v>0</v>
      </c>
      <c r="E89" s="210">
        <v>100</v>
      </c>
      <c r="F89" s="1117"/>
      <c r="U89" s="201"/>
      <c r="V89" s="201"/>
      <c r="W89" s="1266"/>
      <c r="X89" s="1250"/>
      <c r="Y89" s="1250"/>
      <c r="Z89" s="1117"/>
    </row>
    <row r="90" spans="1:54" ht="15.75" customHeight="1">
      <c r="A90" s="201" t="s">
        <v>835</v>
      </c>
      <c r="B90" s="201"/>
      <c r="C90" s="1252">
        <v>21</v>
      </c>
      <c r="D90" s="1252">
        <v>0</v>
      </c>
      <c r="E90" s="210">
        <v>100</v>
      </c>
      <c r="F90" s="1117"/>
      <c r="U90" s="201"/>
      <c r="V90" s="201"/>
      <c r="W90" s="1266"/>
      <c r="X90" s="1250"/>
      <c r="Y90" s="1250"/>
      <c r="Z90" s="1117"/>
    </row>
    <row r="91" spans="1:54" ht="15.75" customHeight="1">
      <c r="A91" s="201" t="s">
        <v>832</v>
      </c>
      <c r="B91" s="201"/>
      <c r="C91" s="1252">
        <v>33</v>
      </c>
      <c r="D91" s="1252">
        <v>0</v>
      </c>
      <c r="E91" s="210">
        <v>100</v>
      </c>
      <c r="F91" s="1117"/>
      <c r="U91" s="201"/>
      <c r="V91" s="201"/>
      <c r="W91" s="1266"/>
      <c r="X91" s="1250"/>
      <c r="Y91" s="1250"/>
      <c r="Z91" s="1117"/>
    </row>
    <row r="92" spans="1:54" ht="15.75" customHeight="1">
      <c r="A92" s="201" t="s">
        <v>833</v>
      </c>
      <c r="B92" s="201"/>
      <c r="C92" s="202">
        <v>38</v>
      </c>
      <c r="D92" s="1252">
        <v>0</v>
      </c>
      <c r="E92" s="210">
        <v>100</v>
      </c>
      <c r="F92" s="1117"/>
      <c r="U92" s="201"/>
      <c r="V92" s="201"/>
      <c r="W92" s="1266"/>
      <c r="X92" s="1250"/>
      <c r="Y92" s="1250"/>
      <c r="Z92" s="1117"/>
    </row>
    <row r="93" spans="1:54" ht="15.75" customHeight="1">
      <c r="A93" s="201" t="s">
        <v>289</v>
      </c>
      <c r="B93" s="201"/>
      <c r="C93" s="1252">
        <v>46</v>
      </c>
      <c r="D93" s="1252">
        <v>0</v>
      </c>
      <c r="E93" s="210">
        <v>100</v>
      </c>
      <c r="F93" s="1117"/>
      <c r="U93" s="201"/>
      <c r="V93" s="201"/>
      <c r="W93" s="1266"/>
      <c r="X93" s="1250"/>
      <c r="Y93" s="1250"/>
      <c r="Z93" s="1117"/>
    </row>
    <row r="94" spans="1:54" ht="15.75" customHeight="1">
      <c r="A94" s="201" t="s">
        <v>796</v>
      </c>
      <c r="B94" s="201"/>
      <c r="C94" s="1252">
        <v>28</v>
      </c>
      <c r="D94" s="1252">
        <v>0</v>
      </c>
      <c r="E94" s="210">
        <v>100</v>
      </c>
      <c r="F94" s="1117"/>
      <c r="U94" s="201"/>
      <c r="V94" s="201"/>
      <c r="W94" s="1266"/>
      <c r="X94" s="1250"/>
      <c r="Y94" s="1250"/>
      <c r="Z94" s="1117"/>
    </row>
    <row r="95" spans="1:54" ht="15.75" customHeight="1">
      <c r="A95" s="201" t="s">
        <v>797</v>
      </c>
      <c r="B95" s="201"/>
      <c r="C95" s="202">
        <v>30</v>
      </c>
      <c r="D95" s="1252">
        <v>0</v>
      </c>
      <c r="E95" s="210">
        <v>100</v>
      </c>
      <c r="F95" s="1117"/>
      <c r="U95" s="201"/>
      <c r="V95" s="201"/>
      <c r="W95" s="1266"/>
      <c r="X95" s="1250"/>
      <c r="Y95" s="1250"/>
      <c r="Z95" s="1117"/>
    </row>
    <row r="96" spans="1:54" ht="15.75" customHeight="1">
      <c r="A96" s="201" t="s">
        <v>290</v>
      </c>
      <c r="B96" s="201"/>
      <c r="C96" s="1252">
        <v>8</v>
      </c>
      <c r="D96" s="1252">
        <v>0</v>
      </c>
      <c r="E96" s="210">
        <v>100</v>
      </c>
      <c r="F96" s="1117"/>
      <c r="U96" s="201"/>
      <c r="V96" s="201"/>
      <c r="W96" s="1266"/>
      <c r="X96" s="1250"/>
      <c r="Y96" s="1250"/>
      <c r="Z96" s="1117"/>
    </row>
    <row r="97" spans="1:31" ht="15.75" customHeight="1">
      <c r="A97" s="201" t="s">
        <v>836</v>
      </c>
      <c r="B97" s="201"/>
      <c r="C97" s="1252">
        <v>15</v>
      </c>
      <c r="D97" s="1252">
        <v>0</v>
      </c>
      <c r="E97" s="210">
        <v>100</v>
      </c>
      <c r="F97" s="1117"/>
      <c r="U97" s="201"/>
      <c r="V97" s="201"/>
      <c r="W97" s="1266"/>
      <c r="X97" s="143"/>
      <c r="Y97" s="1250"/>
      <c r="Z97" s="1117"/>
    </row>
    <row r="98" spans="1:31" ht="15.75" customHeight="1">
      <c r="A98" s="201" t="s">
        <v>291</v>
      </c>
      <c r="B98" s="201"/>
      <c r="C98" s="1252">
        <v>19.8</v>
      </c>
      <c r="D98" s="1252">
        <v>0</v>
      </c>
      <c r="E98" s="210">
        <v>100</v>
      </c>
      <c r="F98" s="1117"/>
      <c r="U98" s="201"/>
      <c r="V98" s="201"/>
      <c r="W98" s="1266"/>
      <c r="X98" s="1250"/>
      <c r="Y98" s="1250"/>
      <c r="Z98" s="1117"/>
    </row>
    <row r="99" spans="1:31" ht="15.75" customHeight="1">
      <c r="A99" s="201" t="s">
        <v>798</v>
      </c>
      <c r="B99" s="201"/>
      <c r="C99" s="1252">
        <v>20</v>
      </c>
      <c r="D99" s="1252">
        <v>20</v>
      </c>
      <c r="E99" s="210">
        <v>100</v>
      </c>
      <c r="F99" s="1117"/>
      <c r="U99" s="201"/>
      <c r="V99" s="201"/>
      <c r="W99" s="1266"/>
      <c r="X99" s="1250"/>
      <c r="Y99" s="1250"/>
      <c r="Z99" s="1117"/>
    </row>
    <row r="100" spans="1:31" ht="15.75" customHeight="1">
      <c r="A100" s="201" t="s">
        <v>799</v>
      </c>
      <c r="B100" s="201"/>
      <c r="C100" s="1252">
        <v>10</v>
      </c>
      <c r="D100" s="1252">
        <v>34</v>
      </c>
      <c r="E100" s="210">
        <v>100</v>
      </c>
      <c r="F100" s="1117"/>
      <c r="U100" s="201"/>
      <c r="V100" s="201"/>
      <c r="W100" s="1266"/>
      <c r="X100" s="143"/>
      <c r="Y100" s="1250"/>
      <c r="Z100" s="1117"/>
    </row>
    <row r="101" spans="1:31" ht="15.75" customHeight="1">
      <c r="A101" s="201" t="s">
        <v>837</v>
      </c>
      <c r="B101" s="201"/>
      <c r="C101" s="1252">
        <v>18</v>
      </c>
      <c r="D101" s="1252">
        <v>46</v>
      </c>
      <c r="E101" s="210">
        <v>100</v>
      </c>
      <c r="F101" s="1117"/>
      <c r="U101" s="201"/>
      <c r="V101" s="201"/>
      <c r="W101" s="1266"/>
      <c r="X101" s="1250"/>
      <c r="Y101" s="1250"/>
      <c r="Z101" s="1117"/>
    </row>
    <row r="102" spans="1:31" ht="15.75" customHeight="1">
      <c r="A102" s="201" t="s">
        <v>800</v>
      </c>
      <c r="B102" s="201"/>
      <c r="C102" s="1252">
        <v>15</v>
      </c>
      <c r="D102" s="1252">
        <v>15</v>
      </c>
      <c r="E102" s="210">
        <v>100</v>
      </c>
      <c r="F102" s="1117"/>
      <c r="U102" s="201"/>
      <c r="V102" s="201"/>
      <c r="W102" s="1266"/>
      <c r="X102" s="1250"/>
      <c r="Y102" s="1250"/>
      <c r="Z102" s="1117"/>
    </row>
    <row r="103" spans="1:31" ht="15.75" customHeight="1">
      <c r="A103" s="201" t="s">
        <v>801</v>
      </c>
      <c r="B103" s="201"/>
      <c r="C103" s="202">
        <v>13</v>
      </c>
      <c r="D103" s="202">
        <v>13</v>
      </c>
      <c r="E103" s="210">
        <v>100</v>
      </c>
      <c r="F103" s="1117"/>
      <c r="U103" s="201"/>
      <c r="V103" s="201"/>
      <c r="W103" s="1266"/>
      <c r="X103" s="1250"/>
      <c r="Y103" s="1250"/>
      <c r="Z103" s="1117"/>
    </row>
    <row r="104" spans="1:31" ht="15.75" customHeight="1">
      <c r="A104" s="201" t="s">
        <v>802</v>
      </c>
      <c r="B104" s="201"/>
      <c r="C104" s="1100">
        <v>20</v>
      </c>
      <c r="D104" s="1100">
        <v>8</v>
      </c>
      <c r="E104" s="210">
        <v>100</v>
      </c>
      <c r="F104" s="1117"/>
      <c r="U104" s="201"/>
      <c r="V104" s="201"/>
      <c r="W104" s="1266"/>
      <c r="X104" s="1250"/>
      <c r="Y104" s="1250"/>
      <c r="Z104" s="1117"/>
    </row>
    <row r="105" spans="1:31" ht="15.75" customHeight="1">
      <c r="A105" s="201" t="s">
        <v>292</v>
      </c>
      <c r="B105" s="201"/>
      <c r="C105" s="1253">
        <v>0</v>
      </c>
      <c r="D105" s="1252">
        <v>18</v>
      </c>
      <c r="E105" s="210">
        <v>100</v>
      </c>
      <c r="F105" s="1117"/>
      <c r="U105" s="201"/>
      <c r="V105" s="201"/>
      <c r="W105" s="1266"/>
      <c r="X105" s="1250"/>
      <c r="Y105" s="1250"/>
      <c r="Z105" s="1117"/>
    </row>
    <row r="106" spans="1:31" s="546" customFormat="1" ht="15.75" customHeight="1">
      <c r="A106" s="201" t="s">
        <v>838</v>
      </c>
      <c r="B106" s="201"/>
      <c r="C106" s="1253">
        <v>0</v>
      </c>
      <c r="D106" s="1252">
        <v>46</v>
      </c>
      <c r="E106" s="210">
        <v>100</v>
      </c>
      <c r="F106" s="1117"/>
      <c r="G106" s="357"/>
      <c r="H106" s="357"/>
      <c r="I106" s="357"/>
      <c r="J106" s="357"/>
      <c r="K106" s="357"/>
      <c r="L106" s="357"/>
      <c r="M106" s="357"/>
      <c r="N106" s="357"/>
      <c r="O106" s="357"/>
      <c r="P106" s="357"/>
      <c r="Q106" s="357"/>
      <c r="R106" s="357"/>
      <c r="S106" s="357"/>
      <c r="T106" s="357"/>
      <c r="U106" s="201"/>
      <c r="V106" s="201"/>
      <c r="W106" s="1266"/>
      <c r="X106" s="1250"/>
      <c r="Y106" s="1250"/>
      <c r="Z106" s="1117"/>
      <c r="AA106" s="357"/>
      <c r="AB106" s="357"/>
      <c r="AC106" s="357"/>
      <c r="AD106" s="357"/>
      <c r="AE106" s="357"/>
    </row>
    <row r="107" spans="1:31" s="546" customFormat="1" ht="15.75" customHeight="1">
      <c r="A107" s="201" t="s">
        <v>1107</v>
      </c>
      <c r="B107" s="201"/>
      <c r="C107" s="1253">
        <v>0</v>
      </c>
      <c r="D107" s="1253">
        <v>0</v>
      </c>
      <c r="E107" s="210">
        <v>100</v>
      </c>
      <c r="F107" s="1117"/>
      <c r="G107" s="357"/>
      <c r="H107" s="357"/>
      <c r="I107" s="357"/>
      <c r="J107" s="357"/>
      <c r="K107" s="357"/>
      <c r="L107" s="357"/>
      <c r="M107" s="357"/>
      <c r="N107" s="357"/>
      <c r="O107" s="357"/>
      <c r="P107" s="357"/>
      <c r="Q107" s="357"/>
      <c r="R107" s="357"/>
      <c r="S107" s="357"/>
      <c r="T107" s="357"/>
      <c r="U107" s="201"/>
      <c r="V107" s="201"/>
      <c r="W107" s="1266"/>
      <c r="X107" s="1250"/>
      <c r="Y107" s="1250"/>
      <c r="Z107" s="1117"/>
      <c r="AA107" s="357"/>
      <c r="AB107" s="357"/>
      <c r="AC107" s="357"/>
      <c r="AD107" s="357"/>
      <c r="AE107" s="357"/>
    </row>
    <row r="108" spans="1:31" s="546" customFormat="1" ht="15.75" customHeight="1">
      <c r="A108" s="201" t="s">
        <v>1108</v>
      </c>
      <c r="B108" s="201"/>
      <c r="C108" s="1253">
        <v>0</v>
      </c>
      <c r="D108" s="1253">
        <v>0</v>
      </c>
      <c r="E108" s="210">
        <v>100</v>
      </c>
      <c r="F108" s="1117"/>
      <c r="G108" s="357"/>
      <c r="H108" s="357"/>
      <c r="I108" s="357"/>
      <c r="J108" s="357"/>
      <c r="K108" s="357"/>
      <c r="L108" s="357"/>
      <c r="M108" s="357"/>
      <c r="N108" s="357"/>
      <c r="O108" s="357"/>
      <c r="P108" s="357"/>
      <c r="Q108" s="357"/>
      <c r="R108" s="357"/>
      <c r="S108" s="357"/>
      <c r="T108" s="357"/>
      <c r="U108" s="201"/>
      <c r="V108" s="201"/>
      <c r="W108" s="1266"/>
      <c r="X108" s="143"/>
      <c r="Y108" s="143"/>
      <c r="Z108" s="1117"/>
      <c r="AA108" s="357"/>
      <c r="AB108" s="357"/>
      <c r="AC108" s="357"/>
      <c r="AD108" s="357"/>
      <c r="AE108" s="357"/>
    </row>
    <row r="109" spans="1:31" s="546" customFormat="1" ht="15.75" customHeight="1">
      <c r="A109" s="201" t="s">
        <v>1109</v>
      </c>
      <c r="B109" s="201"/>
      <c r="C109" s="1253">
        <v>0</v>
      </c>
      <c r="D109" s="1253">
        <v>0</v>
      </c>
      <c r="E109" s="210">
        <v>100</v>
      </c>
      <c r="F109" s="1117"/>
      <c r="G109" s="357"/>
      <c r="H109" s="357"/>
      <c r="I109" s="357"/>
      <c r="J109" s="357"/>
      <c r="K109" s="357"/>
      <c r="L109" s="357"/>
      <c r="M109" s="357"/>
      <c r="N109" s="357"/>
      <c r="O109" s="357"/>
      <c r="P109" s="357"/>
      <c r="Q109" s="357"/>
      <c r="R109" s="357"/>
      <c r="S109" s="357"/>
      <c r="T109" s="357"/>
      <c r="U109" s="201"/>
      <c r="V109" s="201"/>
      <c r="W109" s="1266"/>
      <c r="X109" s="1250"/>
      <c r="Y109" s="1250"/>
      <c r="Z109" s="1117"/>
      <c r="AA109" s="357"/>
      <c r="AB109" s="357"/>
      <c r="AC109" s="357"/>
      <c r="AD109" s="357"/>
      <c r="AE109" s="357"/>
    </row>
    <row r="110" spans="1:31" s="546" customFormat="1" ht="15.75" customHeight="1">
      <c r="A110" s="201" t="s">
        <v>1110</v>
      </c>
      <c r="B110" s="201"/>
      <c r="C110" s="1253">
        <v>0</v>
      </c>
      <c r="D110" s="1253">
        <v>0</v>
      </c>
      <c r="E110" s="210">
        <v>100</v>
      </c>
      <c r="F110" s="1117"/>
      <c r="G110" s="357"/>
      <c r="H110" s="357"/>
      <c r="I110" s="357"/>
      <c r="J110" s="357"/>
      <c r="K110" s="357"/>
      <c r="L110" s="357"/>
      <c r="M110" s="357"/>
      <c r="N110" s="357"/>
      <c r="O110" s="357"/>
      <c r="P110" s="357"/>
      <c r="Q110" s="357"/>
      <c r="R110" s="357"/>
      <c r="S110" s="357"/>
      <c r="T110" s="357"/>
      <c r="U110" s="201"/>
      <c r="V110" s="201"/>
      <c r="W110" s="1266"/>
      <c r="X110" s="1266"/>
      <c r="Y110" s="1250"/>
      <c r="Z110" s="1117"/>
      <c r="AA110" s="357"/>
      <c r="AB110" s="357"/>
      <c r="AC110" s="357"/>
      <c r="AD110" s="357"/>
      <c r="AE110" s="357"/>
    </row>
    <row r="111" spans="1:31" s="546" customFormat="1" ht="15.75" customHeight="1">
      <c r="A111" s="182" t="s">
        <v>184</v>
      </c>
      <c r="B111" s="182"/>
      <c r="C111" s="1253">
        <v>0.33</v>
      </c>
      <c r="D111" s="1253">
        <v>0.14000000000000001</v>
      </c>
      <c r="E111" s="210">
        <v>60</v>
      </c>
      <c r="F111" s="1117"/>
      <c r="G111" s="357"/>
      <c r="H111" s="357"/>
      <c r="I111" s="357"/>
      <c r="J111" s="357"/>
      <c r="K111" s="357"/>
      <c r="L111" s="357"/>
      <c r="M111" s="357"/>
      <c r="N111" s="357"/>
      <c r="O111" s="357"/>
      <c r="P111" s="357"/>
      <c r="Q111" s="357"/>
      <c r="R111" s="357"/>
      <c r="S111" s="357"/>
      <c r="T111" s="357"/>
      <c r="U111" s="201"/>
      <c r="V111" s="201"/>
      <c r="W111" s="1266"/>
      <c r="X111" s="1266"/>
      <c r="Y111" s="1250"/>
      <c r="Z111" s="1117"/>
      <c r="AA111" s="357"/>
      <c r="AB111" s="357"/>
      <c r="AC111" s="357"/>
      <c r="AD111" s="357"/>
      <c r="AE111" s="357"/>
    </row>
    <row r="112" spans="1:31" s="546" customFormat="1" ht="15.75" customHeight="1">
      <c r="A112" s="182" t="s">
        <v>185</v>
      </c>
      <c r="B112" s="182"/>
      <c r="C112" s="1253">
        <v>0.4</v>
      </c>
      <c r="D112" s="1253">
        <v>0.17</v>
      </c>
      <c r="E112" s="210">
        <v>70</v>
      </c>
      <c r="F112" s="1117"/>
      <c r="G112" s="357"/>
      <c r="H112" s="357"/>
      <c r="I112" s="357"/>
      <c r="J112" s="357"/>
      <c r="K112" s="357"/>
      <c r="L112" s="357"/>
      <c r="M112" s="357"/>
      <c r="N112" s="357"/>
      <c r="O112" s="357"/>
      <c r="P112" s="357"/>
      <c r="Q112" s="357"/>
      <c r="R112" s="357"/>
      <c r="S112" s="357"/>
      <c r="T112" s="357"/>
      <c r="U112" s="201"/>
      <c r="V112" s="201"/>
      <c r="W112" s="1266"/>
      <c r="X112" s="1266"/>
      <c r="Y112" s="1266"/>
      <c r="Z112" s="1117"/>
      <c r="AA112" s="357"/>
      <c r="AB112" s="357"/>
      <c r="AC112" s="357"/>
      <c r="AD112" s="357"/>
      <c r="AE112" s="357"/>
    </row>
    <row r="113" spans="1:52" s="546" customFormat="1" ht="15.75" customHeight="1">
      <c r="A113" s="862" t="s">
        <v>807</v>
      </c>
      <c r="B113" s="862"/>
      <c r="C113" s="1253">
        <v>0.61</v>
      </c>
      <c r="D113" s="1252">
        <v>0.33</v>
      </c>
      <c r="E113" s="210">
        <v>25</v>
      </c>
      <c r="F113" s="1117"/>
      <c r="G113" s="357"/>
      <c r="H113" s="357"/>
      <c r="I113" s="357"/>
      <c r="J113" s="357"/>
      <c r="K113" s="357"/>
      <c r="L113" s="357"/>
      <c r="M113" s="357"/>
      <c r="N113" s="357"/>
      <c r="O113" s="357"/>
      <c r="P113" s="357"/>
      <c r="Q113" s="357"/>
      <c r="R113" s="357"/>
      <c r="S113" s="357"/>
      <c r="T113" s="357"/>
      <c r="U113" s="201"/>
      <c r="V113" s="201"/>
      <c r="W113" s="1266"/>
      <c r="X113" s="1266"/>
      <c r="Y113" s="1266"/>
      <c r="Z113" s="1117"/>
      <c r="AA113" s="357"/>
      <c r="AB113" s="357"/>
      <c r="AC113" s="357"/>
      <c r="AD113" s="357"/>
      <c r="AE113" s="357"/>
    </row>
    <row r="114" spans="1:52" s="546" customFormat="1" ht="15.75" customHeight="1">
      <c r="A114" s="862" t="s">
        <v>828</v>
      </c>
      <c r="B114" s="862"/>
      <c r="C114" s="1253">
        <v>0.26</v>
      </c>
      <c r="D114" s="1252">
        <v>0.02</v>
      </c>
      <c r="E114" s="210">
        <v>90</v>
      </c>
      <c r="F114" s="1117"/>
      <c r="G114" s="357"/>
      <c r="H114" s="357"/>
      <c r="I114" s="357"/>
      <c r="J114" s="357"/>
      <c r="K114" s="357"/>
      <c r="L114" s="357"/>
      <c r="M114" s="357"/>
      <c r="N114" s="357"/>
      <c r="O114" s="357"/>
      <c r="P114" s="357"/>
      <c r="Q114" s="357"/>
      <c r="R114" s="357"/>
      <c r="S114" s="357"/>
      <c r="T114" s="357"/>
      <c r="U114" s="201"/>
      <c r="V114" s="201"/>
      <c r="W114" s="1266"/>
      <c r="X114" s="1266"/>
      <c r="Y114" s="1266"/>
      <c r="Z114" s="1117"/>
      <c r="AA114" s="357"/>
      <c r="AB114" s="357"/>
      <c r="AC114" s="357"/>
      <c r="AD114" s="357"/>
      <c r="AE114" s="357"/>
    </row>
    <row r="115" spans="1:52" s="546" customFormat="1" ht="15.75" customHeight="1">
      <c r="A115" s="862" t="s">
        <v>823</v>
      </c>
      <c r="B115" s="862"/>
      <c r="C115" s="1253">
        <v>0.76</v>
      </c>
      <c r="D115" s="1252">
        <v>0.66</v>
      </c>
      <c r="E115" s="210">
        <v>30</v>
      </c>
      <c r="F115" s="1117"/>
      <c r="G115" s="357"/>
      <c r="H115" s="357"/>
      <c r="I115" s="357"/>
      <c r="J115" s="357"/>
      <c r="K115" s="357"/>
      <c r="L115" s="357"/>
      <c r="M115" s="357"/>
      <c r="N115" s="357"/>
      <c r="O115" s="357"/>
      <c r="P115" s="357"/>
      <c r="Q115" s="357"/>
      <c r="R115" s="357"/>
      <c r="S115" s="357"/>
      <c r="T115" s="357"/>
      <c r="U115" s="201"/>
      <c r="V115" s="201"/>
      <c r="W115" s="1266"/>
      <c r="X115" s="1266"/>
      <c r="Y115" s="1266"/>
      <c r="Z115" s="1117"/>
      <c r="AA115" s="357"/>
      <c r="AB115" s="357"/>
      <c r="AC115" s="357"/>
      <c r="AD115" s="357"/>
      <c r="AE115" s="357"/>
    </row>
    <row r="116" spans="1:52" s="546" customFormat="1" ht="15.75" customHeight="1">
      <c r="A116" s="1245" t="s">
        <v>824</v>
      </c>
      <c r="B116" s="1245"/>
      <c r="C116" s="1253">
        <v>0.45</v>
      </c>
      <c r="D116" s="1252">
        <v>0.3</v>
      </c>
      <c r="E116" s="210">
        <v>25</v>
      </c>
      <c r="F116" s="1117"/>
      <c r="G116" s="357"/>
      <c r="H116" s="357"/>
      <c r="I116" s="357"/>
      <c r="J116" s="357"/>
      <c r="K116" s="357"/>
      <c r="L116" s="357"/>
      <c r="M116" s="357"/>
      <c r="N116" s="357"/>
      <c r="O116" s="357"/>
      <c r="P116" s="357"/>
      <c r="Q116" s="357"/>
      <c r="R116" s="357"/>
      <c r="S116" s="357"/>
      <c r="T116" s="357"/>
      <c r="U116" s="862"/>
      <c r="V116" s="862"/>
      <c r="W116" s="1266"/>
      <c r="X116" s="1266"/>
      <c r="Y116" s="1266"/>
      <c r="Z116" s="1117"/>
      <c r="AA116" s="357"/>
      <c r="AB116" s="357"/>
      <c r="AC116" s="357"/>
      <c r="AD116" s="357"/>
      <c r="AE116" s="357"/>
    </row>
    <row r="117" spans="1:52" s="546" customFormat="1" ht="15.75" customHeight="1">
      <c r="A117" s="1247" t="s">
        <v>825</v>
      </c>
      <c r="B117" s="1247"/>
      <c r="C117" s="1253">
        <v>0</v>
      </c>
      <c r="D117" s="1252">
        <v>0</v>
      </c>
      <c r="E117" s="210" t="s">
        <v>1111</v>
      </c>
      <c r="F117" s="1117"/>
      <c r="G117" s="357"/>
      <c r="H117" s="357"/>
      <c r="I117" s="357"/>
      <c r="J117" s="357"/>
      <c r="K117" s="357"/>
      <c r="L117" s="357"/>
      <c r="M117" s="357"/>
      <c r="N117" s="357"/>
      <c r="O117" s="357"/>
      <c r="P117" s="357"/>
      <c r="Q117" s="357"/>
      <c r="R117" s="357"/>
      <c r="S117" s="357"/>
      <c r="T117" s="357"/>
      <c r="U117" s="862"/>
      <c r="V117" s="862"/>
      <c r="W117" s="1266"/>
      <c r="X117" s="1266"/>
      <c r="Y117" s="1266"/>
      <c r="Z117" s="1117"/>
      <c r="AA117" s="357"/>
      <c r="AB117" s="357"/>
      <c r="AC117" s="357"/>
      <c r="AD117" s="357"/>
      <c r="AE117" s="357"/>
    </row>
    <row r="118" spans="1:52" s="546" customFormat="1" ht="15.75" customHeight="1">
      <c r="A118" s="1247" t="s">
        <v>826</v>
      </c>
      <c r="B118" s="1247"/>
      <c r="C118" s="1253">
        <v>0</v>
      </c>
      <c r="D118" s="1253">
        <v>0</v>
      </c>
      <c r="E118" s="196" t="s">
        <v>1111</v>
      </c>
      <c r="F118" s="908"/>
      <c r="G118" s="357"/>
      <c r="H118" s="357"/>
      <c r="I118" s="357"/>
      <c r="J118" s="357"/>
      <c r="K118" s="357"/>
      <c r="L118" s="357"/>
      <c r="M118" s="357"/>
      <c r="N118" s="357"/>
      <c r="O118" s="357"/>
      <c r="P118" s="357"/>
      <c r="Q118" s="357"/>
      <c r="R118" s="357"/>
      <c r="S118" s="357"/>
      <c r="T118" s="357"/>
      <c r="U118" s="862"/>
      <c r="V118" s="862"/>
      <c r="W118" s="1266"/>
      <c r="X118" s="1266"/>
      <c r="Y118" s="1250"/>
      <c r="Z118" s="1117"/>
      <c r="AA118" s="357"/>
      <c r="AB118" s="357"/>
      <c r="AC118" s="357"/>
      <c r="AD118" s="357"/>
      <c r="AE118" s="357"/>
    </row>
    <row r="119" spans="1:52" s="546" customFormat="1" ht="15.75" customHeight="1">
      <c r="A119" s="1247" t="s">
        <v>827</v>
      </c>
      <c r="B119" s="1247"/>
      <c r="C119" s="1253">
        <v>0</v>
      </c>
      <c r="D119" s="1252">
        <v>0</v>
      </c>
      <c r="E119" s="210" t="s">
        <v>1111</v>
      </c>
      <c r="F119" s="1117"/>
      <c r="G119" s="357"/>
      <c r="H119" s="357"/>
      <c r="I119" s="357"/>
      <c r="J119" s="357"/>
      <c r="K119" s="357"/>
      <c r="L119" s="357"/>
      <c r="M119" s="357"/>
      <c r="N119" s="357"/>
      <c r="O119" s="357"/>
      <c r="P119" s="357"/>
      <c r="Q119" s="357"/>
      <c r="R119" s="357"/>
      <c r="S119" s="357"/>
      <c r="T119" s="357"/>
      <c r="U119" s="862"/>
      <c r="V119" s="862"/>
      <c r="W119" s="1266"/>
      <c r="X119" s="1266"/>
      <c r="Y119" s="1250"/>
      <c r="Z119" s="1117"/>
      <c r="AA119" s="357"/>
      <c r="AB119" s="357"/>
      <c r="AC119" s="357"/>
      <c r="AD119" s="357"/>
      <c r="AE119" s="357"/>
    </row>
    <row r="120" spans="1:52" s="546" customFormat="1" ht="15.75" customHeight="1">
      <c r="B120" s="357"/>
      <c r="C120" s="357"/>
      <c r="E120" s="357"/>
      <c r="F120" s="357"/>
      <c r="G120" s="357"/>
      <c r="H120" s="357"/>
      <c r="I120" s="357"/>
      <c r="J120" s="357"/>
      <c r="K120" s="357"/>
      <c r="L120" s="357"/>
      <c r="M120" s="357"/>
      <c r="N120" s="357"/>
      <c r="O120" s="357"/>
      <c r="P120" s="357"/>
      <c r="Q120" s="357"/>
      <c r="R120" s="357"/>
      <c r="S120" s="357"/>
      <c r="T120" s="357"/>
      <c r="U120" s="862"/>
      <c r="V120" s="862"/>
      <c r="W120" s="1266"/>
      <c r="X120" s="1266"/>
      <c r="Y120" s="1250"/>
      <c r="Z120" s="1117"/>
      <c r="AA120" s="357"/>
      <c r="AB120" s="357"/>
      <c r="AC120" s="357"/>
      <c r="AD120" s="357"/>
      <c r="AE120" s="357"/>
    </row>
    <row r="121" spans="1:52" s="546" customFormat="1" ht="15.75" customHeight="1">
      <c r="B121" s="357"/>
      <c r="C121" s="357"/>
      <c r="E121" s="357"/>
      <c r="F121" s="357"/>
      <c r="G121" s="357"/>
      <c r="H121" s="357"/>
      <c r="I121" s="357"/>
      <c r="J121" s="357"/>
      <c r="K121" s="357"/>
      <c r="L121" s="357"/>
      <c r="M121" s="357"/>
      <c r="N121" s="357"/>
      <c r="O121" s="357"/>
      <c r="P121" s="357"/>
      <c r="Q121" s="357"/>
      <c r="R121" s="357"/>
      <c r="S121" s="357"/>
      <c r="T121" s="357"/>
      <c r="U121" s="201"/>
      <c r="V121" s="201"/>
      <c r="W121" s="1266"/>
      <c r="X121" s="1266"/>
      <c r="Y121" s="1250"/>
      <c r="Z121" s="1117"/>
      <c r="AA121" s="357"/>
      <c r="AB121" s="357"/>
      <c r="AC121" s="357"/>
      <c r="AD121" s="357"/>
      <c r="AE121" s="357"/>
    </row>
    <row r="122" spans="1:52" s="546" customFormat="1" ht="15.75" customHeight="1">
      <c r="B122" s="357"/>
      <c r="C122" s="357"/>
      <c r="E122" s="357"/>
      <c r="F122" s="357"/>
      <c r="G122" s="357"/>
      <c r="H122" s="357"/>
      <c r="I122" s="357"/>
      <c r="J122" s="357"/>
      <c r="K122" s="357"/>
      <c r="L122" s="357"/>
      <c r="M122" s="357"/>
      <c r="N122" s="357"/>
      <c r="O122" s="357"/>
      <c r="P122" s="357"/>
      <c r="Q122" s="357"/>
      <c r="R122" s="357"/>
      <c r="S122" s="357"/>
      <c r="T122" s="357"/>
      <c r="U122" s="114"/>
      <c r="V122" s="114"/>
      <c r="W122" s="1266"/>
      <c r="X122" s="1266"/>
      <c r="Y122" s="1250"/>
      <c r="Z122" s="1117"/>
      <c r="AA122" s="357"/>
      <c r="AB122" s="357"/>
      <c r="AC122" s="357"/>
      <c r="AD122" s="357"/>
      <c r="AE122" s="357"/>
    </row>
    <row r="123" spans="1:52" ht="15.75">
      <c r="C123" s="140" t="s">
        <v>183</v>
      </c>
      <c r="D123" s="141" t="s">
        <v>803</v>
      </c>
      <c r="U123" s="114"/>
      <c r="V123" s="114"/>
      <c r="W123" s="1266"/>
      <c r="X123" s="1266"/>
      <c r="Y123" s="1266"/>
      <c r="Z123" s="908"/>
    </row>
    <row r="124" spans="1:52" ht="15.75">
      <c r="C124" s="140" t="s">
        <v>179</v>
      </c>
      <c r="D124" s="1091">
        <v>90</v>
      </c>
      <c r="U124" s="114"/>
      <c r="V124" s="114"/>
      <c r="W124" s="1266"/>
      <c r="X124" s="1266"/>
      <c r="Y124" s="1250"/>
      <c r="Z124" s="1117"/>
    </row>
    <row r="125" spans="1:52" ht="15.75">
      <c r="C125" s="140" t="s">
        <v>804</v>
      </c>
      <c r="D125" s="1091">
        <v>70</v>
      </c>
      <c r="V125" s="201"/>
      <c r="W125" s="201"/>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682"/>
    </row>
    <row r="126" spans="1:52" ht="15.75">
      <c r="C126" s="140" t="s">
        <v>805</v>
      </c>
      <c r="D126" s="1091">
        <v>70</v>
      </c>
      <c r="V126" s="201"/>
      <c r="W126" s="201"/>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682"/>
    </row>
    <row r="127" spans="1:52" ht="15.75">
      <c r="C127" s="140" t="s">
        <v>809</v>
      </c>
      <c r="D127" s="1279">
        <v>70</v>
      </c>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row>
    <row r="128" spans="1:52" ht="15.75">
      <c r="C128" s="168" t="s">
        <v>810</v>
      </c>
      <c r="D128" s="1279">
        <v>60</v>
      </c>
      <c r="V128" s="1268"/>
      <c r="W128" s="1268"/>
      <c r="X128" s="1268"/>
      <c r="Y128" s="1268"/>
      <c r="Z128" s="140"/>
      <c r="AA128" s="140"/>
      <c r="AB128" s="140"/>
      <c r="AC128" s="140"/>
      <c r="AD128" s="140"/>
      <c r="AE128" s="140"/>
      <c r="AF128" s="140"/>
      <c r="AG128" s="140"/>
      <c r="AH128" s="140"/>
      <c r="AI128" s="140"/>
      <c r="AJ128" s="140"/>
      <c r="AK128" s="140"/>
      <c r="AL128" s="140"/>
      <c r="AM128" s="140"/>
      <c r="AN128" s="140"/>
      <c r="AO128" s="140"/>
      <c r="AP128" s="140"/>
      <c r="AQ128" s="140"/>
      <c r="AR128" s="140"/>
      <c r="AS128" s="140"/>
      <c r="AT128" s="140"/>
      <c r="AU128" s="140"/>
      <c r="AV128" s="140"/>
      <c r="AW128" s="140"/>
      <c r="AX128" s="140"/>
      <c r="AY128" s="140"/>
      <c r="AZ128" s="141"/>
    </row>
    <row r="129" spans="3:52" ht="15.75">
      <c r="C129" s="140" t="s">
        <v>48</v>
      </c>
      <c r="D129" s="1279">
        <v>60</v>
      </c>
      <c r="V129" s="1268"/>
      <c r="W129" s="1268"/>
      <c r="X129" s="1268"/>
      <c r="Y129" s="1268"/>
      <c r="Z129" s="140"/>
      <c r="AA129" s="140"/>
      <c r="AB129" s="140"/>
      <c r="AC129" s="140"/>
      <c r="AD129" s="140"/>
      <c r="AE129" s="140"/>
      <c r="AF129" s="140"/>
      <c r="AG129" s="140"/>
      <c r="AH129" s="140"/>
      <c r="AI129" s="140"/>
      <c r="AJ129" s="140"/>
      <c r="AK129" s="140"/>
      <c r="AL129" s="140"/>
      <c r="AM129" s="140"/>
      <c r="AN129" s="140"/>
      <c r="AO129" s="140"/>
      <c r="AP129" s="140"/>
      <c r="AQ129" s="140"/>
      <c r="AR129" s="140"/>
      <c r="AS129" s="140"/>
      <c r="AT129" s="140"/>
      <c r="AU129" s="140"/>
      <c r="AV129" s="140"/>
      <c r="AW129" s="140"/>
      <c r="AX129" s="140"/>
      <c r="AY129" s="140"/>
      <c r="AZ129" s="1091"/>
    </row>
    <row r="130" spans="3:52" ht="15.75">
      <c r="C130" s="140" t="s">
        <v>811</v>
      </c>
      <c r="D130" s="1091">
        <v>45</v>
      </c>
      <c r="V130" s="1268"/>
      <c r="W130" s="1268"/>
      <c r="X130" s="1268"/>
      <c r="Y130" s="1268"/>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0"/>
      <c r="AY130" s="140"/>
      <c r="AZ130" s="1091"/>
    </row>
    <row r="131" spans="3:52" ht="15.75">
      <c r="C131" s="168" t="s">
        <v>806</v>
      </c>
      <c r="D131" s="1279">
        <v>30</v>
      </c>
      <c r="V131" s="1268"/>
      <c r="W131" s="1268"/>
      <c r="X131" s="1268"/>
      <c r="Y131" s="1268"/>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091"/>
    </row>
    <row r="132" spans="3:52" ht="15.75">
      <c r="C132" s="140" t="s">
        <v>812</v>
      </c>
      <c r="D132" s="1279">
        <v>30</v>
      </c>
      <c r="V132" s="1251"/>
      <c r="W132" s="1251"/>
      <c r="X132" s="1251"/>
      <c r="Y132" s="1251"/>
      <c r="Z132" s="140"/>
      <c r="AA132" s="140"/>
      <c r="AB132" s="140"/>
      <c r="AC132" s="140"/>
      <c r="AD132" s="140"/>
      <c r="AE132" s="140"/>
      <c r="AF132" s="140"/>
      <c r="AG132" s="140"/>
      <c r="AH132" s="140"/>
      <c r="AI132" s="140"/>
      <c r="AJ132" s="140"/>
      <c r="AK132" s="140"/>
      <c r="AL132" s="140"/>
      <c r="AM132" s="140"/>
      <c r="AN132" s="140"/>
      <c r="AO132" s="140"/>
      <c r="AP132" s="140"/>
      <c r="AQ132" s="140"/>
      <c r="AR132" s="140"/>
      <c r="AS132" s="140"/>
      <c r="AT132" s="140"/>
      <c r="AU132" s="140"/>
      <c r="AV132" s="140"/>
      <c r="AW132" s="140"/>
      <c r="AX132" s="140"/>
      <c r="AY132" s="140"/>
      <c r="AZ132" s="1279"/>
    </row>
    <row r="133" spans="3:52" ht="15.75">
      <c r="C133" s="140" t="s">
        <v>187</v>
      </c>
      <c r="D133" s="1279">
        <v>30</v>
      </c>
      <c r="V133" s="201"/>
      <c r="W133" s="201"/>
      <c r="X133" s="1251"/>
      <c r="Y133" s="1266"/>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279"/>
    </row>
    <row r="134" spans="3:52" ht="15.75">
      <c r="C134" s="140" t="s">
        <v>813</v>
      </c>
      <c r="D134" s="1279">
        <v>30</v>
      </c>
      <c r="V134" s="201"/>
      <c r="W134" s="201"/>
      <c r="X134" s="1251"/>
      <c r="Y134" s="1266"/>
      <c r="Z134" s="140"/>
      <c r="AA134" s="140"/>
      <c r="AB134" s="140"/>
      <c r="AC134" s="140"/>
      <c r="AD134" s="140"/>
      <c r="AE134" s="140"/>
      <c r="AF134" s="140"/>
      <c r="AG134" s="140"/>
      <c r="AH134" s="140"/>
      <c r="AI134" s="140"/>
      <c r="AJ134" s="140"/>
      <c r="AK134" s="140"/>
      <c r="AL134" s="140"/>
      <c r="AM134" s="140"/>
      <c r="AN134" s="140"/>
      <c r="AO134" s="140"/>
      <c r="AP134" s="140"/>
      <c r="AQ134" s="140"/>
      <c r="AR134" s="140"/>
      <c r="AS134" s="140"/>
      <c r="AT134" s="140"/>
      <c r="AU134" s="140"/>
      <c r="AV134" s="140"/>
      <c r="AW134" s="140"/>
      <c r="AX134" s="140"/>
      <c r="AY134" s="140"/>
      <c r="AZ134" s="1279"/>
    </row>
    <row r="135" spans="3:52" ht="15.75">
      <c r="C135" s="140" t="s">
        <v>814</v>
      </c>
      <c r="D135" s="1279">
        <v>30</v>
      </c>
      <c r="V135" s="1251"/>
      <c r="W135" s="1251"/>
      <c r="X135" s="1251"/>
      <c r="Y135" s="1251"/>
      <c r="Z135" s="140"/>
      <c r="AA135" s="140"/>
      <c r="AB135" s="140"/>
      <c r="AC135" s="140"/>
      <c r="AD135" s="140"/>
      <c r="AE135" s="140"/>
      <c r="AF135" s="140"/>
      <c r="AG135" s="140"/>
      <c r="AH135" s="140"/>
      <c r="AI135" s="140"/>
      <c r="AJ135" s="140"/>
      <c r="AK135" s="140"/>
      <c r="AL135" s="140"/>
      <c r="AM135" s="140"/>
      <c r="AN135" s="140"/>
      <c r="AO135" s="140"/>
      <c r="AP135" s="140"/>
      <c r="AQ135" s="140"/>
      <c r="AR135" s="140"/>
      <c r="AS135" s="140"/>
      <c r="AT135" s="140"/>
      <c r="AU135" s="140"/>
      <c r="AV135" s="140"/>
      <c r="AW135" s="140"/>
      <c r="AX135" s="140"/>
      <c r="AY135" s="140"/>
      <c r="AZ135" s="1091"/>
    </row>
    <row r="136" spans="3:52" ht="15.75">
      <c r="C136" s="140" t="s">
        <v>815</v>
      </c>
      <c r="D136" s="1279">
        <v>30</v>
      </c>
      <c r="V136" s="1251"/>
      <c r="W136" s="1251"/>
      <c r="X136" s="1251"/>
      <c r="Y136" s="1251"/>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279"/>
    </row>
    <row r="137" spans="3:52" ht="15.75">
      <c r="C137" s="140" t="s">
        <v>180</v>
      </c>
      <c r="D137" s="1279">
        <v>25</v>
      </c>
      <c r="V137" s="1268"/>
      <c r="W137" s="1268"/>
      <c r="X137" s="1268"/>
      <c r="Y137" s="1268"/>
      <c r="Z137" s="140"/>
      <c r="AA137" s="140"/>
      <c r="AB137" s="140"/>
      <c r="AC137" s="140"/>
      <c r="AD137" s="140"/>
      <c r="AE137" s="140"/>
      <c r="AF137" s="140"/>
      <c r="AG137" s="140"/>
      <c r="AH137" s="140"/>
      <c r="AI137" s="140"/>
      <c r="AJ137" s="140"/>
      <c r="AK137" s="140"/>
      <c r="AL137" s="140"/>
      <c r="AM137" s="140"/>
      <c r="AN137" s="140"/>
      <c r="AO137" s="140"/>
      <c r="AP137" s="140"/>
      <c r="AQ137" s="140"/>
      <c r="AR137" s="140"/>
      <c r="AS137" s="140"/>
      <c r="AT137" s="140"/>
      <c r="AU137" s="140"/>
      <c r="AV137" s="140"/>
      <c r="AW137" s="140"/>
      <c r="AX137" s="140"/>
      <c r="AY137" s="140"/>
      <c r="AZ137" s="1279"/>
    </row>
    <row r="138" spans="3:52" ht="15.75">
      <c r="C138" s="140" t="s">
        <v>807</v>
      </c>
      <c r="D138" s="1279">
        <v>25</v>
      </c>
      <c r="V138" s="1268"/>
      <c r="W138" s="1268"/>
      <c r="X138" s="1268"/>
      <c r="Y138" s="1268"/>
      <c r="Z138" s="140"/>
      <c r="AA138" s="140"/>
      <c r="AB138" s="140"/>
      <c r="AC138" s="140"/>
      <c r="AD138" s="140"/>
      <c r="AE138" s="140"/>
      <c r="AF138" s="140"/>
      <c r="AG138" s="140"/>
      <c r="AH138" s="140"/>
      <c r="AI138" s="140"/>
      <c r="AJ138" s="140"/>
      <c r="AK138" s="140"/>
      <c r="AL138" s="140"/>
      <c r="AM138" s="140"/>
      <c r="AN138" s="140"/>
      <c r="AO138" s="140"/>
      <c r="AP138" s="140"/>
      <c r="AQ138" s="140"/>
      <c r="AR138" s="140"/>
      <c r="AS138" s="140"/>
      <c r="AT138" s="140"/>
      <c r="AU138" s="140"/>
      <c r="AV138" s="140"/>
      <c r="AW138" s="140"/>
      <c r="AX138" s="140"/>
      <c r="AY138" s="140"/>
      <c r="AZ138" s="1279"/>
    </row>
    <row r="139" spans="3:52" ht="15.75">
      <c r="C139" s="168" t="s">
        <v>808</v>
      </c>
      <c r="D139" s="1279">
        <v>25</v>
      </c>
      <c r="V139" s="1268"/>
      <c r="W139" s="1268"/>
      <c r="X139" s="1268"/>
      <c r="Y139" s="1268"/>
      <c r="Z139" s="140"/>
      <c r="AA139" s="140"/>
      <c r="AB139" s="140"/>
      <c r="AC139" s="140"/>
      <c r="AD139" s="140"/>
      <c r="AE139" s="140"/>
      <c r="AF139" s="140"/>
      <c r="AG139" s="140"/>
      <c r="AH139" s="140"/>
      <c r="AI139" s="140"/>
      <c r="AJ139" s="140"/>
      <c r="AK139" s="140"/>
      <c r="AL139" s="140"/>
      <c r="AM139" s="140"/>
      <c r="AN139" s="140"/>
      <c r="AO139" s="140"/>
      <c r="AP139" s="140"/>
      <c r="AQ139" s="140"/>
      <c r="AR139" s="140"/>
      <c r="AS139" s="140"/>
      <c r="AT139" s="140"/>
      <c r="AU139" s="140"/>
      <c r="AV139" s="140"/>
      <c r="AW139" s="140"/>
      <c r="AX139" s="140"/>
      <c r="AY139" s="140"/>
      <c r="AZ139" s="1279"/>
    </row>
    <row r="140" spans="3:52" ht="15.75">
      <c r="C140" s="168" t="s">
        <v>816</v>
      </c>
      <c r="D140" s="1279">
        <v>10</v>
      </c>
      <c r="V140" s="1268"/>
      <c r="W140" s="1268"/>
      <c r="X140" s="1268"/>
      <c r="Y140" s="1268"/>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279"/>
    </row>
    <row r="141" spans="3:52" ht="15.75">
      <c r="C141" s="168" t="s">
        <v>181</v>
      </c>
      <c r="D141" s="1279">
        <v>10</v>
      </c>
      <c r="V141" s="1268"/>
      <c r="W141" s="1268"/>
      <c r="X141" s="1268"/>
      <c r="Y141" s="1268"/>
      <c r="Z141" s="140"/>
      <c r="AA141" s="140"/>
      <c r="AB141" s="140"/>
      <c r="AC141" s="140"/>
      <c r="AD141" s="140"/>
      <c r="AE141" s="140"/>
      <c r="AF141" s="140"/>
      <c r="AG141" s="140"/>
      <c r="AH141" s="140"/>
      <c r="AI141" s="140"/>
      <c r="AJ141" s="140"/>
      <c r="AK141" s="140"/>
      <c r="AL141" s="140"/>
      <c r="AM141" s="140"/>
      <c r="AN141" s="140"/>
      <c r="AO141" s="140"/>
      <c r="AP141" s="140"/>
      <c r="AQ141" s="140"/>
      <c r="AR141" s="140"/>
      <c r="AS141" s="140"/>
      <c r="AT141" s="140"/>
      <c r="AU141" s="140"/>
      <c r="AV141" s="140"/>
      <c r="AW141" s="140"/>
      <c r="AX141" s="140"/>
      <c r="AY141" s="140"/>
      <c r="AZ141" s="1279"/>
    </row>
    <row r="142" spans="3:52" ht="15.75">
      <c r="C142" s="168" t="s">
        <v>188</v>
      </c>
      <c r="D142" s="1279">
        <v>5</v>
      </c>
      <c r="V142" s="1268"/>
      <c r="W142" s="1268"/>
      <c r="X142" s="1268"/>
      <c r="Y142" s="1268"/>
      <c r="Z142" s="140"/>
      <c r="AA142" s="140"/>
      <c r="AB142" s="140"/>
      <c r="AC142" s="140"/>
      <c r="AD142" s="140"/>
      <c r="AE142" s="140"/>
      <c r="AF142" s="140"/>
      <c r="AG142" s="140"/>
      <c r="AH142" s="140"/>
      <c r="AI142" s="140"/>
      <c r="AJ142" s="140"/>
      <c r="AK142" s="140"/>
      <c r="AL142" s="140"/>
      <c r="AM142" s="140"/>
      <c r="AN142" s="140"/>
      <c r="AO142" s="140"/>
      <c r="AP142" s="140"/>
      <c r="AQ142" s="140"/>
      <c r="AR142" s="140"/>
      <c r="AS142" s="140"/>
      <c r="AT142" s="140"/>
      <c r="AU142" s="140"/>
      <c r="AV142" s="140"/>
      <c r="AW142" s="140"/>
      <c r="AX142" s="140"/>
      <c r="AY142" s="140"/>
      <c r="AZ142" s="1279"/>
    </row>
    <row r="143" spans="3:52" ht="15.75">
      <c r="C143" s="168" t="s">
        <v>182</v>
      </c>
      <c r="D143" s="1279">
        <v>3</v>
      </c>
      <c r="V143" s="1268"/>
      <c r="W143" s="1268"/>
      <c r="X143" s="1268"/>
      <c r="Y143" s="1268"/>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279"/>
    </row>
    <row r="144" spans="3:52" ht="15.75">
      <c r="V144" s="1268"/>
      <c r="W144" s="1268"/>
      <c r="X144" s="1268"/>
      <c r="Y144" s="12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279"/>
    </row>
    <row r="145" spans="22:52" ht="15.75">
      <c r="V145" s="1268"/>
      <c r="W145" s="1268"/>
      <c r="X145" s="1268"/>
      <c r="Y145" s="12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279"/>
    </row>
    <row r="146" spans="22:52" ht="15.75">
      <c r="V146" s="1268"/>
      <c r="W146" s="1268"/>
      <c r="X146" s="1268"/>
      <c r="Y146" s="12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279"/>
    </row>
    <row r="147" spans="22:52" ht="15.75">
      <c r="V147" s="1268"/>
      <c r="W147" s="1268"/>
      <c r="X147" s="1268"/>
      <c r="Y147" s="12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279"/>
    </row>
    <row r="148" spans="22:52" ht="15.75">
      <c r="V148" s="1268"/>
      <c r="W148" s="1268"/>
      <c r="X148" s="1268"/>
      <c r="Y148" s="12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279"/>
    </row>
  </sheetData>
  <sheetProtection sheet="1" formatCells="0" formatColumns="0" formatRows="0" selectLockedCells="1"/>
  <mergeCells count="43">
    <mergeCell ref="U1:AN3"/>
    <mergeCell ref="AP3:AZ6"/>
    <mergeCell ref="C72:J72"/>
    <mergeCell ref="D82:E82"/>
    <mergeCell ref="E83:F83"/>
    <mergeCell ref="U8:Z8"/>
    <mergeCell ref="AB8:AG8"/>
    <mergeCell ref="AP7:AT8"/>
    <mergeCell ref="AV7:AZ8"/>
    <mergeCell ref="I8:I9"/>
    <mergeCell ref="AI8:AN8"/>
    <mergeCell ref="A1:B3"/>
    <mergeCell ref="S1:T3"/>
    <mergeCell ref="N1:O3"/>
    <mergeCell ref="A58:D58"/>
    <mergeCell ref="A59:D59"/>
    <mergeCell ref="F8:F9"/>
    <mergeCell ref="G8:G9"/>
    <mergeCell ref="H8:H9"/>
    <mergeCell ref="A4:Q4"/>
    <mergeCell ref="A5:Q5"/>
    <mergeCell ref="A6:Q6"/>
    <mergeCell ref="A7:Q7"/>
    <mergeCell ref="S5:AN6"/>
    <mergeCell ref="A8:A9"/>
    <mergeCell ref="B8:B9"/>
    <mergeCell ref="C8:C9"/>
    <mergeCell ref="A69:B69"/>
    <mergeCell ref="C69:J69"/>
    <mergeCell ref="A71:B71"/>
    <mergeCell ref="C71:J71"/>
    <mergeCell ref="S8:S9"/>
    <mergeCell ref="C10:C54"/>
    <mergeCell ref="O56:O57"/>
    <mergeCell ref="Q56:Q57"/>
    <mergeCell ref="J8:J9"/>
    <mergeCell ref="K8:K9"/>
    <mergeCell ref="L8:L9"/>
    <mergeCell ref="M8:M9"/>
    <mergeCell ref="N8:O8"/>
    <mergeCell ref="P8:Q8"/>
    <mergeCell ref="D8:D9"/>
    <mergeCell ref="E8:E9"/>
  </mergeCells>
  <dataValidations count="5">
    <dataValidation type="list" allowBlank="1" sqref="F10:F54">
      <formula1>(BD$11:BD$20)</formula1>
    </dataValidation>
    <dataValidation type="list" allowBlank="1" sqref="J10:J54">
      <formula1>BJ$11:BJ$22</formula1>
    </dataValidation>
    <dataValidation type="list" allowBlank="1" sqref="D10:D54">
      <formula1>"bis 14 t/ha,über 14 t/ha"</formula1>
    </dataValidation>
    <dataValidation type="list" allowBlank="1" sqref="K10:K54">
      <formula1>"jede,jede zweite"</formula1>
    </dataValidation>
    <dataValidation type="list" allowBlank="1" showInputMessage="1" showErrorMessage="1" sqref="H10:H54">
      <formula1>BG$11:BG$13</formula1>
    </dataValidation>
  </dataValidations>
  <pageMargins left="0.78740157480314965" right="0.23622047244094491" top="0.74803149606299213" bottom="0.74803149606299213" header="0.31496062992125984" footer="0.31496062992125984"/>
  <pageSetup paperSize="9" scale="49" fitToHeight="0" orientation="landscape" horizontalDpi="4294967293" vertic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AJ10:AJ56 AC10:AC56 V10:V56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N173"/>
  <sheetViews>
    <sheetView zoomScale="80" zoomScaleNormal="80" zoomScaleSheetLayoutView="40" workbookViewId="0">
      <selection activeCell="B8" sqref="B8"/>
    </sheetView>
  </sheetViews>
  <sheetFormatPr baseColWidth="10" defaultRowHeight="15"/>
  <cols>
    <col min="1" max="1" width="21.5703125" customWidth="1"/>
    <col min="2" max="2" width="10.42578125" customWidth="1"/>
    <col min="3" max="3" width="21.140625" customWidth="1"/>
    <col min="4" max="4" width="7.140625" customWidth="1"/>
    <col min="5" max="5" width="7.5703125" customWidth="1"/>
    <col min="6" max="6" width="12.28515625" customWidth="1"/>
    <col min="7" max="7" width="12" hidden="1" customWidth="1"/>
    <col min="8" max="8" width="10.28515625" hidden="1" customWidth="1"/>
    <col min="9" max="9" width="6.140625" hidden="1" customWidth="1"/>
    <col min="10" max="10" width="7.85546875" hidden="1" customWidth="1"/>
    <col min="11" max="11" width="9" hidden="1" customWidth="1"/>
    <col min="12" max="12" width="12.140625" hidden="1" customWidth="1"/>
    <col min="13" max="13" width="16.140625" customWidth="1"/>
    <col min="14" max="14" width="6.140625" customWidth="1"/>
    <col min="15" max="15" width="16.5703125" customWidth="1"/>
    <col min="16" max="16" width="5" customWidth="1"/>
    <col min="17" max="17" width="6.85546875" customWidth="1"/>
    <col min="18" max="18" width="7.140625" customWidth="1"/>
    <col min="19" max="19" width="10" customWidth="1"/>
    <col min="20" max="20" width="5.28515625" customWidth="1"/>
    <col min="23" max="23" width="7.42578125" customWidth="1"/>
    <col min="24" max="24" width="8" customWidth="1"/>
    <col min="25" max="25" width="8.5703125" customWidth="1"/>
    <col min="26" max="26" width="10.5703125" customWidth="1"/>
    <col min="27" max="27" width="9.42578125" customWidth="1"/>
    <col min="28" max="28" width="1.5703125" customWidth="1"/>
    <col min="30" max="30" width="15.85546875" customWidth="1"/>
    <col min="31" max="31" width="10" customWidth="1"/>
    <col min="32" max="32" width="13.85546875" customWidth="1"/>
    <col min="33" max="33" width="9.5703125" customWidth="1"/>
    <col min="34" max="34" width="7.42578125" customWidth="1"/>
    <col min="35" max="36" width="9.140625" customWidth="1"/>
    <col min="37" max="37" width="1.85546875" customWidth="1"/>
    <col min="39" max="39" width="13.7109375" customWidth="1"/>
    <col min="40" max="40" width="9.42578125" customWidth="1"/>
    <col min="41" max="41" width="9.140625" customWidth="1"/>
    <col min="42" max="42" width="9.5703125" customWidth="1"/>
    <col min="43" max="43" width="10" customWidth="1"/>
    <col min="44" max="44" width="1.7109375" customWidth="1"/>
    <col min="46" max="46" width="13.28515625" customWidth="1"/>
    <col min="47" max="47" width="9.7109375" customWidth="1"/>
    <col min="48" max="48" width="9.42578125" customWidth="1"/>
    <col min="49" max="49" width="8.85546875" customWidth="1"/>
    <col min="50" max="50" width="9.85546875" customWidth="1"/>
    <col min="51" max="51" width="1.85546875" customWidth="1"/>
    <col min="52" max="53" width="2.85546875" customWidth="1"/>
    <col min="54" max="54" width="2.42578125" customWidth="1"/>
    <col min="55" max="55" width="2" customWidth="1"/>
    <col min="56" max="56" width="2.28515625" customWidth="1"/>
    <col min="57" max="57" width="2.5703125" customWidth="1"/>
    <col min="58" max="59" width="2.140625" customWidth="1"/>
    <col min="60" max="60" width="2.7109375" customWidth="1"/>
    <col min="61" max="61" width="2.140625" customWidth="1"/>
    <col min="62" max="62" width="3" customWidth="1"/>
    <col min="63" max="63" width="2.140625" customWidth="1"/>
    <col min="64" max="64" width="3.140625" customWidth="1"/>
    <col min="65" max="65" width="2.140625" customWidth="1"/>
    <col min="71" max="71" width="1.85546875" customWidth="1"/>
    <col min="77" max="77" width="4" customWidth="1"/>
    <col min="78" max="78" width="6.28515625" customWidth="1"/>
    <col min="79" max="79" width="6.85546875" customWidth="1"/>
    <col min="80" max="80" width="5.7109375" customWidth="1"/>
    <col min="81" max="81" width="5.28515625" customWidth="1"/>
    <col min="82" max="82" width="50" style="33" customWidth="1"/>
    <col min="83" max="83" width="7.28515625" style="323" customWidth="1"/>
    <col min="84" max="84" width="18.42578125" style="323" customWidth="1"/>
    <col min="85" max="87" width="17.42578125" style="323" customWidth="1"/>
    <col min="88" max="88" width="17.42578125" style="33" customWidth="1"/>
    <col min="89" max="89" width="21.5703125" style="33" customWidth="1"/>
    <col min="90" max="90" width="22.28515625" style="33" customWidth="1"/>
    <col min="91" max="91" width="15.85546875" style="969" customWidth="1"/>
    <col min="92" max="92" width="12.85546875" style="969" customWidth="1"/>
  </cols>
  <sheetData>
    <row r="1" spans="1:92" ht="45.75" customHeight="1">
      <c r="A1" s="532"/>
      <c r="B1" s="2785" t="str">
        <f>'DüV-N-Ackerbau'!C1</f>
        <v>Karl vom Land</v>
      </c>
      <c r="C1" s="2785"/>
      <c r="D1" s="2785"/>
      <c r="E1" s="2353" t="str">
        <f>'DüV-N-Ackerbau'!F1</f>
        <v>Erntejahr</v>
      </c>
      <c r="F1" s="1342"/>
      <c r="G1" s="1875"/>
      <c r="H1" s="1875"/>
      <c r="I1" s="1875"/>
      <c r="J1" s="1875"/>
      <c r="K1" s="1875"/>
      <c r="L1" s="1875"/>
      <c r="M1" s="2584" t="s">
        <v>34</v>
      </c>
      <c r="N1" s="2585"/>
      <c r="O1" s="1740"/>
      <c r="P1" s="1740"/>
      <c r="Q1" s="1740"/>
      <c r="R1" s="1740"/>
      <c r="S1" s="1343"/>
      <c r="T1" s="1740"/>
      <c r="U1" s="1740"/>
      <c r="V1" s="1876"/>
      <c r="W1" s="1876"/>
      <c r="AB1" s="1736"/>
      <c r="AC1" s="1744"/>
      <c r="AD1" s="1744"/>
      <c r="AE1" s="1744"/>
      <c r="AF1" s="1744"/>
      <c r="AG1" s="1744"/>
      <c r="AH1" s="1744"/>
      <c r="AI1" s="1744"/>
      <c r="AJ1" s="1744"/>
      <c r="AK1" s="1744"/>
      <c r="AL1" s="1744"/>
      <c r="AM1" s="1744"/>
      <c r="AN1" s="1744"/>
      <c r="AO1" s="1744"/>
      <c r="AP1" s="1744"/>
      <c r="AQ1" s="1744"/>
      <c r="AR1" s="1744"/>
      <c r="AS1" s="1744"/>
      <c r="AT1" s="1744"/>
      <c r="AU1" s="1744"/>
      <c r="AV1" s="1744"/>
      <c r="AW1" s="1744"/>
      <c r="AX1" s="1744"/>
      <c r="AY1" s="1744"/>
      <c r="AZ1" s="1744"/>
      <c r="BA1" s="1744"/>
      <c r="BB1" s="1744"/>
      <c r="BC1" s="1744"/>
      <c r="BD1" s="1744"/>
      <c r="BE1" s="1744"/>
      <c r="BF1" s="1744"/>
      <c r="BG1" s="1744"/>
      <c r="BH1" s="1744"/>
      <c r="BI1" s="1744"/>
      <c r="BJ1" s="1744"/>
      <c r="BK1" s="1744"/>
      <c r="BL1" s="1744"/>
      <c r="BM1" s="1736"/>
      <c r="BN1" s="2541" t="s">
        <v>1154</v>
      </c>
      <c r="BO1" s="2542"/>
      <c r="BP1" s="2542"/>
      <c r="BQ1" s="2542"/>
      <c r="BR1" s="2542"/>
      <c r="BS1" s="2542"/>
      <c r="BT1" s="2542"/>
      <c r="BU1" s="2542"/>
      <c r="BV1" s="2542"/>
      <c r="BW1" s="2542"/>
      <c r="BX1" s="2543"/>
      <c r="BY1" s="1736"/>
      <c r="CD1" s="2149" t="s">
        <v>1404</v>
      </c>
      <c r="CE1" s="2825" t="s">
        <v>33</v>
      </c>
      <c r="CF1" s="2825" t="s">
        <v>1275</v>
      </c>
      <c r="CG1" s="2827" t="s">
        <v>1322</v>
      </c>
      <c r="CH1" s="2827" t="s">
        <v>1323</v>
      </c>
      <c r="CI1" s="2827" t="s">
        <v>1324</v>
      </c>
      <c r="CJ1" s="2829" t="s">
        <v>1325</v>
      </c>
      <c r="CK1" s="2826" t="s">
        <v>1333</v>
      </c>
      <c r="CL1" s="2830" t="s">
        <v>323</v>
      </c>
      <c r="CM1" s="2823" t="s">
        <v>1276</v>
      </c>
      <c r="CN1" s="604" t="s">
        <v>1276</v>
      </c>
    </row>
    <row r="2" spans="1:92" ht="27" customHeight="1">
      <c r="A2" s="535"/>
      <c r="B2" s="2786" t="str">
        <f>'DüV-N-Ackerbau'!C2</f>
        <v>Höfen 1</v>
      </c>
      <c r="C2" s="2786"/>
      <c r="D2" s="2786"/>
      <c r="E2" s="412">
        <f>'DüV-N-Ackerbau'!G1</f>
        <v>2022</v>
      </c>
      <c r="F2" s="1344"/>
      <c r="G2" s="1345"/>
      <c r="H2" s="1345"/>
      <c r="I2" s="1345"/>
      <c r="J2" s="1345"/>
      <c r="K2" s="1345"/>
      <c r="L2" s="1345"/>
      <c r="M2" s="2586" t="s">
        <v>36</v>
      </c>
      <c r="N2" s="2587"/>
      <c r="O2" s="1741"/>
      <c r="P2" s="1741"/>
      <c r="Q2" s="1741"/>
      <c r="R2" s="1741"/>
      <c r="S2" s="1346"/>
      <c r="T2" s="1741"/>
      <c r="U2" s="1741"/>
      <c r="V2" s="1876"/>
      <c r="W2" s="1876"/>
      <c r="AB2" s="1736"/>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36"/>
      <c r="BN2" s="2485"/>
      <c r="BO2" s="2526"/>
      <c r="BP2" s="2526"/>
      <c r="BQ2" s="2526"/>
      <c r="BR2" s="2526"/>
      <c r="BS2" s="2526"/>
      <c r="BT2" s="2526"/>
      <c r="BU2" s="2526"/>
      <c r="BV2" s="2526"/>
      <c r="BW2" s="2526"/>
      <c r="BX2" s="2486"/>
      <c r="BY2" s="1736"/>
      <c r="CE2" s="2825"/>
      <c r="CF2" s="2825"/>
      <c r="CG2" s="2828"/>
      <c r="CH2" s="2828"/>
      <c r="CI2" s="2828"/>
      <c r="CJ2" s="2826"/>
      <c r="CK2" s="2826"/>
      <c r="CL2" s="2830"/>
      <c r="CM2" s="2823"/>
    </row>
    <row r="3" spans="1:92" ht="31.5" customHeight="1">
      <c r="A3" s="535"/>
      <c r="B3" s="2786" t="str">
        <f>'DüV-N-Ackerbau'!C3</f>
        <v>12345 Auf dem Feld</v>
      </c>
      <c r="C3" s="2786"/>
      <c r="D3" s="2786"/>
      <c r="E3" s="1344"/>
      <c r="F3" s="1344"/>
      <c r="G3" s="1876"/>
      <c r="H3" s="1876"/>
      <c r="I3" s="1876"/>
      <c r="J3" s="1876"/>
      <c r="K3" s="1876"/>
      <c r="L3" s="1876"/>
      <c r="M3" s="1741"/>
      <c r="N3" s="1741"/>
      <c r="O3" s="1741"/>
      <c r="P3" s="1741"/>
      <c r="Q3" s="1749"/>
      <c r="R3" s="1742"/>
      <c r="S3" s="1742"/>
      <c r="T3" s="1742"/>
      <c r="U3" s="1742"/>
      <c r="V3" s="1877"/>
      <c r="W3" s="1877"/>
      <c r="AB3" s="1736"/>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38"/>
      <c r="BN3" s="2485"/>
      <c r="BO3" s="2526"/>
      <c r="BP3" s="2526"/>
      <c r="BQ3" s="2526"/>
      <c r="BR3" s="2526"/>
      <c r="BS3" s="2526"/>
      <c r="BT3" s="2526"/>
      <c r="BU3" s="2526"/>
      <c r="BV3" s="2526"/>
      <c r="BW3" s="2526"/>
      <c r="BX3" s="2486"/>
      <c r="BY3" s="1736"/>
      <c r="CE3" s="2825"/>
      <c r="CF3" s="2825"/>
      <c r="CG3" s="2828"/>
      <c r="CH3" s="2828"/>
      <c r="CI3" s="2828"/>
      <c r="CJ3" s="2826"/>
      <c r="CK3" s="2826"/>
      <c r="CL3" s="2831"/>
      <c r="CM3" s="2824"/>
    </row>
    <row r="4" spans="1:92" ht="34.5" customHeight="1">
      <c r="A4" s="2813" t="s">
        <v>1401</v>
      </c>
      <c r="B4" s="2814"/>
      <c r="C4" s="2814"/>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5"/>
      <c r="AB4" s="1736"/>
      <c r="AC4" s="2511" t="s">
        <v>1274</v>
      </c>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1736"/>
      <c r="BN4" s="2487"/>
      <c r="BO4" s="2544"/>
      <c r="BP4" s="2544"/>
      <c r="BQ4" s="2544"/>
      <c r="BR4" s="2544"/>
      <c r="BS4" s="2544"/>
      <c r="BT4" s="2544"/>
      <c r="BU4" s="2544"/>
      <c r="BV4" s="2544"/>
      <c r="BW4" s="2544"/>
      <c r="BX4" s="2488"/>
      <c r="BY4" s="1736"/>
      <c r="CD4" s="2150" t="s">
        <v>31</v>
      </c>
      <c r="CE4" s="2151">
        <v>0</v>
      </c>
      <c r="CF4" s="2151">
        <v>0</v>
      </c>
      <c r="CG4" s="2151">
        <v>0</v>
      </c>
      <c r="CH4" s="2151">
        <v>0</v>
      </c>
      <c r="CI4" s="2151">
        <v>0</v>
      </c>
      <c r="CJ4" s="2150">
        <v>0</v>
      </c>
      <c r="CK4" s="2150">
        <v>0</v>
      </c>
      <c r="CL4" s="1909">
        <v>0</v>
      </c>
      <c r="CM4" s="1909">
        <v>0</v>
      </c>
      <c r="CN4" s="969">
        <v>0</v>
      </c>
    </row>
    <row r="5" spans="1:92" ht="22.5" customHeight="1" thickBot="1">
      <c r="A5" s="2816" t="s">
        <v>1400</v>
      </c>
      <c r="B5" s="2817"/>
      <c r="C5" s="2817"/>
      <c r="D5" s="2817"/>
      <c r="E5" s="2817"/>
      <c r="F5" s="2817"/>
      <c r="G5" s="2817"/>
      <c r="H5" s="2817"/>
      <c r="I5" s="2817"/>
      <c r="J5" s="2817"/>
      <c r="K5" s="2817"/>
      <c r="L5" s="2817"/>
      <c r="M5" s="2817"/>
      <c r="N5" s="2817"/>
      <c r="O5" s="2817"/>
      <c r="P5" s="2817"/>
      <c r="Q5" s="2817"/>
      <c r="R5" s="2817"/>
      <c r="S5" s="2817"/>
      <c r="T5" s="2817"/>
      <c r="U5" s="2817"/>
      <c r="V5" s="2817"/>
      <c r="W5" s="2817"/>
      <c r="X5" s="2817"/>
      <c r="Y5" s="2817"/>
      <c r="Z5" s="2817"/>
      <c r="AA5" s="2818"/>
      <c r="AB5" s="1736"/>
      <c r="AC5" s="2516" t="s">
        <v>1018</v>
      </c>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1736"/>
      <c r="BN5" s="2518" t="s">
        <v>1065</v>
      </c>
      <c r="BO5" s="2519"/>
      <c r="BP5" s="2519"/>
      <c r="BQ5" s="2519"/>
      <c r="BR5" s="2520"/>
      <c r="BS5" s="1136"/>
      <c r="BT5" s="2505" t="s">
        <v>1076</v>
      </c>
      <c r="BU5" s="2506"/>
      <c r="BV5" s="2506"/>
      <c r="BW5" s="2506"/>
      <c r="BX5" s="2507"/>
      <c r="BY5" s="1137"/>
      <c r="CD5" s="2152" t="s">
        <v>1446</v>
      </c>
      <c r="CE5" s="33">
        <v>720</v>
      </c>
      <c r="CF5" s="33">
        <v>290</v>
      </c>
      <c r="CG5" s="33">
        <v>10</v>
      </c>
      <c r="CH5" s="2153">
        <v>29</v>
      </c>
      <c r="CI5" s="2153">
        <v>29</v>
      </c>
      <c r="CJ5" s="2152">
        <v>0</v>
      </c>
      <c r="CK5" s="2152">
        <v>0</v>
      </c>
      <c r="CL5" s="2154">
        <v>60</v>
      </c>
      <c r="CM5" s="2155">
        <v>0.11</v>
      </c>
      <c r="CN5" s="31"/>
    </row>
    <row r="6" spans="1:92" ht="44.25" customHeight="1">
      <c r="A6" s="2433" t="s">
        <v>1075</v>
      </c>
      <c r="B6" s="2821" t="s">
        <v>562</v>
      </c>
      <c r="C6" s="2789" t="s">
        <v>1403</v>
      </c>
      <c r="D6" s="2791" t="s">
        <v>295</v>
      </c>
      <c r="E6" s="2792"/>
      <c r="F6" s="2350" t="s">
        <v>296</v>
      </c>
      <c r="G6" s="2798" t="s">
        <v>1315</v>
      </c>
      <c r="H6" s="2798" t="s">
        <v>1316</v>
      </c>
      <c r="I6" s="2798" t="s">
        <v>1317</v>
      </c>
      <c r="J6" s="2798" t="s">
        <v>1318</v>
      </c>
      <c r="K6" s="2798" t="s">
        <v>1319</v>
      </c>
      <c r="L6" s="2798" t="s">
        <v>1320</v>
      </c>
      <c r="M6" s="2679" t="s">
        <v>1334</v>
      </c>
      <c r="N6" s="2793" t="s">
        <v>163</v>
      </c>
      <c r="O6" s="2686" t="s">
        <v>8</v>
      </c>
      <c r="P6" s="2793" t="s">
        <v>163</v>
      </c>
      <c r="Q6" s="2796" t="s">
        <v>534</v>
      </c>
      <c r="R6" s="2819" t="s">
        <v>223</v>
      </c>
      <c r="S6" s="2679" t="s">
        <v>256</v>
      </c>
      <c r="T6" s="2793" t="s">
        <v>163</v>
      </c>
      <c r="U6" s="2692" t="s">
        <v>1055</v>
      </c>
      <c r="V6" s="2811" t="s">
        <v>1326</v>
      </c>
      <c r="W6" s="2793" t="s">
        <v>163</v>
      </c>
      <c r="X6" s="2781" t="s">
        <v>1013</v>
      </c>
      <c r="Y6" s="2782"/>
      <c r="Z6" s="2783" t="s">
        <v>1132</v>
      </c>
      <c r="AA6" s="2784"/>
      <c r="AB6" s="1736"/>
      <c r="AC6" s="2501" t="s">
        <v>1134</v>
      </c>
      <c r="AD6" s="2515" t="s">
        <v>623</v>
      </c>
      <c r="AE6" s="2612" t="s">
        <v>1425</v>
      </c>
      <c r="AF6" s="2504"/>
      <c r="AG6" s="2504"/>
      <c r="AH6" s="2504"/>
      <c r="AI6" s="2504"/>
      <c r="AJ6" s="2504"/>
      <c r="AK6" s="525"/>
      <c r="AL6" s="2612" t="s">
        <v>1426</v>
      </c>
      <c r="AM6" s="2504"/>
      <c r="AN6" s="2504"/>
      <c r="AO6" s="2504"/>
      <c r="AP6" s="2504"/>
      <c r="AQ6" s="2504"/>
      <c r="AR6" s="2099"/>
      <c r="AS6" s="2612" t="s">
        <v>1427</v>
      </c>
      <c r="AT6" s="2504"/>
      <c r="AU6" s="2504"/>
      <c r="AV6" s="2504"/>
      <c r="AW6" s="2504"/>
      <c r="AX6" s="2504"/>
      <c r="AY6" s="897"/>
      <c r="AZ6" s="2612" t="s">
        <v>1428</v>
      </c>
      <c r="BA6" s="2504"/>
      <c r="BB6" s="2504"/>
      <c r="BC6" s="2504"/>
      <c r="BD6" s="2504"/>
      <c r="BE6" s="2504"/>
      <c r="BF6" s="897"/>
      <c r="BG6" s="2612" t="s">
        <v>1429</v>
      </c>
      <c r="BH6" s="2504"/>
      <c r="BI6" s="2504"/>
      <c r="BJ6" s="2504"/>
      <c r="BK6" s="2504"/>
      <c r="BL6" s="2504"/>
      <c r="BM6" s="1421"/>
      <c r="BN6" s="2521"/>
      <c r="BO6" s="2522"/>
      <c r="BP6" s="2522"/>
      <c r="BQ6" s="2522"/>
      <c r="BR6" s="2523"/>
      <c r="BS6" s="1136"/>
      <c r="BT6" s="2508"/>
      <c r="BU6" s="2509"/>
      <c r="BV6" s="2509"/>
      <c r="BW6" s="2509"/>
      <c r="BX6" s="2510"/>
      <c r="BY6" s="1137"/>
      <c r="CD6" s="2140" t="s">
        <v>1641</v>
      </c>
      <c r="CE6" s="33">
        <v>160</v>
      </c>
      <c r="CF6" s="33">
        <v>130</v>
      </c>
      <c r="CG6" s="33">
        <v>20</v>
      </c>
      <c r="CH6" s="2156">
        <v>20</v>
      </c>
      <c r="CI6" s="2156">
        <v>20</v>
      </c>
      <c r="CJ6" s="2156">
        <f>CI6*2/3</f>
        <v>13.333333333333334</v>
      </c>
      <c r="CK6" s="2156">
        <v>20</v>
      </c>
      <c r="CL6" s="2144">
        <v>60</v>
      </c>
      <c r="CM6" s="1914">
        <v>0.25</v>
      </c>
    </row>
    <row r="7" spans="1:92" ht="89.25" customHeight="1" thickBot="1">
      <c r="A7" s="2434"/>
      <c r="B7" s="2822"/>
      <c r="C7" s="2790"/>
      <c r="D7" s="561" t="s">
        <v>33</v>
      </c>
      <c r="E7" s="1953" t="s">
        <v>297</v>
      </c>
      <c r="F7" s="559" t="s">
        <v>597</v>
      </c>
      <c r="G7" s="2799"/>
      <c r="H7" s="2799"/>
      <c r="I7" s="2799"/>
      <c r="J7" s="2799"/>
      <c r="K7" s="2799"/>
      <c r="L7" s="2799"/>
      <c r="M7" s="2680"/>
      <c r="N7" s="2794"/>
      <c r="O7" s="2795"/>
      <c r="P7" s="2794"/>
      <c r="Q7" s="2797"/>
      <c r="R7" s="2820"/>
      <c r="S7" s="2680"/>
      <c r="T7" s="2794"/>
      <c r="U7" s="2513"/>
      <c r="V7" s="2812"/>
      <c r="W7" s="2794"/>
      <c r="X7" s="2175" t="s">
        <v>322</v>
      </c>
      <c r="Y7" s="641" t="s">
        <v>793</v>
      </c>
      <c r="Z7" s="644" t="s">
        <v>599</v>
      </c>
      <c r="AA7" s="641" t="s">
        <v>794</v>
      </c>
      <c r="AB7" s="1739"/>
      <c r="AC7" s="2502"/>
      <c r="AD7" s="2490"/>
      <c r="AE7" s="2078" t="s">
        <v>839</v>
      </c>
      <c r="AF7" s="2077" t="s">
        <v>819</v>
      </c>
      <c r="AG7" s="2084" t="s">
        <v>33</v>
      </c>
      <c r="AH7" s="2076" t="s">
        <v>1062</v>
      </c>
      <c r="AI7" s="2084" t="s">
        <v>1063</v>
      </c>
      <c r="AJ7" s="2076" t="s">
        <v>1064</v>
      </c>
      <c r="AK7" s="1421"/>
      <c r="AL7" s="2078" t="s">
        <v>839</v>
      </c>
      <c r="AM7" s="2077" t="s">
        <v>819</v>
      </c>
      <c r="AN7" s="2084" t="s">
        <v>33</v>
      </c>
      <c r="AO7" s="2076" t="s">
        <v>1062</v>
      </c>
      <c r="AP7" s="2084" t="s">
        <v>1063</v>
      </c>
      <c r="AQ7" s="2076" t="s">
        <v>1064</v>
      </c>
      <c r="AR7" s="279"/>
      <c r="AS7" s="2078" t="s">
        <v>839</v>
      </c>
      <c r="AT7" s="2077" t="s">
        <v>819</v>
      </c>
      <c r="AU7" s="2084" t="s">
        <v>33</v>
      </c>
      <c r="AV7" s="2076" t="s">
        <v>1062</v>
      </c>
      <c r="AW7" s="2084" t="s">
        <v>1063</v>
      </c>
      <c r="AX7" s="2076" t="s">
        <v>1064</v>
      </c>
      <c r="AY7" s="279"/>
      <c r="AZ7" s="2078" t="s">
        <v>839</v>
      </c>
      <c r="BA7" s="2077" t="s">
        <v>819</v>
      </c>
      <c r="BB7" s="2084" t="s">
        <v>33</v>
      </c>
      <c r="BC7" s="2076" t="s">
        <v>1062</v>
      </c>
      <c r="BD7" s="2084" t="s">
        <v>1063</v>
      </c>
      <c r="BE7" s="2076" t="s">
        <v>1064</v>
      </c>
      <c r="BF7" s="279"/>
      <c r="BG7" s="2078" t="s">
        <v>839</v>
      </c>
      <c r="BH7" s="2077" t="s">
        <v>819</v>
      </c>
      <c r="BI7" s="2084" t="s">
        <v>33</v>
      </c>
      <c r="BJ7" s="2076" t="s">
        <v>1062</v>
      </c>
      <c r="BK7" s="2084" t="s">
        <v>1063</v>
      </c>
      <c r="BL7" s="2076" t="s">
        <v>1064</v>
      </c>
      <c r="BM7" s="935"/>
      <c r="BN7" s="1134" t="s">
        <v>1080</v>
      </c>
      <c r="BO7" s="1737" t="s">
        <v>1066</v>
      </c>
      <c r="BP7" s="1737" t="s">
        <v>1067</v>
      </c>
      <c r="BQ7" s="906" t="s">
        <v>1241</v>
      </c>
      <c r="BR7" s="1737" t="s">
        <v>284</v>
      </c>
      <c r="BS7" s="1289"/>
      <c r="BT7" s="1806" t="s">
        <v>1080</v>
      </c>
      <c r="BU7" s="1168" t="s">
        <v>1307</v>
      </c>
      <c r="BV7" s="1168" t="s">
        <v>1308</v>
      </c>
      <c r="BW7" s="906" t="s">
        <v>1241</v>
      </c>
      <c r="BX7" s="1737" t="s">
        <v>284</v>
      </c>
      <c r="BY7" s="1289"/>
      <c r="CA7" s="1748" t="s">
        <v>225</v>
      </c>
      <c r="CB7" s="1748" t="s">
        <v>226</v>
      </c>
      <c r="CD7" s="2152" t="s">
        <v>1460</v>
      </c>
      <c r="CE7" s="33">
        <v>20</v>
      </c>
      <c r="CF7" s="33">
        <v>10</v>
      </c>
      <c r="CG7" s="33">
        <v>10</v>
      </c>
      <c r="CH7" s="2153">
        <v>1</v>
      </c>
      <c r="CI7" s="2153">
        <v>1</v>
      </c>
      <c r="CJ7" s="2152">
        <v>0</v>
      </c>
      <c r="CK7" s="2152">
        <v>0</v>
      </c>
      <c r="CL7" s="2152">
        <v>30</v>
      </c>
      <c r="CM7" s="2155">
        <v>0.75</v>
      </c>
    </row>
    <row r="8" spans="1:92" ht="27" customHeight="1">
      <c r="A8" s="1945" t="s">
        <v>829</v>
      </c>
      <c r="B8" s="2168">
        <v>0</v>
      </c>
      <c r="C8" s="2171" t="s">
        <v>31</v>
      </c>
      <c r="D8" s="1946">
        <f>VLOOKUP(C8,CD$4:CM$137,2,FALSE)</f>
        <v>0</v>
      </c>
      <c r="E8" s="1947">
        <f t="shared" ref="E8:E52" si="0">VLOOKUP(C8,CD$4:CN$158,3,FALSE)</f>
        <v>0</v>
      </c>
      <c r="F8" s="1948">
        <v>0</v>
      </c>
      <c r="G8" s="1949">
        <f>F8-D8</f>
        <v>0</v>
      </c>
      <c r="H8" s="1949">
        <f>IF(G8=0,0,G8*100/D8)</f>
        <v>0</v>
      </c>
      <c r="I8" s="1949">
        <f t="shared" ref="I8:I52" si="1">VLOOKUP(C8,CD$4:CN$158,4,FALSE)</f>
        <v>0</v>
      </c>
      <c r="J8" s="1949">
        <f t="shared" ref="J8:J52" si="2">VLOOKUP(C8,CD$4:CN$158,5,FALSE)</f>
        <v>0</v>
      </c>
      <c r="K8" s="1949">
        <f t="shared" ref="K8:K52" si="3">VLOOKUP(C8,CD$4:CO$158,6,FALSE)</f>
        <v>0</v>
      </c>
      <c r="L8" s="1943">
        <f>IF(D8=0,0,IF(H8&gt;0,ROUNDDOWN(H8/I8,0)*J8,IF(H8&lt;=0,ROUNDDOWN(H8/I8,0)*K8,IF(G8&gt;0,G8*J8/F8,K8*G8/0))))</f>
        <v>0</v>
      </c>
      <c r="M8" s="586" t="s">
        <v>503</v>
      </c>
      <c r="N8" s="1905">
        <f t="shared" ref="N8:N52" si="4">VLOOKUP(M8,$CD$142:$CE$152,2,FALSE)</f>
        <v>0</v>
      </c>
      <c r="O8" s="2174" t="s">
        <v>25</v>
      </c>
      <c r="P8" s="1905">
        <f t="shared" ref="P8:P52" si="5">VLOOKUP(O8,$CD$155:$CE$164,2,FALSE)</f>
        <v>0</v>
      </c>
      <c r="Q8" s="1906">
        <f t="shared" ref="Q8:Q52" si="6">VLOOKUP(C8,CD$4:CM$137,9,FALSE)</f>
        <v>0</v>
      </c>
      <c r="R8" s="1957">
        <v>0</v>
      </c>
      <c r="S8" s="1958" t="s">
        <v>160</v>
      </c>
      <c r="T8" s="1905">
        <f t="shared" ref="T8:T52" si="7">VLOOKUP(S8,$CD$167:$CE$168,2,FALSE)</f>
        <v>0</v>
      </c>
      <c r="U8" s="1960">
        <v>0</v>
      </c>
      <c r="V8" s="1954" t="s">
        <v>1314</v>
      </c>
      <c r="W8" s="1931">
        <f t="shared" ref="W8:W52" si="8">IF(V8="nein",0,VLOOKUP(V8,$CD$172:$CE$173,2,FALSE))</f>
        <v>0</v>
      </c>
      <c r="X8" s="1966">
        <f>IF(E8+L8-N8-P8-R8+W8-T8-U8&lt;0,0,E8+L8-N8-P8-R8+W8-T8-U8)</f>
        <v>0</v>
      </c>
      <c r="Y8" s="1933">
        <f>IF(X8&lt;0,0,X8*B8)</f>
        <v>0</v>
      </c>
      <c r="Z8" s="2097">
        <f t="shared" ref="Z8:Z52" si="9">F8*VLOOKUP(C8,CD$4:CN$158,10,FALSE)</f>
        <v>0</v>
      </c>
      <c r="AA8" s="1951">
        <f t="shared" ref="AA8:AA52" si="10">IF(Z8&lt;0,0,Z8*B8)</f>
        <v>0</v>
      </c>
      <c r="AB8" s="1736"/>
      <c r="AC8" s="1281" t="str">
        <f t="shared" ref="AC8:AC52" si="11">A8</f>
        <v>Bewirtsch.einh. 1</v>
      </c>
      <c r="AD8" s="1281" t="str">
        <f t="shared" ref="AD8:AD52" si="12">C8</f>
        <v>keine</v>
      </c>
      <c r="AE8" s="1329"/>
      <c r="AF8" s="1330" t="s">
        <v>795</v>
      </c>
      <c r="AG8" s="1424">
        <v>0</v>
      </c>
      <c r="AH8" s="1033">
        <f>VLOOKUP(AF8,Düngemittel!$B$6:$E$64,2,FALSE)*(VLOOKUP(AF8,Düngemittel!$B$6:$E$64,3,FALSE))/100*AG8</f>
        <v>0</v>
      </c>
      <c r="AI8" s="1033">
        <f>VLOOKUP(AF8,Düngemittel!$B$6:$E$64,2,FALSE)*AG8</f>
        <v>0</v>
      </c>
      <c r="AJ8" s="1033">
        <f>VLOOKUP(AF8,Düngemittel!$B$6:$E$64,4,FALSE)*AG8</f>
        <v>0</v>
      </c>
      <c r="AK8" s="92"/>
      <c r="AL8" s="1329"/>
      <c r="AM8" s="1330" t="s">
        <v>795</v>
      </c>
      <c r="AN8" s="1424">
        <v>0</v>
      </c>
      <c r="AO8" s="1033">
        <f>VLOOKUP(AM8,Düngemittel!$B$6:$E$64,2,FALSE)*(VLOOKUP(AM8,Düngemittel!$B$6:$E$64,3,FALSE))/100*AN8</f>
        <v>0</v>
      </c>
      <c r="AP8" s="1033">
        <f>VLOOKUP(AM8,Düngemittel!$B$6:$E$64,2,FALSE)*AN8</f>
        <v>0</v>
      </c>
      <c r="AQ8" s="1033">
        <f>VLOOKUP(AM8,Düngemittel!$B$6:$E$64,4,FALSE)*AN8</f>
        <v>0</v>
      </c>
      <c r="AR8" s="92"/>
      <c r="AS8" s="1329"/>
      <c r="AT8" s="1330" t="s">
        <v>795</v>
      </c>
      <c r="AU8" s="1424">
        <v>0</v>
      </c>
      <c r="AV8" s="1033">
        <f>VLOOKUP(AT8,Düngemittel!$B$6:$E$64,2,FALSE)*(VLOOKUP(AT8,Düngemittel!$B$6:$E$64,3,FALSE))/100*AU8</f>
        <v>0</v>
      </c>
      <c r="AW8" s="1033">
        <f>VLOOKUP(AT8,Düngemittel!$B$6:$E$64,2,FALSE)*AU8</f>
        <v>0</v>
      </c>
      <c r="AX8" s="1033">
        <f>VLOOKUP(AT8,Düngemittel!$B$6:$E$64,4,FALSE)*AU8</f>
        <v>0</v>
      </c>
      <c r="AY8" s="92"/>
      <c r="AZ8" s="1329"/>
      <c r="BA8" s="1330" t="s">
        <v>795</v>
      </c>
      <c r="BB8" s="1424">
        <v>0</v>
      </c>
      <c r="BC8" s="1033">
        <f>VLOOKUP(BA8,Düngemittel!$B$6:$E$64,2,FALSE)*(VLOOKUP(BA8,Düngemittel!$B$6:$E$64,3,FALSE))/100*BB8</f>
        <v>0</v>
      </c>
      <c r="BD8" s="1033">
        <f>VLOOKUP(BA8,Düngemittel!$B$6:$E$64,2,FALSE)*BB8</f>
        <v>0</v>
      </c>
      <c r="BE8" s="1033">
        <f>VLOOKUP(BA8,Düngemittel!$B$6:$E$64,4,FALSE)*BB8</f>
        <v>0</v>
      </c>
      <c r="BF8" s="92"/>
      <c r="BG8" s="1329"/>
      <c r="BH8" s="1330" t="s">
        <v>795</v>
      </c>
      <c r="BI8" s="1424">
        <v>0</v>
      </c>
      <c r="BJ8" s="1033">
        <f>VLOOKUP(BH8,Düngemittel!$B$6:$E$64,2,FALSE)*(VLOOKUP(BH8,Düngemittel!$B$6:$E$64,3,FALSE))/100*BI8</f>
        <v>0</v>
      </c>
      <c r="BK8" s="1033">
        <f>VLOOKUP(BH8,Düngemittel!$B$6:$E$64,2,FALSE)*BI8</f>
        <v>0</v>
      </c>
      <c r="BL8" s="1033">
        <f>VLOOKUP(BH8,Düngemittel!$B$6:$E$64,4,FALSE)*BI8</f>
        <v>0</v>
      </c>
      <c r="BM8" s="1736"/>
      <c r="BN8" s="1282">
        <f>IF(AH8&lt;AI8,0,AH8)+IF(AO8&lt;AP8,0,AO8)+IF(AV8&lt;AW8,0,AV8)+IF(BC8&lt;BD8,0,BC8)+IF(BJ8&lt;BK8,0,BJ8)</f>
        <v>0</v>
      </c>
      <c r="BO8" s="1745">
        <f>(AH8+AO8+AV8+BC8+BJ8)</f>
        <v>0</v>
      </c>
      <c r="BP8" s="1282">
        <f>(AI8+AP8+AW8+BD8+BK8)</f>
        <v>0</v>
      </c>
      <c r="BQ8" s="1138">
        <f>IF(AH8&lt;AI8,AI8,0)+IF(AO8&lt;AP8,AP8,0)+IF(AV8&lt;AW8,AW8,0)+IF(BC8&lt;BD8,BD8,0)+IF(BJ8&lt;BK8,BK8,0)</f>
        <v>0</v>
      </c>
      <c r="BR8" s="1745">
        <f>(AJ8+AQ8+AX8+BE8+BL8)</f>
        <v>0</v>
      </c>
      <c r="BS8" s="95"/>
      <c r="BT8" s="1135">
        <f>BN8*$B8</f>
        <v>0</v>
      </c>
      <c r="BU8" s="1135">
        <f t="shared" ref="BU8:BX23" si="13">BO8*$B8</f>
        <v>0</v>
      </c>
      <c r="BV8" s="1135">
        <f t="shared" si="13"/>
        <v>0</v>
      </c>
      <c r="BW8" s="1807">
        <f t="shared" si="13"/>
        <v>0</v>
      </c>
      <c r="BX8" s="1135">
        <f t="shared" si="13"/>
        <v>0</v>
      </c>
      <c r="BY8" s="1736"/>
      <c r="CA8">
        <v>2</v>
      </c>
      <c r="CB8">
        <v>3</v>
      </c>
      <c r="CD8" s="2152" t="s">
        <v>1463</v>
      </c>
      <c r="CE8" s="33">
        <v>150</v>
      </c>
      <c r="CF8" s="33">
        <v>120</v>
      </c>
      <c r="CG8" s="33">
        <v>10</v>
      </c>
      <c r="CH8" s="2153">
        <v>12</v>
      </c>
      <c r="CI8" s="2153">
        <v>12</v>
      </c>
      <c r="CJ8" s="2152">
        <v>0</v>
      </c>
      <c r="CK8" s="2152">
        <v>0</v>
      </c>
      <c r="CL8" s="2152">
        <v>30</v>
      </c>
      <c r="CM8" s="2157">
        <v>0.08</v>
      </c>
    </row>
    <row r="9" spans="1:92" ht="27" customHeight="1">
      <c r="A9" s="1750" t="s">
        <v>568</v>
      </c>
      <c r="B9" s="2169">
        <v>0</v>
      </c>
      <c r="C9" s="2172" t="s">
        <v>31</v>
      </c>
      <c r="D9" s="1751">
        <f t="shared" ref="D9:D52" si="14">VLOOKUP(C9,CD$4:CN$158,2,FALSE)</f>
        <v>0</v>
      </c>
      <c r="E9" s="1940">
        <f t="shared" si="0"/>
        <v>0</v>
      </c>
      <c r="F9" s="1941">
        <v>0</v>
      </c>
      <c r="G9" s="1928">
        <f t="shared" ref="G9:G52" si="15">F9-D9</f>
        <v>0</v>
      </c>
      <c r="H9" s="1928">
        <f t="shared" ref="H9:H52" si="16">IF(G9=0,0,G9*100/D9)</f>
        <v>0</v>
      </c>
      <c r="I9" s="1949">
        <f t="shared" si="1"/>
        <v>0</v>
      </c>
      <c r="J9" s="1949">
        <f t="shared" si="2"/>
        <v>0</v>
      </c>
      <c r="K9" s="1949">
        <f t="shared" si="3"/>
        <v>0</v>
      </c>
      <c r="L9" s="1943">
        <f t="shared" ref="L9:L52" si="17">IF(D9=0,0,IF(H9&gt;0,ROUNDDOWN(H9/I9,0)*J9,IF(H9&lt;=0,ROUNDDOWN(H9/I9,0)*K9,IF(G9&gt;0,G9*J9/F9,K9*G9/0))))</f>
        <v>0</v>
      </c>
      <c r="M9" s="587" t="s">
        <v>503</v>
      </c>
      <c r="N9" s="1905">
        <f t="shared" si="4"/>
        <v>0</v>
      </c>
      <c r="O9" s="761" t="s">
        <v>25</v>
      </c>
      <c r="P9" s="1905">
        <f t="shared" si="5"/>
        <v>0</v>
      </c>
      <c r="Q9" s="1906">
        <f t="shared" si="6"/>
        <v>0</v>
      </c>
      <c r="R9" s="1957">
        <v>0</v>
      </c>
      <c r="S9" s="1907" t="s">
        <v>160</v>
      </c>
      <c r="T9" s="1752">
        <f t="shared" si="7"/>
        <v>0</v>
      </c>
      <c r="U9" s="1961">
        <v>0</v>
      </c>
      <c r="V9" s="1893" t="s">
        <v>1314</v>
      </c>
      <c r="W9" s="1963">
        <f t="shared" si="8"/>
        <v>0</v>
      </c>
      <c r="X9" s="1966">
        <f t="shared" ref="X9:X52" si="18">IF(E9+L9-N9-P9-R9+W9-T9-U9&lt;0,0,E9+L9-N9-P9-R9+W9-T9-U9)</f>
        <v>0</v>
      </c>
      <c r="Y9" s="1933">
        <f t="shared" ref="Y9:Y52" si="19">IF(X9&lt;0,0,X9*B9)</f>
        <v>0</v>
      </c>
      <c r="Z9" s="2098">
        <f t="shared" si="9"/>
        <v>0</v>
      </c>
      <c r="AA9" s="1933">
        <f t="shared" si="10"/>
        <v>0</v>
      </c>
      <c r="AB9" s="1736"/>
      <c r="AC9" s="1281" t="str">
        <f t="shared" si="11"/>
        <v>Fläche 2</v>
      </c>
      <c r="AD9" s="1281" t="str">
        <f t="shared" si="12"/>
        <v>keine</v>
      </c>
      <c r="AE9" s="1329"/>
      <c r="AF9" s="1330" t="s">
        <v>795</v>
      </c>
      <c r="AG9" s="1424">
        <v>0</v>
      </c>
      <c r="AH9" s="1033">
        <f>VLOOKUP(AF9,Düngemittel!$B$6:$E$64,2,FALSE)*(VLOOKUP(AF9,Düngemittel!$B$6:$E$64,3,FALSE))/100*AG9</f>
        <v>0</v>
      </c>
      <c r="AI9" s="1033">
        <f>VLOOKUP(AF9,Düngemittel!$B$6:$E$64,2,FALSE)*AG9</f>
        <v>0</v>
      </c>
      <c r="AJ9" s="1033">
        <f>VLOOKUP(AF9,Düngemittel!$B$6:$E$64,4,FALSE)*AG9</f>
        <v>0</v>
      </c>
      <c r="AK9" s="2081"/>
      <c r="AL9" s="1329"/>
      <c r="AM9" s="1330" t="s">
        <v>830</v>
      </c>
      <c r="AN9" s="1424">
        <v>0</v>
      </c>
      <c r="AO9" s="1033">
        <f>VLOOKUP(AM9,Düngemittel!$B$6:$E$64,2,FALSE)*(VLOOKUP(AM9,Düngemittel!$B$6:$E$64,3,FALSE))/100*AN9</f>
        <v>0</v>
      </c>
      <c r="AP9" s="1033">
        <f>VLOOKUP(AM9,Düngemittel!$B$6:$E$64,2,FALSE)*AN9</f>
        <v>0</v>
      </c>
      <c r="AQ9" s="1033">
        <f>VLOOKUP(AM9,Düngemittel!$B$6:$E$64,4,FALSE)*AN9</f>
        <v>0</v>
      </c>
      <c r="AR9" s="2081"/>
      <c r="AS9" s="1329"/>
      <c r="AT9" s="1330" t="s">
        <v>795</v>
      </c>
      <c r="AU9" s="1424">
        <v>0</v>
      </c>
      <c r="AV9" s="1033">
        <f>VLOOKUP(AT9,Düngemittel!$B$6:$E$64,2,FALSE)*(VLOOKUP(AT9,Düngemittel!$B$6:$E$64,3,FALSE))/100*AU9</f>
        <v>0</v>
      </c>
      <c r="AW9" s="1033">
        <f>VLOOKUP(AT9,Düngemittel!$B$6:$E$64,2,FALSE)*AU9</f>
        <v>0</v>
      </c>
      <c r="AX9" s="1033">
        <f>VLOOKUP(AT9,Düngemittel!$B$6:$E$64,4,FALSE)*AU9</f>
        <v>0</v>
      </c>
      <c r="AY9" s="2081"/>
      <c r="AZ9" s="1329"/>
      <c r="BA9" s="1330" t="s">
        <v>795</v>
      </c>
      <c r="BB9" s="1424">
        <v>0</v>
      </c>
      <c r="BC9" s="1033">
        <f>VLOOKUP(BA9,Düngemittel!$B$6:$E$64,2,FALSE)*(VLOOKUP(BA9,Düngemittel!$B$6:$E$64,3,FALSE))/100*BB9</f>
        <v>0</v>
      </c>
      <c r="BD9" s="1033">
        <f>VLOOKUP(BA9,Düngemittel!$B$6:$E$64,2,FALSE)*BB9</f>
        <v>0</v>
      </c>
      <c r="BE9" s="1033">
        <f>VLOOKUP(BA9,Düngemittel!$B$6:$E$64,4,FALSE)*BB9</f>
        <v>0</v>
      </c>
      <c r="BF9" s="2081"/>
      <c r="BG9" s="1329"/>
      <c r="BH9" s="1330" t="s">
        <v>795</v>
      </c>
      <c r="BI9" s="1424">
        <v>0</v>
      </c>
      <c r="BJ9" s="1033">
        <f>VLOOKUP(BH9,Düngemittel!$B$6:$E$64,2,FALSE)*(VLOOKUP(BH9,Düngemittel!$B$6:$E$64,3,FALSE))/100*BI9</f>
        <v>0</v>
      </c>
      <c r="BK9" s="1033">
        <f>VLOOKUP(BH9,Düngemittel!$B$6:$E$64,2,FALSE)*BI9</f>
        <v>0</v>
      </c>
      <c r="BL9" s="1033">
        <f>VLOOKUP(BH9,Düngemittel!$B$6:$E$64,4,FALSE)*BI9</f>
        <v>0</v>
      </c>
      <c r="BM9" s="1736"/>
      <c r="BN9" s="1282">
        <f t="shared" ref="BN9:BN52" si="20">IF(AH9&lt;AI9,0,AH9)+IF(AO9&lt;AP9,0,AO9)+IF(AV9&lt;AW9,0,AV9)+IF(BC9&lt;BD9,0,BC9)+IF(BJ9&lt;BK9,0,BJ9)</f>
        <v>0</v>
      </c>
      <c r="BO9" s="1745">
        <f t="shared" ref="BO9:BP52" si="21">(AH9+AO9+AV9+BC9+BJ9)</f>
        <v>0</v>
      </c>
      <c r="BP9" s="1282">
        <f t="shared" si="21"/>
        <v>0</v>
      </c>
      <c r="BQ9" s="1138">
        <f t="shared" ref="BQ9:BQ52" si="22">IF(AH9&lt;AI9,AI9,0)+IF(AO9&lt;AP9,AP9,0)+IF(AV9&lt;AW9,AW9,0)+IF(BC9&lt;BD9,BD9,0)+IF(BJ9&lt;BK9,BK9,0)</f>
        <v>0</v>
      </c>
      <c r="BR9" s="1745">
        <f t="shared" ref="BR9:BR52" si="23">(AJ9+AQ9+AX9+BE9+BL9)</f>
        <v>0</v>
      </c>
      <c r="BS9" s="95"/>
      <c r="BT9" s="1135">
        <f t="shared" ref="BT9:BX52" si="24">BN9*$B9</f>
        <v>0</v>
      </c>
      <c r="BU9" s="1135">
        <f t="shared" si="13"/>
        <v>0</v>
      </c>
      <c r="BV9" s="1135">
        <f t="shared" si="13"/>
        <v>0</v>
      </c>
      <c r="BW9" s="1807">
        <f t="shared" si="13"/>
        <v>0</v>
      </c>
      <c r="BX9" s="1135">
        <f t="shared" si="13"/>
        <v>0</v>
      </c>
      <c r="BY9" s="1736"/>
      <c r="CA9">
        <v>1</v>
      </c>
      <c r="CB9">
        <v>1.5</v>
      </c>
      <c r="CD9" s="2141" t="s">
        <v>1342</v>
      </c>
      <c r="CE9" s="33">
        <v>350</v>
      </c>
      <c r="CF9" s="33">
        <v>300</v>
      </c>
      <c r="CG9" s="33">
        <v>20</v>
      </c>
      <c r="CH9" s="323">
        <v>20</v>
      </c>
      <c r="CI9" s="323">
        <v>20</v>
      </c>
      <c r="CJ9" s="323">
        <f>CI9*2/3</f>
        <v>13.333333333333334</v>
      </c>
      <c r="CK9" s="323">
        <v>80</v>
      </c>
      <c r="CL9" s="323">
        <v>60</v>
      </c>
      <c r="CM9" s="1001">
        <v>0.10299999999999999</v>
      </c>
    </row>
    <row r="10" spans="1:92" ht="27" customHeight="1">
      <c r="A10" s="1750" t="s">
        <v>569</v>
      </c>
      <c r="B10" s="2169">
        <v>0</v>
      </c>
      <c r="C10" s="2172" t="s">
        <v>31</v>
      </c>
      <c r="D10" s="1751">
        <f t="shared" si="14"/>
        <v>0</v>
      </c>
      <c r="E10" s="1940">
        <f t="shared" si="0"/>
        <v>0</v>
      </c>
      <c r="F10" s="1941">
        <v>0</v>
      </c>
      <c r="G10" s="1928">
        <f t="shared" si="15"/>
        <v>0</v>
      </c>
      <c r="H10" s="1928">
        <f t="shared" si="16"/>
        <v>0</v>
      </c>
      <c r="I10" s="1949">
        <f t="shared" si="1"/>
        <v>0</v>
      </c>
      <c r="J10" s="1949">
        <f t="shared" si="2"/>
        <v>0</v>
      </c>
      <c r="K10" s="1949">
        <f t="shared" si="3"/>
        <v>0</v>
      </c>
      <c r="L10" s="1943">
        <f t="shared" si="17"/>
        <v>0</v>
      </c>
      <c r="M10" s="587" t="s">
        <v>503</v>
      </c>
      <c r="N10" s="1905">
        <f t="shared" si="4"/>
        <v>0</v>
      </c>
      <c r="O10" s="761" t="s">
        <v>25</v>
      </c>
      <c r="P10" s="1905">
        <f t="shared" si="5"/>
        <v>0</v>
      </c>
      <c r="Q10" s="1906">
        <f t="shared" si="6"/>
        <v>0</v>
      </c>
      <c r="R10" s="1957">
        <v>0</v>
      </c>
      <c r="S10" s="1907" t="s">
        <v>160</v>
      </c>
      <c r="T10" s="1752">
        <f t="shared" si="7"/>
        <v>0</v>
      </c>
      <c r="U10" s="1961">
        <v>0</v>
      </c>
      <c r="V10" s="1893" t="s">
        <v>1314</v>
      </c>
      <c r="W10" s="1963">
        <f t="shared" si="8"/>
        <v>0</v>
      </c>
      <c r="X10" s="1966">
        <f t="shared" si="18"/>
        <v>0</v>
      </c>
      <c r="Y10" s="1933">
        <f t="shared" si="19"/>
        <v>0</v>
      </c>
      <c r="Z10" s="2098">
        <f t="shared" si="9"/>
        <v>0</v>
      </c>
      <c r="AA10" s="1933">
        <f t="shared" si="10"/>
        <v>0</v>
      </c>
      <c r="AB10" s="1736"/>
      <c r="AC10" s="1281" t="str">
        <f t="shared" si="11"/>
        <v>Acker 3</v>
      </c>
      <c r="AD10" s="1281" t="str">
        <f t="shared" si="12"/>
        <v>keine</v>
      </c>
      <c r="AE10" s="1329"/>
      <c r="AF10" s="1330" t="s">
        <v>795</v>
      </c>
      <c r="AG10" s="1424">
        <v>0</v>
      </c>
      <c r="AH10" s="1033">
        <f>VLOOKUP(AF10,Düngemittel!$B$6:$E$64,2,FALSE)*(VLOOKUP(AF10,Düngemittel!$B$6:$E$64,3,FALSE))/100*AG10</f>
        <v>0</v>
      </c>
      <c r="AI10" s="1033">
        <f>VLOOKUP(AF10,Düngemittel!$B$6:$E$64,2,FALSE)*AG10</f>
        <v>0</v>
      </c>
      <c r="AJ10" s="1033">
        <f>VLOOKUP(AF10,Düngemittel!$B$6:$E$64,4,FALSE)*AG10</f>
        <v>0</v>
      </c>
      <c r="AK10" s="2081"/>
      <c r="AL10" s="1329"/>
      <c r="AM10" s="1330" t="s">
        <v>795</v>
      </c>
      <c r="AN10" s="1424">
        <v>0</v>
      </c>
      <c r="AO10" s="1033">
        <f>VLOOKUP(AM10,Düngemittel!$B$6:$E$64,2,FALSE)*(VLOOKUP(AM10,Düngemittel!$B$6:$E$64,3,FALSE))/100*AN10</f>
        <v>0</v>
      </c>
      <c r="AP10" s="1033">
        <f>VLOOKUP(AM10,Düngemittel!$B$6:$E$64,2,FALSE)*AN10</f>
        <v>0</v>
      </c>
      <c r="AQ10" s="1033">
        <f>VLOOKUP(AM10,Düngemittel!$B$6:$E$64,4,FALSE)*AN10</f>
        <v>0</v>
      </c>
      <c r="AR10" s="2081"/>
      <c r="AS10" s="1329"/>
      <c r="AT10" s="1330" t="s">
        <v>795</v>
      </c>
      <c r="AU10" s="1424">
        <v>0</v>
      </c>
      <c r="AV10" s="1033">
        <f>VLOOKUP(AT10,Düngemittel!$B$6:$E$64,2,FALSE)*(VLOOKUP(AT10,Düngemittel!$B$6:$E$64,3,FALSE))/100*AU10</f>
        <v>0</v>
      </c>
      <c r="AW10" s="1033">
        <f>VLOOKUP(AT10,Düngemittel!$B$6:$E$64,2,FALSE)*AU10</f>
        <v>0</v>
      </c>
      <c r="AX10" s="1033">
        <f>VLOOKUP(AT10,Düngemittel!$B$6:$E$64,4,FALSE)*AU10</f>
        <v>0</v>
      </c>
      <c r="AY10" s="2081"/>
      <c r="AZ10" s="1329"/>
      <c r="BA10" s="1330" t="s">
        <v>795</v>
      </c>
      <c r="BB10" s="1424">
        <v>0</v>
      </c>
      <c r="BC10" s="1033">
        <f>VLOOKUP(BA10,Düngemittel!$B$6:$E$64,2,FALSE)*(VLOOKUP(BA10,Düngemittel!$B$6:$E$64,3,FALSE))/100*BB10</f>
        <v>0</v>
      </c>
      <c r="BD10" s="1033">
        <f>VLOOKUP(BA10,Düngemittel!$B$6:$E$64,2,FALSE)*BB10</f>
        <v>0</v>
      </c>
      <c r="BE10" s="1033">
        <f>VLOOKUP(BA10,Düngemittel!$B$6:$E$64,4,FALSE)*BB10</f>
        <v>0</v>
      </c>
      <c r="BF10" s="2081"/>
      <c r="BG10" s="1329"/>
      <c r="BH10" s="1330" t="s">
        <v>795</v>
      </c>
      <c r="BI10" s="1424">
        <v>0</v>
      </c>
      <c r="BJ10" s="1033">
        <f>VLOOKUP(BH10,Düngemittel!$B$6:$E$64,2,FALSE)*(VLOOKUP(BH10,Düngemittel!$B$6:$E$64,3,FALSE))/100*BI10</f>
        <v>0</v>
      </c>
      <c r="BK10" s="1033">
        <f>VLOOKUP(BH10,Düngemittel!$B$6:$E$64,2,FALSE)*BI10</f>
        <v>0</v>
      </c>
      <c r="BL10" s="1033">
        <f>VLOOKUP(BH10,Düngemittel!$B$6:$E$64,4,FALSE)*BI10</f>
        <v>0</v>
      </c>
      <c r="BM10" s="1736"/>
      <c r="BN10" s="1282">
        <f t="shared" si="20"/>
        <v>0</v>
      </c>
      <c r="BO10" s="1745">
        <f t="shared" si="21"/>
        <v>0</v>
      </c>
      <c r="BP10" s="1282">
        <f t="shared" si="21"/>
        <v>0</v>
      </c>
      <c r="BQ10" s="1138">
        <f t="shared" si="22"/>
        <v>0</v>
      </c>
      <c r="BR10" s="1745">
        <f t="shared" si="23"/>
        <v>0</v>
      </c>
      <c r="BS10" s="95"/>
      <c r="BT10" s="1135">
        <f t="shared" si="24"/>
        <v>0</v>
      </c>
      <c r="BU10" s="1135">
        <f t="shared" si="13"/>
        <v>0</v>
      </c>
      <c r="BV10" s="1135">
        <f t="shared" si="13"/>
        <v>0</v>
      </c>
      <c r="BW10" s="1807">
        <f t="shared" si="13"/>
        <v>0</v>
      </c>
      <c r="BX10" s="1135">
        <f t="shared" si="13"/>
        <v>0</v>
      </c>
      <c r="BY10" s="1736"/>
      <c r="CA10">
        <v>0</v>
      </c>
      <c r="CB10">
        <v>0</v>
      </c>
      <c r="CD10" s="2152" t="s">
        <v>1478</v>
      </c>
      <c r="CE10" s="33">
        <v>450</v>
      </c>
      <c r="CF10" s="33">
        <v>185</v>
      </c>
      <c r="CG10" s="33">
        <v>10</v>
      </c>
      <c r="CH10" s="2153">
        <v>18.5</v>
      </c>
      <c r="CI10" s="2153">
        <v>18.5</v>
      </c>
      <c r="CJ10" s="2152">
        <v>0</v>
      </c>
      <c r="CK10" s="2152">
        <v>0</v>
      </c>
      <c r="CL10" s="2152">
        <v>30</v>
      </c>
      <c r="CM10" s="2155">
        <v>0.12</v>
      </c>
    </row>
    <row r="11" spans="1:92" ht="27" customHeight="1">
      <c r="A11" s="1750" t="s">
        <v>565</v>
      </c>
      <c r="B11" s="2169">
        <v>0</v>
      </c>
      <c r="C11" s="2172" t="s">
        <v>31</v>
      </c>
      <c r="D11" s="1751">
        <f t="shared" si="14"/>
        <v>0</v>
      </c>
      <c r="E11" s="1940">
        <f t="shared" si="0"/>
        <v>0</v>
      </c>
      <c r="F11" s="1941">
        <v>0</v>
      </c>
      <c r="G11" s="1928">
        <f t="shared" si="15"/>
        <v>0</v>
      </c>
      <c r="H11" s="1928">
        <f t="shared" si="16"/>
        <v>0</v>
      </c>
      <c r="I11" s="1949">
        <f t="shared" si="1"/>
        <v>0</v>
      </c>
      <c r="J11" s="1949">
        <f t="shared" si="2"/>
        <v>0</v>
      </c>
      <c r="K11" s="1949">
        <f t="shared" si="3"/>
        <v>0</v>
      </c>
      <c r="L11" s="1943">
        <f t="shared" si="17"/>
        <v>0</v>
      </c>
      <c r="M11" s="587" t="s">
        <v>503</v>
      </c>
      <c r="N11" s="1905">
        <f t="shared" si="4"/>
        <v>0</v>
      </c>
      <c r="O11" s="761" t="s">
        <v>25</v>
      </c>
      <c r="P11" s="1905">
        <f t="shared" si="5"/>
        <v>0</v>
      </c>
      <c r="Q11" s="1906">
        <f t="shared" si="6"/>
        <v>0</v>
      </c>
      <c r="R11" s="1957">
        <v>0</v>
      </c>
      <c r="S11" s="1907" t="s">
        <v>160</v>
      </c>
      <c r="T11" s="1752">
        <f t="shared" si="7"/>
        <v>0</v>
      </c>
      <c r="U11" s="1961">
        <v>0</v>
      </c>
      <c r="V11" s="1893" t="s">
        <v>1314</v>
      </c>
      <c r="W11" s="1963">
        <f t="shared" si="8"/>
        <v>0</v>
      </c>
      <c r="X11" s="1966">
        <f t="shared" si="18"/>
        <v>0</v>
      </c>
      <c r="Y11" s="1933">
        <f t="shared" si="19"/>
        <v>0</v>
      </c>
      <c r="Z11" s="2098">
        <f t="shared" si="9"/>
        <v>0</v>
      </c>
      <c r="AA11" s="1933">
        <f t="shared" si="10"/>
        <v>0</v>
      </c>
      <c r="AB11" s="1736"/>
      <c r="AC11" s="1281" t="str">
        <f t="shared" si="11"/>
        <v>Schlag 4</v>
      </c>
      <c r="AD11" s="1281" t="str">
        <f t="shared" si="12"/>
        <v>keine</v>
      </c>
      <c r="AE11" s="1329"/>
      <c r="AF11" s="1330" t="s">
        <v>795</v>
      </c>
      <c r="AG11" s="1424">
        <v>0</v>
      </c>
      <c r="AH11" s="1033">
        <f>VLOOKUP(AF11,Düngemittel!$B$6:$E$64,2,FALSE)*(VLOOKUP(AF11,Düngemittel!$B$6:$E$64,3,FALSE))/100*AG11</f>
        <v>0</v>
      </c>
      <c r="AI11" s="1033">
        <f>VLOOKUP(AF11,Düngemittel!$B$6:$E$64,2,FALSE)*AG11</f>
        <v>0</v>
      </c>
      <c r="AJ11" s="1033">
        <f>VLOOKUP(AF11,Düngemittel!$B$6:$E$64,4,FALSE)*AG11</f>
        <v>0</v>
      </c>
      <c r="AK11" s="2081"/>
      <c r="AL11" s="1329"/>
      <c r="AM11" s="1330" t="s">
        <v>795</v>
      </c>
      <c r="AN11" s="1424">
        <v>0</v>
      </c>
      <c r="AO11" s="1033">
        <f>VLOOKUP(AM11,Düngemittel!$B$6:$E$64,2,FALSE)*(VLOOKUP(AM11,Düngemittel!$B$6:$E$64,3,FALSE))/100*AN11</f>
        <v>0</v>
      </c>
      <c r="AP11" s="1033">
        <f>VLOOKUP(AM11,Düngemittel!$B$6:$E$64,2,FALSE)*AN11</f>
        <v>0</v>
      </c>
      <c r="AQ11" s="1033">
        <f>VLOOKUP(AM11,Düngemittel!$B$6:$E$64,4,FALSE)*AN11</f>
        <v>0</v>
      </c>
      <c r="AR11" s="2081"/>
      <c r="AS11" s="1329"/>
      <c r="AT11" s="1330" t="s">
        <v>795</v>
      </c>
      <c r="AU11" s="1424">
        <v>0</v>
      </c>
      <c r="AV11" s="1033">
        <f>VLOOKUP(AT11,Düngemittel!$B$6:$E$64,2,FALSE)*(VLOOKUP(AT11,Düngemittel!$B$6:$E$64,3,FALSE))/100*AU11</f>
        <v>0</v>
      </c>
      <c r="AW11" s="1033">
        <f>VLOOKUP(AT11,Düngemittel!$B$6:$E$64,2,FALSE)*AU11</f>
        <v>0</v>
      </c>
      <c r="AX11" s="1033">
        <f>VLOOKUP(AT11,Düngemittel!$B$6:$E$64,4,FALSE)*AU11</f>
        <v>0</v>
      </c>
      <c r="AY11" s="2081"/>
      <c r="AZ11" s="1329"/>
      <c r="BA11" s="1330" t="s">
        <v>795</v>
      </c>
      <c r="BB11" s="1424">
        <v>0</v>
      </c>
      <c r="BC11" s="1033">
        <f>VLOOKUP(BA11,Düngemittel!$B$6:$E$64,2,FALSE)*(VLOOKUP(BA11,Düngemittel!$B$6:$E$64,3,FALSE))/100*BB11</f>
        <v>0</v>
      </c>
      <c r="BD11" s="1033">
        <f>VLOOKUP(BA11,Düngemittel!$B$6:$E$64,2,FALSE)*BB11</f>
        <v>0</v>
      </c>
      <c r="BE11" s="1033">
        <f>VLOOKUP(BA11,Düngemittel!$B$6:$E$64,4,FALSE)*BB11</f>
        <v>0</v>
      </c>
      <c r="BF11" s="2081"/>
      <c r="BG11" s="1329"/>
      <c r="BH11" s="1330" t="s">
        <v>795</v>
      </c>
      <c r="BI11" s="1424">
        <v>0</v>
      </c>
      <c r="BJ11" s="1033">
        <f>VLOOKUP(BH11,Düngemittel!$B$6:$E$64,2,FALSE)*(VLOOKUP(BH11,Düngemittel!$B$6:$E$64,3,FALSE))/100*BI11</f>
        <v>0</v>
      </c>
      <c r="BK11" s="1033">
        <f>VLOOKUP(BH11,Düngemittel!$B$6:$E$64,2,FALSE)*BI11</f>
        <v>0</v>
      </c>
      <c r="BL11" s="1033">
        <f>VLOOKUP(BH11,Düngemittel!$B$6:$E$64,4,FALSE)*BI11</f>
        <v>0</v>
      </c>
      <c r="BM11" s="1736"/>
      <c r="BN11" s="1282">
        <f t="shared" si="20"/>
        <v>0</v>
      </c>
      <c r="BO11" s="1745">
        <f t="shared" si="21"/>
        <v>0</v>
      </c>
      <c r="BP11" s="1282">
        <f t="shared" si="21"/>
        <v>0</v>
      </c>
      <c r="BQ11" s="1138">
        <f t="shared" si="22"/>
        <v>0</v>
      </c>
      <c r="BR11" s="1745">
        <f t="shared" si="23"/>
        <v>0</v>
      </c>
      <c r="BS11" s="95"/>
      <c r="BT11" s="1135">
        <f t="shared" si="24"/>
        <v>0</v>
      </c>
      <c r="BU11" s="1135">
        <f t="shared" si="13"/>
        <v>0</v>
      </c>
      <c r="BV11" s="1135">
        <f t="shared" si="13"/>
        <v>0</v>
      </c>
      <c r="BW11" s="1807">
        <f t="shared" si="13"/>
        <v>0</v>
      </c>
      <c r="BX11" s="1135">
        <f t="shared" si="13"/>
        <v>0</v>
      </c>
      <c r="BY11" s="1736"/>
      <c r="CA11">
        <v>0</v>
      </c>
      <c r="CB11">
        <v>0</v>
      </c>
      <c r="CD11" s="2152" t="s">
        <v>1479</v>
      </c>
      <c r="CE11" s="33">
        <v>300</v>
      </c>
      <c r="CF11" s="33">
        <v>110</v>
      </c>
      <c r="CG11" s="33">
        <v>10</v>
      </c>
      <c r="CH11" s="2158">
        <v>6</v>
      </c>
      <c r="CI11" s="2158">
        <v>6</v>
      </c>
      <c r="CJ11" s="2152">
        <v>0</v>
      </c>
      <c r="CK11" s="2152">
        <v>0</v>
      </c>
      <c r="CL11" s="2152">
        <v>60</v>
      </c>
      <c r="CM11" s="2155">
        <v>0.05</v>
      </c>
    </row>
    <row r="12" spans="1:92" ht="27" customHeight="1">
      <c r="A12" s="1750" t="s">
        <v>1131</v>
      </c>
      <c r="B12" s="2169">
        <v>0</v>
      </c>
      <c r="C12" s="2172" t="s">
        <v>31</v>
      </c>
      <c r="D12" s="1751">
        <f t="shared" si="14"/>
        <v>0</v>
      </c>
      <c r="E12" s="1940">
        <f t="shared" si="0"/>
        <v>0</v>
      </c>
      <c r="F12" s="1941">
        <v>0</v>
      </c>
      <c r="G12" s="1928">
        <f t="shared" si="15"/>
        <v>0</v>
      </c>
      <c r="H12" s="1928">
        <f t="shared" si="16"/>
        <v>0</v>
      </c>
      <c r="I12" s="1949">
        <f t="shared" si="1"/>
        <v>0</v>
      </c>
      <c r="J12" s="1949">
        <f t="shared" si="2"/>
        <v>0</v>
      </c>
      <c r="K12" s="1949">
        <f t="shared" si="3"/>
        <v>0</v>
      </c>
      <c r="L12" s="1943">
        <f t="shared" si="17"/>
        <v>0</v>
      </c>
      <c r="M12" s="587" t="s">
        <v>503</v>
      </c>
      <c r="N12" s="1905">
        <f t="shared" si="4"/>
        <v>0</v>
      </c>
      <c r="O12" s="761" t="s">
        <v>25</v>
      </c>
      <c r="P12" s="1905">
        <f t="shared" si="5"/>
        <v>0</v>
      </c>
      <c r="Q12" s="1906">
        <f t="shared" si="6"/>
        <v>0</v>
      </c>
      <c r="R12" s="1957">
        <v>0</v>
      </c>
      <c r="S12" s="1907" t="s">
        <v>160</v>
      </c>
      <c r="T12" s="1752">
        <f t="shared" si="7"/>
        <v>0</v>
      </c>
      <c r="U12" s="1961">
        <v>0</v>
      </c>
      <c r="V12" s="1893" t="s">
        <v>1314</v>
      </c>
      <c r="W12" s="1963">
        <f t="shared" si="8"/>
        <v>0</v>
      </c>
      <c r="X12" s="1966">
        <f t="shared" si="18"/>
        <v>0</v>
      </c>
      <c r="Y12" s="1933">
        <f t="shared" si="19"/>
        <v>0</v>
      </c>
      <c r="Z12" s="2098">
        <f t="shared" si="9"/>
        <v>0</v>
      </c>
      <c r="AA12" s="1933">
        <f t="shared" si="10"/>
        <v>0</v>
      </c>
      <c r="AB12" s="1736"/>
      <c r="AC12" s="1281" t="str">
        <f t="shared" si="11"/>
        <v>Flurstück 5</v>
      </c>
      <c r="AD12" s="1281" t="str">
        <f t="shared" si="12"/>
        <v>keine</v>
      </c>
      <c r="AE12" s="1329"/>
      <c r="AF12" s="1330" t="s">
        <v>795</v>
      </c>
      <c r="AG12" s="1424">
        <v>0</v>
      </c>
      <c r="AH12" s="1033">
        <f>VLOOKUP(AF12,Düngemittel!$B$6:$E$64,2,FALSE)*(VLOOKUP(AF12,Düngemittel!$B$6:$E$64,3,FALSE))/100*AG12</f>
        <v>0</v>
      </c>
      <c r="AI12" s="1033">
        <f>VLOOKUP(AF12,Düngemittel!$B$6:$E$64,2,FALSE)*AG12</f>
        <v>0</v>
      </c>
      <c r="AJ12" s="1033">
        <f>VLOOKUP(AF12,Düngemittel!$B$6:$E$64,4,FALSE)*AG12</f>
        <v>0</v>
      </c>
      <c r="AK12" s="2081"/>
      <c r="AL12" s="1329"/>
      <c r="AM12" s="1330" t="s">
        <v>795</v>
      </c>
      <c r="AN12" s="1424">
        <v>0</v>
      </c>
      <c r="AO12" s="1033">
        <f>VLOOKUP(AM12,Düngemittel!$B$6:$E$64,2,FALSE)*(VLOOKUP(AM12,Düngemittel!$B$6:$E$64,3,FALSE))/100*AN12</f>
        <v>0</v>
      </c>
      <c r="AP12" s="1033">
        <f>VLOOKUP(AM12,Düngemittel!$B$6:$E$64,2,FALSE)*AN12</f>
        <v>0</v>
      </c>
      <c r="AQ12" s="1033">
        <f>VLOOKUP(AM12,Düngemittel!$B$6:$E$64,4,FALSE)*AN12</f>
        <v>0</v>
      </c>
      <c r="AR12" s="2081"/>
      <c r="AS12" s="1329"/>
      <c r="AT12" s="1330" t="s">
        <v>795</v>
      </c>
      <c r="AU12" s="1424">
        <v>0</v>
      </c>
      <c r="AV12" s="1033">
        <f>VLOOKUP(AT12,Düngemittel!$B$6:$E$64,2,FALSE)*(VLOOKUP(AT12,Düngemittel!$B$6:$E$64,3,FALSE))/100*AU12</f>
        <v>0</v>
      </c>
      <c r="AW12" s="1033">
        <f>VLOOKUP(AT12,Düngemittel!$B$6:$E$64,2,FALSE)*AU12</f>
        <v>0</v>
      </c>
      <c r="AX12" s="1033">
        <f>VLOOKUP(AT12,Düngemittel!$B$6:$E$64,4,FALSE)*AU12</f>
        <v>0</v>
      </c>
      <c r="AY12" s="2081"/>
      <c r="AZ12" s="1329"/>
      <c r="BA12" s="1330" t="s">
        <v>795</v>
      </c>
      <c r="BB12" s="1424">
        <v>0</v>
      </c>
      <c r="BC12" s="1033">
        <f>VLOOKUP(BA12,Düngemittel!$B$6:$E$64,2,FALSE)*(VLOOKUP(BA12,Düngemittel!$B$6:$E$64,3,FALSE))/100*BB12</f>
        <v>0</v>
      </c>
      <c r="BD12" s="1033">
        <f>VLOOKUP(BA12,Düngemittel!$B$6:$E$64,2,FALSE)*BB12</f>
        <v>0</v>
      </c>
      <c r="BE12" s="1033">
        <f>VLOOKUP(BA12,Düngemittel!$B$6:$E$64,4,FALSE)*BB12</f>
        <v>0</v>
      </c>
      <c r="BF12" s="2081"/>
      <c r="BG12" s="1329"/>
      <c r="BH12" s="1330" t="s">
        <v>795</v>
      </c>
      <c r="BI12" s="1424">
        <v>0</v>
      </c>
      <c r="BJ12" s="1033">
        <f>VLOOKUP(BH12,Düngemittel!$B$6:$E$64,2,FALSE)*(VLOOKUP(BH12,Düngemittel!$B$6:$E$64,3,FALSE))/100*BI12</f>
        <v>0</v>
      </c>
      <c r="BK12" s="1033">
        <f>VLOOKUP(BH12,Düngemittel!$B$6:$E$64,2,FALSE)*BI12</f>
        <v>0</v>
      </c>
      <c r="BL12" s="1033">
        <f>VLOOKUP(BH12,Düngemittel!$B$6:$E$64,4,FALSE)*BI12</f>
        <v>0</v>
      </c>
      <c r="BM12" s="1736"/>
      <c r="BN12" s="1282">
        <f t="shared" si="20"/>
        <v>0</v>
      </c>
      <c r="BO12" s="1745">
        <f t="shared" si="21"/>
        <v>0</v>
      </c>
      <c r="BP12" s="1282">
        <f t="shared" si="21"/>
        <v>0</v>
      </c>
      <c r="BQ12" s="1138">
        <f t="shared" si="22"/>
        <v>0</v>
      </c>
      <c r="BR12" s="1745">
        <f t="shared" si="23"/>
        <v>0</v>
      </c>
      <c r="BS12" s="95"/>
      <c r="BT12" s="1135">
        <f t="shared" si="24"/>
        <v>0</v>
      </c>
      <c r="BU12" s="1135">
        <f t="shared" si="13"/>
        <v>0</v>
      </c>
      <c r="BV12" s="1135">
        <f t="shared" si="13"/>
        <v>0</v>
      </c>
      <c r="BW12" s="1807">
        <f t="shared" si="13"/>
        <v>0</v>
      </c>
      <c r="BX12" s="1135">
        <f t="shared" si="13"/>
        <v>0</v>
      </c>
      <c r="BY12" s="1736"/>
      <c r="CA12">
        <v>0</v>
      </c>
      <c r="CB12">
        <v>0</v>
      </c>
      <c r="CD12" s="2152" t="s">
        <v>1484</v>
      </c>
      <c r="CE12" s="33">
        <v>120</v>
      </c>
      <c r="CF12" s="33">
        <v>125</v>
      </c>
      <c r="CG12" s="33">
        <v>10</v>
      </c>
      <c r="CH12" s="2153">
        <v>12.5</v>
      </c>
      <c r="CI12" s="2153">
        <v>12.5</v>
      </c>
      <c r="CJ12" s="2152">
        <v>0</v>
      </c>
      <c r="CK12" s="2152">
        <v>0</v>
      </c>
      <c r="CL12" s="2152">
        <v>30</v>
      </c>
      <c r="CM12" s="2155">
        <v>0.15</v>
      </c>
    </row>
    <row r="13" spans="1:92" ht="27" customHeight="1">
      <c r="A13" s="1750">
        <v>6</v>
      </c>
      <c r="B13" s="2169">
        <v>0</v>
      </c>
      <c r="C13" s="2172" t="s">
        <v>31</v>
      </c>
      <c r="D13" s="1751">
        <f t="shared" si="14"/>
        <v>0</v>
      </c>
      <c r="E13" s="1940">
        <f t="shared" si="0"/>
        <v>0</v>
      </c>
      <c r="F13" s="1941">
        <v>0</v>
      </c>
      <c r="G13" s="1928">
        <f t="shared" si="15"/>
        <v>0</v>
      </c>
      <c r="H13" s="1928">
        <f t="shared" si="16"/>
        <v>0</v>
      </c>
      <c r="I13" s="1949">
        <f t="shared" si="1"/>
        <v>0</v>
      </c>
      <c r="J13" s="1949">
        <f t="shared" si="2"/>
        <v>0</v>
      </c>
      <c r="K13" s="1949">
        <f t="shared" si="3"/>
        <v>0</v>
      </c>
      <c r="L13" s="1943">
        <f t="shared" si="17"/>
        <v>0</v>
      </c>
      <c r="M13" s="587" t="s">
        <v>503</v>
      </c>
      <c r="N13" s="1905">
        <f t="shared" si="4"/>
        <v>0</v>
      </c>
      <c r="O13" s="761" t="s">
        <v>25</v>
      </c>
      <c r="P13" s="1905">
        <f t="shared" si="5"/>
        <v>0</v>
      </c>
      <c r="Q13" s="1906">
        <f t="shared" si="6"/>
        <v>0</v>
      </c>
      <c r="R13" s="1957">
        <v>0</v>
      </c>
      <c r="S13" s="1907" t="s">
        <v>160</v>
      </c>
      <c r="T13" s="1752">
        <f t="shared" si="7"/>
        <v>0</v>
      </c>
      <c r="U13" s="1961">
        <v>0</v>
      </c>
      <c r="V13" s="1893" t="s">
        <v>1314</v>
      </c>
      <c r="W13" s="1963">
        <f t="shared" si="8"/>
        <v>0</v>
      </c>
      <c r="X13" s="1966">
        <f t="shared" si="18"/>
        <v>0</v>
      </c>
      <c r="Y13" s="1933">
        <f t="shared" si="19"/>
        <v>0</v>
      </c>
      <c r="Z13" s="2098">
        <f t="shared" si="9"/>
        <v>0</v>
      </c>
      <c r="AA13" s="1933">
        <f t="shared" si="10"/>
        <v>0</v>
      </c>
      <c r="AB13" s="1736"/>
      <c r="AC13" s="1281">
        <f t="shared" si="11"/>
        <v>6</v>
      </c>
      <c r="AD13" s="1281" t="str">
        <f t="shared" si="12"/>
        <v>keine</v>
      </c>
      <c r="AE13" s="1329"/>
      <c r="AF13" s="1330" t="s">
        <v>795</v>
      </c>
      <c r="AG13" s="1424">
        <v>0</v>
      </c>
      <c r="AH13" s="1033">
        <f>VLOOKUP(AF13,Düngemittel!$B$6:$E$64,2,FALSE)*(VLOOKUP(AF13,Düngemittel!$B$6:$E$64,3,FALSE))/100*AG13</f>
        <v>0</v>
      </c>
      <c r="AI13" s="1033">
        <f>VLOOKUP(AF13,Düngemittel!$B$6:$E$64,2,FALSE)*AG13</f>
        <v>0</v>
      </c>
      <c r="AJ13" s="1033">
        <f>VLOOKUP(AF13,Düngemittel!$B$6:$E$64,4,FALSE)*AG13</f>
        <v>0</v>
      </c>
      <c r="AK13" s="2081"/>
      <c r="AL13" s="1329"/>
      <c r="AM13" s="1330" t="s">
        <v>795</v>
      </c>
      <c r="AN13" s="1424">
        <v>0</v>
      </c>
      <c r="AO13" s="1033">
        <f>VLOOKUP(AM13,Düngemittel!$B$6:$E$64,2,FALSE)*(VLOOKUP(AM13,Düngemittel!$B$6:$E$64,3,FALSE))/100*AN13</f>
        <v>0</v>
      </c>
      <c r="AP13" s="1033">
        <f>VLOOKUP(AM13,Düngemittel!$B$6:$E$64,2,FALSE)*AN13</f>
        <v>0</v>
      </c>
      <c r="AQ13" s="1033">
        <f>VLOOKUP(AM13,Düngemittel!$B$6:$E$64,4,FALSE)*AN13</f>
        <v>0</v>
      </c>
      <c r="AR13" s="2081"/>
      <c r="AS13" s="1329"/>
      <c r="AT13" s="1330" t="s">
        <v>795</v>
      </c>
      <c r="AU13" s="1424">
        <v>0</v>
      </c>
      <c r="AV13" s="1033">
        <f>VLOOKUP(AT13,Düngemittel!$B$6:$E$64,2,FALSE)*(VLOOKUP(AT13,Düngemittel!$B$6:$E$64,3,FALSE))/100*AU13</f>
        <v>0</v>
      </c>
      <c r="AW13" s="1033">
        <f>VLOOKUP(AT13,Düngemittel!$B$6:$E$64,2,FALSE)*AU13</f>
        <v>0</v>
      </c>
      <c r="AX13" s="1033">
        <f>VLOOKUP(AT13,Düngemittel!$B$6:$E$64,4,FALSE)*AU13</f>
        <v>0</v>
      </c>
      <c r="AY13" s="2081"/>
      <c r="AZ13" s="1329"/>
      <c r="BA13" s="1330" t="s">
        <v>795</v>
      </c>
      <c r="BB13" s="1424">
        <v>0</v>
      </c>
      <c r="BC13" s="1033">
        <f>VLOOKUP(BA13,Düngemittel!$B$6:$E$64,2,FALSE)*(VLOOKUP(BA13,Düngemittel!$B$6:$E$64,3,FALSE))/100*BB13</f>
        <v>0</v>
      </c>
      <c r="BD13" s="1033">
        <f>VLOOKUP(BA13,Düngemittel!$B$6:$E$64,2,FALSE)*BB13</f>
        <v>0</v>
      </c>
      <c r="BE13" s="1033">
        <f>VLOOKUP(BA13,Düngemittel!$B$6:$E$64,4,FALSE)*BB13</f>
        <v>0</v>
      </c>
      <c r="BF13" s="2081"/>
      <c r="BG13" s="1329"/>
      <c r="BH13" s="1330" t="s">
        <v>795</v>
      </c>
      <c r="BI13" s="1424">
        <v>0</v>
      </c>
      <c r="BJ13" s="1033">
        <f>VLOOKUP(BH13,Düngemittel!$B$6:$E$64,2,FALSE)*(VLOOKUP(BH13,Düngemittel!$B$6:$E$64,3,FALSE))/100*BI13</f>
        <v>0</v>
      </c>
      <c r="BK13" s="1033">
        <f>VLOOKUP(BH13,Düngemittel!$B$6:$E$64,2,FALSE)*BI13</f>
        <v>0</v>
      </c>
      <c r="BL13" s="1033">
        <f>VLOOKUP(BH13,Düngemittel!$B$6:$E$64,4,FALSE)*BI13</f>
        <v>0</v>
      </c>
      <c r="BM13" s="1736"/>
      <c r="BN13" s="1282">
        <f t="shared" si="20"/>
        <v>0</v>
      </c>
      <c r="BO13" s="1745">
        <f t="shared" si="21"/>
        <v>0</v>
      </c>
      <c r="BP13" s="1282">
        <f t="shared" si="21"/>
        <v>0</v>
      </c>
      <c r="BQ13" s="1138">
        <f t="shared" si="22"/>
        <v>0</v>
      </c>
      <c r="BR13" s="1745">
        <f t="shared" si="23"/>
        <v>0</v>
      </c>
      <c r="BS13" s="95"/>
      <c r="BT13" s="1135">
        <f t="shared" si="24"/>
        <v>0</v>
      </c>
      <c r="BU13" s="1135">
        <f t="shared" si="13"/>
        <v>0</v>
      </c>
      <c r="BV13" s="1135">
        <f t="shared" si="13"/>
        <v>0</v>
      </c>
      <c r="BW13" s="1807">
        <f t="shared" si="13"/>
        <v>0</v>
      </c>
      <c r="BX13" s="1135">
        <f t="shared" si="13"/>
        <v>0</v>
      </c>
      <c r="BY13" s="1736"/>
      <c r="CA13">
        <v>0</v>
      </c>
      <c r="CB13">
        <v>0</v>
      </c>
      <c r="CD13" s="2141" t="s">
        <v>1343</v>
      </c>
      <c r="CE13" s="33">
        <v>150</v>
      </c>
      <c r="CF13" s="33">
        <v>310</v>
      </c>
      <c r="CG13" s="33">
        <v>20</v>
      </c>
      <c r="CH13" s="323">
        <v>20</v>
      </c>
      <c r="CI13" s="323">
        <v>20</v>
      </c>
      <c r="CJ13" s="323">
        <f>CI13*2/3</f>
        <v>13.333333333333334</v>
      </c>
      <c r="CK13" s="323">
        <v>100</v>
      </c>
      <c r="CL13" s="323">
        <v>60</v>
      </c>
      <c r="CM13" s="1001">
        <v>0.14899999999999999</v>
      </c>
    </row>
    <row r="14" spans="1:92" ht="27" customHeight="1">
      <c r="A14" s="1750">
        <v>7</v>
      </c>
      <c r="B14" s="2169">
        <v>0</v>
      </c>
      <c r="C14" s="2172" t="s">
        <v>31</v>
      </c>
      <c r="D14" s="1751">
        <f t="shared" si="14"/>
        <v>0</v>
      </c>
      <c r="E14" s="1940">
        <f t="shared" si="0"/>
        <v>0</v>
      </c>
      <c r="F14" s="1941">
        <v>0</v>
      </c>
      <c r="G14" s="1928">
        <f t="shared" si="15"/>
        <v>0</v>
      </c>
      <c r="H14" s="1928">
        <f t="shared" si="16"/>
        <v>0</v>
      </c>
      <c r="I14" s="1949">
        <f t="shared" si="1"/>
        <v>0</v>
      </c>
      <c r="J14" s="1949">
        <f t="shared" si="2"/>
        <v>0</v>
      </c>
      <c r="K14" s="1949">
        <f t="shared" si="3"/>
        <v>0</v>
      </c>
      <c r="L14" s="1943">
        <f t="shared" si="17"/>
        <v>0</v>
      </c>
      <c r="M14" s="587" t="s">
        <v>503</v>
      </c>
      <c r="N14" s="1905">
        <f t="shared" si="4"/>
        <v>0</v>
      </c>
      <c r="O14" s="761" t="s">
        <v>25</v>
      </c>
      <c r="P14" s="1905">
        <f t="shared" si="5"/>
        <v>0</v>
      </c>
      <c r="Q14" s="1906">
        <f t="shared" si="6"/>
        <v>0</v>
      </c>
      <c r="R14" s="1957">
        <v>0</v>
      </c>
      <c r="S14" s="1907" t="s">
        <v>160</v>
      </c>
      <c r="T14" s="1752">
        <f t="shared" si="7"/>
        <v>0</v>
      </c>
      <c r="U14" s="1961">
        <v>0</v>
      </c>
      <c r="V14" s="1893" t="s">
        <v>1314</v>
      </c>
      <c r="W14" s="1963">
        <f t="shared" si="8"/>
        <v>0</v>
      </c>
      <c r="X14" s="1966">
        <f t="shared" si="18"/>
        <v>0</v>
      </c>
      <c r="Y14" s="1933">
        <f t="shared" si="19"/>
        <v>0</v>
      </c>
      <c r="Z14" s="2098">
        <f t="shared" si="9"/>
        <v>0</v>
      </c>
      <c r="AA14" s="1933">
        <f t="shared" si="10"/>
        <v>0</v>
      </c>
      <c r="AB14" s="1736"/>
      <c r="AC14" s="1281">
        <f t="shared" si="11"/>
        <v>7</v>
      </c>
      <c r="AD14" s="1281" t="str">
        <f t="shared" si="12"/>
        <v>keine</v>
      </c>
      <c r="AE14" s="1329"/>
      <c r="AF14" s="1330" t="s">
        <v>795</v>
      </c>
      <c r="AG14" s="1424">
        <v>0</v>
      </c>
      <c r="AH14" s="1033">
        <f>VLOOKUP(AF14,Düngemittel!$B$6:$E$64,2,FALSE)*(VLOOKUP(AF14,Düngemittel!$B$6:$E$64,3,FALSE))/100*AG14</f>
        <v>0</v>
      </c>
      <c r="AI14" s="1033">
        <f>VLOOKUP(AF14,Düngemittel!$B$6:$E$64,2,FALSE)*AG14</f>
        <v>0</v>
      </c>
      <c r="AJ14" s="1033">
        <f>VLOOKUP(AF14,Düngemittel!$B$6:$E$64,4,FALSE)*AG14</f>
        <v>0</v>
      </c>
      <c r="AK14" s="2081"/>
      <c r="AL14" s="1329"/>
      <c r="AM14" s="1330" t="s">
        <v>795</v>
      </c>
      <c r="AN14" s="1424">
        <v>0</v>
      </c>
      <c r="AO14" s="1033">
        <f>VLOOKUP(AM14,Düngemittel!$B$6:$E$64,2,FALSE)*(VLOOKUP(AM14,Düngemittel!$B$6:$E$64,3,FALSE))/100*AN14</f>
        <v>0</v>
      </c>
      <c r="AP14" s="1033">
        <f>VLOOKUP(AM14,Düngemittel!$B$6:$E$64,2,FALSE)*AN14</f>
        <v>0</v>
      </c>
      <c r="AQ14" s="1033">
        <f>VLOOKUP(AM14,Düngemittel!$B$6:$E$64,4,FALSE)*AN14</f>
        <v>0</v>
      </c>
      <c r="AR14" s="2081"/>
      <c r="AS14" s="1329"/>
      <c r="AT14" s="1330" t="s">
        <v>795</v>
      </c>
      <c r="AU14" s="1424">
        <v>0</v>
      </c>
      <c r="AV14" s="1033">
        <f>VLOOKUP(AT14,Düngemittel!$B$6:$E$64,2,FALSE)*(VLOOKUP(AT14,Düngemittel!$B$6:$E$64,3,FALSE))/100*AU14</f>
        <v>0</v>
      </c>
      <c r="AW14" s="1033">
        <f>VLOOKUP(AT14,Düngemittel!$B$6:$E$64,2,FALSE)*AU14</f>
        <v>0</v>
      </c>
      <c r="AX14" s="1033">
        <f>VLOOKUP(AT14,Düngemittel!$B$6:$E$64,4,FALSE)*AU14</f>
        <v>0</v>
      </c>
      <c r="AY14" s="2081"/>
      <c r="AZ14" s="1329"/>
      <c r="BA14" s="1330" t="s">
        <v>795</v>
      </c>
      <c r="BB14" s="1424">
        <v>0</v>
      </c>
      <c r="BC14" s="1033">
        <f>VLOOKUP(BA14,Düngemittel!$B$6:$E$64,2,FALSE)*(VLOOKUP(BA14,Düngemittel!$B$6:$E$64,3,FALSE))/100*BB14</f>
        <v>0</v>
      </c>
      <c r="BD14" s="1033">
        <f>VLOOKUP(BA14,Düngemittel!$B$6:$E$64,2,FALSE)*BB14</f>
        <v>0</v>
      </c>
      <c r="BE14" s="1033">
        <f>VLOOKUP(BA14,Düngemittel!$B$6:$E$64,4,FALSE)*BB14</f>
        <v>0</v>
      </c>
      <c r="BF14" s="2081"/>
      <c r="BG14" s="1329"/>
      <c r="BH14" s="1330" t="s">
        <v>795</v>
      </c>
      <c r="BI14" s="1424">
        <v>0</v>
      </c>
      <c r="BJ14" s="1033">
        <f>VLOOKUP(BH14,Düngemittel!$B$6:$E$64,2,FALSE)*(VLOOKUP(BH14,Düngemittel!$B$6:$E$64,3,FALSE))/100*BI14</f>
        <v>0</v>
      </c>
      <c r="BK14" s="1033">
        <f>VLOOKUP(BH14,Düngemittel!$B$6:$E$64,2,FALSE)*BI14</f>
        <v>0</v>
      </c>
      <c r="BL14" s="1033">
        <f>VLOOKUP(BH14,Düngemittel!$B$6:$E$64,4,FALSE)*BI14</f>
        <v>0</v>
      </c>
      <c r="BM14" s="1736"/>
      <c r="BN14" s="1282">
        <f t="shared" si="20"/>
        <v>0</v>
      </c>
      <c r="BO14" s="1745">
        <f t="shared" si="21"/>
        <v>0</v>
      </c>
      <c r="BP14" s="1282">
        <f t="shared" si="21"/>
        <v>0</v>
      </c>
      <c r="BQ14" s="1138">
        <f t="shared" si="22"/>
        <v>0</v>
      </c>
      <c r="BR14" s="1745">
        <f t="shared" si="23"/>
        <v>0</v>
      </c>
      <c r="BS14" s="95"/>
      <c r="BT14" s="1135">
        <f t="shared" si="24"/>
        <v>0</v>
      </c>
      <c r="BU14" s="1135">
        <f t="shared" si="13"/>
        <v>0</v>
      </c>
      <c r="BV14" s="1135">
        <f t="shared" si="13"/>
        <v>0</v>
      </c>
      <c r="BW14" s="1807">
        <f t="shared" si="13"/>
        <v>0</v>
      </c>
      <c r="BX14" s="1135">
        <f t="shared" si="13"/>
        <v>0</v>
      </c>
      <c r="BY14" s="1736"/>
      <c r="CA14">
        <v>0</v>
      </c>
      <c r="CB14">
        <v>0</v>
      </c>
      <c r="CD14" s="2159" t="s">
        <v>1642</v>
      </c>
      <c r="CE14" s="33">
        <v>150</v>
      </c>
      <c r="CF14" s="33">
        <v>65</v>
      </c>
      <c r="CG14" s="33">
        <v>10</v>
      </c>
      <c r="CH14" s="2160">
        <v>7</v>
      </c>
      <c r="CI14" s="2160">
        <v>7</v>
      </c>
      <c r="CJ14" s="2160">
        <v>0</v>
      </c>
      <c r="CK14" s="2160">
        <v>0</v>
      </c>
      <c r="CL14" s="2160">
        <v>30</v>
      </c>
      <c r="CM14" s="1914">
        <v>9.1999999999999998E-2</v>
      </c>
    </row>
    <row r="15" spans="1:92" ht="27" customHeight="1">
      <c r="A15" s="1750">
        <v>8</v>
      </c>
      <c r="B15" s="2169">
        <v>0</v>
      </c>
      <c r="C15" s="2172" t="s">
        <v>31</v>
      </c>
      <c r="D15" s="1751">
        <f t="shared" si="14"/>
        <v>0</v>
      </c>
      <c r="E15" s="1940">
        <f t="shared" si="0"/>
        <v>0</v>
      </c>
      <c r="F15" s="1941">
        <v>0</v>
      </c>
      <c r="G15" s="1928">
        <f t="shared" si="15"/>
        <v>0</v>
      </c>
      <c r="H15" s="1928">
        <f t="shared" si="16"/>
        <v>0</v>
      </c>
      <c r="I15" s="1949">
        <f t="shared" si="1"/>
        <v>0</v>
      </c>
      <c r="J15" s="1949">
        <f t="shared" si="2"/>
        <v>0</v>
      </c>
      <c r="K15" s="1949">
        <f t="shared" si="3"/>
        <v>0</v>
      </c>
      <c r="L15" s="1943">
        <f t="shared" si="17"/>
        <v>0</v>
      </c>
      <c r="M15" s="587" t="s">
        <v>503</v>
      </c>
      <c r="N15" s="1905">
        <f t="shared" si="4"/>
        <v>0</v>
      </c>
      <c r="O15" s="761" t="s">
        <v>25</v>
      </c>
      <c r="P15" s="1905">
        <f t="shared" si="5"/>
        <v>0</v>
      </c>
      <c r="Q15" s="1906">
        <f t="shared" si="6"/>
        <v>0</v>
      </c>
      <c r="R15" s="1957">
        <v>0</v>
      </c>
      <c r="S15" s="1907" t="s">
        <v>160</v>
      </c>
      <c r="T15" s="1752">
        <f t="shared" si="7"/>
        <v>0</v>
      </c>
      <c r="U15" s="1961">
        <v>0</v>
      </c>
      <c r="V15" s="1893" t="s">
        <v>1314</v>
      </c>
      <c r="W15" s="1963">
        <f t="shared" si="8"/>
        <v>0</v>
      </c>
      <c r="X15" s="1966">
        <f t="shared" si="18"/>
        <v>0</v>
      </c>
      <c r="Y15" s="1933">
        <f t="shared" si="19"/>
        <v>0</v>
      </c>
      <c r="Z15" s="2098">
        <f t="shared" si="9"/>
        <v>0</v>
      </c>
      <c r="AA15" s="1933">
        <f t="shared" si="10"/>
        <v>0</v>
      </c>
      <c r="AB15" s="1736"/>
      <c r="AC15" s="1281">
        <f t="shared" si="11"/>
        <v>8</v>
      </c>
      <c r="AD15" s="1281" t="str">
        <f t="shared" si="12"/>
        <v>keine</v>
      </c>
      <c r="AE15" s="1329"/>
      <c r="AF15" s="1330" t="s">
        <v>795</v>
      </c>
      <c r="AG15" s="1424">
        <v>0</v>
      </c>
      <c r="AH15" s="1033">
        <f>VLOOKUP(AF15,Düngemittel!$B$6:$E$64,2,FALSE)*(VLOOKUP(AF15,Düngemittel!$B$6:$E$64,3,FALSE))/100*AG15</f>
        <v>0</v>
      </c>
      <c r="AI15" s="1033">
        <f>VLOOKUP(AF15,Düngemittel!$B$6:$E$64,2,FALSE)*AG15</f>
        <v>0</v>
      </c>
      <c r="AJ15" s="1033">
        <f>VLOOKUP(AF15,Düngemittel!$B$6:$E$64,4,FALSE)*AG15</f>
        <v>0</v>
      </c>
      <c r="AK15" s="2081"/>
      <c r="AL15" s="1329"/>
      <c r="AM15" s="1330" t="s">
        <v>795</v>
      </c>
      <c r="AN15" s="1424">
        <v>0</v>
      </c>
      <c r="AO15" s="1033">
        <f>VLOOKUP(AM15,Düngemittel!$B$6:$E$64,2,FALSE)*(VLOOKUP(AM15,Düngemittel!$B$6:$E$64,3,FALSE))/100*AN15</f>
        <v>0</v>
      </c>
      <c r="AP15" s="1033">
        <f>VLOOKUP(AM15,Düngemittel!$B$6:$E$64,2,FALSE)*AN15</f>
        <v>0</v>
      </c>
      <c r="AQ15" s="1033">
        <f>VLOOKUP(AM15,Düngemittel!$B$6:$E$64,4,FALSE)*AN15</f>
        <v>0</v>
      </c>
      <c r="AR15" s="2081"/>
      <c r="AS15" s="1329"/>
      <c r="AT15" s="1330" t="s">
        <v>795</v>
      </c>
      <c r="AU15" s="1424">
        <v>0</v>
      </c>
      <c r="AV15" s="1033">
        <f>VLOOKUP(AT15,Düngemittel!$B$6:$E$64,2,FALSE)*(VLOOKUP(AT15,Düngemittel!$B$6:$E$64,3,FALSE))/100*AU15</f>
        <v>0</v>
      </c>
      <c r="AW15" s="1033">
        <f>VLOOKUP(AT15,Düngemittel!$B$6:$E$64,2,FALSE)*AU15</f>
        <v>0</v>
      </c>
      <c r="AX15" s="1033">
        <f>VLOOKUP(AT15,Düngemittel!$B$6:$E$64,4,FALSE)*AU15</f>
        <v>0</v>
      </c>
      <c r="AY15" s="2081"/>
      <c r="AZ15" s="1329"/>
      <c r="BA15" s="1330" t="s">
        <v>795</v>
      </c>
      <c r="BB15" s="1424">
        <v>0</v>
      </c>
      <c r="BC15" s="1033">
        <f>VLOOKUP(BA15,Düngemittel!$B$6:$E$64,2,FALSE)*(VLOOKUP(BA15,Düngemittel!$B$6:$E$64,3,FALSE))/100*BB15</f>
        <v>0</v>
      </c>
      <c r="BD15" s="1033">
        <f>VLOOKUP(BA15,Düngemittel!$B$6:$E$64,2,FALSE)*BB15</f>
        <v>0</v>
      </c>
      <c r="BE15" s="1033">
        <f>VLOOKUP(BA15,Düngemittel!$B$6:$E$64,4,FALSE)*BB15</f>
        <v>0</v>
      </c>
      <c r="BF15" s="2081"/>
      <c r="BG15" s="1329"/>
      <c r="BH15" s="1330" t="s">
        <v>795</v>
      </c>
      <c r="BI15" s="1424">
        <v>0</v>
      </c>
      <c r="BJ15" s="1033">
        <f>VLOOKUP(BH15,Düngemittel!$B$6:$E$64,2,FALSE)*(VLOOKUP(BH15,Düngemittel!$B$6:$E$64,3,FALSE))/100*BI15</f>
        <v>0</v>
      </c>
      <c r="BK15" s="1033">
        <f>VLOOKUP(BH15,Düngemittel!$B$6:$E$64,2,FALSE)*BI15</f>
        <v>0</v>
      </c>
      <c r="BL15" s="1033">
        <f>VLOOKUP(BH15,Düngemittel!$B$6:$E$64,4,FALSE)*BI15</f>
        <v>0</v>
      </c>
      <c r="BM15" s="1736"/>
      <c r="BN15" s="1282">
        <f t="shared" si="20"/>
        <v>0</v>
      </c>
      <c r="BO15" s="1745">
        <f t="shared" si="21"/>
        <v>0</v>
      </c>
      <c r="BP15" s="1282">
        <f t="shared" si="21"/>
        <v>0</v>
      </c>
      <c r="BQ15" s="1138">
        <f t="shared" si="22"/>
        <v>0</v>
      </c>
      <c r="BR15" s="1745">
        <f t="shared" si="23"/>
        <v>0</v>
      </c>
      <c r="BS15" s="95"/>
      <c r="BT15" s="1135">
        <f t="shared" si="24"/>
        <v>0</v>
      </c>
      <c r="BU15" s="1135">
        <f t="shared" si="13"/>
        <v>0</v>
      </c>
      <c r="BV15" s="1135">
        <f t="shared" si="13"/>
        <v>0</v>
      </c>
      <c r="BW15" s="1807">
        <f t="shared" si="13"/>
        <v>0</v>
      </c>
      <c r="BX15" s="1135">
        <f t="shared" si="13"/>
        <v>0</v>
      </c>
      <c r="BY15" s="1736"/>
      <c r="CA15">
        <v>0</v>
      </c>
      <c r="CB15">
        <v>0</v>
      </c>
      <c r="CD15" s="2141" t="s">
        <v>1344</v>
      </c>
      <c r="CE15" s="33">
        <v>120</v>
      </c>
      <c r="CF15" s="33">
        <v>110</v>
      </c>
      <c r="CG15" s="33">
        <v>20</v>
      </c>
      <c r="CH15" s="323">
        <v>20</v>
      </c>
      <c r="CI15" s="323">
        <v>20</v>
      </c>
      <c r="CJ15" s="323">
        <f t="shared" ref="CJ15:CJ24" si="25">CI15*2/3</f>
        <v>13.333333333333334</v>
      </c>
      <c r="CK15" s="323">
        <v>45</v>
      </c>
      <c r="CL15" s="323">
        <v>60</v>
      </c>
      <c r="CM15" s="1001">
        <v>9.1999999999999998E-2</v>
      </c>
    </row>
    <row r="16" spans="1:92" ht="27" customHeight="1">
      <c r="A16" s="1750">
        <v>9</v>
      </c>
      <c r="B16" s="2169">
        <v>0</v>
      </c>
      <c r="C16" s="2172" t="s">
        <v>31</v>
      </c>
      <c r="D16" s="1751">
        <f t="shared" si="14"/>
        <v>0</v>
      </c>
      <c r="E16" s="1940">
        <f t="shared" si="0"/>
        <v>0</v>
      </c>
      <c r="F16" s="1941">
        <v>0</v>
      </c>
      <c r="G16" s="1928">
        <f t="shared" si="15"/>
        <v>0</v>
      </c>
      <c r="H16" s="1928">
        <f t="shared" si="16"/>
        <v>0</v>
      </c>
      <c r="I16" s="1949">
        <f t="shared" si="1"/>
        <v>0</v>
      </c>
      <c r="J16" s="1949">
        <f t="shared" si="2"/>
        <v>0</v>
      </c>
      <c r="K16" s="1949">
        <f t="shared" si="3"/>
        <v>0</v>
      </c>
      <c r="L16" s="1943">
        <f t="shared" si="17"/>
        <v>0</v>
      </c>
      <c r="M16" s="587" t="s">
        <v>503</v>
      </c>
      <c r="N16" s="1905">
        <f t="shared" si="4"/>
        <v>0</v>
      </c>
      <c r="O16" s="761" t="s">
        <v>25</v>
      </c>
      <c r="P16" s="1905">
        <f t="shared" si="5"/>
        <v>0</v>
      </c>
      <c r="Q16" s="1906">
        <f t="shared" si="6"/>
        <v>0</v>
      </c>
      <c r="R16" s="1957">
        <v>0</v>
      </c>
      <c r="S16" s="1907" t="s">
        <v>160</v>
      </c>
      <c r="T16" s="1752">
        <f t="shared" si="7"/>
        <v>0</v>
      </c>
      <c r="U16" s="1961">
        <v>0</v>
      </c>
      <c r="V16" s="1893" t="s">
        <v>1314</v>
      </c>
      <c r="W16" s="1963">
        <f t="shared" si="8"/>
        <v>0</v>
      </c>
      <c r="X16" s="1966">
        <f t="shared" si="18"/>
        <v>0</v>
      </c>
      <c r="Y16" s="1933">
        <f t="shared" si="19"/>
        <v>0</v>
      </c>
      <c r="Z16" s="2098">
        <f t="shared" si="9"/>
        <v>0</v>
      </c>
      <c r="AA16" s="1933">
        <f t="shared" si="10"/>
        <v>0</v>
      </c>
      <c r="AB16" s="1736"/>
      <c r="AC16" s="1281">
        <f t="shared" si="11"/>
        <v>9</v>
      </c>
      <c r="AD16" s="1281" t="str">
        <f t="shared" si="12"/>
        <v>keine</v>
      </c>
      <c r="AE16" s="1329"/>
      <c r="AF16" s="1330" t="s">
        <v>795</v>
      </c>
      <c r="AG16" s="1424">
        <v>0</v>
      </c>
      <c r="AH16" s="1033">
        <f>VLOOKUP(AF16,Düngemittel!$B$6:$E$64,2,FALSE)*(VLOOKUP(AF16,Düngemittel!$B$6:$E$64,3,FALSE))/100*AG16</f>
        <v>0</v>
      </c>
      <c r="AI16" s="1033">
        <f>VLOOKUP(AF16,Düngemittel!$B$6:$E$64,2,FALSE)*AG16</f>
        <v>0</v>
      </c>
      <c r="AJ16" s="1033">
        <f>VLOOKUP(AF16,Düngemittel!$B$6:$E$64,4,FALSE)*AG16</f>
        <v>0</v>
      </c>
      <c r="AK16" s="2081"/>
      <c r="AL16" s="1329"/>
      <c r="AM16" s="1330" t="s">
        <v>795</v>
      </c>
      <c r="AN16" s="1424">
        <v>0</v>
      </c>
      <c r="AO16" s="1033">
        <f>VLOOKUP(AM16,Düngemittel!$B$6:$E$64,2,FALSE)*(VLOOKUP(AM16,Düngemittel!$B$6:$E$64,3,FALSE))/100*AN16</f>
        <v>0</v>
      </c>
      <c r="AP16" s="1033">
        <f>VLOOKUP(AM16,Düngemittel!$B$6:$E$64,2,FALSE)*AN16</f>
        <v>0</v>
      </c>
      <c r="AQ16" s="1033">
        <f>VLOOKUP(AM16,Düngemittel!$B$6:$E$64,4,FALSE)*AN16</f>
        <v>0</v>
      </c>
      <c r="AR16" s="2081"/>
      <c r="AS16" s="1329"/>
      <c r="AT16" s="1330" t="s">
        <v>795</v>
      </c>
      <c r="AU16" s="1424">
        <v>0</v>
      </c>
      <c r="AV16" s="1033">
        <f>VLOOKUP(AT16,Düngemittel!$B$6:$E$64,2,FALSE)*(VLOOKUP(AT16,Düngemittel!$B$6:$E$64,3,FALSE))/100*AU16</f>
        <v>0</v>
      </c>
      <c r="AW16" s="1033">
        <f>VLOOKUP(AT16,Düngemittel!$B$6:$E$64,2,FALSE)*AU16</f>
        <v>0</v>
      </c>
      <c r="AX16" s="1033">
        <f>VLOOKUP(AT16,Düngemittel!$B$6:$E$64,4,FALSE)*AU16</f>
        <v>0</v>
      </c>
      <c r="AY16" s="2081"/>
      <c r="AZ16" s="1329"/>
      <c r="BA16" s="1330" t="s">
        <v>795</v>
      </c>
      <c r="BB16" s="1424">
        <v>0</v>
      </c>
      <c r="BC16" s="1033">
        <f>VLOOKUP(BA16,Düngemittel!$B$6:$E$64,2,FALSE)*(VLOOKUP(BA16,Düngemittel!$B$6:$E$64,3,FALSE))/100*BB16</f>
        <v>0</v>
      </c>
      <c r="BD16" s="1033">
        <f>VLOOKUP(BA16,Düngemittel!$B$6:$E$64,2,FALSE)*BB16</f>
        <v>0</v>
      </c>
      <c r="BE16" s="1033">
        <f>VLOOKUP(BA16,Düngemittel!$B$6:$E$64,4,FALSE)*BB16</f>
        <v>0</v>
      </c>
      <c r="BF16" s="2081"/>
      <c r="BG16" s="1329"/>
      <c r="BH16" s="1330" t="s">
        <v>795</v>
      </c>
      <c r="BI16" s="1424">
        <v>0</v>
      </c>
      <c r="BJ16" s="1033">
        <f>VLOOKUP(BH16,Düngemittel!$B$6:$E$64,2,FALSE)*(VLOOKUP(BH16,Düngemittel!$B$6:$E$64,3,FALSE))/100*BI16</f>
        <v>0</v>
      </c>
      <c r="BK16" s="1033">
        <f>VLOOKUP(BH16,Düngemittel!$B$6:$E$64,2,FALSE)*BI16</f>
        <v>0</v>
      </c>
      <c r="BL16" s="1033">
        <f>VLOOKUP(BH16,Düngemittel!$B$6:$E$64,4,FALSE)*BI16</f>
        <v>0</v>
      </c>
      <c r="BM16" s="1736"/>
      <c r="BN16" s="1282">
        <f t="shared" si="20"/>
        <v>0</v>
      </c>
      <c r="BO16" s="1745">
        <f t="shared" si="21"/>
        <v>0</v>
      </c>
      <c r="BP16" s="1282">
        <f t="shared" si="21"/>
        <v>0</v>
      </c>
      <c r="BQ16" s="1138">
        <f t="shared" si="22"/>
        <v>0</v>
      </c>
      <c r="BR16" s="1745">
        <f t="shared" si="23"/>
        <v>0</v>
      </c>
      <c r="BS16" s="95"/>
      <c r="BT16" s="1135">
        <f t="shared" si="24"/>
        <v>0</v>
      </c>
      <c r="BU16" s="1135">
        <f t="shared" si="13"/>
        <v>0</v>
      </c>
      <c r="BV16" s="1135">
        <f t="shared" si="13"/>
        <v>0</v>
      </c>
      <c r="BW16" s="1807">
        <f t="shared" si="13"/>
        <v>0</v>
      </c>
      <c r="BX16" s="1135">
        <f t="shared" si="13"/>
        <v>0</v>
      </c>
      <c r="BY16" s="1736"/>
      <c r="CA16">
        <v>0</v>
      </c>
      <c r="CB16">
        <v>0</v>
      </c>
      <c r="CD16" s="2141" t="s">
        <v>1345</v>
      </c>
      <c r="CE16" s="33">
        <v>450</v>
      </c>
      <c r="CF16" s="33">
        <v>135</v>
      </c>
      <c r="CG16" s="33">
        <v>20</v>
      </c>
      <c r="CH16" s="323">
        <v>20</v>
      </c>
      <c r="CI16" s="323">
        <v>20</v>
      </c>
      <c r="CJ16" s="323">
        <f t="shared" si="25"/>
        <v>13.333333333333334</v>
      </c>
      <c r="CK16" s="323">
        <v>40</v>
      </c>
      <c r="CL16" s="323">
        <v>90</v>
      </c>
      <c r="CM16" s="1001">
        <v>0.121</v>
      </c>
    </row>
    <row r="17" spans="1:91" ht="27" customHeight="1">
      <c r="A17" s="1750">
        <v>10</v>
      </c>
      <c r="B17" s="2169">
        <v>0</v>
      </c>
      <c r="C17" s="2172" t="s">
        <v>31</v>
      </c>
      <c r="D17" s="1751">
        <f t="shared" si="14"/>
        <v>0</v>
      </c>
      <c r="E17" s="1940">
        <f t="shared" si="0"/>
        <v>0</v>
      </c>
      <c r="F17" s="1941">
        <v>0</v>
      </c>
      <c r="G17" s="1928">
        <f t="shared" si="15"/>
        <v>0</v>
      </c>
      <c r="H17" s="1928">
        <f t="shared" si="16"/>
        <v>0</v>
      </c>
      <c r="I17" s="1949">
        <f t="shared" si="1"/>
        <v>0</v>
      </c>
      <c r="J17" s="1949">
        <f t="shared" si="2"/>
        <v>0</v>
      </c>
      <c r="K17" s="1949">
        <f t="shared" si="3"/>
        <v>0</v>
      </c>
      <c r="L17" s="1943">
        <f t="shared" si="17"/>
        <v>0</v>
      </c>
      <c r="M17" s="587" t="s">
        <v>503</v>
      </c>
      <c r="N17" s="1905">
        <f t="shared" si="4"/>
        <v>0</v>
      </c>
      <c r="O17" s="761" t="s">
        <v>25</v>
      </c>
      <c r="P17" s="1905">
        <f t="shared" si="5"/>
        <v>0</v>
      </c>
      <c r="Q17" s="1906">
        <f t="shared" si="6"/>
        <v>0</v>
      </c>
      <c r="R17" s="1957">
        <v>0</v>
      </c>
      <c r="S17" s="1907" t="s">
        <v>160</v>
      </c>
      <c r="T17" s="1752">
        <f t="shared" si="7"/>
        <v>0</v>
      </c>
      <c r="U17" s="1961">
        <v>0</v>
      </c>
      <c r="V17" s="1893" t="s">
        <v>1314</v>
      </c>
      <c r="W17" s="1963">
        <f t="shared" si="8"/>
        <v>0</v>
      </c>
      <c r="X17" s="1966">
        <f t="shared" si="18"/>
        <v>0</v>
      </c>
      <c r="Y17" s="1933">
        <f t="shared" si="19"/>
        <v>0</v>
      </c>
      <c r="Z17" s="2098">
        <f t="shared" si="9"/>
        <v>0</v>
      </c>
      <c r="AA17" s="1933">
        <f t="shared" si="10"/>
        <v>0</v>
      </c>
      <c r="AB17" s="1736"/>
      <c r="AC17" s="1281">
        <f t="shared" si="11"/>
        <v>10</v>
      </c>
      <c r="AD17" s="1281" t="str">
        <f t="shared" si="12"/>
        <v>keine</v>
      </c>
      <c r="AE17" s="1329"/>
      <c r="AF17" s="1330" t="s">
        <v>795</v>
      </c>
      <c r="AG17" s="1424">
        <v>0</v>
      </c>
      <c r="AH17" s="1033">
        <f>VLOOKUP(AF17,Düngemittel!$B$6:$E$64,2,FALSE)*(VLOOKUP(AF17,Düngemittel!$B$6:$E$64,3,FALSE))/100*AG17</f>
        <v>0</v>
      </c>
      <c r="AI17" s="1033">
        <f>VLOOKUP(AF17,Düngemittel!$B$6:$E$64,2,FALSE)*AG17</f>
        <v>0</v>
      </c>
      <c r="AJ17" s="1033">
        <f>VLOOKUP(AF17,Düngemittel!$B$6:$E$64,4,FALSE)*AG17</f>
        <v>0</v>
      </c>
      <c r="AK17" s="2081"/>
      <c r="AL17" s="1329"/>
      <c r="AM17" s="1330" t="s">
        <v>795</v>
      </c>
      <c r="AN17" s="1424">
        <v>0</v>
      </c>
      <c r="AO17" s="1033">
        <f>VLOOKUP(AM17,Düngemittel!$B$6:$E$64,2,FALSE)*(VLOOKUP(AM17,Düngemittel!$B$6:$E$64,3,FALSE))/100*AN17</f>
        <v>0</v>
      </c>
      <c r="AP17" s="1033">
        <f>VLOOKUP(AM17,Düngemittel!$B$6:$E$64,2,FALSE)*AN17</f>
        <v>0</v>
      </c>
      <c r="AQ17" s="1033">
        <f>VLOOKUP(AM17,Düngemittel!$B$6:$E$64,4,FALSE)*AN17</f>
        <v>0</v>
      </c>
      <c r="AR17" s="2081"/>
      <c r="AS17" s="1329"/>
      <c r="AT17" s="1330" t="s">
        <v>795</v>
      </c>
      <c r="AU17" s="1424">
        <v>0</v>
      </c>
      <c r="AV17" s="1033">
        <f>VLOOKUP(AT17,Düngemittel!$B$6:$E$64,2,FALSE)*(VLOOKUP(AT17,Düngemittel!$B$6:$E$64,3,FALSE))/100*AU17</f>
        <v>0</v>
      </c>
      <c r="AW17" s="1033">
        <f>VLOOKUP(AT17,Düngemittel!$B$6:$E$64,2,FALSE)*AU17</f>
        <v>0</v>
      </c>
      <c r="AX17" s="1033">
        <f>VLOOKUP(AT17,Düngemittel!$B$6:$E$64,4,FALSE)*AU17</f>
        <v>0</v>
      </c>
      <c r="AY17" s="2081"/>
      <c r="AZ17" s="1329"/>
      <c r="BA17" s="1330" t="s">
        <v>795</v>
      </c>
      <c r="BB17" s="1424">
        <v>0</v>
      </c>
      <c r="BC17" s="1033">
        <f>VLOOKUP(BA17,Düngemittel!$B$6:$E$64,2,FALSE)*(VLOOKUP(BA17,Düngemittel!$B$6:$E$64,3,FALSE))/100*BB17</f>
        <v>0</v>
      </c>
      <c r="BD17" s="1033">
        <f>VLOOKUP(BA17,Düngemittel!$B$6:$E$64,2,FALSE)*BB17</f>
        <v>0</v>
      </c>
      <c r="BE17" s="1033">
        <f>VLOOKUP(BA17,Düngemittel!$B$6:$E$64,4,FALSE)*BB17</f>
        <v>0</v>
      </c>
      <c r="BF17" s="2081"/>
      <c r="BG17" s="1329"/>
      <c r="BH17" s="1330" t="s">
        <v>795</v>
      </c>
      <c r="BI17" s="1424">
        <v>0</v>
      </c>
      <c r="BJ17" s="1033">
        <f>VLOOKUP(BH17,Düngemittel!$B$6:$E$64,2,FALSE)*(VLOOKUP(BH17,Düngemittel!$B$6:$E$64,3,FALSE))/100*BI17</f>
        <v>0</v>
      </c>
      <c r="BK17" s="1033">
        <f>VLOOKUP(BH17,Düngemittel!$B$6:$E$64,2,FALSE)*BI17</f>
        <v>0</v>
      </c>
      <c r="BL17" s="1033">
        <f>VLOOKUP(BH17,Düngemittel!$B$6:$E$64,4,FALSE)*BI17</f>
        <v>0</v>
      </c>
      <c r="BM17" s="1736"/>
      <c r="BN17" s="1282">
        <f t="shared" si="20"/>
        <v>0</v>
      </c>
      <c r="BO17" s="1745">
        <f t="shared" si="21"/>
        <v>0</v>
      </c>
      <c r="BP17" s="1282">
        <f t="shared" si="21"/>
        <v>0</v>
      </c>
      <c r="BQ17" s="1138">
        <f t="shared" si="22"/>
        <v>0</v>
      </c>
      <c r="BR17" s="1745">
        <f t="shared" si="23"/>
        <v>0</v>
      </c>
      <c r="BS17" s="95"/>
      <c r="BT17" s="1135">
        <f t="shared" si="24"/>
        <v>0</v>
      </c>
      <c r="BU17" s="1135">
        <f t="shared" si="13"/>
        <v>0</v>
      </c>
      <c r="BV17" s="1135">
        <f t="shared" si="13"/>
        <v>0</v>
      </c>
      <c r="BW17" s="1807">
        <f t="shared" si="13"/>
        <v>0</v>
      </c>
      <c r="BX17" s="1135">
        <f t="shared" si="13"/>
        <v>0</v>
      </c>
      <c r="BY17" s="1736"/>
      <c r="CA17">
        <v>0</v>
      </c>
      <c r="CB17">
        <v>0</v>
      </c>
      <c r="CD17" s="2141" t="s">
        <v>1277</v>
      </c>
      <c r="CE17" s="33">
        <v>700</v>
      </c>
      <c r="CF17" s="33">
        <v>210</v>
      </c>
      <c r="CG17" s="33">
        <v>20</v>
      </c>
      <c r="CH17" s="323">
        <v>20</v>
      </c>
      <c r="CI17" s="323">
        <v>20</v>
      </c>
      <c r="CJ17" s="323">
        <f t="shared" si="25"/>
        <v>13.333333333333334</v>
      </c>
      <c r="CK17" s="323">
        <v>45</v>
      </c>
      <c r="CL17" s="323">
        <v>60</v>
      </c>
      <c r="CM17" s="1001">
        <v>9.1999999999999998E-2</v>
      </c>
    </row>
    <row r="18" spans="1:91" ht="27" customHeight="1">
      <c r="A18" s="1750">
        <v>11</v>
      </c>
      <c r="B18" s="2169">
        <v>0</v>
      </c>
      <c r="C18" s="2172" t="s">
        <v>31</v>
      </c>
      <c r="D18" s="1751">
        <f t="shared" si="14"/>
        <v>0</v>
      </c>
      <c r="E18" s="1940">
        <f t="shared" si="0"/>
        <v>0</v>
      </c>
      <c r="F18" s="1941">
        <v>0</v>
      </c>
      <c r="G18" s="1928">
        <f t="shared" si="15"/>
        <v>0</v>
      </c>
      <c r="H18" s="1928">
        <f t="shared" si="16"/>
        <v>0</v>
      </c>
      <c r="I18" s="1949">
        <f t="shared" si="1"/>
        <v>0</v>
      </c>
      <c r="J18" s="1949">
        <f t="shared" si="2"/>
        <v>0</v>
      </c>
      <c r="K18" s="1949">
        <f t="shared" si="3"/>
        <v>0</v>
      </c>
      <c r="L18" s="1943">
        <f t="shared" si="17"/>
        <v>0</v>
      </c>
      <c r="M18" s="587" t="s">
        <v>503</v>
      </c>
      <c r="N18" s="1905">
        <f t="shared" si="4"/>
        <v>0</v>
      </c>
      <c r="O18" s="761" t="s">
        <v>25</v>
      </c>
      <c r="P18" s="1905">
        <f t="shared" si="5"/>
        <v>0</v>
      </c>
      <c r="Q18" s="1906">
        <f t="shared" si="6"/>
        <v>0</v>
      </c>
      <c r="R18" s="1957">
        <v>0</v>
      </c>
      <c r="S18" s="1907" t="s">
        <v>160</v>
      </c>
      <c r="T18" s="1752">
        <f t="shared" si="7"/>
        <v>0</v>
      </c>
      <c r="U18" s="1961">
        <v>0</v>
      </c>
      <c r="V18" s="1893" t="s">
        <v>1314</v>
      </c>
      <c r="W18" s="1963">
        <f t="shared" si="8"/>
        <v>0</v>
      </c>
      <c r="X18" s="1966">
        <f t="shared" si="18"/>
        <v>0</v>
      </c>
      <c r="Y18" s="1933">
        <f t="shared" si="19"/>
        <v>0</v>
      </c>
      <c r="Z18" s="2098">
        <f t="shared" si="9"/>
        <v>0</v>
      </c>
      <c r="AA18" s="1933">
        <f t="shared" si="10"/>
        <v>0</v>
      </c>
      <c r="AB18" s="1736"/>
      <c r="AC18" s="1281">
        <f t="shared" si="11"/>
        <v>11</v>
      </c>
      <c r="AD18" s="1281" t="str">
        <f t="shared" si="12"/>
        <v>keine</v>
      </c>
      <c r="AE18" s="1329"/>
      <c r="AF18" s="1330" t="s">
        <v>795</v>
      </c>
      <c r="AG18" s="1424">
        <v>0</v>
      </c>
      <c r="AH18" s="1033">
        <f>VLOOKUP(AF18,Düngemittel!$B$6:$E$64,2,FALSE)*(VLOOKUP(AF18,Düngemittel!$B$6:$E$64,3,FALSE))/100*AG18</f>
        <v>0</v>
      </c>
      <c r="AI18" s="1033">
        <f>VLOOKUP(AF18,Düngemittel!$B$6:$E$64,2,FALSE)*AG18</f>
        <v>0</v>
      </c>
      <c r="AJ18" s="1033">
        <f>VLOOKUP(AF18,Düngemittel!$B$6:$E$64,4,FALSE)*AG18</f>
        <v>0</v>
      </c>
      <c r="AK18" s="2081"/>
      <c r="AL18" s="1329"/>
      <c r="AM18" s="1330" t="s">
        <v>795</v>
      </c>
      <c r="AN18" s="1424">
        <v>0</v>
      </c>
      <c r="AO18" s="1033">
        <f>VLOOKUP(AM18,Düngemittel!$B$6:$E$64,2,FALSE)*(VLOOKUP(AM18,Düngemittel!$B$6:$E$64,3,FALSE))/100*AN18</f>
        <v>0</v>
      </c>
      <c r="AP18" s="1033">
        <f>VLOOKUP(AM18,Düngemittel!$B$6:$E$64,2,FALSE)*AN18</f>
        <v>0</v>
      </c>
      <c r="AQ18" s="1033">
        <f>VLOOKUP(AM18,Düngemittel!$B$6:$E$64,4,FALSE)*AN18</f>
        <v>0</v>
      </c>
      <c r="AR18" s="2081"/>
      <c r="AS18" s="1329"/>
      <c r="AT18" s="1330" t="s">
        <v>795</v>
      </c>
      <c r="AU18" s="1424">
        <v>0</v>
      </c>
      <c r="AV18" s="1033">
        <f>VLOOKUP(AT18,Düngemittel!$B$6:$E$64,2,FALSE)*(VLOOKUP(AT18,Düngemittel!$B$6:$E$64,3,FALSE))/100*AU18</f>
        <v>0</v>
      </c>
      <c r="AW18" s="1033">
        <f>VLOOKUP(AT18,Düngemittel!$B$6:$E$64,2,FALSE)*AU18</f>
        <v>0</v>
      </c>
      <c r="AX18" s="1033">
        <f>VLOOKUP(AT18,Düngemittel!$B$6:$E$64,4,FALSE)*AU18</f>
        <v>0</v>
      </c>
      <c r="AY18" s="2081"/>
      <c r="AZ18" s="1329"/>
      <c r="BA18" s="1330" t="s">
        <v>795</v>
      </c>
      <c r="BB18" s="1424">
        <v>0</v>
      </c>
      <c r="BC18" s="1033">
        <f>VLOOKUP(BA18,Düngemittel!$B$6:$E$64,2,FALSE)*(VLOOKUP(BA18,Düngemittel!$B$6:$E$64,3,FALSE))/100*BB18</f>
        <v>0</v>
      </c>
      <c r="BD18" s="1033">
        <f>VLOOKUP(BA18,Düngemittel!$B$6:$E$64,2,FALSE)*BB18</f>
        <v>0</v>
      </c>
      <c r="BE18" s="1033">
        <f>VLOOKUP(BA18,Düngemittel!$B$6:$E$64,4,FALSE)*BB18</f>
        <v>0</v>
      </c>
      <c r="BF18" s="2081"/>
      <c r="BG18" s="1329"/>
      <c r="BH18" s="1330" t="s">
        <v>795</v>
      </c>
      <c r="BI18" s="1424">
        <v>0</v>
      </c>
      <c r="BJ18" s="1033">
        <f>VLOOKUP(BH18,Düngemittel!$B$6:$E$64,2,FALSE)*(VLOOKUP(BH18,Düngemittel!$B$6:$E$64,3,FALSE))/100*BI18</f>
        <v>0</v>
      </c>
      <c r="BK18" s="1033">
        <f>VLOOKUP(BH18,Düngemittel!$B$6:$E$64,2,FALSE)*BI18</f>
        <v>0</v>
      </c>
      <c r="BL18" s="1033">
        <f>VLOOKUP(BH18,Düngemittel!$B$6:$E$64,4,FALSE)*BI18</f>
        <v>0</v>
      </c>
      <c r="BM18" s="1736"/>
      <c r="BN18" s="1282">
        <f t="shared" si="20"/>
        <v>0</v>
      </c>
      <c r="BO18" s="1745">
        <f t="shared" si="21"/>
        <v>0</v>
      </c>
      <c r="BP18" s="1282">
        <f t="shared" si="21"/>
        <v>0</v>
      </c>
      <c r="BQ18" s="1138">
        <f t="shared" si="22"/>
        <v>0</v>
      </c>
      <c r="BR18" s="1745">
        <f t="shared" si="23"/>
        <v>0</v>
      </c>
      <c r="BS18" s="95"/>
      <c r="BT18" s="1135">
        <f t="shared" si="24"/>
        <v>0</v>
      </c>
      <c r="BU18" s="1135">
        <f t="shared" si="13"/>
        <v>0</v>
      </c>
      <c r="BV18" s="1135">
        <f t="shared" si="13"/>
        <v>0</v>
      </c>
      <c r="BW18" s="1807">
        <f t="shared" si="13"/>
        <v>0</v>
      </c>
      <c r="BX18" s="1135">
        <f t="shared" si="13"/>
        <v>0</v>
      </c>
      <c r="BY18" s="1736"/>
      <c r="CA18">
        <v>0</v>
      </c>
      <c r="CB18">
        <v>0</v>
      </c>
      <c r="CD18" s="2140" t="s">
        <v>1643</v>
      </c>
      <c r="CE18" s="33">
        <v>65</v>
      </c>
      <c r="CF18" s="33">
        <v>60</v>
      </c>
      <c r="CG18" s="33">
        <v>20</v>
      </c>
      <c r="CH18" s="2156">
        <v>20</v>
      </c>
      <c r="CI18" s="2156">
        <v>20</v>
      </c>
      <c r="CJ18" s="323">
        <f t="shared" si="25"/>
        <v>13.333333333333334</v>
      </c>
      <c r="CK18" s="2156">
        <v>45</v>
      </c>
      <c r="CL18" s="323">
        <v>60</v>
      </c>
      <c r="CM18" s="1914">
        <v>0.25</v>
      </c>
    </row>
    <row r="19" spans="1:91" ht="27" customHeight="1">
      <c r="A19" s="1750">
        <v>12</v>
      </c>
      <c r="B19" s="2169">
        <v>0</v>
      </c>
      <c r="C19" s="2172" t="s">
        <v>31</v>
      </c>
      <c r="D19" s="1751">
        <f t="shared" si="14"/>
        <v>0</v>
      </c>
      <c r="E19" s="1940">
        <f t="shared" si="0"/>
        <v>0</v>
      </c>
      <c r="F19" s="1941">
        <v>0</v>
      </c>
      <c r="G19" s="1928">
        <f t="shared" si="15"/>
        <v>0</v>
      </c>
      <c r="H19" s="1928">
        <f t="shared" si="16"/>
        <v>0</v>
      </c>
      <c r="I19" s="1949">
        <f t="shared" si="1"/>
        <v>0</v>
      </c>
      <c r="J19" s="1949">
        <f t="shared" si="2"/>
        <v>0</v>
      </c>
      <c r="K19" s="1949">
        <f t="shared" si="3"/>
        <v>0</v>
      </c>
      <c r="L19" s="1943">
        <f t="shared" si="17"/>
        <v>0</v>
      </c>
      <c r="M19" s="587" t="s">
        <v>503</v>
      </c>
      <c r="N19" s="1905">
        <f t="shared" si="4"/>
        <v>0</v>
      </c>
      <c r="O19" s="761" t="s">
        <v>25</v>
      </c>
      <c r="P19" s="1905">
        <f t="shared" si="5"/>
        <v>0</v>
      </c>
      <c r="Q19" s="1906">
        <f t="shared" si="6"/>
        <v>0</v>
      </c>
      <c r="R19" s="1957">
        <v>0</v>
      </c>
      <c r="S19" s="1907" t="s">
        <v>160</v>
      </c>
      <c r="T19" s="1752">
        <f t="shared" si="7"/>
        <v>0</v>
      </c>
      <c r="U19" s="1961">
        <v>0</v>
      </c>
      <c r="V19" s="1893" t="s">
        <v>1314</v>
      </c>
      <c r="W19" s="1963">
        <f t="shared" si="8"/>
        <v>0</v>
      </c>
      <c r="X19" s="1966">
        <f t="shared" si="18"/>
        <v>0</v>
      </c>
      <c r="Y19" s="1933">
        <f t="shared" si="19"/>
        <v>0</v>
      </c>
      <c r="Z19" s="2098">
        <f t="shared" si="9"/>
        <v>0</v>
      </c>
      <c r="AA19" s="1933">
        <f t="shared" si="10"/>
        <v>0</v>
      </c>
      <c r="AB19" s="1736"/>
      <c r="AC19" s="1281">
        <f t="shared" si="11"/>
        <v>12</v>
      </c>
      <c r="AD19" s="1281" t="str">
        <f t="shared" si="12"/>
        <v>keine</v>
      </c>
      <c r="AE19" s="1329"/>
      <c r="AF19" s="1330" t="s">
        <v>795</v>
      </c>
      <c r="AG19" s="1424">
        <v>0</v>
      </c>
      <c r="AH19" s="1033">
        <f>VLOOKUP(AF19,Düngemittel!$B$6:$E$64,2,FALSE)*(VLOOKUP(AF19,Düngemittel!$B$6:$E$64,3,FALSE))/100*AG19</f>
        <v>0</v>
      </c>
      <c r="AI19" s="1033">
        <f>VLOOKUP(AF19,Düngemittel!$B$6:$E$64,2,FALSE)*AG19</f>
        <v>0</v>
      </c>
      <c r="AJ19" s="1033">
        <f>VLOOKUP(AF19,Düngemittel!$B$6:$E$64,4,FALSE)*AG19</f>
        <v>0</v>
      </c>
      <c r="AK19" s="2081"/>
      <c r="AL19" s="1329"/>
      <c r="AM19" s="1330" t="s">
        <v>795</v>
      </c>
      <c r="AN19" s="1424">
        <v>0</v>
      </c>
      <c r="AO19" s="1033">
        <f>VLOOKUP(AM19,Düngemittel!$B$6:$E$64,2,FALSE)*(VLOOKUP(AM19,Düngemittel!$B$6:$E$64,3,FALSE))/100*AN19</f>
        <v>0</v>
      </c>
      <c r="AP19" s="1033">
        <f>VLOOKUP(AM19,Düngemittel!$B$6:$E$64,2,FALSE)*AN19</f>
        <v>0</v>
      </c>
      <c r="AQ19" s="1033">
        <f>VLOOKUP(AM19,Düngemittel!$B$6:$E$64,4,FALSE)*AN19</f>
        <v>0</v>
      </c>
      <c r="AR19" s="2081"/>
      <c r="AS19" s="1329"/>
      <c r="AT19" s="1330" t="s">
        <v>795</v>
      </c>
      <c r="AU19" s="1424">
        <v>0</v>
      </c>
      <c r="AV19" s="1033">
        <f>VLOOKUP(AT19,Düngemittel!$B$6:$E$64,2,FALSE)*(VLOOKUP(AT19,Düngemittel!$B$6:$E$64,3,FALSE))/100*AU19</f>
        <v>0</v>
      </c>
      <c r="AW19" s="1033">
        <f>VLOOKUP(AT19,Düngemittel!$B$6:$E$64,2,FALSE)*AU19</f>
        <v>0</v>
      </c>
      <c r="AX19" s="1033">
        <f>VLOOKUP(AT19,Düngemittel!$B$6:$E$64,4,FALSE)*AU19</f>
        <v>0</v>
      </c>
      <c r="AY19" s="2081"/>
      <c r="AZ19" s="1329"/>
      <c r="BA19" s="1330" t="s">
        <v>795</v>
      </c>
      <c r="BB19" s="1424">
        <v>0</v>
      </c>
      <c r="BC19" s="1033">
        <f>VLOOKUP(BA19,Düngemittel!$B$6:$E$64,2,FALSE)*(VLOOKUP(BA19,Düngemittel!$B$6:$E$64,3,FALSE))/100*BB19</f>
        <v>0</v>
      </c>
      <c r="BD19" s="1033">
        <f>VLOOKUP(BA19,Düngemittel!$B$6:$E$64,2,FALSE)*BB19</f>
        <v>0</v>
      </c>
      <c r="BE19" s="1033">
        <f>VLOOKUP(BA19,Düngemittel!$B$6:$E$64,4,FALSE)*BB19</f>
        <v>0</v>
      </c>
      <c r="BF19" s="2081"/>
      <c r="BG19" s="1329"/>
      <c r="BH19" s="1330" t="s">
        <v>795</v>
      </c>
      <c r="BI19" s="1424">
        <v>0</v>
      </c>
      <c r="BJ19" s="1033">
        <f>VLOOKUP(BH19,Düngemittel!$B$6:$E$64,2,FALSE)*(VLOOKUP(BH19,Düngemittel!$B$6:$E$64,3,FALSE))/100*BI19</f>
        <v>0</v>
      </c>
      <c r="BK19" s="1033">
        <f>VLOOKUP(BH19,Düngemittel!$B$6:$E$64,2,FALSE)*BI19</f>
        <v>0</v>
      </c>
      <c r="BL19" s="1033">
        <f>VLOOKUP(BH19,Düngemittel!$B$6:$E$64,4,FALSE)*BI19</f>
        <v>0</v>
      </c>
      <c r="BM19" s="1736"/>
      <c r="BN19" s="1282">
        <f t="shared" si="20"/>
        <v>0</v>
      </c>
      <c r="BO19" s="1745">
        <f t="shared" si="21"/>
        <v>0</v>
      </c>
      <c r="BP19" s="1282">
        <f t="shared" si="21"/>
        <v>0</v>
      </c>
      <c r="BQ19" s="1138">
        <f t="shared" si="22"/>
        <v>0</v>
      </c>
      <c r="BR19" s="1745">
        <f t="shared" si="23"/>
        <v>0</v>
      </c>
      <c r="BS19" s="95"/>
      <c r="BT19" s="1135">
        <f t="shared" si="24"/>
        <v>0</v>
      </c>
      <c r="BU19" s="1135">
        <f t="shared" si="13"/>
        <v>0</v>
      </c>
      <c r="BV19" s="1135">
        <f t="shared" si="13"/>
        <v>0</v>
      </c>
      <c r="BW19" s="1807">
        <f t="shared" si="13"/>
        <v>0</v>
      </c>
      <c r="BX19" s="1135">
        <f t="shared" si="13"/>
        <v>0</v>
      </c>
      <c r="BY19" s="1736"/>
      <c r="CA19">
        <v>0</v>
      </c>
      <c r="CB19">
        <v>0</v>
      </c>
      <c r="CD19" s="2141" t="s">
        <v>1346</v>
      </c>
      <c r="CE19" s="33">
        <v>200</v>
      </c>
      <c r="CF19" s="33">
        <v>85</v>
      </c>
      <c r="CG19" s="33">
        <v>20</v>
      </c>
      <c r="CH19" s="323">
        <v>20</v>
      </c>
      <c r="CI19" s="323">
        <v>20</v>
      </c>
      <c r="CJ19" s="323">
        <f t="shared" si="25"/>
        <v>13.333333333333334</v>
      </c>
      <c r="CK19" s="323">
        <v>5</v>
      </c>
      <c r="CL19" s="323">
        <v>30</v>
      </c>
      <c r="CM19" s="1001">
        <v>9.1999999999999998E-2</v>
      </c>
    </row>
    <row r="20" spans="1:91" ht="27" customHeight="1">
      <c r="A20" s="1750">
        <v>13</v>
      </c>
      <c r="B20" s="2169">
        <v>0</v>
      </c>
      <c r="C20" s="2172" t="s">
        <v>31</v>
      </c>
      <c r="D20" s="1751">
        <f t="shared" si="14"/>
        <v>0</v>
      </c>
      <c r="E20" s="1940">
        <f t="shared" si="0"/>
        <v>0</v>
      </c>
      <c r="F20" s="1941">
        <v>0</v>
      </c>
      <c r="G20" s="1928">
        <f t="shared" si="15"/>
        <v>0</v>
      </c>
      <c r="H20" s="1928">
        <f t="shared" si="16"/>
        <v>0</v>
      </c>
      <c r="I20" s="1949">
        <f t="shared" si="1"/>
        <v>0</v>
      </c>
      <c r="J20" s="1949">
        <f t="shared" si="2"/>
        <v>0</v>
      </c>
      <c r="K20" s="1949">
        <f t="shared" si="3"/>
        <v>0</v>
      </c>
      <c r="L20" s="1943">
        <f t="shared" si="17"/>
        <v>0</v>
      </c>
      <c r="M20" s="587" t="s">
        <v>503</v>
      </c>
      <c r="N20" s="1905">
        <f t="shared" si="4"/>
        <v>0</v>
      </c>
      <c r="O20" s="761" t="s">
        <v>25</v>
      </c>
      <c r="P20" s="1905">
        <f t="shared" si="5"/>
        <v>0</v>
      </c>
      <c r="Q20" s="1906">
        <f t="shared" si="6"/>
        <v>0</v>
      </c>
      <c r="R20" s="1957">
        <v>0</v>
      </c>
      <c r="S20" s="1907" t="s">
        <v>160</v>
      </c>
      <c r="T20" s="1752">
        <f t="shared" si="7"/>
        <v>0</v>
      </c>
      <c r="U20" s="1961">
        <v>0</v>
      </c>
      <c r="V20" s="1893" t="s">
        <v>1314</v>
      </c>
      <c r="W20" s="1963">
        <f t="shared" si="8"/>
        <v>0</v>
      </c>
      <c r="X20" s="1966">
        <f t="shared" si="18"/>
        <v>0</v>
      </c>
      <c r="Y20" s="1933">
        <f t="shared" si="19"/>
        <v>0</v>
      </c>
      <c r="Z20" s="2098">
        <f t="shared" si="9"/>
        <v>0</v>
      </c>
      <c r="AA20" s="1933">
        <f t="shared" si="10"/>
        <v>0</v>
      </c>
      <c r="AB20" s="1736"/>
      <c r="AC20" s="1281">
        <f t="shared" si="11"/>
        <v>13</v>
      </c>
      <c r="AD20" s="1281" t="str">
        <f t="shared" si="12"/>
        <v>keine</v>
      </c>
      <c r="AE20" s="1329"/>
      <c r="AF20" s="1330" t="s">
        <v>795</v>
      </c>
      <c r="AG20" s="1424">
        <v>0</v>
      </c>
      <c r="AH20" s="1033">
        <f>VLOOKUP(AF20,Düngemittel!$B$6:$E$64,2,FALSE)*(VLOOKUP(AF20,Düngemittel!$B$6:$E$64,3,FALSE))/100*AG20</f>
        <v>0</v>
      </c>
      <c r="AI20" s="1033">
        <f>VLOOKUP(AF20,Düngemittel!$B$6:$E$64,2,FALSE)*AG20</f>
        <v>0</v>
      </c>
      <c r="AJ20" s="1033">
        <f>VLOOKUP(AF20,Düngemittel!$B$6:$E$64,4,FALSE)*AG20</f>
        <v>0</v>
      </c>
      <c r="AK20" s="2081"/>
      <c r="AL20" s="1329"/>
      <c r="AM20" s="1330" t="s">
        <v>795</v>
      </c>
      <c r="AN20" s="1424">
        <v>0</v>
      </c>
      <c r="AO20" s="1033">
        <f>VLOOKUP(AM20,Düngemittel!$B$6:$E$64,2,FALSE)*(VLOOKUP(AM20,Düngemittel!$B$6:$E$64,3,FALSE))/100*AN20</f>
        <v>0</v>
      </c>
      <c r="AP20" s="1033">
        <f>VLOOKUP(AM20,Düngemittel!$B$6:$E$64,2,FALSE)*AN20</f>
        <v>0</v>
      </c>
      <c r="AQ20" s="1033">
        <f>VLOOKUP(AM20,Düngemittel!$B$6:$E$64,4,FALSE)*AN20</f>
        <v>0</v>
      </c>
      <c r="AR20" s="2081"/>
      <c r="AS20" s="1329"/>
      <c r="AT20" s="1330" t="s">
        <v>795</v>
      </c>
      <c r="AU20" s="1424">
        <v>0</v>
      </c>
      <c r="AV20" s="1033">
        <f>VLOOKUP(AT20,Düngemittel!$B$6:$E$64,2,FALSE)*(VLOOKUP(AT20,Düngemittel!$B$6:$E$64,3,FALSE))/100*AU20</f>
        <v>0</v>
      </c>
      <c r="AW20" s="1033">
        <f>VLOOKUP(AT20,Düngemittel!$B$6:$E$64,2,FALSE)*AU20</f>
        <v>0</v>
      </c>
      <c r="AX20" s="1033">
        <f>VLOOKUP(AT20,Düngemittel!$B$6:$E$64,4,FALSE)*AU20</f>
        <v>0</v>
      </c>
      <c r="AY20" s="2081"/>
      <c r="AZ20" s="1329"/>
      <c r="BA20" s="1330" t="s">
        <v>795</v>
      </c>
      <c r="BB20" s="1424">
        <v>0</v>
      </c>
      <c r="BC20" s="1033">
        <f>VLOOKUP(BA20,Düngemittel!$B$6:$E$64,2,FALSE)*(VLOOKUP(BA20,Düngemittel!$B$6:$E$64,3,FALSE))/100*BB20</f>
        <v>0</v>
      </c>
      <c r="BD20" s="1033">
        <f>VLOOKUP(BA20,Düngemittel!$B$6:$E$64,2,FALSE)*BB20</f>
        <v>0</v>
      </c>
      <c r="BE20" s="1033">
        <f>VLOOKUP(BA20,Düngemittel!$B$6:$E$64,4,FALSE)*BB20</f>
        <v>0</v>
      </c>
      <c r="BF20" s="2081"/>
      <c r="BG20" s="1329"/>
      <c r="BH20" s="1330" t="s">
        <v>795</v>
      </c>
      <c r="BI20" s="1424">
        <v>0</v>
      </c>
      <c r="BJ20" s="1033">
        <f>VLOOKUP(BH20,Düngemittel!$B$6:$E$64,2,FALSE)*(VLOOKUP(BH20,Düngemittel!$B$6:$E$64,3,FALSE))/100*BI20</f>
        <v>0</v>
      </c>
      <c r="BK20" s="1033">
        <f>VLOOKUP(BH20,Düngemittel!$B$6:$E$64,2,FALSE)*BI20</f>
        <v>0</v>
      </c>
      <c r="BL20" s="1033">
        <f>VLOOKUP(BH20,Düngemittel!$B$6:$E$64,4,FALSE)*BI20</f>
        <v>0</v>
      </c>
      <c r="BM20" s="1736"/>
      <c r="BN20" s="1282">
        <f t="shared" si="20"/>
        <v>0</v>
      </c>
      <c r="BO20" s="1745">
        <f t="shared" si="21"/>
        <v>0</v>
      </c>
      <c r="BP20" s="1282">
        <f t="shared" si="21"/>
        <v>0</v>
      </c>
      <c r="BQ20" s="1138">
        <f t="shared" si="22"/>
        <v>0</v>
      </c>
      <c r="BR20" s="1745">
        <f t="shared" si="23"/>
        <v>0</v>
      </c>
      <c r="BS20" s="95"/>
      <c r="BT20" s="1135">
        <f t="shared" si="24"/>
        <v>0</v>
      </c>
      <c r="BU20" s="1135">
        <f t="shared" si="13"/>
        <v>0</v>
      </c>
      <c r="BV20" s="1135">
        <f t="shared" si="13"/>
        <v>0</v>
      </c>
      <c r="BW20" s="1807">
        <f t="shared" si="13"/>
        <v>0</v>
      </c>
      <c r="BX20" s="1135">
        <f t="shared" si="13"/>
        <v>0</v>
      </c>
      <c r="BY20" s="1736"/>
      <c r="CA20">
        <v>0</v>
      </c>
      <c r="CB20">
        <v>0</v>
      </c>
      <c r="CD20" s="2141" t="s">
        <v>1347</v>
      </c>
      <c r="CE20" s="33">
        <v>250</v>
      </c>
      <c r="CF20" s="33">
        <v>105</v>
      </c>
      <c r="CG20" s="33">
        <v>20</v>
      </c>
      <c r="CH20" s="323">
        <v>20</v>
      </c>
      <c r="CI20" s="323">
        <v>20</v>
      </c>
      <c r="CJ20" s="323">
        <f t="shared" si="25"/>
        <v>13.333333333333334</v>
      </c>
      <c r="CK20" s="323">
        <v>25</v>
      </c>
      <c r="CL20" s="323">
        <v>30</v>
      </c>
      <c r="CM20" s="1001">
        <v>9.1999999999999998E-2</v>
      </c>
    </row>
    <row r="21" spans="1:91" ht="27" customHeight="1">
      <c r="A21" s="1750">
        <v>14</v>
      </c>
      <c r="B21" s="2169">
        <v>0</v>
      </c>
      <c r="C21" s="2172" t="s">
        <v>31</v>
      </c>
      <c r="D21" s="1751">
        <f t="shared" si="14"/>
        <v>0</v>
      </c>
      <c r="E21" s="1940">
        <f t="shared" si="0"/>
        <v>0</v>
      </c>
      <c r="F21" s="1941">
        <v>0</v>
      </c>
      <c r="G21" s="1928">
        <f t="shared" si="15"/>
        <v>0</v>
      </c>
      <c r="H21" s="1928">
        <f t="shared" si="16"/>
        <v>0</v>
      </c>
      <c r="I21" s="1949">
        <f t="shared" si="1"/>
        <v>0</v>
      </c>
      <c r="J21" s="1949">
        <f t="shared" si="2"/>
        <v>0</v>
      </c>
      <c r="K21" s="1949">
        <f t="shared" si="3"/>
        <v>0</v>
      </c>
      <c r="L21" s="1943">
        <f t="shared" si="17"/>
        <v>0</v>
      </c>
      <c r="M21" s="587" t="s">
        <v>503</v>
      </c>
      <c r="N21" s="1905">
        <f t="shared" si="4"/>
        <v>0</v>
      </c>
      <c r="O21" s="761" t="s">
        <v>25</v>
      </c>
      <c r="P21" s="1905">
        <f t="shared" si="5"/>
        <v>0</v>
      </c>
      <c r="Q21" s="1906">
        <f t="shared" si="6"/>
        <v>0</v>
      </c>
      <c r="R21" s="1957">
        <v>0</v>
      </c>
      <c r="S21" s="1907" t="s">
        <v>160</v>
      </c>
      <c r="T21" s="1752">
        <f t="shared" si="7"/>
        <v>0</v>
      </c>
      <c r="U21" s="1961">
        <v>0</v>
      </c>
      <c r="V21" s="1893" t="s">
        <v>1314</v>
      </c>
      <c r="W21" s="1963">
        <f t="shared" si="8"/>
        <v>0</v>
      </c>
      <c r="X21" s="1966">
        <f t="shared" si="18"/>
        <v>0</v>
      </c>
      <c r="Y21" s="1933">
        <f t="shared" si="19"/>
        <v>0</v>
      </c>
      <c r="Z21" s="2098">
        <f t="shared" si="9"/>
        <v>0</v>
      </c>
      <c r="AA21" s="1933">
        <f t="shared" si="10"/>
        <v>0</v>
      </c>
      <c r="AB21" s="1736"/>
      <c r="AC21" s="1281">
        <f t="shared" si="11"/>
        <v>14</v>
      </c>
      <c r="AD21" s="1281" t="str">
        <f t="shared" si="12"/>
        <v>keine</v>
      </c>
      <c r="AE21" s="1329"/>
      <c r="AF21" s="1330" t="s">
        <v>795</v>
      </c>
      <c r="AG21" s="1424">
        <v>0</v>
      </c>
      <c r="AH21" s="1033">
        <f>VLOOKUP(AF21,Düngemittel!$B$6:$E$64,2,FALSE)*(VLOOKUP(AF21,Düngemittel!$B$6:$E$64,3,FALSE))/100*AG21</f>
        <v>0</v>
      </c>
      <c r="AI21" s="1033">
        <f>VLOOKUP(AF21,Düngemittel!$B$6:$E$64,2,FALSE)*AG21</f>
        <v>0</v>
      </c>
      <c r="AJ21" s="1033">
        <f>VLOOKUP(AF21,Düngemittel!$B$6:$E$64,4,FALSE)*AG21</f>
        <v>0</v>
      </c>
      <c r="AK21" s="2081"/>
      <c r="AL21" s="1329"/>
      <c r="AM21" s="1330" t="s">
        <v>795</v>
      </c>
      <c r="AN21" s="1424">
        <v>0</v>
      </c>
      <c r="AO21" s="1033">
        <f>VLOOKUP(AM21,Düngemittel!$B$6:$E$64,2,FALSE)*(VLOOKUP(AM21,Düngemittel!$B$6:$E$64,3,FALSE))/100*AN21</f>
        <v>0</v>
      </c>
      <c r="AP21" s="1033">
        <f>VLOOKUP(AM21,Düngemittel!$B$6:$E$64,2,FALSE)*AN21</f>
        <v>0</v>
      </c>
      <c r="AQ21" s="1033">
        <f>VLOOKUP(AM21,Düngemittel!$B$6:$E$64,4,FALSE)*AN21</f>
        <v>0</v>
      </c>
      <c r="AR21" s="2081"/>
      <c r="AS21" s="1329"/>
      <c r="AT21" s="1330" t="s">
        <v>795</v>
      </c>
      <c r="AU21" s="1424">
        <v>0</v>
      </c>
      <c r="AV21" s="1033">
        <f>VLOOKUP(AT21,Düngemittel!$B$6:$E$64,2,FALSE)*(VLOOKUP(AT21,Düngemittel!$B$6:$E$64,3,FALSE))/100*AU21</f>
        <v>0</v>
      </c>
      <c r="AW21" s="1033">
        <f>VLOOKUP(AT21,Düngemittel!$B$6:$E$64,2,FALSE)*AU21</f>
        <v>0</v>
      </c>
      <c r="AX21" s="1033">
        <f>VLOOKUP(AT21,Düngemittel!$B$6:$E$64,4,FALSE)*AU21</f>
        <v>0</v>
      </c>
      <c r="AY21" s="2081"/>
      <c r="AZ21" s="1329"/>
      <c r="BA21" s="1330" t="s">
        <v>795</v>
      </c>
      <c r="BB21" s="1424">
        <v>0</v>
      </c>
      <c r="BC21" s="1033">
        <f>VLOOKUP(BA21,Düngemittel!$B$6:$E$64,2,FALSE)*(VLOOKUP(BA21,Düngemittel!$B$6:$E$64,3,FALSE))/100*BB21</f>
        <v>0</v>
      </c>
      <c r="BD21" s="1033">
        <f>VLOOKUP(BA21,Düngemittel!$B$6:$E$64,2,FALSE)*BB21</f>
        <v>0</v>
      </c>
      <c r="BE21" s="1033">
        <f>VLOOKUP(BA21,Düngemittel!$B$6:$E$64,4,FALSE)*BB21</f>
        <v>0</v>
      </c>
      <c r="BF21" s="2081"/>
      <c r="BG21" s="1329"/>
      <c r="BH21" s="1330" t="s">
        <v>795</v>
      </c>
      <c r="BI21" s="1424">
        <v>0</v>
      </c>
      <c r="BJ21" s="1033">
        <f>VLOOKUP(BH21,Düngemittel!$B$6:$E$64,2,FALSE)*(VLOOKUP(BH21,Düngemittel!$B$6:$E$64,3,FALSE))/100*BI21</f>
        <v>0</v>
      </c>
      <c r="BK21" s="1033">
        <f>VLOOKUP(BH21,Düngemittel!$B$6:$E$64,2,FALSE)*BI21</f>
        <v>0</v>
      </c>
      <c r="BL21" s="1033">
        <f>VLOOKUP(BH21,Düngemittel!$B$6:$E$64,4,FALSE)*BI21</f>
        <v>0</v>
      </c>
      <c r="BM21" s="1736"/>
      <c r="BN21" s="1282">
        <f t="shared" si="20"/>
        <v>0</v>
      </c>
      <c r="BO21" s="1745">
        <f t="shared" si="21"/>
        <v>0</v>
      </c>
      <c r="BP21" s="1282">
        <f t="shared" si="21"/>
        <v>0</v>
      </c>
      <c r="BQ21" s="1138">
        <f t="shared" si="22"/>
        <v>0</v>
      </c>
      <c r="BR21" s="1745">
        <f t="shared" si="23"/>
        <v>0</v>
      </c>
      <c r="BS21" s="95"/>
      <c r="BT21" s="1135">
        <f t="shared" si="24"/>
        <v>0</v>
      </c>
      <c r="BU21" s="1135">
        <f t="shared" si="13"/>
        <v>0</v>
      </c>
      <c r="BV21" s="1135">
        <f t="shared" si="13"/>
        <v>0</v>
      </c>
      <c r="BW21" s="1807">
        <f t="shared" si="13"/>
        <v>0</v>
      </c>
      <c r="BX21" s="1135">
        <f t="shared" si="13"/>
        <v>0</v>
      </c>
      <c r="BY21" s="1736"/>
      <c r="CA21">
        <v>0</v>
      </c>
      <c r="CB21">
        <v>0</v>
      </c>
      <c r="CD21" s="2154" t="s">
        <v>1487</v>
      </c>
      <c r="CE21" s="33">
        <v>50</v>
      </c>
      <c r="CF21" s="33">
        <v>85</v>
      </c>
      <c r="CG21" s="33">
        <v>10</v>
      </c>
      <c r="CH21" s="2153">
        <v>4</v>
      </c>
      <c r="CI21" s="2153">
        <v>4</v>
      </c>
      <c r="CJ21" s="2161">
        <v>0</v>
      </c>
      <c r="CK21" s="2161">
        <v>0</v>
      </c>
      <c r="CL21" s="2161">
        <v>30</v>
      </c>
      <c r="CM21" s="2157">
        <v>0.17</v>
      </c>
    </row>
    <row r="22" spans="1:91" ht="27" customHeight="1">
      <c r="A22" s="1750">
        <v>15</v>
      </c>
      <c r="B22" s="2169">
        <v>0</v>
      </c>
      <c r="C22" s="2172" t="s">
        <v>31</v>
      </c>
      <c r="D22" s="1751">
        <f t="shared" si="14"/>
        <v>0</v>
      </c>
      <c r="E22" s="1940">
        <f t="shared" si="0"/>
        <v>0</v>
      </c>
      <c r="F22" s="1941">
        <v>0</v>
      </c>
      <c r="G22" s="1928">
        <f t="shared" si="15"/>
        <v>0</v>
      </c>
      <c r="H22" s="1928">
        <f t="shared" si="16"/>
        <v>0</v>
      </c>
      <c r="I22" s="1949">
        <f t="shared" si="1"/>
        <v>0</v>
      </c>
      <c r="J22" s="1949">
        <f t="shared" si="2"/>
        <v>0</v>
      </c>
      <c r="K22" s="1949">
        <f t="shared" si="3"/>
        <v>0</v>
      </c>
      <c r="L22" s="1943">
        <f t="shared" si="17"/>
        <v>0</v>
      </c>
      <c r="M22" s="587" t="s">
        <v>503</v>
      </c>
      <c r="N22" s="1905">
        <f t="shared" si="4"/>
        <v>0</v>
      </c>
      <c r="O22" s="761" t="s">
        <v>25</v>
      </c>
      <c r="P22" s="1905">
        <f t="shared" si="5"/>
        <v>0</v>
      </c>
      <c r="Q22" s="1906">
        <f t="shared" si="6"/>
        <v>0</v>
      </c>
      <c r="R22" s="1957">
        <v>0</v>
      </c>
      <c r="S22" s="1907" t="s">
        <v>160</v>
      </c>
      <c r="T22" s="1752">
        <f t="shared" si="7"/>
        <v>0</v>
      </c>
      <c r="U22" s="1961">
        <v>0</v>
      </c>
      <c r="V22" s="1893" t="s">
        <v>1314</v>
      </c>
      <c r="W22" s="1963">
        <f t="shared" si="8"/>
        <v>0</v>
      </c>
      <c r="X22" s="1966">
        <f t="shared" si="18"/>
        <v>0</v>
      </c>
      <c r="Y22" s="1933">
        <f t="shared" si="19"/>
        <v>0</v>
      </c>
      <c r="Z22" s="2098">
        <f t="shared" si="9"/>
        <v>0</v>
      </c>
      <c r="AA22" s="1933">
        <f t="shared" si="10"/>
        <v>0</v>
      </c>
      <c r="AB22" s="1736"/>
      <c r="AC22" s="1281">
        <f t="shared" si="11"/>
        <v>15</v>
      </c>
      <c r="AD22" s="1281" t="str">
        <f t="shared" si="12"/>
        <v>keine</v>
      </c>
      <c r="AE22" s="1329"/>
      <c r="AF22" s="1330" t="s">
        <v>795</v>
      </c>
      <c r="AG22" s="1424">
        <v>0</v>
      </c>
      <c r="AH22" s="1033">
        <f>VLOOKUP(AF22,Düngemittel!$B$6:$E$64,2,FALSE)*(VLOOKUP(AF22,Düngemittel!$B$6:$E$64,3,FALSE))/100*AG22</f>
        <v>0</v>
      </c>
      <c r="AI22" s="1033">
        <f>VLOOKUP(AF22,Düngemittel!$B$6:$E$64,2,FALSE)*AG22</f>
        <v>0</v>
      </c>
      <c r="AJ22" s="1033">
        <f>VLOOKUP(AF22,Düngemittel!$B$6:$E$64,4,FALSE)*AG22</f>
        <v>0</v>
      </c>
      <c r="AK22" s="2081"/>
      <c r="AL22" s="1329"/>
      <c r="AM22" s="1330" t="s">
        <v>795</v>
      </c>
      <c r="AN22" s="1424">
        <v>0</v>
      </c>
      <c r="AO22" s="1033">
        <f>VLOOKUP(AM22,Düngemittel!$B$6:$E$64,2,FALSE)*(VLOOKUP(AM22,Düngemittel!$B$6:$E$64,3,FALSE))/100*AN22</f>
        <v>0</v>
      </c>
      <c r="AP22" s="1033">
        <f>VLOOKUP(AM22,Düngemittel!$B$6:$E$64,2,FALSE)*AN22</f>
        <v>0</v>
      </c>
      <c r="AQ22" s="1033">
        <f>VLOOKUP(AM22,Düngemittel!$B$6:$E$64,4,FALSE)*AN22</f>
        <v>0</v>
      </c>
      <c r="AR22" s="2081"/>
      <c r="AS22" s="1329"/>
      <c r="AT22" s="1330" t="s">
        <v>795</v>
      </c>
      <c r="AU22" s="1424">
        <v>0</v>
      </c>
      <c r="AV22" s="1033">
        <f>VLOOKUP(AT22,Düngemittel!$B$6:$E$64,2,FALSE)*(VLOOKUP(AT22,Düngemittel!$B$6:$E$64,3,FALSE))/100*AU22</f>
        <v>0</v>
      </c>
      <c r="AW22" s="1033">
        <f>VLOOKUP(AT22,Düngemittel!$B$6:$E$64,2,FALSE)*AU22</f>
        <v>0</v>
      </c>
      <c r="AX22" s="1033">
        <f>VLOOKUP(AT22,Düngemittel!$B$6:$E$64,4,FALSE)*AU22</f>
        <v>0</v>
      </c>
      <c r="AY22" s="2081"/>
      <c r="AZ22" s="1329"/>
      <c r="BA22" s="1330" t="s">
        <v>795</v>
      </c>
      <c r="BB22" s="1424">
        <v>0</v>
      </c>
      <c r="BC22" s="1033">
        <f>VLOOKUP(BA22,Düngemittel!$B$6:$E$64,2,FALSE)*(VLOOKUP(BA22,Düngemittel!$B$6:$E$64,3,FALSE))/100*BB22</f>
        <v>0</v>
      </c>
      <c r="BD22" s="1033">
        <f>VLOOKUP(BA22,Düngemittel!$B$6:$E$64,2,FALSE)*BB22</f>
        <v>0</v>
      </c>
      <c r="BE22" s="1033">
        <f>VLOOKUP(BA22,Düngemittel!$B$6:$E$64,4,FALSE)*BB22</f>
        <v>0</v>
      </c>
      <c r="BF22" s="2081"/>
      <c r="BG22" s="1329"/>
      <c r="BH22" s="1330" t="s">
        <v>795</v>
      </c>
      <c r="BI22" s="1424">
        <v>0</v>
      </c>
      <c r="BJ22" s="1033">
        <f>VLOOKUP(BH22,Düngemittel!$B$6:$E$64,2,FALSE)*(VLOOKUP(BH22,Düngemittel!$B$6:$E$64,3,FALSE))/100*BI22</f>
        <v>0</v>
      </c>
      <c r="BK22" s="1033">
        <f>VLOOKUP(BH22,Düngemittel!$B$6:$E$64,2,FALSE)*BI22</f>
        <v>0</v>
      </c>
      <c r="BL22" s="1033">
        <f>VLOOKUP(BH22,Düngemittel!$B$6:$E$64,4,FALSE)*BI22</f>
        <v>0</v>
      </c>
      <c r="BM22" s="1736"/>
      <c r="BN22" s="1282">
        <f t="shared" si="20"/>
        <v>0</v>
      </c>
      <c r="BO22" s="1745">
        <f t="shared" si="21"/>
        <v>0</v>
      </c>
      <c r="BP22" s="1282">
        <f t="shared" si="21"/>
        <v>0</v>
      </c>
      <c r="BQ22" s="1138">
        <f t="shared" si="22"/>
        <v>0</v>
      </c>
      <c r="BR22" s="1745">
        <f t="shared" si="23"/>
        <v>0</v>
      </c>
      <c r="BS22" s="95"/>
      <c r="BT22" s="1135">
        <f t="shared" si="24"/>
        <v>0</v>
      </c>
      <c r="BU22" s="1135">
        <f t="shared" si="13"/>
        <v>0</v>
      </c>
      <c r="BV22" s="1135">
        <f t="shared" si="13"/>
        <v>0</v>
      </c>
      <c r="BW22" s="1807">
        <f t="shared" si="13"/>
        <v>0</v>
      </c>
      <c r="BX22" s="1135">
        <f t="shared" si="13"/>
        <v>0</v>
      </c>
      <c r="BY22" s="1736"/>
      <c r="CA22">
        <v>0</v>
      </c>
      <c r="CB22">
        <v>0</v>
      </c>
      <c r="CD22" s="2141" t="s">
        <v>1348</v>
      </c>
      <c r="CE22" s="33">
        <v>140</v>
      </c>
      <c r="CF22" s="33">
        <v>60</v>
      </c>
      <c r="CG22" s="33">
        <v>20</v>
      </c>
      <c r="CH22" s="323">
        <v>20</v>
      </c>
      <c r="CI22" s="323">
        <v>20</v>
      </c>
      <c r="CJ22" s="323">
        <f t="shared" si="25"/>
        <v>13.333333333333334</v>
      </c>
      <c r="CK22" s="323">
        <v>0</v>
      </c>
      <c r="CL22" s="323">
        <v>30</v>
      </c>
      <c r="CM22" s="1001">
        <v>0.05</v>
      </c>
    </row>
    <row r="23" spans="1:91" ht="27" customHeight="1">
      <c r="A23" s="1750">
        <v>16</v>
      </c>
      <c r="B23" s="2169">
        <v>0</v>
      </c>
      <c r="C23" s="2172" t="s">
        <v>31</v>
      </c>
      <c r="D23" s="1751">
        <f t="shared" si="14"/>
        <v>0</v>
      </c>
      <c r="E23" s="1940">
        <f t="shared" si="0"/>
        <v>0</v>
      </c>
      <c r="F23" s="1941">
        <v>0</v>
      </c>
      <c r="G23" s="1928">
        <f t="shared" si="15"/>
        <v>0</v>
      </c>
      <c r="H23" s="1928">
        <f t="shared" si="16"/>
        <v>0</v>
      </c>
      <c r="I23" s="1949">
        <f t="shared" si="1"/>
        <v>0</v>
      </c>
      <c r="J23" s="1949">
        <f t="shared" si="2"/>
        <v>0</v>
      </c>
      <c r="K23" s="1949">
        <f t="shared" si="3"/>
        <v>0</v>
      </c>
      <c r="L23" s="1943">
        <f t="shared" si="17"/>
        <v>0</v>
      </c>
      <c r="M23" s="587" t="s">
        <v>503</v>
      </c>
      <c r="N23" s="1905">
        <f t="shared" si="4"/>
        <v>0</v>
      </c>
      <c r="O23" s="761" t="s">
        <v>25</v>
      </c>
      <c r="P23" s="1905">
        <f t="shared" si="5"/>
        <v>0</v>
      </c>
      <c r="Q23" s="1906">
        <f t="shared" si="6"/>
        <v>0</v>
      </c>
      <c r="R23" s="1957">
        <v>0</v>
      </c>
      <c r="S23" s="1907" t="s">
        <v>160</v>
      </c>
      <c r="T23" s="1752">
        <f t="shared" si="7"/>
        <v>0</v>
      </c>
      <c r="U23" s="1961">
        <v>0</v>
      </c>
      <c r="V23" s="1893" t="s">
        <v>1314</v>
      </c>
      <c r="W23" s="1963">
        <f t="shared" si="8"/>
        <v>0</v>
      </c>
      <c r="X23" s="1966">
        <f t="shared" si="18"/>
        <v>0</v>
      </c>
      <c r="Y23" s="1933">
        <f t="shared" si="19"/>
        <v>0</v>
      </c>
      <c r="Z23" s="2098">
        <f t="shared" si="9"/>
        <v>0</v>
      </c>
      <c r="AA23" s="1933">
        <f t="shared" si="10"/>
        <v>0</v>
      </c>
      <c r="AB23" s="1736"/>
      <c r="AC23" s="1281">
        <f t="shared" si="11"/>
        <v>16</v>
      </c>
      <c r="AD23" s="1281" t="str">
        <f t="shared" si="12"/>
        <v>keine</v>
      </c>
      <c r="AE23" s="1329"/>
      <c r="AF23" s="1330" t="s">
        <v>795</v>
      </c>
      <c r="AG23" s="1424">
        <v>0</v>
      </c>
      <c r="AH23" s="1033">
        <f>VLOOKUP(AF23,Düngemittel!$B$6:$E$64,2,FALSE)*(VLOOKUP(AF23,Düngemittel!$B$6:$E$64,3,FALSE))/100*AG23</f>
        <v>0</v>
      </c>
      <c r="AI23" s="1033">
        <f>VLOOKUP(AF23,Düngemittel!$B$6:$E$64,2,FALSE)*AG23</f>
        <v>0</v>
      </c>
      <c r="AJ23" s="1033">
        <f>VLOOKUP(AF23,Düngemittel!$B$6:$E$64,4,FALSE)*AG23</f>
        <v>0</v>
      </c>
      <c r="AK23" s="2081"/>
      <c r="AL23" s="1329"/>
      <c r="AM23" s="1330" t="s">
        <v>795</v>
      </c>
      <c r="AN23" s="1424">
        <v>0</v>
      </c>
      <c r="AO23" s="1033">
        <f>VLOOKUP(AM23,Düngemittel!$B$6:$E$64,2,FALSE)*(VLOOKUP(AM23,Düngemittel!$B$6:$E$64,3,FALSE))/100*AN23</f>
        <v>0</v>
      </c>
      <c r="AP23" s="1033">
        <f>VLOOKUP(AM23,Düngemittel!$B$6:$E$64,2,FALSE)*AN23</f>
        <v>0</v>
      </c>
      <c r="AQ23" s="1033">
        <f>VLOOKUP(AM23,Düngemittel!$B$6:$E$64,4,FALSE)*AN23</f>
        <v>0</v>
      </c>
      <c r="AR23" s="2081"/>
      <c r="AS23" s="1329"/>
      <c r="AT23" s="1330" t="s">
        <v>795</v>
      </c>
      <c r="AU23" s="1424">
        <v>0</v>
      </c>
      <c r="AV23" s="1033">
        <f>VLOOKUP(AT23,Düngemittel!$B$6:$E$64,2,FALSE)*(VLOOKUP(AT23,Düngemittel!$B$6:$E$64,3,FALSE))/100*AU23</f>
        <v>0</v>
      </c>
      <c r="AW23" s="1033">
        <f>VLOOKUP(AT23,Düngemittel!$B$6:$E$64,2,FALSE)*AU23</f>
        <v>0</v>
      </c>
      <c r="AX23" s="1033">
        <f>VLOOKUP(AT23,Düngemittel!$B$6:$E$64,4,FALSE)*AU23</f>
        <v>0</v>
      </c>
      <c r="AY23" s="2081"/>
      <c r="AZ23" s="1329"/>
      <c r="BA23" s="1330" t="s">
        <v>795</v>
      </c>
      <c r="BB23" s="1424">
        <v>0</v>
      </c>
      <c r="BC23" s="1033">
        <f>VLOOKUP(BA23,Düngemittel!$B$6:$E$64,2,FALSE)*(VLOOKUP(BA23,Düngemittel!$B$6:$E$64,3,FALSE))/100*BB23</f>
        <v>0</v>
      </c>
      <c r="BD23" s="1033">
        <f>VLOOKUP(BA23,Düngemittel!$B$6:$E$64,2,FALSE)*BB23</f>
        <v>0</v>
      </c>
      <c r="BE23" s="1033">
        <f>VLOOKUP(BA23,Düngemittel!$B$6:$E$64,4,FALSE)*BB23</f>
        <v>0</v>
      </c>
      <c r="BF23" s="2081"/>
      <c r="BG23" s="1329"/>
      <c r="BH23" s="1330" t="s">
        <v>795</v>
      </c>
      <c r="BI23" s="1424">
        <v>0</v>
      </c>
      <c r="BJ23" s="1033">
        <f>VLOOKUP(BH23,Düngemittel!$B$6:$E$64,2,FALSE)*(VLOOKUP(BH23,Düngemittel!$B$6:$E$64,3,FALSE))/100*BI23</f>
        <v>0</v>
      </c>
      <c r="BK23" s="1033">
        <f>VLOOKUP(BH23,Düngemittel!$B$6:$E$64,2,FALSE)*BI23</f>
        <v>0</v>
      </c>
      <c r="BL23" s="1033">
        <f>VLOOKUP(BH23,Düngemittel!$B$6:$E$64,4,FALSE)*BI23</f>
        <v>0</v>
      </c>
      <c r="BM23" s="1736"/>
      <c r="BN23" s="1282">
        <f t="shared" si="20"/>
        <v>0</v>
      </c>
      <c r="BO23" s="1745">
        <f t="shared" si="21"/>
        <v>0</v>
      </c>
      <c r="BP23" s="1282">
        <f t="shared" si="21"/>
        <v>0</v>
      </c>
      <c r="BQ23" s="1138">
        <f t="shared" si="22"/>
        <v>0</v>
      </c>
      <c r="BR23" s="1745">
        <f t="shared" si="23"/>
        <v>0</v>
      </c>
      <c r="BS23" s="95"/>
      <c r="BT23" s="1135">
        <f t="shared" si="24"/>
        <v>0</v>
      </c>
      <c r="BU23" s="1135">
        <f t="shared" si="13"/>
        <v>0</v>
      </c>
      <c r="BV23" s="1135">
        <f t="shared" si="13"/>
        <v>0</v>
      </c>
      <c r="BW23" s="1807">
        <f t="shared" si="13"/>
        <v>0</v>
      </c>
      <c r="BX23" s="1135">
        <f t="shared" si="13"/>
        <v>0</v>
      </c>
      <c r="BY23" s="1736"/>
      <c r="CA23">
        <v>0</v>
      </c>
      <c r="CB23">
        <v>0</v>
      </c>
      <c r="CD23" s="2141" t="s">
        <v>1278</v>
      </c>
      <c r="CE23" s="33">
        <v>140</v>
      </c>
      <c r="CF23" s="33">
        <v>60</v>
      </c>
      <c r="CG23" s="33">
        <v>20</v>
      </c>
      <c r="CH23" s="323">
        <v>20</v>
      </c>
      <c r="CI23" s="323">
        <v>20</v>
      </c>
      <c r="CJ23" s="323">
        <f t="shared" si="25"/>
        <v>13.333333333333334</v>
      </c>
      <c r="CK23" s="323">
        <v>0</v>
      </c>
      <c r="CL23" s="323">
        <v>30</v>
      </c>
      <c r="CM23" s="1001"/>
    </row>
    <row r="24" spans="1:91" ht="27" customHeight="1">
      <c r="A24" s="1750">
        <v>17</v>
      </c>
      <c r="B24" s="2169">
        <v>0</v>
      </c>
      <c r="C24" s="2172" t="s">
        <v>31</v>
      </c>
      <c r="D24" s="1751">
        <f t="shared" si="14"/>
        <v>0</v>
      </c>
      <c r="E24" s="1940">
        <f t="shared" si="0"/>
        <v>0</v>
      </c>
      <c r="F24" s="1941">
        <v>0</v>
      </c>
      <c r="G24" s="1928">
        <f t="shared" si="15"/>
        <v>0</v>
      </c>
      <c r="H24" s="1928">
        <f t="shared" si="16"/>
        <v>0</v>
      </c>
      <c r="I24" s="1949">
        <f t="shared" si="1"/>
        <v>0</v>
      </c>
      <c r="J24" s="1949">
        <f t="shared" si="2"/>
        <v>0</v>
      </c>
      <c r="K24" s="1949">
        <f t="shared" si="3"/>
        <v>0</v>
      </c>
      <c r="L24" s="1943">
        <f t="shared" si="17"/>
        <v>0</v>
      </c>
      <c r="M24" s="587" t="s">
        <v>503</v>
      </c>
      <c r="N24" s="1905">
        <f t="shared" si="4"/>
        <v>0</v>
      </c>
      <c r="O24" s="761" t="s">
        <v>25</v>
      </c>
      <c r="P24" s="1905">
        <f t="shared" si="5"/>
        <v>0</v>
      </c>
      <c r="Q24" s="1906">
        <f t="shared" si="6"/>
        <v>0</v>
      </c>
      <c r="R24" s="1957">
        <v>0</v>
      </c>
      <c r="S24" s="1907" t="s">
        <v>160</v>
      </c>
      <c r="T24" s="1752">
        <f t="shared" si="7"/>
        <v>0</v>
      </c>
      <c r="U24" s="1961">
        <v>0</v>
      </c>
      <c r="V24" s="1893" t="s">
        <v>1314</v>
      </c>
      <c r="W24" s="1963">
        <f t="shared" si="8"/>
        <v>0</v>
      </c>
      <c r="X24" s="1966">
        <f t="shared" si="18"/>
        <v>0</v>
      </c>
      <c r="Y24" s="1933">
        <f t="shared" si="19"/>
        <v>0</v>
      </c>
      <c r="Z24" s="2098">
        <f t="shared" si="9"/>
        <v>0</v>
      </c>
      <c r="AA24" s="1933">
        <f t="shared" si="10"/>
        <v>0</v>
      </c>
      <c r="AB24" s="1736"/>
      <c r="AC24" s="1281">
        <f t="shared" si="11"/>
        <v>17</v>
      </c>
      <c r="AD24" s="1281" t="str">
        <f t="shared" si="12"/>
        <v>keine</v>
      </c>
      <c r="AE24" s="1329"/>
      <c r="AF24" s="1330" t="s">
        <v>795</v>
      </c>
      <c r="AG24" s="1424">
        <v>0</v>
      </c>
      <c r="AH24" s="1033">
        <f>VLOOKUP(AF24,Düngemittel!$B$6:$E$64,2,FALSE)*(VLOOKUP(AF24,Düngemittel!$B$6:$E$64,3,FALSE))/100*AG24</f>
        <v>0</v>
      </c>
      <c r="AI24" s="1033">
        <f>VLOOKUP(AF24,Düngemittel!$B$6:$E$64,2,FALSE)*AG24</f>
        <v>0</v>
      </c>
      <c r="AJ24" s="1033">
        <f>VLOOKUP(AF24,Düngemittel!$B$6:$E$64,4,FALSE)*AG24</f>
        <v>0</v>
      </c>
      <c r="AK24" s="2081"/>
      <c r="AL24" s="1329"/>
      <c r="AM24" s="1330" t="s">
        <v>795</v>
      </c>
      <c r="AN24" s="1424">
        <v>0</v>
      </c>
      <c r="AO24" s="1033">
        <f>VLOOKUP(AM24,Düngemittel!$B$6:$E$64,2,FALSE)*(VLOOKUP(AM24,Düngemittel!$B$6:$E$64,3,FALSE))/100*AN24</f>
        <v>0</v>
      </c>
      <c r="AP24" s="1033">
        <f>VLOOKUP(AM24,Düngemittel!$B$6:$E$64,2,FALSE)*AN24</f>
        <v>0</v>
      </c>
      <c r="AQ24" s="1033">
        <f>VLOOKUP(AM24,Düngemittel!$B$6:$E$64,4,FALSE)*AN24</f>
        <v>0</v>
      </c>
      <c r="AR24" s="2081"/>
      <c r="AS24" s="1329"/>
      <c r="AT24" s="1330" t="s">
        <v>795</v>
      </c>
      <c r="AU24" s="1424">
        <v>0</v>
      </c>
      <c r="AV24" s="1033">
        <f>VLOOKUP(AT24,Düngemittel!$B$6:$E$64,2,FALSE)*(VLOOKUP(AT24,Düngemittel!$B$6:$E$64,3,FALSE))/100*AU24</f>
        <v>0</v>
      </c>
      <c r="AW24" s="1033">
        <f>VLOOKUP(AT24,Düngemittel!$B$6:$E$64,2,FALSE)*AU24</f>
        <v>0</v>
      </c>
      <c r="AX24" s="1033">
        <f>VLOOKUP(AT24,Düngemittel!$B$6:$E$64,4,FALSE)*AU24</f>
        <v>0</v>
      </c>
      <c r="AY24" s="2081"/>
      <c r="AZ24" s="1329"/>
      <c r="BA24" s="1330" t="s">
        <v>795</v>
      </c>
      <c r="BB24" s="1424">
        <v>0</v>
      </c>
      <c r="BC24" s="1033">
        <f>VLOOKUP(BA24,Düngemittel!$B$6:$E$64,2,FALSE)*(VLOOKUP(BA24,Düngemittel!$B$6:$E$64,3,FALSE))/100*BB24</f>
        <v>0</v>
      </c>
      <c r="BD24" s="1033">
        <f>VLOOKUP(BA24,Düngemittel!$B$6:$E$64,2,FALSE)*BB24</f>
        <v>0</v>
      </c>
      <c r="BE24" s="1033">
        <f>VLOOKUP(BA24,Düngemittel!$B$6:$E$64,4,FALSE)*BB24</f>
        <v>0</v>
      </c>
      <c r="BF24" s="2081"/>
      <c r="BG24" s="1329"/>
      <c r="BH24" s="1330" t="s">
        <v>795</v>
      </c>
      <c r="BI24" s="1424">
        <v>0</v>
      </c>
      <c r="BJ24" s="1033">
        <f>VLOOKUP(BH24,Düngemittel!$B$6:$E$64,2,FALSE)*(VLOOKUP(BH24,Düngemittel!$B$6:$E$64,3,FALSE))/100*BI24</f>
        <v>0</v>
      </c>
      <c r="BK24" s="1033">
        <f>VLOOKUP(BH24,Düngemittel!$B$6:$E$64,2,FALSE)*BI24</f>
        <v>0</v>
      </c>
      <c r="BL24" s="1033">
        <f>VLOOKUP(BH24,Düngemittel!$B$6:$E$64,4,FALSE)*BI24</f>
        <v>0</v>
      </c>
      <c r="BM24" s="1736"/>
      <c r="BN24" s="1282">
        <f t="shared" si="20"/>
        <v>0</v>
      </c>
      <c r="BO24" s="1745">
        <f t="shared" si="21"/>
        <v>0</v>
      </c>
      <c r="BP24" s="1282">
        <f t="shared" si="21"/>
        <v>0</v>
      </c>
      <c r="BQ24" s="1138">
        <f t="shared" si="22"/>
        <v>0</v>
      </c>
      <c r="BR24" s="1745">
        <f t="shared" si="23"/>
        <v>0</v>
      </c>
      <c r="BS24" s="95"/>
      <c r="BT24" s="1135">
        <f t="shared" si="24"/>
        <v>0</v>
      </c>
      <c r="BU24" s="1135">
        <f t="shared" si="24"/>
        <v>0</v>
      </c>
      <c r="BV24" s="1135">
        <f t="shared" si="24"/>
        <v>0</v>
      </c>
      <c r="BW24" s="1807">
        <f t="shared" si="24"/>
        <v>0</v>
      </c>
      <c r="BX24" s="1135">
        <f t="shared" si="24"/>
        <v>0</v>
      </c>
      <c r="BY24" s="1736"/>
      <c r="CA24">
        <v>0</v>
      </c>
      <c r="CB24">
        <v>0</v>
      </c>
      <c r="CD24" s="2141" t="s">
        <v>1279</v>
      </c>
      <c r="CE24" s="33">
        <v>0</v>
      </c>
      <c r="CF24" s="33">
        <v>60</v>
      </c>
      <c r="CG24" s="33">
        <v>20</v>
      </c>
      <c r="CH24" s="323">
        <v>20</v>
      </c>
      <c r="CI24" s="323">
        <v>20</v>
      </c>
      <c r="CJ24" s="323">
        <f t="shared" si="25"/>
        <v>13.333333333333334</v>
      </c>
      <c r="CK24" s="323">
        <v>0</v>
      </c>
      <c r="CL24" s="323">
        <v>30</v>
      </c>
      <c r="CM24" s="1001">
        <v>0.05</v>
      </c>
    </row>
    <row r="25" spans="1:91" ht="27" customHeight="1">
      <c r="A25" s="1750">
        <v>18</v>
      </c>
      <c r="B25" s="2169">
        <v>0</v>
      </c>
      <c r="C25" s="2172" t="s">
        <v>31</v>
      </c>
      <c r="D25" s="1751">
        <f t="shared" si="14"/>
        <v>0</v>
      </c>
      <c r="E25" s="1940">
        <f t="shared" si="0"/>
        <v>0</v>
      </c>
      <c r="F25" s="1941">
        <v>0</v>
      </c>
      <c r="G25" s="1928">
        <f t="shared" si="15"/>
        <v>0</v>
      </c>
      <c r="H25" s="1928">
        <f t="shared" si="16"/>
        <v>0</v>
      </c>
      <c r="I25" s="1949">
        <f t="shared" si="1"/>
        <v>0</v>
      </c>
      <c r="J25" s="1949">
        <f t="shared" si="2"/>
        <v>0</v>
      </c>
      <c r="K25" s="1949">
        <f t="shared" si="3"/>
        <v>0</v>
      </c>
      <c r="L25" s="1943">
        <f t="shared" si="17"/>
        <v>0</v>
      </c>
      <c r="M25" s="587" t="s">
        <v>503</v>
      </c>
      <c r="N25" s="1905">
        <f t="shared" si="4"/>
        <v>0</v>
      </c>
      <c r="O25" s="761" t="s">
        <v>25</v>
      </c>
      <c r="P25" s="1905">
        <f t="shared" si="5"/>
        <v>0</v>
      </c>
      <c r="Q25" s="1906">
        <f t="shared" si="6"/>
        <v>0</v>
      </c>
      <c r="R25" s="1957">
        <v>0</v>
      </c>
      <c r="S25" s="1907" t="s">
        <v>160</v>
      </c>
      <c r="T25" s="1752">
        <f t="shared" si="7"/>
        <v>0</v>
      </c>
      <c r="U25" s="1961">
        <v>0</v>
      </c>
      <c r="V25" s="1893" t="s">
        <v>1314</v>
      </c>
      <c r="W25" s="1963">
        <f t="shared" si="8"/>
        <v>0</v>
      </c>
      <c r="X25" s="1966">
        <f t="shared" si="18"/>
        <v>0</v>
      </c>
      <c r="Y25" s="1933">
        <f t="shared" si="19"/>
        <v>0</v>
      </c>
      <c r="Z25" s="2098">
        <f t="shared" si="9"/>
        <v>0</v>
      </c>
      <c r="AA25" s="1933">
        <f t="shared" si="10"/>
        <v>0</v>
      </c>
      <c r="AB25" s="1736"/>
      <c r="AC25" s="1281">
        <f t="shared" si="11"/>
        <v>18</v>
      </c>
      <c r="AD25" s="1281" t="str">
        <f t="shared" si="12"/>
        <v>keine</v>
      </c>
      <c r="AE25" s="1329"/>
      <c r="AF25" s="1330" t="s">
        <v>795</v>
      </c>
      <c r="AG25" s="1424">
        <v>0</v>
      </c>
      <c r="AH25" s="1033">
        <f>VLOOKUP(AF25,Düngemittel!$B$6:$E$64,2,FALSE)*(VLOOKUP(AF25,Düngemittel!$B$6:$E$64,3,FALSE))/100*AG25</f>
        <v>0</v>
      </c>
      <c r="AI25" s="1033">
        <f>VLOOKUP(AF25,Düngemittel!$B$6:$E$64,2,FALSE)*AG25</f>
        <v>0</v>
      </c>
      <c r="AJ25" s="1033">
        <f>VLOOKUP(AF25,Düngemittel!$B$6:$E$64,4,FALSE)*AG25</f>
        <v>0</v>
      </c>
      <c r="AK25" s="2081"/>
      <c r="AL25" s="1329"/>
      <c r="AM25" s="1330" t="s">
        <v>795</v>
      </c>
      <c r="AN25" s="1424">
        <v>0</v>
      </c>
      <c r="AO25" s="1033">
        <f>VLOOKUP(AM25,Düngemittel!$B$6:$E$64,2,FALSE)*(VLOOKUP(AM25,Düngemittel!$B$6:$E$64,3,FALSE))/100*AN25</f>
        <v>0</v>
      </c>
      <c r="AP25" s="1033">
        <f>VLOOKUP(AM25,Düngemittel!$B$6:$E$64,2,FALSE)*AN25</f>
        <v>0</v>
      </c>
      <c r="AQ25" s="1033">
        <f>VLOOKUP(AM25,Düngemittel!$B$6:$E$64,4,FALSE)*AN25</f>
        <v>0</v>
      </c>
      <c r="AR25" s="2081"/>
      <c r="AS25" s="1329"/>
      <c r="AT25" s="1330" t="s">
        <v>795</v>
      </c>
      <c r="AU25" s="1424">
        <v>0</v>
      </c>
      <c r="AV25" s="1033">
        <f>VLOOKUP(AT25,Düngemittel!$B$6:$E$64,2,FALSE)*(VLOOKUP(AT25,Düngemittel!$B$6:$E$64,3,FALSE))/100*AU25</f>
        <v>0</v>
      </c>
      <c r="AW25" s="1033">
        <f>VLOOKUP(AT25,Düngemittel!$B$6:$E$64,2,FALSE)*AU25</f>
        <v>0</v>
      </c>
      <c r="AX25" s="1033">
        <f>VLOOKUP(AT25,Düngemittel!$B$6:$E$64,4,FALSE)*AU25</f>
        <v>0</v>
      </c>
      <c r="AY25" s="2081"/>
      <c r="AZ25" s="1329"/>
      <c r="BA25" s="1330" t="s">
        <v>795</v>
      </c>
      <c r="BB25" s="1424">
        <v>0</v>
      </c>
      <c r="BC25" s="1033">
        <f>VLOOKUP(BA25,Düngemittel!$B$6:$E$64,2,FALSE)*(VLOOKUP(BA25,Düngemittel!$B$6:$E$64,3,FALSE))/100*BB25</f>
        <v>0</v>
      </c>
      <c r="BD25" s="1033">
        <f>VLOOKUP(BA25,Düngemittel!$B$6:$E$64,2,FALSE)*BB25</f>
        <v>0</v>
      </c>
      <c r="BE25" s="1033">
        <f>VLOOKUP(BA25,Düngemittel!$B$6:$E$64,4,FALSE)*BB25</f>
        <v>0</v>
      </c>
      <c r="BF25" s="2081"/>
      <c r="BG25" s="1329"/>
      <c r="BH25" s="1330" t="s">
        <v>795</v>
      </c>
      <c r="BI25" s="1424">
        <v>0</v>
      </c>
      <c r="BJ25" s="1033">
        <f>VLOOKUP(BH25,Düngemittel!$B$6:$E$64,2,FALSE)*(VLOOKUP(BH25,Düngemittel!$B$6:$E$64,3,FALSE))/100*BI25</f>
        <v>0</v>
      </c>
      <c r="BK25" s="1033">
        <f>VLOOKUP(BH25,Düngemittel!$B$6:$E$64,2,FALSE)*BI25</f>
        <v>0</v>
      </c>
      <c r="BL25" s="1033">
        <f>VLOOKUP(BH25,Düngemittel!$B$6:$E$64,4,FALSE)*BI25</f>
        <v>0</v>
      </c>
      <c r="BM25" s="1736"/>
      <c r="BN25" s="1282">
        <f t="shared" si="20"/>
        <v>0</v>
      </c>
      <c r="BO25" s="1745">
        <f t="shared" si="21"/>
        <v>0</v>
      </c>
      <c r="BP25" s="1282">
        <f t="shared" si="21"/>
        <v>0</v>
      </c>
      <c r="BQ25" s="1138">
        <f t="shared" si="22"/>
        <v>0</v>
      </c>
      <c r="BR25" s="1745">
        <f t="shared" si="23"/>
        <v>0</v>
      </c>
      <c r="BS25" s="95"/>
      <c r="BT25" s="1135">
        <f t="shared" si="24"/>
        <v>0</v>
      </c>
      <c r="BU25" s="1135">
        <f t="shared" si="24"/>
        <v>0</v>
      </c>
      <c r="BV25" s="1135">
        <f t="shared" si="24"/>
        <v>0</v>
      </c>
      <c r="BW25" s="1807">
        <f t="shared" si="24"/>
        <v>0</v>
      </c>
      <c r="BX25" s="1135">
        <f t="shared" si="24"/>
        <v>0</v>
      </c>
      <c r="BY25" s="1736"/>
      <c r="CA25">
        <v>0</v>
      </c>
      <c r="CB25">
        <v>0</v>
      </c>
      <c r="CD25" s="2152" t="s">
        <v>1501</v>
      </c>
      <c r="CE25" s="33">
        <v>150</v>
      </c>
      <c r="CF25" s="33">
        <v>125</v>
      </c>
      <c r="CG25" s="33">
        <v>10</v>
      </c>
      <c r="CH25" s="2153">
        <v>12.5</v>
      </c>
      <c r="CI25" s="2153">
        <v>12.5</v>
      </c>
      <c r="CJ25" s="2152">
        <v>0</v>
      </c>
      <c r="CK25" s="2152">
        <v>0</v>
      </c>
      <c r="CL25" s="2152">
        <v>30</v>
      </c>
      <c r="CM25" s="2155">
        <v>0.16</v>
      </c>
    </row>
    <row r="26" spans="1:91" ht="27" customHeight="1">
      <c r="A26" s="1750">
        <v>19</v>
      </c>
      <c r="B26" s="2169">
        <v>0</v>
      </c>
      <c r="C26" s="2172" t="s">
        <v>31</v>
      </c>
      <c r="D26" s="1751">
        <f t="shared" si="14"/>
        <v>0</v>
      </c>
      <c r="E26" s="1940">
        <f t="shared" si="0"/>
        <v>0</v>
      </c>
      <c r="F26" s="1941">
        <v>0</v>
      </c>
      <c r="G26" s="1928">
        <f t="shared" si="15"/>
        <v>0</v>
      </c>
      <c r="H26" s="1928">
        <f t="shared" si="16"/>
        <v>0</v>
      </c>
      <c r="I26" s="1949">
        <f t="shared" si="1"/>
        <v>0</v>
      </c>
      <c r="J26" s="1949">
        <f t="shared" si="2"/>
        <v>0</v>
      </c>
      <c r="K26" s="1949">
        <f t="shared" si="3"/>
        <v>0</v>
      </c>
      <c r="L26" s="1943">
        <f t="shared" si="17"/>
        <v>0</v>
      </c>
      <c r="M26" s="587" t="s">
        <v>503</v>
      </c>
      <c r="N26" s="1905">
        <f t="shared" si="4"/>
        <v>0</v>
      </c>
      <c r="O26" s="761" t="s">
        <v>25</v>
      </c>
      <c r="P26" s="1905">
        <f t="shared" si="5"/>
        <v>0</v>
      </c>
      <c r="Q26" s="1906">
        <f t="shared" si="6"/>
        <v>0</v>
      </c>
      <c r="R26" s="1957">
        <v>0</v>
      </c>
      <c r="S26" s="1907" t="s">
        <v>160</v>
      </c>
      <c r="T26" s="1752">
        <f t="shared" si="7"/>
        <v>0</v>
      </c>
      <c r="U26" s="1961">
        <v>0</v>
      </c>
      <c r="V26" s="1893" t="s">
        <v>1314</v>
      </c>
      <c r="W26" s="1963">
        <f t="shared" si="8"/>
        <v>0</v>
      </c>
      <c r="X26" s="1966">
        <f t="shared" si="18"/>
        <v>0</v>
      </c>
      <c r="Y26" s="1933">
        <f t="shared" si="19"/>
        <v>0</v>
      </c>
      <c r="Z26" s="2098">
        <f t="shared" si="9"/>
        <v>0</v>
      </c>
      <c r="AA26" s="1933">
        <f t="shared" si="10"/>
        <v>0</v>
      </c>
      <c r="AB26" s="1736"/>
      <c r="AC26" s="1281">
        <f t="shared" si="11"/>
        <v>19</v>
      </c>
      <c r="AD26" s="1281" t="str">
        <f t="shared" si="12"/>
        <v>keine</v>
      </c>
      <c r="AE26" s="1329"/>
      <c r="AF26" s="1330" t="s">
        <v>795</v>
      </c>
      <c r="AG26" s="1424">
        <v>0</v>
      </c>
      <c r="AH26" s="1033">
        <f>VLOOKUP(AF26,Düngemittel!$B$6:$E$64,2,FALSE)*(VLOOKUP(AF26,Düngemittel!$B$6:$E$64,3,FALSE))/100*AG26</f>
        <v>0</v>
      </c>
      <c r="AI26" s="1033">
        <f>VLOOKUP(AF26,Düngemittel!$B$6:$E$64,2,FALSE)*AG26</f>
        <v>0</v>
      </c>
      <c r="AJ26" s="1033">
        <f>VLOOKUP(AF26,Düngemittel!$B$6:$E$64,4,FALSE)*AG26</f>
        <v>0</v>
      </c>
      <c r="AK26" s="2081"/>
      <c r="AL26" s="1329"/>
      <c r="AM26" s="1330" t="s">
        <v>795</v>
      </c>
      <c r="AN26" s="1424">
        <v>0</v>
      </c>
      <c r="AO26" s="1033">
        <f>VLOOKUP(AM26,Düngemittel!$B$6:$E$64,2,FALSE)*(VLOOKUP(AM26,Düngemittel!$B$6:$E$64,3,FALSE))/100*AN26</f>
        <v>0</v>
      </c>
      <c r="AP26" s="1033">
        <f>VLOOKUP(AM26,Düngemittel!$B$6:$E$64,2,FALSE)*AN26</f>
        <v>0</v>
      </c>
      <c r="AQ26" s="1033">
        <f>VLOOKUP(AM26,Düngemittel!$B$6:$E$64,4,FALSE)*AN26</f>
        <v>0</v>
      </c>
      <c r="AR26" s="2081"/>
      <c r="AS26" s="1329"/>
      <c r="AT26" s="1330" t="s">
        <v>795</v>
      </c>
      <c r="AU26" s="1424">
        <v>0</v>
      </c>
      <c r="AV26" s="1033">
        <f>VLOOKUP(AT26,Düngemittel!$B$6:$E$64,2,FALSE)*(VLOOKUP(AT26,Düngemittel!$B$6:$E$64,3,FALSE))/100*AU26</f>
        <v>0</v>
      </c>
      <c r="AW26" s="1033">
        <f>VLOOKUP(AT26,Düngemittel!$B$6:$E$64,2,FALSE)*AU26</f>
        <v>0</v>
      </c>
      <c r="AX26" s="1033">
        <f>VLOOKUP(AT26,Düngemittel!$B$6:$E$64,4,FALSE)*AU26</f>
        <v>0</v>
      </c>
      <c r="AY26" s="2081"/>
      <c r="AZ26" s="1329"/>
      <c r="BA26" s="1330" t="s">
        <v>795</v>
      </c>
      <c r="BB26" s="1424">
        <v>0</v>
      </c>
      <c r="BC26" s="1033">
        <f>VLOOKUP(BA26,Düngemittel!$B$6:$E$64,2,FALSE)*(VLOOKUP(BA26,Düngemittel!$B$6:$E$64,3,FALSE))/100*BB26</f>
        <v>0</v>
      </c>
      <c r="BD26" s="1033">
        <f>VLOOKUP(BA26,Düngemittel!$B$6:$E$64,2,FALSE)*BB26</f>
        <v>0</v>
      </c>
      <c r="BE26" s="1033">
        <f>VLOOKUP(BA26,Düngemittel!$B$6:$E$64,4,FALSE)*BB26</f>
        <v>0</v>
      </c>
      <c r="BF26" s="2081"/>
      <c r="BG26" s="1329"/>
      <c r="BH26" s="1330" t="s">
        <v>795</v>
      </c>
      <c r="BI26" s="1424">
        <v>0</v>
      </c>
      <c r="BJ26" s="1033">
        <f>VLOOKUP(BH26,Düngemittel!$B$6:$E$64,2,FALSE)*(VLOOKUP(BH26,Düngemittel!$B$6:$E$64,3,FALSE))/100*BI26</f>
        <v>0</v>
      </c>
      <c r="BK26" s="1033">
        <f>VLOOKUP(BH26,Düngemittel!$B$6:$E$64,2,FALSE)*BI26</f>
        <v>0</v>
      </c>
      <c r="BL26" s="1033">
        <f>VLOOKUP(BH26,Düngemittel!$B$6:$E$64,4,FALSE)*BI26</f>
        <v>0</v>
      </c>
      <c r="BM26" s="1736"/>
      <c r="BN26" s="1282">
        <f t="shared" si="20"/>
        <v>0</v>
      </c>
      <c r="BO26" s="1745">
        <f t="shared" si="21"/>
        <v>0</v>
      </c>
      <c r="BP26" s="1282">
        <f t="shared" si="21"/>
        <v>0</v>
      </c>
      <c r="BQ26" s="1138">
        <f t="shared" si="22"/>
        <v>0</v>
      </c>
      <c r="BR26" s="1745">
        <f t="shared" si="23"/>
        <v>0</v>
      </c>
      <c r="BS26" s="95"/>
      <c r="BT26" s="1135">
        <f t="shared" si="24"/>
        <v>0</v>
      </c>
      <c r="BU26" s="1135">
        <f t="shared" si="24"/>
        <v>0</v>
      </c>
      <c r="BV26" s="1135">
        <f t="shared" si="24"/>
        <v>0</v>
      </c>
      <c r="BW26" s="1807">
        <f t="shared" si="24"/>
        <v>0</v>
      </c>
      <c r="BX26" s="1135">
        <f t="shared" si="24"/>
        <v>0</v>
      </c>
      <c r="BY26" s="1736"/>
      <c r="CA26">
        <v>0</v>
      </c>
      <c r="CB26">
        <v>0</v>
      </c>
      <c r="CD26" s="2141" t="s">
        <v>1280</v>
      </c>
      <c r="CE26" s="33">
        <v>80</v>
      </c>
      <c r="CF26" s="33">
        <v>85</v>
      </c>
      <c r="CG26" s="33">
        <v>20</v>
      </c>
      <c r="CH26" s="323">
        <v>20</v>
      </c>
      <c r="CI26" s="323">
        <v>20</v>
      </c>
      <c r="CJ26" s="323">
        <f>CI26*2/3</f>
        <v>13.333333333333334</v>
      </c>
      <c r="CK26" s="323">
        <v>5</v>
      </c>
      <c r="CL26" s="323">
        <v>15</v>
      </c>
      <c r="CM26" s="1001">
        <v>9.9000000000000005E-2</v>
      </c>
    </row>
    <row r="27" spans="1:91" ht="27" customHeight="1">
      <c r="A27" s="1750">
        <v>20</v>
      </c>
      <c r="B27" s="2169">
        <v>0</v>
      </c>
      <c r="C27" s="2172" t="s">
        <v>31</v>
      </c>
      <c r="D27" s="1751">
        <f t="shared" si="14"/>
        <v>0</v>
      </c>
      <c r="E27" s="1940">
        <f t="shared" si="0"/>
        <v>0</v>
      </c>
      <c r="F27" s="1941">
        <v>0</v>
      </c>
      <c r="G27" s="1928">
        <f t="shared" si="15"/>
        <v>0</v>
      </c>
      <c r="H27" s="1928">
        <f t="shared" si="16"/>
        <v>0</v>
      </c>
      <c r="I27" s="1949">
        <f t="shared" si="1"/>
        <v>0</v>
      </c>
      <c r="J27" s="1949">
        <f t="shared" si="2"/>
        <v>0</v>
      </c>
      <c r="K27" s="1949">
        <f t="shared" si="3"/>
        <v>0</v>
      </c>
      <c r="L27" s="1943">
        <f t="shared" si="17"/>
        <v>0</v>
      </c>
      <c r="M27" s="587" t="s">
        <v>503</v>
      </c>
      <c r="N27" s="1905">
        <f t="shared" si="4"/>
        <v>0</v>
      </c>
      <c r="O27" s="761" t="s">
        <v>25</v>
      </c>
      <c r="P27" s="1905">
        <f t="shared" si="5"/>
        <v>0</v>
      </c>
      <c r="Q27" s="1906">
        <f t="shared" si="6"/>
        <v>0</v>
      </c>
      <c r="R27" s="1957">
        <v>0</v>
      </c>
      <c r="S27" s="1907" t="s">
        <v>160</v>
      </c>
      <c r="T27" s="1752">
        <f t="shared" si="7"/>
        <v>0</v>
      </c>
      <c r="U27" s="1961">
        <v>0</v>
      </c>
      <c r="V27" s="1893" t="s">
        <v>1314</v>
      </c>
      <c r="W27" s="1963">
        <f t="shared" si="8"/>
        <v>0</v>
      </c>
      <c r="X27" s="1966">
        <f t="shared" si="18"/>
        <v>0</v>
      </c>
      <c r="Y27" s="1933">
        <f t="shared" si="19"/>
        <v>0</v>
      </c>
      <c r="Z27" s="2098">
        <f t="shared" si="9"/>
        <v>0</v>
      </c>
      <c r="AA27" s="1933">
        <f t="shared" si="10"/>
        <v>0</v>
      </c>
      <c r="AB27" s="1736"/>
      <c r="AC27" s="1281">
        <f t="shared" si="11"/>
        <v>20</v>
      </c>
      <c r="AD27" s="1281" t="str">
        <f t="shared" si="12"/>
        <v>keine</v>
      </c>
      <c r="AE27" s="1329"/>
      <c r="AF27" s="1330" t="s">
        <v>795</v>
      </c>
      <c r="AG27" s="1424">
        <v>0</v>
      </c>
      <c r="AH27" s="1033">
        <f>VLOOKUP(AF27,Düngemittel!$B$6:$E$64,2,FALSE)*(VLOOKUP(AF27,Düngemittel!$B$6:$E$64,3,FALSE))/100*AG27</f>
        <v>0</v>
      </c>
      <c r="AI27" s="1033">
        <f>VLOOKUP(AF27,Düngemittel!$B$6:$E$64,2,FALSE)*AG27</f>
        <v>0</v>
      </c>
      <c r="AJ27" s="1033">
        <f>VLOOKUP(AF27,Düngemittel!$B$6:$E$64,4,FALSE)*AG27</f>
        <v>0</v>
      </c>
      <c r="AK27" s="2081"/>
      <c r="AL27" s="1329"/>
      <c r="AM27" s="1330" t="s">
        <v>795</v>
      </c>
      <c r="AN27" s="1424">
        <v>0</v>
      </c>
      <c r="AO27" s="1033">
        <f>VLOOKUP(AM27,Düngemittel!$B$6:$E$64,2,FALSE)*(VLOOKUP(AM27,Düngemittel!$B$6:$E$64,3,FALSE))/100*AN27</f>
        <v>0</v>
      </c>
      <c r="AP27" s="1033">
        <f>VLOOKUP(AM27,Düngemittel!$B$6:$E$64,2,FALSE)*AN27</f>
        <v>0</v>
      </c>
      <c r="AQ27" s="1033">
        <f>VLOOKUP(AM27,Düngemittel!$B$6:$E$64,4,FALSE)*AN27</f>
        <v>0</v>
      </c>
      <c r="AR27" s="2081"/>
      <c r="AS27" s="1329"/>
      <c r="AT27" s="1330" t="s">
        <v>795</v>
      </c>
      <c r="AU27" s="1424">
        <v>0</v>
      </c>
      <c r="AV27" s="1033">
        <f>VLOOKUP(AT27,Düngemittel!$B$6:$E$64,2,FALSE)*(VLOOKUP(AT27,Düngemittel!$B$6:$E$64,3,FALSE))/100*AU27</f>
        <v>0</v>
      </c>
      <c r="AW27" s="1033">
        <f>VLOOKUP(AT27,Düngemittel!$B$6:$E$64,2,FALSE)*AU27</f>
        <v>0</v>
      </c>
      <c r="AX27" s="1033">
        <f>VLOOKUP(AT27,Düngemittel!$B$6:$E$64,4,FALSE)*AU27</f>
        <v>0</v>
      </c>
      <c r="AY27" s="2081"/>
      <c r="AZ27" s="1329"/>
      <c r="BA27" s="1330" t="s">
        <v>795</v>
      </c>
      <c r="BB27" s="1424">
        <v>0</v>
      </c>
      <c r="BC27" s="1033">
        <f>VLOOKUP(BA27,Düngemittel!$B$6:$E$64,2,FALSE)*(VLOOKUP(BA27,Düngemittel!$B$6:$E$64,3,FALSE))/100*BB27</f>
        <v>0</v>
      </c>
      <c r="BD27" s="1033">
        <f>VLOOKUP(BA27,Düngemittel!$B$6:$E$64,2,FALSE)*BB27</f>
        <v>0</v>
      </c>
      <c r="BE27" s="1033">
        <f>VLOOKUP(BA27,Düngemittel!$B$6:$E$64,4,FALSE)*BB27</f>
        <v>0</v>
      </c>
      <c r="BF27" s="2081"/>
      <c r="BG27" s="1329"/>
      <c r="BH27" s="1330" t="s">
        <v>795</v>
      </c>
      <c r="BI27" s="1424">
        <v>0</v>
      </c>
      <c r="BJ27" s="1033">
        <f>VLOOKUP(BH27,Düngemittel!$B$6:$E$64,2,FALSE)*(VLOOKUP(BH27,Düngemittel!$B$6:$E$64,3,FALSE))/100*BI27</f>
        <v>0</v>
      </c>
      <c r="BK27" s="1033">
        <f>VLOOKUP(BH27,Düngemittel!$B$6:$E$64,2,FALSE)*BI27</f>
        <v>0</v>
      </c>
      <c r="BL27" s="1033">
        <f>VLOOKUP(BH27,Düngemittel!$B$6:$E$64,4,FALSE)*BI27</f>
        <v>0</v>
      </c>
      <c r="BM27" s="1736"/>
      <c r="BN27" s="1282">
        <f t="shared" si="20"/>
        <v>0</v>
      </c>
      <c r="BO27" s="1745">
        <f t="shared" si="21"/>
        <v>0</v>
      </c>
      <c r="BP27" s="1282">
        <f t="shared" si="21"/>
        <v>0</v>
      </c>
      <c r="BQ27" s="1138">
        <f t="shared" si="22"/>
        <v>0</v>
      </c>
      <c r="BR27" s="1745">
        <f t="shared" si="23"/>
        <v>0</v>
      </c>
      <c r="BS27" s="95"/>
      <c r="BT27" s="1135">
        <f t="shared" si="24"/>
        <v>0</v>
      </c>
      <c r="BU27" s="1135">
        <f t="shared" si="24"/>
        <v>0</v>
      </c>
      <c r="BV27" s="1135">
        <f t="shared" si="24"/>
        <v>0</v>
      </c>
      <c r="BW27" s="1807">
        <f t="shared" si="24"/>
        <v>0</v>
      </c>
      <c r="BX27" s="1135">
        <f t="shared" si="24"/>
        <v>0</v>
      </c>
      <c r="BY27" s="1736"/>
      <c r="CA27">
        <v>0</v>
      </c>
      <c r="CB27">
        <v>0</v>
      </c>
      <c r="CD27" s="2141" t="s">
        <v>1281</v>
      </c>
      <c r="CE27" s="33">
        <v>130</v>
      </c>
      <c r="CF27" s="33">
        <v>110</v>
      </c>
      <c r="CG27" s="33">
        <v>20</v>
      </c>
      <c r="CH27" s="323">
        <v>20</v>
      </c>
      <c r="CI27" s="323">
        <v>20</v>
      </c>
      <c r="CJ27" s="323">
        <f>CI27*2/3</f>
        <v>13.333333333333334</v>
      </c>
      <c r="CK27" s="323">
        <v>5</v>
      </c>
      <c r="CL27" s="323">
        <v>15</v>
      </c>
      <c r="CM27" s="1001">
        <v>9.9000000000000005E-2</v>
      </c>
    </row>
    <row r="28" spans="1:91" ht="27" customHeight="1">
      <c r="A28" s="1750">
        <v>21</v>
      </c>
      <c r="B28" s="2169">
        <v>0</v>
      </c>
      <c r="C28" s="2172" t="s">
        <v>31</v>
      </c>
      <c r="D28" s="1751">
        <f t="shared" si="14"/>
        <v>0</v>
      </c>
      <c r="E28" s="1940">
        <f t="shared" si="0"/>
        <v>0</v>
      </c>
      <c r="F28" s="1941">
        <v>0</v>
      </c>
      <c r="G28" s="1928">
        <f t="shared" si="15"/>
        <v>0</v>
      </c>
      <c r="H28" s="1928">
        <f t="shared" si="16"/>
        <v>0</v>
      </c>
      <c r="I28" s="1949">
        <f t="shared" si="1"/>
        <v>0</v>
      </c>
      <c r="J28" s="1949">
        <f t="shared" si="2"/>
        <v>0</v>
      </c>
      <c r="K28" s="1949">
        <f t="shared" si="3"/>
        <v>0</v>
      </c>
      <c r="L28" s="1943">
        <f t="shared" si="17"/>
        <v>0</v>
      </c>
      <c r="M28" s="587" t="s">
        <v>503</v>
      </c>
      <c r="N28" s="1905">
        <f t="shared" si="4"/>
        <v>0</v>
      </c>
      <c r="O28" s="761" t="s">
        <v>25</v>
      </c>
      <c r="P28" s="1905">
        <f t="shared" si="5"/>
        <v>0</v>
      </c>
      <c r="Q28" s="1906">
        <f t="shared" si="6"/>
        <v>0</v>
      </c>
      <c r="R28" s="1957">
        <v>0</v>
      </c>
      <c r="S28" s="1907" t="s">
        <v>160</v>
      </c>
      <c r="T28" s="1752">
        <f t="shared" si="7"/>
        <v>0</v>
      </c>
      <c r="U28" s="1961">
        <v>0</v>
      </c>
      <c r="V28" s="1893" t="s">
        <v>1314</v>
      </c>
      <c r="W28" s="1963">
        <f t="shared" si="8"/>
        <v>0</v>
      </c>
      <c r="X28" s="1966">
        <f t="shared" si="18"/>
        <v>0</v>
      </c>
      <c r="Y28" s="1933">
        <f t="shared" si="19"/>
        <v>0</v>
      </c>
      <c r="Z28" s="2098">
        <f t="shared" si="9"/>
        <v>0</v>
      </c>
      <c r="AA28" s="1933">
        <f t="shared" si="10"/>
        <v>0</v>
      </c>
      <c r="AB28" s="142"/>
      <c r="AC28" s="1281">
        <f t="shared" si="11"/>
        <v>21</v>
      </c>
      <c r="AD28" s="1281" t="str">
        <f t="shared" si="12"/>
        <v>keine</v>
      </c>
      <c r="AE28" s="1329"/>
      <c r="AF28" s="1330" t="s">
        <v>795</v>
      </c>
      <c r="AG28" s="1424">
        <v>0</v>
      </c>
      <c r="AH28" s="1033">
        <f>VLOOKUP(AF28,Düngemittel!$B$6:$E$64,2,FALSE)*(VLOOKUP(AF28,Düngemittel!$B$6:$E$64,3,FALSE))/100*AG28</f>
        <v>0</v>
      </c>
      <c r="AI28" s="1033">
        <f>VLOOKUP(AF28,Düngemittel!$B$6:$E$64,2,FALSE)*AG28</f>
        <v>0</v>
      </c>
      <c r="AJ28" s="1033">
        <f>VLOOKUP(AF28,Düngemittel!$B$6:$E$64,4,FALSE)*AG28</f>
        <v>0</v>
      </c>
      <c r="AK28" s="142"/>
      <c r="AL28" s="1329"/>
      <c r="AM28" s="1330" t="s">
        <v>795</v>
      </c>
      <c r="AN28" s="1424">
        <v>0</v>
      </c>
      <c r="AO28" s="1033">
        <f>VLOOKUP(AM28,Düngemittel!$B$6:$E$64,2,FALSE)*(VLOOKUP(AM28,Düngemittel!$B$6:$E$64,3,FALSE))/100*AN28</f>
        <v>0</v>
      </c>
      <c r="AP28" s="1033">
        <f>VLOOKUP(AM28,Düngemittel!$B$6:$E$64,2,FALSE)*AN28</f>
        <v>0</v>
      </c>
      <c r="AQ28" s="1033">
        <f>VLOOKUP(AM28,Düngemittel!$B$6:$E$64,4,FALSE)*AN28</f>
        <v>0</v>
      </c>
      <c r="AR28" s="142"/>
      <c r="AS28" s="1329"/>
      <c r="AT28" s="1330" t="s">
        <v>795</v>
      </c>
      <c r="AU28" s="1424">
        <v>0</v>
      </c>
      <c r="AV28" s="1033">
        <f>VLOOKUP(AT28,Düngemittel!$B$6:$E$64,2,FALSE)*(VLOOKUP(AT28,Düngemittel!$B$6:$E$64,3,FALSE))/100*AU28</f>
        <v>0</v>
      </c>
      <c r="AW28" s="1033">
        <f>VLOOKUP(AT28,Düngemittel!$B$6:$E$64,2,FALSE)*AU28</f>
        <v>0</v>
      </c>
      <c r="AX28" s="1033">
        <f>VLOOKUP(AT28,Düngemittel!$B$6:$E$64,4,FALSE)*AU28</f>
        <v>0</v>
      </c>
      <c r="AY28" s="142"/>
      <c r="AZ28" s="1329"/>
      <c r="BA28" s="1330" t="s">
        <v>795</v>
      </c>
      <c r="BB28" s="1424">
        <v>0</v>
      </c>
      <c r="BC28" s="1033">
        <f>VLOOKUP(BA28,Düngemittel!$B$6:$E$64,2,FALSE)*(VLOOKUP(BA28,Düngemittel!$B$6:$E$64,3,FALSE))/100*BB28</f>
        <v>0</v>
      </c>
      <c r="BD28" s="1033">
        <f>VLOOKUP(BA28,Düngemittel!$B$6:$E$64,2,FALSE)*BB28</f>
        <v>0</v>
      </c>
      <c r="BE28" s="1033">
        <f>VLOOKUP(BA28,Düngemittel!$B$6:$E$64,4,FALSE)*BB28</f>
        <v>0</v>
      </c>
      <c r="BF28" s="142"/>
      <c r="BG28" s="1329"/>
      <c r="BH28" s="1330" t="s">
        <v>795</v>
      </c>
      <c r="BI28" s="1424">
        <v>0</v>
      </c>
      <c r="BJ28" s="1033">
        <f>VLOOKUP(BH28,Düngemittel!$B$6:$E$64,2,FALSE)*(VLOOKUP(BH28,Düngemittel!$B$6:$E$64,3,FALSE))/100*BI28</f>
        <v>0</v>
      </c>
      <c r="BK28" s="1033">
        <f>VLOOKUP(BH28,Düngemittel!$B$6:$E$64,2,FALSE)*BI28</f>
        <v>0</v>
      </c>
      <c r="BL28" s="1033">
        <f>VLOOKUP(BH28,Düngemittel!$B$6:$E$64,4,FALSE)*BI28</f>
        <v>0</v>
      </c>
      <c r="BM28" s="142"/>
      <c r="BN28" s="1282">
        <f t="shared" si="20"/>
        <v>0</v>
      </c>
      <c r="BO28" s="1745">
        <f t="shared" si="21"/>
        <v>0</v>
      </c>
      <c r="BP28" s="1282">
        <f t="shared" si="21"/>
        <v>0</v>
      </c>
      <c r="BQ28" s="1138">
        <f t="shared" si="22"/>
        <v>0</v>
      </c>
      <c r="BR28" s="1745">
        <f t="shared" si="23"/>
        <v>0</v>
      </c>
      <c r="BS28" s="95"/>
      <c r="BT28" s="1135">
        <f t="shared" si="24"/>
        <v>0</v>
      </c>
      <c r="BU28" s="1135">
        <f t="shared" si="24"/>
        <v>0</v>
      </c>
      <c r="BV28" s="1135">
        <f t="shared" si="24"/>
        <v>0</v>
      </c>
      <c r="BW28" s="1807">
        <f t="shared" si="24"/>
        <v>0</v>
      </c>
      <c r="BX28" s="1135">
        <f t="shared" si="24"/>
        <v>0</v>
      </c>
      <c r="BY28" s="1736"/>
      <c r="CA28">
        <v>0</v>
      </c>
      <c r="CB28">
        <v>0</v>
      </c>
      <c r="CD28" s="2152" t="s">
        <v>1509</v>
      </c>
      <c r="CE28" s="33">
        <v>150</v>
      </c>
      <c r="CF28" s="33">
        <v>120</v>
      </c>
      <c r="CG28" s="33">
        <v>10</v>
      </c>
      <c r="CH28" s="2153">
        <v>12</v>
      </c>
      <c r="CI28" s="2153">
        <v>12</v>
      </c>
      <c r="CJ28" s="2152">
        <v>0</v>
      </c>
      <c r="CK28" s="2152">
        <v>0</v>
      </c>
      <c r="CL28" s="2152">
        <v>30</v>
      </c>
      <c r="CM28" s="2157">
        <v>0.26</v>
      </c>
    </row>
    <row r="29" spans="1:91" ht="27" customHeight="1">
      <c r="A29" s="1750">
        <v>22</v>
      </c>
      <c r="B29" s="2169">
        <v>0</v>
      </c>
      <c r="C29" s="2172" t="s">
        <v>31</v>
      </c>
      <c r="D29" s="1751">
        <f t="shared" si="14"/>
        <v>0</v>
      </c>
      <c r="E29" s="1940">
        <f t="shared" si="0"/>
        <v>0</v>
      </c>
      <c r="F29" s="1941">
        <v>0</v>
      </c>
      <c r="G29" s="1928">
        <f t="shared" si="15"/>
        <v>0</v>
      </c>
      <c r="H29" s="1928">
        <f t="shared" si="16"/>
        <v>0</v>
      </c>
      <c r="I29" s="1949">
        <f t="shared" si="1"/>
        <v>0</v>
      </c>
      <c r="J29" s="1949">
        <f t="shared" si="2"/>
        <v>0</v>
      </c>
      <c r="K29" s="1949">
        <f t="shared" si="3"/>
        <v>0</v>
      </c>
      <c r="L29" s="1943">
        <f t="shared" si="17"/>
        <v>0</v>
      </c>
      <c r="M29" s="587" t="s">
        <v>503</v>
      </c>
      <c r="N29" s="1905">
        <f t="shared" si="4"/>
        <v>0</v>
      </c>
      <c r="O29" s="761" t="s">
        <v>25</v>
      </c>
      <c r="P29" s="1905">
        <f t="shared" si="5"/>
        <v>0</v>
      </c>
      <c r="Q29" s="1906">
        <f t="shared" si="6"/>
        <v>0</v>
      </c>
      <c r="R29" s="1957">
        <v>0</v>
      </c>
      <c r="S29" s="1907" t="s">
        <v>160</v>
      </c>
      <c r="T29" s="1752">
        <f t="shared" si="7"/>
        <v>0</v>
      </c>
      <c r="U29" s="1961">
        <v>0</v>
      </c>
      <c r="V29" s="1893" t="s">
        <v>1314</v>
      </c>
      <c r="W29" s="1963">
        <f t="shared" si="8"/>
        <v>0</v>
      </c>
      <c r="X29" s="1966">
        <f t="shared" si="18"/>
        <v>0</v>
      </c>
      <c r="Y29" s="1933">
        <f t="shared" si="19"/>
        <v>0</v>
      </c>
      <c r="Z29" s="2098">
        <f t="shared" si="9"/>
        <v>0</v>
      </c>
      <c r="AA29" s="1933">
        <f t="shared" si="10"/>
        <v>0</v>
      </c>
      <c r="AB29" s="1736"/>
      <c r="AC29" s="1281">
        <f t="shared" si="11"/>
        <v>22</v>
      </c>
      <c r="AD29" s="1281" t="str">
        <f t="shared" si="12"/>
        <v>keine</v>
      </c>
      <c r="AE29" s="1329"/>
      <c r="AF29" s="1330" t="s">
        <v>795</v>
      </c>
      <c r="AG29" s="1424">
        <v>0</v>
      </c>
      <c r="AH29" s="1033">
        <f>VLOOKUP(AF29,Düngemittel!$B$6:$E$64,2,FALSE)*(VLOOKUP(AF29,Düngemittel!$B$6:$E$64,3,FALSE))/100*AG29</f>
        <v>0</v>
      </c>
      <c r="AI29" s="1033">
        <f>VLOOKUP(AF29,Düngemittel!$B$6:$E$64,2,FALSE)*AG29</f>
        <v>0</v>
      </c>
      <c r="AJ29" s="1033">
        <f>VLOOKUP(AF29,Düngemittel!$B$6:$E$64,4,FALSE)*AG29</f>
        <v>0</v>
      </c>
      <c r="AK29" s="2081"/>
      <c r="AL29" s="1329"/>
      <c r="AM29" s="1330" t="s">
        <v>795</v>
      </c>
      <c r="AN29" s="1424">
        <v>0</v>
      </c>
      <c r="AO29" s="1033">
        <f>VLOOKUP(AM29,Düngemittel!$B$6:$E$64,2,FALSE)*(VLOOKUP(AM29,Düngemittel!$B$6:$E$64,3,FALSE))/100*AN29</f>
        <v>0</v>
      </c>
      <c r="AP29" s="1033">
        <f>VLOOKUP(AM29,Düngemittel!$B$6:$E$64,2,FALSE)*AN29</f>
        <v>0</v>
      </c>
      <c r="AQ29" s="1033">
        <f>VLOOKUP(AM29,Düngemittel!$B$6:$E$64,4,FALSE)*AN29</f>
        <v>0</v>
      </c>
      <c r="AR29" s="2081"/>
      <c r="AS29" s="1329"/>
      <c r="AT29" s="1330" t="s">
        <v>795</v>
      </c>
      <c r="AU29" s="1424">
        <v>0</v>
      </c>
      <c r="AV29" s="1033">
        <f>VLOOKUP(AT29,Düngemittel!$B$6:$E$64,2,FALSE)*(VLOOKUP(AT29,Düngemittel!$B$6:$E$64,3,FALSE))/100*AU29</f>
        <v>0</v>
      </c>
      <c r="AW29" s="1033">
        <f>VLOOKUP(AT29,Düngemittel!$B$6:$E$64,2,FALSE)*AU29</f>
        <v>0</v>
      </c>
      <c r="AX29" s="1033">
        <f>VLOOKUP(AT29,Düngemittel!$B$6:$E$64,4,FALSE)*AU29</f>
        <v>0</v>
      </c>
      <c r="AY29" s="2081"/>
      <c r="AZ29" s="1329"/>
      <c r="BA29" s="1330" t="s">
        <v>795</v>
      </c>
      <c r="BB29" s="1424">
        <v>0</v>
      </c>
      <c r="BC29" s="1033">
        <f>VLOOKUP(BA29,Düngemittel!$B$6:$E$64,2,FALSE)*(VLOOKUP(BA29,Düngemittel!$B$6:$E$64,3,FALSE))/100*BB29</f>
        <v>0</v>
      </c>
      <c r="BD29" s="1033">
        <f>VLOOKUP(BA29,Düngemittel!$B$6:$E$64,2,FALSE)*BB29</f>
        <v>0</v>
      </c>
      <c r="BE29" s="1033">
        <f>VLOOKUP(BA29,Düngemittel!$B$6:$E$64,4,FALSE)*BB29</f>
        <v>0</v>
      </c>
      <c r="BF29" s="2081"/>
      <c r="BG29" s="1329"/>
      <c r="BH29" s="1330" t="s">
        <v>795</v>
      </c>
      <c r="BI29" s="1424">
        <v>0</v>
      </c>
      <c r="BJ29" s="1033">
        <f>VLOOKUP(BH29,Düngemittel!$B$6:$E$64,2,FALSE)*(VLOOKUP(BH29,Düngemittel!$B$6:$E$64,3,FALSE))/100*BI29</f>
        <v>0</v>
      </c>
      <c r="BK29" s="1033">
        <f>VLOOKUP(BH29,Düngemittel!$B$6:$E$64,2,FALSE)*BI29</f>
        <v>0</v>
      </c>
      <c r="BL29" s="1033">
        <f>VLOOKUP(BH29,Düngemittel!$B$6:$E$64,4,FALSE)*BI29</f>
        <v>0</v>
      </c>
      <c r="BM29" s="1736"/>
      <c r="BN29" s="1282">
        <f t="shared" si="20"/>
        <v>0</v>
      </c>
      <c r="BO29" s="1745">
        <f t="shared" si="21"/>
        <v>0</v>
      </c>
      <c r="BP29" s="1282">
        <f t="shared" si="21"/>
        <v>0</v>
      </c>
      <c r="BQ29" s="1138">
        <f t="shared" si="22"/>
        <v>0</v>
      </c>
      <c r="BR29" s="1745">
        <f t="shared" si="23"/>
        <v>0</v>
      </c>
      <c r="BS29" s="95"/>
      <c r="BT29" s="1135">
        <f t="shared" si="24"/>
        <v>0</v>
      </c>
      <c r="BU29" s="1135">
        <f t="shared" si="24"/>
        <v>0</v>
      </c>
      <c r="BV29" s="1135">
        <f t="shared" si="24"/>
        <v>0</v>
      </c>
      <c r="BW29" s="1807">
        <f t="shared" si="24"/>
        <v>0</v>
      </c>
      <c r="BX29" s="1135">
        <f t="shared" si="24"/>
        <v>0</v>
      </c>
      <c r="BY29" s="1736"/>
      <c r="CA29">
        <v>0</v>
      </c>
      <c r="CB29">
        <v>0</v>
      </c>
      <c r="CD29" s="2141" t="s">
        <v>1349</v>
      </c>
      <c r="CE29" s="33">
        <v>80</v>
      </c>
      <c r="CF29" s="33">
        <v>85</v>
      </c>
      <c r="CG29" s="33">
        <v>20</v>
      </c>
      <c r="CH29" s="323">
        <v>20</v>
      </c>
      <c r="CI29" s="323">
        <v>20</v>
      </c>
      <c r="CJ29" s="323">
        <f>CI29*2/3</f>
        <v>13.333333333333334</v>
      </c>
      <c r="CK29" s="323">
        <v>65</v>
      </c>
      <c r="CL29" s="323">
        <v>60</v>
      </c>
      <c r="CM29" s="1001">
        <v>0.22900000000000001</v>
      </c>
    </row>
    <row r="30" spans="1:91" ht="27" customHeight="1">
      <c r="A30" s="1750">
        <v>23</v>
      </c>
      <c r="B30" s="2169">
        <v>0</v>
      </c>
      <c r="C30" s="2172" t="s">
        <v>31</v>
      </c>
      <c r="D30" s="1751">
        <f t="shared" si="14"/>
        <v>0</v>
      </c>
      <c r="E30" s="1940">
        <f t="shared" si="0"/>
        <v>0</v>
      </c>
      <c r="F30" s="1941">
        <v>0</v>
      </c>
      <c r="G30" s="1928">
        <f t="shared" ref="G30:G50" si="26">F30-D30</f>
        <v>0</v>
      </c>
      <c r="H30" s="1928">
        <f t="shared" ref="H30:H50" si="27">IF(G30=0,0,G30*100/D30)</f>
        <v>0</v>
      </c>
      <c r="I30" s="1949">
        <f t="shared" si="1"/>
        <v>0</v>
      </c>
      <c r="J30" s="1949">
        <f t="shared" si="2"/>
        <v>0</v>
      </c>
      <c r="K30" s="1949">
        <f t="shared" si="3"/>
        <v>0</v>
      </c>
      <c r="L30" s="1943">
        <f t="shared" ref="L30:L50" si="28">IF(D30=0,0,IF(H30&gt;0,ROUNDDOWN(H30/I30,0)*J30,IF(H30&lt;=0,ROUNDDOWN(H30/I30,0)*K30,IF(G30&gt;0,G30*J30/F30,K30*G30/0))))</f>
        <v>0</v>
      </c>
      <c r="M30" s="587" t="s">
        <v>503</v>
      </c>
      <c r="N30" s="1905">
        <f t="shared" si="4"/>
        <v>0</v>
      </c>
      <c r="O30" s="761" t="s">
        <v>25</v>
      </c>
      <c r="P30" s="1905">
        <f t="shared" si="5"/>
        <v>0</v>
      </c>
      <c r="Q30" s="1906">
        <f t="shared" si="6"/>
        <v>0</v>
      </c>
      <c r="R30" s="1957">
        <v>0</v>
      </c>
      <c r="S30" s="1907" t="s">
        <v>160</v>
      </c>
      <c r="T30" s="1752">
        <f t="shared" si="7"/>
        <v>0</v>
      </c>
      <c r="U30" s="1961">
        <v>0</v>
      </c>
      <c r="V30" s="1893" t="s">
        <v>1314</v>
      </c>
      <c r="W30" s="1963">
        <f t="shared" si="8"/>
        <v>0</v>
      </c>
      <c r="X30" s="1966">
        <f t="shared" si="18"/>
        <v>0</v>
      </c>
      <c r="Y30" s="1933">
        <f t="shared" si="19"/>
        <v>0</v>
      </c>
      <c r="Z30" s="2098">
        <f t="shared" si="9"/>
        <v>0</v>
      </c>
      <c r="AA30" s="1933">
        <f t="shared" si="10"/>
        <v>0</v>
      </c>
      <c r="AB30" s="2324"/>
      <c r="AC30" s="1281">
        <f t="shared" si="11"/>
        <v>23</v>
      </c>
      <c r="AD30" s="1281" t="str">
        <f t="shared" si="12"/>
        <v>keine</v>
      </c>
      <c r="AE30" s="1329"/>
      <c r="AF30" s="1330" t="s">
        <v>795</v>
      </c>
      <c r="AG30" s="1424">
        <v>0</v>
      </c>
      <c r="AH30" s="1033">
        <f>VLOOKUP(AF30,Düngemittel!$B$6:$E$64,2,FALSE)*(VLOOKUP(AF30,Düngemittel!$B$6:$E$64,3,FALSE))/100*AG30</f>
        <v>0</v>
      </c>
      <c r="AI30" s="1033">
        <f>VLOOKUP(AF30,Düngemittel!$B$6:$E$64,2,FALSE)*AG30</f>
        <v>0</v>
      </c>
      <c r="AJ30" s="1033">
        <f>VLOOKUP(AF30,Düngemittel!$B$6:$E$64,4,FALSE)*AG30</f>
        <v>0</v>
      </c>
      <c r="AK30" s="2324"/>
      <c r="AL30" s="1329"/>
      <c r="AM30" s="1330" t="s">
        <v>795</v>
      </c>
      <c r="AN30" s="1424">
        <v>0</v>
      </c>
      <c r="AO30" s="1033">
        <f>VLOOKUP(AM30,Düngemittel!$B$6:$E$64,2,FALSE)*(VLOOKUP(AM30,Düngemittel!$B$6:$E$64,3,FALSE))/100*AN30</f>
        <v>0</v>
      </c>
      <c r="AP30" s="1033">
        <f>VLOOKUP(AM30,Düngemittel!$B$6:$E$64,2,FALSE)*AN30</f>
        <v>0</v>
      </c>
      <c r="AQ30" s="1033">
        <f>VLOOKUP(AM30,Düngemittel!$B$6:$E$64,4,FALSE)*AN30</f>
        <v>0</v>
      </c>
      <c r="AR30" s="2324"/>
      <c r="AS30" s="1329"/>
      <c r="AT30" s="1330" t="s">
        <v>795</v>
      </c>
      <c r="AU30" s="1424">
        <v>0</v>
      </c>
      <c r="AV30" s="1033">
        <f>VLOOKUP(AT30,Düngemittel!$B$6:$E$64,2,FALSE)*(VLOOKUP(AT30,Düngemittel!$B$6:$E$64,3,FALSE))/100*AU30</f>
        <v>0</v>
      </c>
      <c r="AW30" s="1033">
        <f>VLOOKUP(AT30,Düngemittel!$B$6:$E$64,2,FALSE)*AU30</f>
        <v>0</v>
      </c>
      <c r="AX30" s="1033">
        <f>VLOOKUP(AT30,Düngemittel!$B$6:$E$64,4,FALSE)*AU30</f>
        <v>0</v>
      </c>
      <c r="AY30" s="2324"/>
      <c r="AZ30" s="1329"/>
      <c r="BA30" s="1330" t="s">
        <v>795</v>
      </c>
      <c r="BB30" s="1424">
        <v>0</v>
      </c>
      <c r="BC30" s="1033">
        <f>VLOOKUP(BA30,Düngemittel!$B$6:$E$64,2,FALSE)*(VLOOKUP(BA30,Düngemittel!$B$6:$E$64,3,FALSE))/100*BB30</f>
        <v>0</v>
      </c>
      <c r="BD30" s="1033">
        <f>VLOOKUP(BA30,Düngemittel!$B$6:$E$64,2,FALSE)*BB30</f>
        <v>0</v>
      </c>
      <c r="BE30" s="1033">
        <f>VLOOKUP(BA30,Düngemittel!$B$6:$E$64,4,FALSE)*BB30</f>
        <v>0</v>
      </c>
      <c r="BF30" s="2324"/>
      <c r="BG30" s="1329"/>
      <c r="BH30" s="1330" t="s">
        <v>795</v>
      </c>
      <c r="BI30" s="1424">
        <v>0</v>
      </c>
      <c r="BJ30" s="1033">
        <f>VLOOKUP(BH30,Düngemittel!$B$6:$E$64,2,FALSE)*(VLOOKUP(BH30,Düngemittel!$B$6:$E$64,3,FALSE))/100*BI30</f>
        <v>0</v>
      </c>
      <c r="BK30" s="1033">
        <f>VLOOKUP(BH30,Düngemittel!$B$6:$E$64,2,FALSE)*BI30</f>
        <v>0</v>
      </c>
      <c r="BL30" s="1033">
        <f>VLOOKUP(BH30,Düngemittel!$B$6:$E$64,4,FALSE)*BI30</f>
        <v>0</v>
      </c>
      <c r="BM30" s="2324"/>
      <c r="BN30" s="1282">
        <f t="shared" ref="BN30:BN50" si="29">IF(AH30&lt;AI30,0,AH30)+IF(AO30&lt;AP30,0,AO30)+IF(AV30&lt;AW30,0,AV30)+IF(BC30&lt;BD30,0,BC30)+IF(BJ30&lt;BK30,0,BJ30)</f>
        <v>0</v>
      </c>
      <c r="BO30" s="2328">
        <f t="shared" ref="BO30:BO50" si="30">(AH30+AO30+AV30+BC30+BJ30)</f>
        <v>0</v>
      </c>
      <c r="BP30" s="1282">
        <f t="shared" ref="BP30:BP50" si="31">(AI30+AP30+AW30+BD30+BK30)</f>
        <v>0</v>
      </c>
      <c r="BQ30" s="1138">
        <f t="shared" ref="BQ30:BQ50" si="32">IF(AH30&lt;AI30,AI30,0)+IF(AO30&lt;AP30,AP30,0)+IF(AV30&lt;AW30,AW30,0)+IF(BC30&lt;BD30,BD30,0)+IF(BJ30&lt;BK30,BK30,0)</f>
        <v>0</v>
      </c>
      <c r="BR30" s="2328">
        <f t="shared" ref="BR30:BR50" si="33">(AJ30+AQ30+AX30+BE30+BL30)</f>
        <v>0</v>
      </c>
      <c r="BS30" s="95"/>
      <c r="BT30" s="1135">
        <f t="shared" ref="BT30:BT50" si="34">BN30*$B30</f>
        <v>0</v>
      </c>
      <c r="BU30" s="1135">
        <f t="shared" ref="BU30:BU50" si="35">BO30*$B30</f>
        <v>0</v>
      </c>
      <c r="BV30" s="1135">
        <f t="shared" ref="BV30:BV50" si="36">BP30*$B30</f>
        <v>0</v>
      </c>
      <c r="BW30" s="1807">
        <f t="shared" ref="BW30:BW50" si="37">BQ30*$B30</f>
        <v>0</v>
      </c>
      <c r="BX30" s="1135">
        <f t="shared" ref="BX30:BX50" si="38">BR30*$B30</f>
        <v>0</v>
      </c>
      <c r="BY30" s="2324"/>
      <c r="CA30">
        <v>0</v>
      </c>
      <c r="CB30">
        <v>0</v>
      </c>
      <c r="CD30" s="2141" t="s">
        <v>1282</v>
      </c>
      <c r="CE30" s="33">
        <v>400</v>
      </c>
      <c r="CF30" s="33">
        <v>200</v>
      </c>
      <c r="CG30" s="33">
        <v>20</v>
      </c>
      <c r="CH30" s="323">
        <v>20</v>
      </c>
      <c r="CI30" s="323">
        <v>20</v>
      </c>
      <c r="CJ30" s="323">
        <f>CI30*2/3</f>
        <v>13.333333333333334</v>
      </c>
      <c r="CK30" s="323">
        <v>35</v>
      </c>
      <c r="CL30" s="323">
        <v>60</v>
      </c>
      <c r="CM30" s="1001">
        <v>0.16300000000000001</v>
      </c>
    </row>
    <row r="31" spans="1:91" ht="27" customHeight="1">
      <c r="A31" s="1750">
        <v>24</v>
      </c>
      <c r="B31" s="2169">
        <v>0</v>
      </c>
      <c r="C31" s="2172" t="s">
        <v>31</v>
      </c>
      <c r="D31" s="1751">
        <f t="shared" si="14"/>
        <v>0</v>
      </c>
      <c r="E31" s="1940">
        <f t="shared" si="0"/>
        <v>0</v>
      </c>
      <c r="F31" s="1941">
        <v>0</v>
      </c>
      <c r="G31" s="1928">
        <f t="shared" si="26"/>
        <v>0</v>
      </c>
      <c r="H31" s="1928">
        <f t="shared" si="27"/>
        <v>0</v>
      </c>
      <c r="I31" s="1949">
        <f t="shared" si="1"/>
        <v>0</v>
      </c>
      <c r="J31" s="1949">
        <f t="shared" si="2"/>
        <v>0</v>
      </c>
      <c r="K31" s="1949">
        <f t="shared" si="3"/>
        <v>0</v>
      </c>
      <c r="L31" s="1943">
        <f t="shared" si="28"/>
        <v>0</v>
      </c>
      <c r="M31" s="587" t="s">
        <v>503</v>
      </c>
      <c r="N31" s="1905">
        <f t="shared" si="4"/>
        <v>0</v>
      </c>
      <c r="O31" s="761" t="s">
        <v>25</v>
      </c>
      <c r="P31" s="1905">
        <f t="shared" si="5"/>
        <v>0</v>
      </c>
      <c r="Q31" s="1906">
        <f t="shared" si="6"/>
        <v>0</v>
      </c>
      <c r="R31" s="1957">
        <v>0</v>
      </c>
      <c r="S31" s="1907" t="s">
        <v>160</v>
      </c>
      <c r="T31" s="1752">
        <f t="shared" si="7"/>
        <v>0</v>
      </c>
      <c r="U31" s="1961">
        <v>0</v>
      </c>
      <c r="V31" s="1893" t="s">
        <v>1314</v>
      </c>
      <c r="W31" s="1963">
        <f t="shared" si="8"/>
        <v>0</v>
      </c>
      <c r="X31" s="1966">
        <f t="shared" si="18"/>
        <v>0</v>
      </c>
      <c r="Y31" s="1933">
        <f t="shared" si="19"/>
        <v>0</v>
      </c>
      <c r="Z31" s="2098">
        <f t="shared" si="9"/>
        <v>0</v>
      </c>
      <c r="AA31" s="1933">
        <f t="shared" si="10"/>
        <v>0</v>
      </c>
      <c r="AB31" s="2324"/>
      <c r="AC31" s="1281">
        <f t="shared" si="11"/>
        <v>24</v>
      </c>
      <c r="AD31" s="1281" t="str">
        <f t="shared" si="12"/>
        <v>keine</v>
      </c>
      <c r="AE31" s="1329"/>
      <c r="AF31" s="1330" t="s">
        <v>795</v>
      </c>
      <c r="AG31" s="1424">
        <v>0</v>
      </c>
      <c r="AH31" s="1033">
        <f>VLOOKUP(AF31,Düngemittel!$B$6:$E$64,2,FALSE)*(VLOOKUP(AF31,Düngemittel!$B$6:$E$64,3,FALSE))/100*AG31</f>
        <v>0</v>
      </c>
      <c r="AI31" s="1033">
        <f>VLOOKUP(AF31,Düngemittel!$B$6:$E$64,2,FALSE)*AG31</f>
        <v>0</v>
      </c>
      <c r="AJ31" s="1033">
        <f>VLOOKUP(AF31,Düngemittel!$B$6:$E$64,4,FALSE)*AG31</f>
        <v>0</v>
      </c>
      <c r="AK31" s="2324"/>
      <c r="AL31" s="1329"/>
      <c r="AM31" s="1330" t="s">
        <v>795</v>
      </c>
      <c r="AN31" s="1424">
        <v>0</v>
      </c>
      <c r="AO31" s="1033">
        <f>VLOOKUP(AM31,Düngemittel!$B$6:$E$64,2,FALSE)*(VLOOKUP(AM31,Düngemittel!$B$6:$E$64,3,FALSE))/100*AN31</f>
        <v>0</v>
      </c>
      <c r="AP31" s="1033">
        <f>VLOOKUP(AM31,Düngemittel!$B$6:$E$64,2,FALSE)*AN31</f>
        <v>0</v>
      </c>
      <c r="AQ31" s="1033">
        <f>VLOOKUP(AM31,Düngemittel!$B$6:$E$64,4,FALSE)*AN31</f>
        <v>0</v>
      </c>
      <c r="AR31" s="2324"/>
      <c r="AS31" s="1329"/>
      <c r="AT31" s="1330" t="s">
        <v>795</v>
      </c>
      <c r="AU31" s="1424">
        <v>0</v>
      </c>
      <c r="AV31" s="1033">
        <f>VLOOKUP(AT31,Düngemittel!$B$6:$E$64,2,FALSE)*(VLOOKUP(AT31,Düngemittel!$B$6:$E$64,3,FALSE))/100*AU31</f>
        <v>0</v>
      </c>
      <c r="AW31" s="1033">
        <f>VLOOKUP(AT31,Düngemittel!$B$6:$E$64,2,FALSE)*AU31</f>
        <v>0</v>
      </c>
      <c r="AX31" s="1033">
        <f>VLOOKUP(AT31,Düngemittel!$B$6:$E$64,4,FALSE)*AU31</f>
        <v>0</v>
      </c>
      <c r="AY31" s="2324"/>
      <c r="AZ31" s="1329"/>
      <c r="BA31" s="1330" t="s">
        <v>795</v>
      </c>
      <c r="BB31" s="1424">
        <v>0</v>
      </c>
      <c r="BC31" s="1033">
        <f>VLOOKUP(BA31,Düngemittel!$B$6:$E$64,2,FALSE)*(VLOOKUP(BA31,Düngemittel!$B$6:$E$64,3,FALSE))/100*BB31</f>
        <v>0</v>
      </c>
      <c r="BD31" s="1033">
        <f>VLOOKUP(BA31,Düngemittel!$B$6:$E$64,2,FALSE)*BB31</f>
        <v>0</v>
      </c>
      <c r="BE31" s="1033">
        <f>VLOOKUP(BA31,Düngemittel!$B$6:$E$64,4,FALSE)*BB31</f>
        <v>0</v>
      </c>
      <c r="BF31" s="2324"/>
      <c r="BG31" s="1329"/>
      <c r="BH31" s="1330" t="s">
        <v>795</v>
      </c>
      <c r="BI31" s="1424">
        <v>0</v>
      </c>
      <c r="BJ31" s="1033">
        <f>VLOOKUP(BH31,Düngemittel!$B$6:$E$64,2,FALSE)*(VLOOKUP(BH31,Düngemittel!$B$6:$E$64,3,FALSE))/100*BI31</f>
        <v>0</v>
      </c>
      <c r="BK31" s="1033">
        <f>VLOOKUP(BH31,Düngemittel!$B$6:$E$64,2,FALSE)*BI31</f>
        <v>0</v>
      </c>
      <c r="BL31" s="1033">
        <f>VLOOKUP(BH31,Düngemittel!$B$6:$E$64,4,FALSE)*BI31</f>
        <v>0</v>
      </c>
      <c r="BM31" s="2324"/>
      <c r="BN31" s="1282">
        <f t="shared" si="29"/>
        <v>0</v>
      </c>
      <c r="BO31" s="2328">
        <f t="shared" si="30"/>
        <v>0</v>
      </c>
      <c r="BP31" s="1282">
        <f t="shared" si="31"/>
        <v>0</v>
      </c>
      <c r="BQ31" s="1138">
        <f t="shared" si="32"/>
        <v>0</v>
      </c>
      <c r="BR31" s="2328">
        <f t="shared" si="33"/>
        <v>0</v>
      </c>
      <c r="BS31" s="95"/>
      <c r="BT31" s="1135">
        <f t="shared" si="34"/>
        <v>0</v>
      </c>
      <c r="BU31" s="1135">
        <f t="shared" si="35"/>
        <v>0</v>
      </c>
      <c r="BV31" s="1135">
        <f t="shared" si="36"/>
        <v>0</v>
      </c>
      <c r="BW31" s="1807">
        <f t="shared" si="37"/>
        <v>0</v>
      </c>
      <c r="BX31" s="1135">
        <f t="shared" si="38"/>
        <v>0</v>
      </c>
      <c r="BY31" s="2324"/>
      <c r="CA31">
        <v>0</v>
      </c>
      <c r="CB31">
        <v>0</v>
      </c>
      <c r="CD31" s="2141" t="s">
        <v>1350</v>
      </c>
      <c r="CE31" s="33">
        <v>800</v>
      </c>
      <c r="CF31" s="33">
        <v>210</v>
      </c>
      <c r="CG31" s="33">
        <v>20</v>
      </c>
      <c r="CH31" s="323">
        <v>40</v>
      </c>
      <c r="CI31" s="323">
        <v>40</v>
      </c>
      <c r="CJ31" s="323">
        <f>CI31*2/3</f>
        <v>26.666666666666668</v>
      </c>
      <c r="CK31" s="323">
        <v>50</v>
      </c>
      <c r="CL31" s="323">
        <v>30</v>
      </c>
      <c r="CM31" s="1001">
        <v>6.9000000000000006E-2</v>
      </c>
    </row>
    <row r="32" spans="1:91" ht="27" customHeight="1">
      <c r="A32" s="1750">
        <v>25</v>
      </c>
      <c r="B32" s="2169">
        <v>0</v>
      </c>
      <c r="C32" s="2172" t="s">
        <v>31</v>
      </c>
      <c r="D32" s="1751">
        <f t="shared" si="14"/>
        <v>0</v>
      </c>
      <c r="E32" s="1940">
        <f t="shared" si="0"/>
        <v>0</v>
      </c>
      <c r="F32" s="1941">
        <v>0</v>
      </c>
      <c r="G32" s="1928">
        <f t="shared" si="26"/>
        <v>0</v>
      </c>
      <c r="H32" s="1928">
        <f t="shared" si="27"/>
        <v>0</v>
      </c>
      <c r="I32" s="1949">
        <f t="shared" si="1"/>
        <v>0</v>
      </c>
      <c r="J32" s="1949">
        <f t="shared" si="2"/>
        <v>0</v>
      </c>
      <c r="K32" s="1949">
        <f t="shared" si="3"/>
        <v>0</v>
      </c>
      <c r="L32" s="1943">
        <f t="shared" si="28"/>
        <v>0</v>
      </c>
      <c r="M32" s="587" t="s">
        <v>503</v>
      </c>
      <c r="N32" s="1905">
        <f t="shared" si="4"/>
        <v>0</v>
      </c>
      <c r="O32" s="761" t="s">
        <v>25</v>
      </c>
      <c r="P32" s="1905">
        <f t="shared" si="5"/>
        <v>0</v>
      </c>
      <c r="Q32" s="1906">
        <f t="shared" si="6"/>
        <v>0</v>
      </c>
      <c r="R32" s="1957">
        <v>0</v>
      </c>
      <c r="S32" s="1907" t="s">
        <v>160</v>
      </c>
      <c r="T32" s="1752">
        <f t="shared" si="7"/>
        <v>0</v>
      </c>
      <c r="U32" s="1961">
        <v>0</v>
      </c>
      <c r="V32" s="1893" t="s">
        <v>1314</v>
      </c>
      <c r="W32" s="1963">
        <f t="shared" si="8"/>
        <v>0</v>
      </c>
      <c r="X32" s="1966">
        <f t="shared" si="18"/>
        <v>0</v>
      </c>
      <c r="Y32" s="1933">
        <f t="shared" si="19"/>
        <v>0</v>
      </c>
      <c r="Z32" s="2098">
        <f t="shared" si="9"/>
        <v>0</v>
      </c>
      <c r="AA32" s="1933">
        <f t="shared" si="10"/>
        <v>0</v>
      </c>
      <c r="AB32" s="2324"/>
      <c r="AC32" s="1281">
        <f t="shared" si="11"/>
        <v>25</v>
      </c>
      <c r="AD32" s="1281" t="str">
        <f t="shared" si="12"/>
        <v>keine</v>
      </c>
      <c r="AE32" s="1329"/>
      <c r="AF32" s="1330" t="s">
        <v>795</v>
      </c>
      <c r="AG32" s="1424">
        <v>0</v>
      </c>
      <c r="AH32" s="1033">
        <f>VLOOKUP(AF32,Düngemittel!$B$6:$E$64,2,FALSE)*(VLOOKUP(AF32,Düngemittel!$B$6:$E$64,3,FALSE))/100*AG32</f>
        <v>0</v>
      </c>
      <c r="AI32" s="1033">
        <f>VLOOKUP(AF32,Düngemittel!$B$6:$E$64,2,FALSE)*AG32</f>
        <v>0</v>
      </c>
      <c r="AJ32" s="1033">
        <f>VLOOKUP(AF32,Düngemittel!$B$6:$E$64,4,FALSE)*AG32</f>
        <v>0</v>
      </c>
      <c r="AK32" s="2324"/>
      <c r="AL32" s="1329"/>
      <c r="AM32" s="1330" t="s">
        <v>795</v>
      </c>
      <c r="AN32" s="1424">
        <v>0</v>
      </c>
      <c r="AO32" s="1033">
        <f>VLOOKUP(AM32,Düngemittel!$B$6:$E$64,2,FALSE)*(VLOOKUP(AM32,Düngemittel!$B$6:$E$64,3,FALSE))/100*AN32</f>
        <v>0</v>
      </c>
      <c r="AP32" s="1033">
        <f>VLOOKUP(AM32,Düngemittel!$B$6:$E$64,2,FALSE)*AN32</f>
        <v>0</v>
      </c>
      <c r="AQ32" s="1033">
        <f>VLOOKUP(AM32,Düngemittel!$B$6:$E$64,4,FALSE)*AN32</f>
        <v>0</v>
      </c>
      <c r="AR32" s="2324"/>
      <c r="AS32" s="1329"/>
      <c r="AT32" s="1330" t="s">
        <v>795</v>
      </c>
      <c r="AU32" s="1424">
        <v>0</v>
      </c>
      <c r="AV32" s="1033">
        <f>VLOOKUP(AT32,Düngemittel!$B$6:$E$64,2,FALSE)*(VLOOKUP(AT32,Düngemittel!$B$6:$E$64,3,FALSE))/100*AU32</f>
        <v>0</v>
      </c>
      <c r="AW32" s="1033">
        <f>VLOOKUP(AT32,Düngemittel!$B$6:$E$64,2,FALSE)*AU32</f>
        <v>0</v>
      </c>
      <c r="AX32" s="1033">
        <f>VLOOKUP(AT32,Düngemittel!$B$6:$E$64,4,FALSE)*AU32</f>
        <v>0</v>
      </c>
      <c r="AY32" s="2324"/>
      <c r="AZ32" s="1329"/>
      <c r="BA32" s="1330" t="s">
        <v>795</v>
      </c>
      <c r="BB32" s="1424">
        <v>0</v>
      </c>
      <c r="BC32" s="1033">
        <f>VLOOKUP(BA32,Düngemittel!$B$6:$E$64,2,FALSE)*(VLOOKUP(BA32,Düngemittel!$B$6:$E$64,3,FALSE))/100*BB32</f>
        <v>0</v>
      </c>
      <c r="BD32" s="1033">
        <f>VLOOKUP(BA32,Düngemittel!$B$6:$E$64,2,FALSE)*BB32</f>
        <v>0</v>
      </c>
      <c r="BE32" s="1033">
        <f>VLOOKUP(BA32,Düngemittel!$B$6:$E$64,4,FALSE)*BB32</f>
        <v>0</v>
      </c>
      <c r="BF32" s="2324"/>
      <c r="BG32" s="1329"/>
      <c r="BH32" s="1330" t="s">
        <v>795</v>
      </c>
      <c r="BI32" s="1424">
        <v>0</v>
      </c>
      <c r="BJ32" s="1033">
        <f>VLOOKUP(BH32,Düngemittel!$B$6:$E$64,2,FALSE)*(VLOOKUP(BH32,Düngemittel!$B$6:$E$64,3,FALSE))/100*BI32</f>
        <v>0</v>
      </c>
      <c r="BK32" s="1033">
        <f>VLOOKUP(BH32,Düngemittel!$B$6:$E$64,2,FALSE)*BI32</f>
        <v>0</v>
      </c>
      <c r="BL32" s="1033">
        <f>VLOOKUP(BH32,Düngemittel!$B$6:$E$64,4,FALSE)*BI32</f>
        <v>0</v>
      </c>
      <c r="BM32" s="2324"/>
      <c r="BN32" s="1282">
        <f t="shared" si="29"/>
        <v>0</v>
      </c>
      <c r="BO32" s="2328">
        <f t="shared" si="30"/>
        <v>0</v>
      </c>
      <c r="BP32" s="1282">
        <f t="shared" si="31"/>
        <v>0</v>
      </c>
      <c r="BQ32" s="1138">
        <f t="shared" si="32"/>
        <v>0</v>
      </c>
      <c r="BR32" s="2328">
        <f t="shared" si="33"/>
        <v>0</v>
      </c>
      <c r="BS32" s="95"/>
      <c r="BT32" s="1135">
        <f t="shared" si="34"/>
        <v>0</v>
      </c>
      <c r="BU32" s="1135">
        <f t="shared" si="35"/>
        <v>0</v>
      </c>
      <c r="BV32" s="1135">
        <f t="shared" si="36"/>
        <v>0</v>
      </c>
      <c r="BW32" s="1807">
        <f t="shared" si="37"/>
        <v>0</v>
      </c>
      <c r="BX32" s="1135">
        <f t="shared" si="38"/>
        <v>0</v>
      </c>
      <c r="BY32" s="2324"/>
      <c r="CA32">
        <v>0</v>
      </c>
      <c r="CB32">
        <v>0</v>
      </c>
      <c r="CD32" s="2152" t="s">
        <v>1520</v>
      </c>
      <c r="CE32" s="33">
        <v>185</v>
      </c>
      <c r="CF32" s="33">
        <v>135</v>
      </c>
      <c r="CG32" s="33">
        <v>10</v>
      </c>
      <c r="CH32" s="2153">
        <v>13.5</v>
      </c>
      <c r="CI32" s="2153">
        <v>13.5</v>
      </c>
      <c r="CJ32" s="2152">
        <v>0</v>
      </c>
      <c r="CK32" s="2152">
        <v>0</v>
      </c>
      <c r="CL32" s="2152">
        <v>30</v>
      </c>
      <c r="CM32" s="2157">
        <v>0.16</v>
      </c>
    </row>
    <row r="33" spans="1:91" ht="27" customHeight="1">
      <c r="A33" s="1750">
        <v>26</v>
      </c>
      <c r="B33" s="2169">
        <v>0</v>
      </c>
      <c r="C33" s="2172" t="s">
        <v>31</v>
      </c>
      <c r="D33" s="1751">
        <f t="shared" si="14"/>
        <v>0</v>
      </c>
      <c r="E33" s="1940">
        <f t="shared" si="0"/>
        <v>0</v>
      </c>
      <c r="F33" s="1941">
        <v>0</v>
      </c>
      <c r="G33" s="1928">
        <f t="shared" si="26"/>
        <v>0</v>
      </c>
      <c r="H33" s="1928">
        <f t="shared" si="27"/>
        <v>0</v>
      </c>
      <c r="I33" s="1949">
        <f t="shared" si="1"/>
        <v>0</v>
      </c>
      <c r="J33" s="1949">
        <f t="shared" si="2"/>
        <v>0</v>
      </c>
      <c r="K33" s="1949">
        <f t="shared" si="3"/>
        <v>0</v>
      </c>
      <c r="L33" s="1943">
        <f t="shared" si="28"/>
        <v>0</v>
      </c>
      <c r="M33" s="587" t="s">
        <v>503</v>
      </c>
      <c r="N33" s="1905">
        <f t="shared" si="4"/>
        <v>0</v>
      </c>
      <c r="O33" s="761" t="s">
        <v>25</v>
      </c>
      <c r="P33" s="1905">
        <f t="shared" si="5"/>
        <v>0</v>
      </c>
      <c r="Q33" s="1906">
        <f t="shared" si="6"/>
        <v>0</v>
      </c>
      <c r="R33" s="1957">
        <v>0</v>
      </c>
      <c r="S33" s="1907" t="s">
        <v>160</v>
      </c>
      <c r="T33" s="1752">
        <f t="shared" si="7"/>
        <v>0</v>
      </c>
      <c r="U33" s="1961">
        <v>0</v>
      </c>
      <c r="V33" s="1893" t="s">
        <v>1314</v>
      </c>
      <c r="W33" s="1963">
        <f t="shared" si="8"/>
        <v>0</v>
      </c>
      <c r="X33" s="1966">
        <f t="shared" si="18"/>
        <v>0</v>
      </c>
      <c r="Y33" s="1933">
        <f t="shared" si="19"/>
        <v>0</v>
      </c>
      <c r="Z33" s="2098">
        <f t="shared" si="9"/>
        <v>0</v>
      </c>
      <c r="AA33" s="1933">
        <f t="shared" si="10"/>
        <v>0</v>
      </c>
      <c r="AB33" s="2324"/>
      <c r="AC33" s="1281">
        <f t="shared" si="11"/>
        <v>26</v>
      </c>
      <c r="AD33" s="1281" t="str">
        <f t="shared" si="12"/>
        <v>keine</v>
      </c>
      <c r="AE33" s="1329"/>
      <c r="AF33" s="1330" t="s">
        <v>795</v>
      </c>
      <c r="AG33" s="1424">
        <v>0</v>
      </c>
      <c r="AH33" s="1033">
        <f>VLOOKUP(AF33,Düngemittel!$B$6:$E$64,2,FALSE)*(VLOOKUP(AF33,Düngemittel!$B$6:$E$64,3,FALSE))/100*AG33</f>
        <v>0</v>
      </c>
      <c r="AI33" s="1033">
        <f>VLOOKUP(AF33,Düngemittel!$B$6:$E$64,2,FALSE)*AG33</f>
        <v>0</v>
      </c>
      <c r="AJ33" s="1033">
        <f>VLOOKUP(AF33,Düngemittel!$B$6:$E$64,4,FALSE)*AG33</f>
        <v>0</v>
      </c>
      <c r="AK33" s="2324"/>
      <c r="AL33" s="1329"/>
      <c r="AM33" s="1330" t="s">
        <v>795</v>
      </c>
      <c r="AN33" s="1424">
        <v>0</v>
      </c>
      <c r="AO33" s="1033">
        <f>VLOOKUP(AM33,Düngemittel!$B$6:$E$64,2,FALSE)*(VLOOKUP(AM33,Düngemittel!$B$6:$E$64,3,FALSE))/100*AN33</f>
        <v>0</v>
      </c>
      <c r="AP33" s="1033">
        <f>VLOOKUP(AM33,Düngemittel!$B$6:$E$64,2,FALSE)*AN33</f>
        <v>0</v>
      </c>
      <c r="AQ33" s="1033">
        <f>VLOOKUP(AM33,Düngemittel!$B$6:$E$64,4,FALSE)*AN33</f>
        <v>0</v>
      </c>
      <c r="AR33" s="2324"/>
      <c r="AS33" s="1329"/>
      <c r="AT33" s="1330" t="s">
        <v>795</v>
      </c>
      <c r="AU33" s="1424">
        <v>0</v>
      </c>
      <c r="AV33" s="1033">
        <f>VLOOKUP(AT33,Düngemittel!$B$6:$E$64,2,FALSE)*(VLOOKUP(AT33,Düngemittel!$B$6:$E$64,3,FALSE))/100*AU33</f>
        <v>0</v>
      </c>
      <c r="AW33" s="1033">
        <f>VLOOKUP(AT33,Düngemittel!$B$6:$E$64,2,FALSE)*AU33</f>
        <v>0</v>
      </c>
      <c r="AX33" s="1033">
        <f>VLOOKUP(AT33,Düngemittel!$B$6:$E$64,4,FALSE)*AU33</f>
        <v>0</v>
      </c>
      <c r="AY33" s="2324"/>
      <c r="AZ33" s="1329"/>
      <c r="BA33" s="1330" t="s">
        <v>795</v>
      </c>
      <c r="BB33" s="1424">
        <v>0</v>
      </c>
      <c r="BC33" s="1033">
        <f>VLOOKUP(BA33,Düngemittel!$B$6:$E$64,2,FALSE)*(VLOOKUP(BA33,Düngemittel!$B$6:$E$64,3,FALSE))/100*BB33</f>
        <v>0</v>
      </c>
      <c r="BD33" s="1033">
        <f>VLOOKUP(BA33,Düngemittel!$B$6:$E$64,2,FALSE)*BB33</f>
        <v>0</v>
      </c>
      <c r="BE33" s="1033">
        <f>VLOOKUP(BA33,Düngemittel!$B$6:$E$64,4,FALSE)*BB33</f>
        <v>0</v>
      </c>
      <c r="BF33" s="2324"/>
      <c r="BG33" s="1329"/>
      <c r="BH33" s="1330" t="s">
        <v>795</v>
      </c>
      <c r="BI33" s="1424">
        <v>0</v>
      </c>
      <c r="BJ33" s="1033">
        <f>VLOOKUP(BH33,Düngemittel!$B$6:$E$64,2,FALSE)*(VLOOKUP(BH33,Düngemittel!$B$6:$E$64,3,FALSE))/100*BI33</f>
        <v>0</v>
      </c>
      <c r="BK33" s="1033">
        <f>VLOOKUP(BH33,Düngemittel!$B$6:$E$64,2,FALSE)*BI33</f>
        <v>0</v>
      </c>
      <c r="BL33" s="1033">
        <f>VLOOKUP(BH33,Düngemittel!$B$6:$E$64,4,FALSE)*BI33</f>
        <v>0</v>
      </c>
      <c r="BM33" s="2324"/>
      <c r="BN33" s="1282">
        <f t="shared" si="29"/>
        <v>0</v>
      </c>
      <c r="BO33" s="2328">
        <f t="shared" si="30"/>
        <v>0</v>
      </c>
      <c r="BP33" s="1282">
        <f t="shared" si="31"/>
        <v>0</v>
      </c>
      <c r="BQ33" s="1138">
        <f t="shared" si="32"/>
        <v>0</v>
      </c>
      <c r="BR33" s="2328">
        <f t="shared" si="33"/>
        <v>0</v>
      </c>
      <c r="BS33" s="95"/>
      <c r="BT33" s="1135">
        <f t="shared" si="34"/>
        <v>0</v>
      </c>
      <c r="BU33" s="1135">
        <f t="shared" si="35"/>
        <v>0</v>
      </c>
      <c r="BV33" s="1135">
        <f t="shared" si="36"/>
        <v>0</v>
      </c>
      <c r="BW33" s="1807">
        <f t="shared" si="37"/>
        <v>0</v>
      </c>
      <c r="BX33" s="1135">
        <f t="shared" si="38"/>
        <v>0</v>
      </c>
      <c r="BY33" s="2324"/>
      <c r="CA33">
        <v>0</v>
      </c>
      <c r="CB33">
        <v>0</v>
      </c>
      <c r="CD33" s="2152" t="s">
        <v>1522</v>
      </c>
      <c r="CE33" s="33">
        <v>190</v>
      </c>
      <c r="CF33" s="33">
        <v>120</v>
      </c>
      <c r="CG33" s="33">
        <v>10</v>
      </c>
      <c r="CH33" s="2153">
        <v>12</v>
      </c>
      <c r="CI33" s="2153">
        <v>12</v>
      </c>
      <c r="CJ33" s="2152">
        <v>0</v>
      </c>
      <c r="CK33" s="2152">
        <v>0</v>
      </c>
      <c r="CL33" s="2152">
        <v>30</v>
      </c>
      <c r="CM33" s="2155">
        <v>0.1</v>
      </c>
    </row>
    <row r="34" spans="1:91" ht="27" customHeight="1">
      <c r="A34" s="1750">
        <v>27</v>
      </c>
      <c r="B34" s="2169">
        <v>0</v>
      </c>
      <c r="C34" s="2172" t="s">
        <v>31</v>
      </c>
      <c r="D34" s="1751">
        <f t="shared" si="14"/>
        <v>0</v>
      </c>
      <c r="E34" s="1940">
        <f t="shared" si="0"/>
        <v>0</v>
      </c>
      <c r="F34" s="1941">
        <v>0</v>
      </c>
      <c r="G34" s="1928">
        <f t="shared" si="26"/>
        <v>0</v>
      </c>
      <c r="H34" s="1928">
        <f t="shared" si="27"/>
        <v>0</v>
      </c>
      <c r="I34" s="1949">
        <f t="shared" si="1"/>
        <v>0</v>
      </c>
      <c r="J34" s="1949">
        <f t="shared" si="2"/>
        <v>0</v>
      </c>
      <c r="K34" s="1949">
        <f t="shared" si="3"/>
        <v>0</v>
      </c>
      <c r="L34" s="1943">
        <f t="shared" si="28"/>
        <v>0</v>
      </c>
      <c r="M34" s="587" t="s">
        <v>503</v>
      </c>
      <c r="N34" s="1905">
        <f t="shared" si="4"/>
        <v>0</v>
      </c>
      <c r="O34" s="761" t="s">
        <v>25</v>
      </c>
      <c r="P34" s="1905">
        <f t="shared" si="5"/>
        <v>0</v>
      </c>
      <c r="Q34" s="1906">
        <f t="shared" si="6"/>
        <v>0</v>
      </c>
      <c r="R34" s="1957">
        <v>0</v>
      </c>
      <c r="S34" s="1907" t="s">
        <v>160</v>
      </c>
      <c r="T34" s="1752">
        <f t="shared" si="7"/>
        <v>0</v>
      </c>
      <c r="U34" s="1961">
        <v>0</v>
      </c>
      <c r="V34" s="1893" t="s">
        <v>1314</v>
      </c>
      <c r="W34" s="1963">
        <f t="shared" si="8"/>
        <v>0</v>
      </c>
      <c r="X34" s="1966">
        <f t="shared" si="18"/>
        <v>0</v>
      </c>
      <c r="Y34" s="1933">
        <f t="shared" si="19"/>
        <v>0</v>
      </c>
      <c r="Z34" s="2098">
        <f t="shared" si="9"/>
        <v>0</v>
      </c>
      <c r="AA34" s="1933">
        <f t="shared" si="10"/>
        <v>0</v>
      </c>
      <c r="AB34" s="2324"/>
      <c r="AC34" s="1281">
        <f t="shared" si="11"/>
        <v>27</v>
      </c>
      <c r="AD34" s="1281" t="str">
        <f t="shared" si="12"/>
        <v>keine</v>
      </c>
      <c r="AE34" s="1329"/>
      <c r="AF34" s="1330" t="s">
        <v>795</v>
      </c>
      <c r="AG34" s="1424">
        <v>0</v>
      </c>
      <c r="AH34" s="1033">
        <f>VLOOKUP(AF34,Düngemittel!$B$6:$E$64,2,FALSE)*(VLOOKUP(AF34,Düngemittel!$B$6:$E$64,3,FALSE))/100*AG34</f>
        <v>0</v>
      </c>
      <c r="AI34" s="1033">
        <f>VLOOKUP(AF34,Düngemittel!$B$6:$E$64,2,FALSE)*AG34</f>
        <v>0</v>
      </c>
      <c r="AJ34" s="1033">
        <f>VLOOKUP(AF34,Düngemittel!$B$6:$E$64,4,FALSE)*AG34</f>
        <v>0</v>
      </c>
      <c r="AK34" s="2324"/>
      <c r="AL34" s="1329"/>
      <c r="AM34" s="1330" t="s">
        <v>795</v>
      </c>
      <c r="AN34" s="1424">
        <v>0</v>
      </c>
      <c r="AO34" s="1033">
        <f>VLOOKUP(AM34,Düngemittel!$B$6:$E$64,2,FALSE)*(VLOOKUP(AM34,Düngemittel!$B$6:$E$64,3,FALSE))/100*AN34</f>
        <v>0</v>
      </c>
      <c r="AP34" s="1033">
        <f>VLOOKUP(AM34,Düngemittel!$B$6:$E$64,2,FALSE)*AN34</f>
        <v>0</v>
      </c>
      <c r="AQ34" s="1033">
        <f>VLOOKUP(AM34,Düngemittel!$B$6:$E$64,4,FALSE)*AN34</f>
        <v>0</v>
      </c>
      <c r="AR34" s="2324"/>
      <c r="AS34" s="1329"/>
      <c r="AT34" s="1330" t="s">
        <v>795</v>
      </c>
      <c r="AU34" s="1424">
        <v>0</v>
      </c>
      <c r="AV34" s="1033">
        <f>VLOOKUP(AT34,Düngemittel!$B$6:$E$64,2,FALSE)*(VLOOKUP(AT34,Düngemittel!$B$6:$E$64,3,FALSE))/100*AU34</f>
        <v>0</v>
      </c>
      <c r="AW34" s="1033">
        <f>VLOOKUP(AT34,Düngemittel!$B$6:$E$64,2,FALSE)*AU34</f>
        <v>0</v>
      </c>
      <c r="AX34" s="1033">
        <f>VLOOKUP(AT34,Düngemittel!$B$6:$E$64,4,FALSE)*AU34</f>
        <v>0</v>
      </c>
      <c r="AY34" s="2324"/>
      <c r="AZ34" s="1329"/>
      <c r="BA34" s="1330" t="s">
        <v>795</v>
      </c>
      <c r="BB34" s="1424">
        <v>0</v>
      </c>
      <c r="BC34" s="1033">
        <f>VLOOKUP(BA34,Düngemittel!$B$6:$E$64,2,FALSE)*(VLOOKUP(BA34,Düngemittel!$B$6:$E$64,3,FALSE))/100*BB34</f>
        <v>0</v>
      </c>
      <c r="BD34" s="1033">
        <f>VLOOKUP(BA34,Düngemittel!$B$6:$E$64,2,FALSE)*BB34</f>
        <v>0</v>
      </c>
      <c r="BE34" s="1033">
        <f>VLOOKUP(BA34,Düngemittel!$B$6:$E$64,4,FALSE)*BB34</f>
        <v>0</v>
      </c>
      <c r="BF34" s="2324"/>
      <c r="BG34" s="1329"/>
      <c r="BH34" s="1330" t="s">
        <v>795</v>
      </c>
      <c r="BI34" s="1424">
        <v>0</v>
      </c>
      <c r="BJ34" s="1033">
        <f>VLOOKUP(BH34,Düngemittel!$B$6:$E$64,2,FALSE)*(VLOOKUP(BH34,Düngemittel!$B$6:$E$64,3,FALSE))/100*BI34</f>
        <v>0</v>
      </c>
      <c r="BK34" s="1033">
        <f>VLOOKUP(BH34,Düngemittel!$B$6:$E$64,2,FALSE)*BI34</f>
        <v>0</v>
      </c>
      <c r="BL34" s="1033">
        <f>VLOOKUP(BH34,Düngemittel!$B$6:$E$64,4,FALSE)*BI34</f>
        <v>0</v>
      </c>
      <c r="BM34" s="2324"/>
      <c r="BN34" s="1282">
        <f t="shared" si="29"/>
        <v>0</v>
      </c>
      <c r="BO34" s="2328">
        <f t="shared" si="30"/>
        <v>0</v>
      </c>
      <c r="BP34" s="1282">
        <f t="shared" si="31"/>
        <v>0</v>
      </c>
      <c r="BQ34" s="1138">
        <f t="shared" si="32"/>
        <v>0</v>
      </c>
      <c r="BR34" s="2328">
        <f t="shared" si="33"/>
        <v>0</v>
      </c>
      <c r="BS34" s="95"/>
      <c r="BT34" s="1135">
        <f t="shared" si="34"/>
        <v>0</v>
      </c>
      <c r="BU34" s="1135">
        <f t="shared" si="35"/>
        <v>0</v>
      </c>
      <c r="BV34" s="1135">
        <f t="shared" si="36"/>
        <v>0</v>
      </c>
      <c r="BW34" s="1807">
        <f t="shared" si="37"/>
        <v>0</v>
      </c>
      <c r="BX34" s="1135">
        <f t="shared" si="38"/>
        <v>0</v>
      </c>
      <c r="BY34" s="2324"/>
      <c r="CA34">
        <v>0</v>
      </c>
      <c r="CB34">
        <v>0</v>
      </c>
      <c r="CD34" s="2140" t="s">
        <v>1644</v>
      </c>
      <c r="CE34" s="33">
        <v>100</v>
      </c>
      <c r="CF34" s="33">
        <v>120</v>
      </c>
      <c r="CG34" s="33">
        <v>10</v>
      </c>
      <c r="CH34" s="2153">
        <v>8.5</v>
      </c>
      <c r="CI34" s="2153">
        <v>8.5</v>
      </c>
      <c r="CJ34" s="2160">
        <v>0</v>
      </c>
      <c r="CK34" s="2160">
        <v>0</v>
      </c>
      <c r="CL34" s="2160">
        <v>30</v>
      </c>
      <c r="CM34" s="2157">
        <v>0.17</v>
      </c>
    </row>
    <row r="35" spans="1:91" ht="27" customHeight="1">
      <c r="A35" s="1750">
        <v>28</v>
      </c>
      <c r="B35" s="2169">
        <v>0</v>
      </c>
      <c r="C35" s="2172" t="s">
        <v>31</v>
      </c>
      <c r="D35" s="1751">
        <f t="shared" si="14"/>
        <v>0</v>
      </c>
      <c r="E35" s="1940">
        <f t="shared" si="0"/>
        <v>0</v>
      </c>
      <c r="F35" s="1941">
        <v>0</v>
      </c>
      <c r="G35" s="1928">
        <f t="shared" si="26"/>
        <v>0</v>
      </c>
      <c r="H35" s="1928">
        <f t="shared" si="27"/>
        <v>0</v>
      </c>
      <c r="I35" s="1949">
        <f t="shared" si="1"/>
        <v>0</v>
      </c>
      <c r="J35" s="1949">
        <f t="shared" si="2"/>
        <v>0</v>
      </c>
      <c r="K35" s="1949">
        <f t="shared" si="3"/>
        <v>0</v>
      </c>
      <c r="L35" s="1943">
        <f t="shared" si="28"/>
        <v>0</v>
      </c>
      <c r="M35" s="587" t="s">
        <v>503</v>
      </c>
      <c r="N35" s="1905">
        <f t="shared" si="4"/>
        <v>0</v>
      </c>
      <c r="O35" s="761" t="s">
        <v>25</v>
      </c>
      <c r="P35" s="1905">
        <f t="shared" si="5"/>
        <v>0</v>
      </c>
      <c r="Q35" s="1906">
        <f t="shared" si="6"/>
        <v>0</v>
      </c>
      <c r="R35" s="1957">
        <v>0</v>
      </c>
      <c r="S35" s="1907" t="s">
        <v>160</v>
      </c>
      <c r="T35" s="1752">
        <f t="shared" si="7"/>
        <v>0</v>
      </c>
      <c r="U35" s="1961">
        <v>0</v>
      </c>
      <c r="V35" s="1893" t="s">
        <v>1314</v>
      </c>
      <c r="W35" s="1963">
        <f t="shared" si="8"/>
        <v>0</v>
      </c>
      <c r="X35" s="1966">
        <f t="shared" si="18"/>
        <v>0</v>
      </c>
      <c r="Y35" s="1933">
        <f t="shared" si="19"/>
        <v>0</v>
      </c>
      <c r="Z35" s="2098">
        <f t="shared" si="9"/>
        <v>0</v>
      </c>
      <c r="AA35" s="1933">
        <f t="shared" si="10"/>
        <v>0</v>
      </c>
      <c r="AB35" s="2324"/>
      <c r="AC35" s="1281">
        <f t="shared" si="11"/>
        <v>28</v>
      </c>
      <c r="AD35" s="1281" t="str">
        <f t="shared" si="12"/>
        <v>keine</v>
      </c>
      <c r="AE35" s="1329"/>
      <c r="AF35" s="1330" t="s">
        <v>795</v>
      </c>
      <c r="AG35" s="1424">
        <v>0</v>
      </c>
      <c r="AH35" s="1033">
        <f>VLOOKUP(AF35,Düngemittel!$B$6:$E$64,2,FALSE)*(VLOOKUP(AF35,Düngemittel!$B$6:$E$64,3,FALSE))/100*AG35</f>
        <v>0</v>
      </c>
      <c r="AI35" s="1033">
        <f>VLOOKUP(AF35,Düngemittel!$B$6:$E$64,2,FALSE)*AG35</f>
        <v>0</v>
      </c>
      <c r="AJ35" s="1033">
        <f>VLOOKUP(AF35,Düngemittel!$B$6:$E$64,4,FALSE)*AG35</f>
        <v>0</v>
      </c>
      <c r="AK35" s="2324"/>
      <c r="AL35" s="1329"/>
      <c r="AM35" s="1330" t="s">
        <v>795</v>
      </c>
      <c r="AN35" s="1424">
        <v>0</v>
      </c>
      <c r="AO35" s="1033">
        <f>VLOOKUP(AM35,Düngemittel!$B$6:$E$64,2,FALSE)*(VLOOKUP(AM35,Düngemittel!$B$6:$E$64,3,FALSE))/100*AN35</f>
        <v>0</v>
      </c>
      <c r="AP35" s="1033">
        <f>VLOOKUP(AM35,Düngemittel!$B$6:$E$64,2,FALSE)*AN35</f>
        <v>0</v>
      </c>
      <c r="AQ35" s="1033">
        <f>VLOOKUP(AM35,Düngemittel!$B$6:$E$64,4,FALSE)*AN35</f>
        <v>0</v>
      </c>
      <c r="AR35" s="2324"/>
      <c r="AS35" s="1329"/>
      <c r="AT35" s="1330" t="s">
        <v>795</v>
      </c>
      <c r="AU35" s="1424">
        <v>0</v>
      </c>
      <c r="AV35" s="1033">
        <f>VLOOKUP(AT35,Düngemittel!$B$6:$E$64,2,FALSE)*(VLOOKUP(AT35,Düngemittel!$B$6:$E$64,3,FALSE))/100*AU35</f>
        <v>0</v>
      </c>
      <c r="AW35" s="1033">
        <f>VLOOKUP(AT35,Düngemittel!$B$6:$E$64,2,FALSE)*AU35</f>
        <v>0</v>
      </c>
      <c r="AX35" s="1033">
        <f>VLOOKUP(AT35,Düngemittel!$B$6:$E$64,4,FALSE)*AU35</f>
        <v>0</v>
      </c>
      <c r="AY35" s="2324"/>
      <c r="AZ35" s="1329"/>
      <c r="BA35" s="1330" t="s">
        <v>795</v>
      </c>
      <c r="BB35" s="1424">
        <v>0</v>
      </c>
      <c r="BC35" s="1033">
        <f>VLOOKUP(BA35,Düngemittel!$B$6:$E$64,2,FALSE)*(VLOOKUP(BA35,Düngemittel!$B$6:$E$64,3,FALSE))/100*BB35</f>
        <v>0</v>
      </c>
      <c r="BD35" s="1033">
        <f>VLOOKUP(BA35,Düngemittel!$B$6:$E$64,2,FALSE)*BB35</f>
        <v>0</v>
      </c>
      <c r="BE35" s="1033">
        <f>VLOOKUP(BA35,Düngemittel!$B$6:$E$64,4,FALSE)*BB35</f>
        <v>0</v>
      </c>
      <c r="BF35" s="2324"/>
      <c r="BG35" s="1329"/>
      <c r="BH35" s="1330" t="s">
        <v>795</v>
      </c>
      <c r="BI35" s="1424">
        <v>0</v>
      </c>
      <c r="BJ35" s="1033">
        <f>VLOOKUP(BH35,Düngemittel!$B$6:$E$64,2,FALSE)*(VLOOKUP(BH35,Düngemittel!$B$6:$E$64,3,FALSE))/100*BI35</f>
        <v>0</v>
      </c>
      <c r="BK35" s="1033">
        <f>VLOOKUP(BH35,Düngemittel!$B$6:$E$64,2,FALSE)*BI35</f>
        <v>0</v>
      </c>
      <c r="BL35" s="1033">
        <f>VLOOKUP(BH35,Düngemittel!$B$6:$E$64,4,FALSE)*BI35</f>
        <v>0</v>
      </c>
      <c r="BM35" s="2324"/>
      <c r="BN35" s="1282">
        <f t="shared" si="29"/>
        <v>0</v>
      </c>
      <c r="BO35" s="2328">
        <f t="shared" si="30"/>
        <v>0</v>
      </c>
      <c r="BP35" s="1282">
        <f t="shared" si="31"/>
        <v>0</v>
      </c>
      <c r="BQ35" s="1138">
        <f t="shared" si="32"/>
        <v>0</v>
      </c>
      <c r="BR35" s="2328">
        <f t="shared" si="33"/>
        <v>0</v>
      </c>
      <c r="BS35" s="95"/>
      <c r="BT35" s="1135">
        <f t="shared" si="34"/>
        <v>0</v>
      </c>
      <c r="BU35" s="1135">
        <f t="shared" si="35"/>
        <v>0</v>
      </c>
      <c r="BV35" s="1135">
        <f t="shared" si="36"/>
        <v>0</v>
      </c>
      <c r="BW35" s="1807">
        <f t="shared" si="37"/>
        <v>0</v>
      </c>
      <c r="BX35" s="1135">
        <f t="shared" si="38"/>
        <v>0</v>
      </c>
      <c r="BY35" s="2324"/>
      <c r="CA35">
        <v>0</v>
      </c>
      <c r="CB35">
        <v>0</v>
      </c>
      <c r="CD35" s="2141" t="s">
        <v>1283</v>
      </c>
      <c r="CE35" s="33">
        <v>400</v>
      </c>
      <c r="CF35" s="33">
        <v>200</v>
      </c>
      <c r="CG35" s="33">
        <v>20</v>
      </c>
      <c r="CH35" s="323">
        <v>20</v>
      </c>
      <c r="CI35" s="323">
        <v>20</v>
      </c>
      <c r="CJ35" s="323">
        <f>CI35*2/3</f>
        <v>13.333333333333334</v>
      </c>
      <c r="CK35" s="323">
        <v>45</v>
      </c>
      <c r="CL35" s="323">
        <v>60</v>
      </c>
      <c r="CM35" s="1001">
        <v>6.9000000000000006E-2</v>
      </c>
    </row>
    <row r="36" spans="1:91" ht="27" customHeight="1">
      <c r="A36" s="1750">
        <v>29</v>
      </c>
      <c r="B36" s="2169">
        <v>0</v>
      </c>
      <c r="C36" s="2172" t="s">
        <v>31</v>
      </c>
      <c r="D36" s="1751">
        <f t="shared" si="14"/>
        <v>0</v>
      </c>
      <c r="E36" s="1940">
        <f t="shared" si="0"/>
        <v>0</v>
      </c>
      <c r="F36" s="1941">
        <v>0</v>
      </c>
      <c r="G36" s="1928">
        <f t="shared" si="26"/>
        <v>0</v>
      </c>
      <c r="H36" s="1928">
        <f t="shared" si="27"/>
        <v>0</v>
      </c>
      <c r="I36" s="1949">
        <f t="shared" si="1"/>
        <v>0</v>
      </c>
      <c r="J36" s="1949">
        <f t="shared" si="2"/>
        <v>0</v>
      </c>
      <c r="K36" s="1949">
        <f t="shared" si="3"/>
        <v>0</v>
      </c>
      <c r="L36" s="1943">
        <f t="shared" si="28"/>
        <v>0</v>
      </c>
      <c r="M36" s="587" t="s">
        <v>503</v>
      </c>
      <c r="N36" s="1905">
        <f t="shared" si="4"/>
        <v>0</v>
      </c>
      <c r="O36" s="761" t="s">
        <v>25</v>
      </c>
      <c r="P36" s="1905">
        <f t="shared" si="5"/>
        <v>0</v>
      </c>
      <c r="Q36" s="1906">
        <f t="shared" si="6"/>
        <v>0</v>
      </c>
      <c r="R36" s="1957">
        <v>0</v>
      </c>
      <c r="S36" s="1907" t="s">
        <v>160</v>
      </c>
      <c r="T36" s="1752">
        <f t="shared" si="7"/>
        <v>0</v>
      </c>
      <c r="U36" s="1961">
        <v>0</v>
      </c>
      <c r="V36" s="1893" t="s">
        <v>1314</v>
      </c>
      <c r="W36" s="1963">
        <f t="shared" si="8"/>
        <v>0</v>
      </c>
      <c r="X36" s="1966">
        <f t="shared" si="18"/>
        <v>0</v>
      </c>
      <c r="Y36" s="1933">
        <f t="shared" si="19"/>
        <v>0</v>
      </c>
      <c r="Z36" s="2098">
        <f t="shared" si="9"/>
        <v>0</v>
      </c>
      <c r="AA36" s="1933">
        <f t="shared" si="10"/>
        <v>0</v>
      </c>
      <c r="AB36" s="2324"/>
      <c r="AC36" s="1281">
        <f t="shared" si="11"/>
        <v>29</v>
      </c>
      <c r="AD36" s="1281" t="str">
        <f t="shared" si="12"/>
        <v>keine</v>
      </c>
      <c r="AE36" s="1329"/>
      <c r="AF36" s="1330" t="s">
        <v>795</v>
      </c>
      <c r="AG36" s="1424">
        <v>0</v>
      </c>
      <c r="AH36" s="1033">
        <f>VLOOKUP(AF36,Düngemittel!$B$6:$E$64,2,FALSE)*(VLOOKUP(AF36,Düngemittel!$B$6:$E$64,3,FALSE))/100*AG36</f>
        <v>0</v>
      </c>
      <c r="AI36" s="1033">
        <f>VLOOKUP(AF36,Düngemittel!$B$6:$E$64,2,FALSE)*AG36</f>
        <v>0</v>
      </c>
      <c r="AJ36" s="1033">
        <f>VLOOKUP(AF36,Düngemittel!$B$6:$E$64,4,FALSE)*AG36</f>
        <v>0</v>
      </c>
      <c r="AK36" s="2324"/>
      <c r="AL36" s="1329"/>
      <c r="AM36" s="1330" t="s">
        <v>795</v>
      </c>
      <c r="AN36" s="1424">
        <v>0</v>
      </c>
      <c r="AO36" s="1033">
        <f>VLOOKUP(AM36,Düngemittel!$B$6:$E$64,2,FALSE)*(VLOOKUP(AM36,Düngemittel!$B$6:$E$64,3,FALSE))/100*AN36</f>
        <v>0</v>
      </c>
      <c r="AP36" s="1033">
        <f>VLOOKUP(AM36,Düngemittel!$B$6:$E$64,2,FALSE)*AN36</f>
        <v>0</v>
      </c>
      <c r="AQ36" s="1033">
        <f>VLOOKUP(AM36,Düngemittel!$B$6:$E$64,4,FALSE)*AN36</f>
        <v>0</v>
      </c>
      <c r="AR36" s="2324"/>
      <c r="AS36" s="1329"/>
      <c r="AT36" s="1330" t="s">
        <v>795</v>
      </c>
      <c r="AU36" s="1424">
        <v>0</v>
      </c>
      <c r="AV36" s="1033">
        <f>VLOOKUP(AT36,Düngemittel!$B$6:$E$64,2,FALSE)*(VLOOKUP(AT36,Düngemittel!$B$6:$E$64,3,FALSE))/100*AU36</f>
        <v>0</v>
      </c>
      <c r="AW36" s="1033">
        <f>VLOOKUP(AT36,Düngemittel!$B$6:$E$64,2,FALSE)*AU36</f>
        <v>0</v>
      </c>
      <c r="AX36" s="1033">
        <f>VLOOKUP(AT36,Düngemittel!$B$6:$E$64,4,FALSE)*AU36</f>
        <v>0</v>
      </c>
      <c r="AY36" s="2324"/>
      <c r="AZ36" s="1329"/>
      <c r="BA36" s="1330" t="s">
        <v>795</v>
      </c>
      <c r="BB36" s="1424">
        <v>0</v>
      </c>
      <c r="BC36" s="1033">
        <f>VLOOKUP(BA36,Düngemittel!$B$6:$E$64,2,FALSE)*(VLOOKUP(BA36,Düngemittel!$B$6:$E$64,3,FALSE))/100*BB36</f>
        <v>0</v>
      </c>
      <c r="BD36" s="1033">
        <f>VLOOKUP(BA36,Düngemittel!$B$6:$E$64,2,FALSE)*BB36</f>
        <v>0</v>
      </c>
      <c r="BE36" s="1033">
        <f>VLOOKUP(BA36,Düngemittel!$B$6:$E$64,4,FALSE)*BB36</f>
        <v>0</v>
      </c>
      <c r="BF36" s="2324"/>
      <c r="BG36" s="1329"/>
      <c r="BH36" s="1330" t="s">
        <v>795</v>
      </c>
      <c r="BI36" s="1424">
        <v>0</v>
      </c>
      <c r="BJ36" s="1033">
        <f>VLOOKUP(BH36,Düngemittel!$B$6:$E$64,2,FALSE)*(VLOOKUP(BH36,Düngemittel!$B$6:$E$64,3,FALSE))/100*BI36</f>
        <v>0</v>
      </c>
      <c r="BK36" s="1033">
        <f>VLOOKUP(BH36,Düngemittel!$B$6:$E$64,2,FALSE)*BI36</f>
        <v>0</v>
      </c>
      <c r="BL36" s="1033">
        <f>VLOOKUP(BH36,Düngemittel!$B$6:$E$64,4,FALSE)*BI36</f>
        <v>0</v>
      </c>
      <c r="BM36" s="2324"/>
      <c r="BN36" s="1282">
        <f t="shared" si="29"/>
        <v>0</v>
      </c>
      <c r="BO36" s="2328">
        <f t="shared" si="30"/>
        <v>0</v>
      </c>
      <c r="BP36" s="1282">
        <f t="shared" si="31"/>
        <v>0</v>
      </c>
      <c r="BQ36" s="1138">
        <f t="shared" si="32"/>
        <v>0</v>
      </c>
      <c r="BR36" s="2328">
        <f t="shared" si="33"/>
        <v>0</v>
      </c>
      <c r="BS36" s="95"/>
      <c r="BT36" s="1135">
        <f t="shared" si="34"/>
        <v>0</v>
      </c>
      <c r="BU36" s="1135">
        <f t="shared" si="35"/>
        <v>0</v>
      </c>
      <c r="BV36" s="1135">
        <f t="shared" si="36"/>
        <v>0</v>
      </c>
      <c r="BW36" s="1807">
        <f t="shared" si="37"/>
        <v>0</v>
      </c>
      <c r="BX36" s="1135">
        <f t="shared" si="38"/>
        <v>0</v>
      </c>
      <c r="BY36" s="2324"/>
      <c r="CA36">
        <v>0</v>
      </c>
      <c r="CB36">
        <v>0</v>
      </c>
      <c r="CD36" s="2141" t="s">
        <v>1284</v>
      </c>
      <c r="CE36" s="33">
        <v>450</v>
      </c>
      <c r="CF36" s="33">
        <v>230</v>
      </c>
      <c r="CG36" s="33">
        <v>20</v>
      </c>
      <c r="CH36" s="323">
        <v>20</v>
      </c>
      <c r="CI36" s="323">
        <v>20</v>
      </c>
      <c r="CJ36" s="323">
        <f>CI36*2/3</f>
        <v>13.333333333333334</v>
      </c>
      <c r="CK36" s="323">
        <v>30</v>
      </c>
      <c r="CL36" s="323">
        <v>30</v>
      </c>
      <c r="CM36" s="1001">
        <v>0.10299999999999999</v>
      </c>
    </row>
    <row r="37" spans="1:91" ht="27" customHeight="1">
      <c r="A37" s="1750">
        <v>30</v>
      </c>
      <c r="B37" s="2169">
        <v>0</v>
      </c>
      <c r="C37" s="2172" t="s">
        <v>31</v>
      </c>
      <c r="D37" s="1751">
        <f t="shared" si="14"/>
        <v>0</v>
      </c>
      <c r="E37" s="1940">
        <f t="shared" si="0"/>
        <v>0</v>
      </c>
      <c r="F37" s="1941">
        <v>0</v>
      </c>
      <c r="G37" s="1928">
        <f t="shared" si="26"/>
        <v>0</v>
      </c>
      <c r="H37" s="1928">
        <f t="shared" si="27"/>
        <v>0</v>
      </c>
      <c r="I37" s="1949">
        <f t="shared" si="1"/>
        <v>0</v>
      </c>
      <c r="J37" s="1949">
        <f t="shared" si="2"/>
        <v>0</v>
      </c>
      <c r="K37" s="1949">
        <f t="shared" si="3"/>
        <v>0</v>
      </c>
      <c r="L37" s="1943">
        <f t="shared" si="28"/>
        <v>0</v>
      </c>
      <c r="M37" s="587" t="s">
        <v>503</v>
      </c>
      <c r="N37" s="1905">
        <f t="shared" si="4"/>
        <v>0</v>
      </c>
      <c r="O37" s="761" t="s">
        <v>25</v>
      </c>
      <c r="P37" s="1905">
        <f t="shared" si="5"/>
        <v>0</v>
      </c>
      <c r="Q37" s="1906">
        <f t="shared" si="6"/>
        <v>0</v>
      </c>
      <c r="R37" s="1957">
        <v>0</v>
      </c>
      <c r="S37" s="1907" t="s">
        <v>160</v>
      </c>
      <c r="T37" s="1752">
        <f t="shared" si="7"/>
        <v>0</v>
      </c>
      <c r="U37" s="1961">
        <v>0</v>
      </c>
      <c r="V37" s="1893" t="s">
        <v>1314</v>
      </c>
      <c r="W37" s="1963">
        <f t="shared" si="8"/>
        <v>0</v>
      </c>
      <c r="X37" s="1966">
        <f t="shared" si="18"/>
        <v>0</v>
      </c>
      <c r="Y37" s="1933">
        <f t="shared" si="19"/>
        <v>0</v>
      </c>
      <c r="Z37" s="2098">
        <f t="shared" si="9"/>
        <v>0</v>
      </c>
      <c r="AA37" s="1933">
        <f t="shared" si="10"/>
        <v>0</v>
      </c>
      <c r="AB37" s="2324"/>
      <c r="AC37" s="1281">
        <f t="shared" si="11"/>
        <v>30</v>
      </c>
      <c r="AD37" s="1281" t="str">
        <f t="shared" si="12"/>
        <v>keine</v>
      </c>
      <c r="AE37" s="1329"/>
      <c r="AF37" s="1330" t="s">
        <v>795</v>
      </c>
      <c r="AG37" s="1424">
        <v>0</v>
      </c>
      <c r="AH37" s="1033">
        <f>VLOOKUP(AF37,Düngemittel!$B$6:$E$64,2,FALSE)*(VLOOKUP(AF37,Düngemittel!$B$6:$E$64,3,FALSE))/100*AG37</f>
        <v>0</v>
      </c>
      <c r="AI37" s="1033">
        <f>VLOOKUP(AF37,Düngemittel!$B$6:$E$64,2,FALSE)*AG37</f>
        <v>0</v>
      </c>
      <c r="AJ37" s="1033">
        <f>VLOOKUP(AF37,Düngemittel!$B$6:$E$64,4,FALSE)*AG37</f>
        <v>0</v>
      </c>
      <c r="AK37" s="2324"/>
      <c r="AL37" s="1329"/>
      <c r="AM37" s="1330" t="s">
        <v>795</v>
      </c>
      <c r="AN37" s="1424">
        <v>0</v>
      </c>
      <c r="AO37" s="1033">
        <f>VLOOKUP(AM37,Düngemittel!$B$6:$E$64,2,FALSE)*(VLOOKUP(AM37,Düngemittel!$B$6:$E$64,3,FALSE))/100*AN37</f>
        <v>0</v>
      </c>
      <c r="AP37" s="1033">
        <f>VLOOKUP(AM37,Düngemittel!$B$6:$E$64,2,FALSE)*AN37</f>
        <v>0</v>
      </c>
      <c r="AQ37" s="1033">
        <f>VLOOKUP(AM37,Düngemittel!$B$6:$E$64,4,FALSE)*AN37</f>
        <v>0</v>
      </c>
      <c r="AR37" s="2324"/>
      <c r="AS37" s="1329"/>
      <c r="AT37" s="1330" t="s">
        <v>795</v>
      </c>
      <c r="AU37" s="1424">
        <v>0</v>
      </c>
      <c r="AV37" s="1033">
        <f>VLOOKUP(AT37,Düngemittel!$B$6:$E$64,2,FALSE)*(VLOOKUP(AT37,Düngemittel!$B$6:$E$64,3,FALSE))/100*AU37</f>
        <v>0</v>
      </c>
      <c r="AW37" s="1033">
        <f>VLOOKUP(AT37,Düngemittel!$B$6:$E$64,2,FALSE)*AU37</f>
        <v>0</v>
      </c>
      <c r="AX37" s="1033">
        <f>VLOOKUP(AT37,Düngemittel!$B$6:$E$64,4,FALSE)*AU37</f>
        <v>0</v>
      </c>
      <c r="AY37" s="2324"/>
      <c r="AZ37" s="1329"/>
      <c r="BA37" s="1330" t="s">
        <v>795</v>
      </c>
      <c r="BB37" s="1424">
        <v>0</v>
      </c>
      <c r="BC37" s="1033">
        <f>VLOOKUP(BA37,Düngemittel!$B$6:$E$64,2,FALSE)*(VLOOKUP(BA37,Düngemittel!$B$6:$E$64,3,FALSE))/100*BB37</f>
        <v>0</v>
      </c>
      <c r="BD37" s="1033">
        <f>VLOOKUP(BA37,Düngemittel!$B$6:$E$64,2,FALSE)*BB37</f>
        <v>0</v>
      </c>
      <c r="BE37" s="1033">
        <f>VLOOKUP(BA37,Düngemittel!$B$6:$E$64,4,FALSE)*BB37</f>
        <v>0</v>
      </c>
      <c r="BF37" s="2324"/>
      <c r="BG37" s="1329"/>
      <c r="BH37" s="1330" t="s">
        <v>795</v>
      </c>
      <c r="BI37" s="1424">
        <v>0</v>
      </c>
      <c r="BJ37" s="1033">
        <f>VLOOKUP(BH37,Düngemittel!$B$6:$E$64,2,FALSE)*(VLOOKUP(BH37,Düngemittel!$B$6:$E$64,3,FALSE))/100*BI37</f>
        <v>0</v>
      </c>
      <c r="BK37" s="1033">
        <f>VLOOKUP(BH37,Düngemittel!$B$6:$E$64,2,FALSE)*BI37</f>
        <v>0</v>
      </c>
      <c r="BL37" s="1033">
        <f>VLOOKUP(BH37,Düngemittel!$B$6:$E$64,4,FALSE)*BI37</f>
        <v>0</v>
      </c>
      <c r="BM37" s="2324"/>
      <c r="BN37" s="1282">
        <f t="shared" si="29"/>
        <v>0</v>
      </c>
      <c r="BO37" s="2328">
        <f t="shared" si="30"/>
        <v>0</v>
      </c>
      <c r="BP37" s="1282">
        <f t="shared" si="31"/>
        <v>0</v>
      </c>
      <c r="BQ37" s="1138">
        <f t="shared" si="32"/>
        <v>0</v>
      </c>
      <c r="BR37" s="2328">
        <f t="shared" si="33"/>
        <v>0</v>
      </c>
      <c r="BS37" s="95"/>
      <c r="BT37" s="1135">
        <f t="shared" si="34"/>
        <v>0</v>
      </c>
      <c r="BU37" s="1135">
        <f t="shared" si="35"/>
        <v>0</v>
      </c>
      <c r="BV37" s="1135">
        <f t="shared" si="36"/>
        <v>0</v>
      </c>
      <c r="BW37" s="1807">
        <f t="shared" si="37"/>
        <v>0</v>
      </c>
      <c r="BX37" s="1135">
        <f t="shared" si="38"/>
        <v>0</v>
      </c>
      <c r="BY37" s="2324"/>
      <c r="CA37">
        <v>0</v>
      </c>
      <c r="CB37">
        <v>0</v>
      </c>
      <c r="CD37" s="2140" t="s">
        <v>1645</v>
      </c>
      <c r="CE37" s="33">
        <v>600</v>
      </c>
      <c r="CF37" s="33">
        <v>100</v>
      </c>
      <c r="CG37" s="33">
        <v>20</v>
      </c>
      <c r="CH37" s="2156">
        <v>20</v>
      </c>
      <c r="CI37" s="2156">
        <v>20</v>
      </c>
      <c r="CJ37" s="2156">
        <f>CI37*2/3</f>
        <v>13.333333333333334</v>
      </c>
      <c r="CK37" s="2156">
        <v>35</v>
      </c>
      <c r="CL37" s="2156">
        <v>60</v>
      </c>
      <c r="CM37" s="1914">
        <v>0.115</v>
      </c>
    </row>
    <row r="38" spans="1:91" ht="27" customHeight="1">
      <c r="A38" s="1750">
        <v>31</v>
      </c>
      <c r="B38" s="2169">
        <v>0</v>
      </c>
      <c r="C38" s="2172" t="s">
        <v>31</v>
      </c>
      <c r="D38" s="1751">
        <f t="shared" si="14"/>
        <v>0</v>
      </c>
      <c r="E38" s="1940">
        <f t="shared" si="0"/>
        <v>0</v>
      </c>
      <c r="F38" s="1941">
        <v>0</v>
      </c>
      <c r="G38" s="1928">
        <f t="shared" si="26"/>
        <v>0</v>
      </c>
      <c r="H38" s="1928">
        <f t="shared" si="27"/>
        <v>0</v>
      </c>
      <c r="I38" s="1949">
        <f t="shared" si="1"/>
        <v>0</v>
      </c>
      <c r="J38" s="1949">
        <f t="shared" si="2"/>
        <v>0</v>
      </c>
      <c r="K38" s="1949">
        <f t="shared" si="3"/>
        <v>0</v>
      </c>
      <c r="L38" s="1943">
        <f t="shared" si="28"/>
        <v>0</v>
      </c>
      <c r="M38" s="587" t="s">
        <v>503</v>
      </c>
      <c r="N38" s="1905">
        <f t="shared" si="4"/>
        <v>0</v>
      </c>
      <c r="O38" s="761" t="s">
        <v>25</v>
      </c>
      <c r="P38" s="1905">
        <f t="shared" si="5"/>
        <v>0</v>
      </c>
      <c r="Q38" s="1906">
        <f t="shared" si="6"/>
        <v>0</v>
      </c>
      <c r="R38" s="1957">
        <v>0</v>
      </c>
      <c r="S38" s="1907" t="s">
        <v>160</v>
      </c>
      <c r="T38" s="1752">
        <f t="shared" si="7"/>
        <v>0</v>
      </c>
      <c r="U38" s="1961">
        <v>0</v>
      </c>
      <c r="V38" s="1893" t="s">
        <v>1314</v>
      </c>
      <c r="W38" s="1963">
        <f t="shared" si="8"/>
        <v>0</v>
      </c>
      <c r="X38" s="1966">
        <f t="shared" si="18"/>
        <v>0</v>
      </c>
      <c r="Y38" s="1933">
        <f t="shared" si="19"/>
        <v>0</v>
      </c>
      <c r="Z38" s="2098">
        <f t="shared" si="9"/>
        <v>0</v>
      </c>
      <c r="AA38" s="1933">
        <f t="shared" si="10"/>
        <v>0</v>
      </c>
      <c r="AB38" s="2324"/>
      <c r="AC38" s="1281">
        <f t="shared" si="11"/>
        <v>31</v>
      </c>
      <c r="AD38" s="1281" t="str">
        <f t="shared" si="12"/>
        <v>keine</v>
      </c>
      <c r="AE38" s="1329"/>
      <c r="AF38" s="1330" t="s">
        <v>795</v>
      </c>
      <c r="AG38" s="1424">
        <v>0</v>
      </c>
      <c r="AH38" s="1033">
        <f>VLOOKUP(AF38,Düngemittel!$B$6:$E$64,2,FALSE)*(VLOOKUP(AF38,Düngemittel!$B$6:$E$64,3,FALSE))/100*AG38</f>
        <v>0</v>
      </c>
      <c r="AI38" s="1033">
        <f>VLOOKUP(AF38,Düngemittel!$B$6:$E$64,2,FALSE)*AG38</f>
        <v>0</v>
      </c>
      <c r="AJ38" s="1033">
        <f>VLOOKUP(AF38,Düngemittel!$B$6:$E$64,4,FALSE)*AG38</f>
        <v>0</v>
      </c>
      <c r="AK38" s="2324"/>
      <c r="AL38" s="1329"/>
      <c r="AM38" s="1330" t="s">
        <v>795</v>
      </c>
      <c r="AN38" s="1424">
        <v>0</v>
      </c>
      <c r="AO38" s="1033">
        <f>VLOOKUP(AM38,Düngemittel!$B$6:$E$64,2,FALSE)*(VLOOKUP(AM38,Düngemittel!$B$6:$E$64,3,FALSE))/100*AN38</f>
        <v>0</v>
      </c>
      <c r="AP38" s="1033">
        <f>VLOOKUP(AM38,Düngemittel!$B$6:$E$64,2,FALSE)*AN38</f>
        <v>0</v>
      </c>
      <c r="AQ38" s="1033">
        <f>VLOOKUP(AM38,Düngemittel!$B$6:$E$64,4,FALSE)*AN38</f>
        <v>0</v>
      </c>
      <c r="AR38" s="2324"/>
      <c r="AS38" s="1329"/>
      <c r="AT38" s="1330" t="s">
        <v>795</v>
      </c>
      <c r="AU38" s="1424">
        <v>0</v>
      </c>
      <c r="AV38" s="1033">
        <f>VLOOKUP(AT38,Düngemittel!$B$6:$E$64,2,FALSE)*(VLOOKUP(AT38,Düngemittel!$B$6:$E$64,3,FALSE))/100*AU38</f>
        <v>0</v>
      </c>
      <c r="AW38" s="1033">
        <f>VLOOKUP(AT38,Düngemittel!$B$6:$E$64,2,FALSE)*AU38</f>
        <v>0</v>
      </c>
      <c r="AX38" s="1033">
        <f>VLOOKUP(AT38,Düngemittel!$B$6:$E$64,4,FALSE)*AU38</f>
        <v>0</v>
      </c>
      <c r="AY38" s="2324"/>
      <c r="AZ38" s="1329"/>
      <c r="BA38" s="1330" t="s">
        <v>795</v>
      </c>
      <c r="BB38" s="1424">
        <v>0</v>
      </c>
      <c r="BC38" s="1033">
        <f>VLOOKUP(BA38,Düngemittel!$B$6:$E$64,2,FALSE)*(VLOOKUP(BA38,Düngemittel!$B$6:$E$64,3,FALSE))/100*BB38</f>
        <v>0</v>
      </c>
      <c r="BD38" s="1033">
        <f>VLOOKUP(BA38,Düngemittel!$B$6:$E$64,2,FALSE)*BB38</f>
        <v>0</v>
      </c>
      <c r="BE38" s="1033">
        <f>VLOOKUP(BA38,Düngemittel!$B$6:$E$64,4,FALSE)*BB38</f>
        <v>0</v>
      </c>
      <c r="BF38" s="2324"/>
      <c r="BG38" s="1329"/>
      <c r="BH38" s="1330" t="s">
        <v>795</v>
      </c>
      <c r="BI38" s="1424">
        <v>0</v>
      </c>
      <c r="BJ38" s="1033">
        <f>VLOOKUP(BH38,Düngemittel!$B$6:$E$64,2,FALSE)*(VLOOKUP(BH38,Düngemittel!$B$6:$E$64,3,FALSE))/100*BI38</f>
        <v>0</v>
      </c>
      <c r="BK38" s="1033">
        <f>VLOOKUP(BH38,Düngemittel!$B$6:$E$64,2,FALSE)*BI38</f>
        <v>0</v>
      </c>
      <c r="BL38" s="1033">
        <f>VLOOKUP(BH38,Düngemittel!$B$6:$E$64,4,FALSE)*BI38</f>
        <v>0</v>
      </c>
      <c r="BM38" s="2324"/>
      <c r="BN38" s="1282">
        <f t="shared" si="29"/>
        <v>0</v>
      </c>
      <c r="BO38" s="2328">
        <f t="shared" si="30"/>
        <v>0</v>
      </c>
      <c r="BP38" s="1282">
        <f t="shared" si="31"/>
        <v>0</v>
      </c>
      <c r="BQ38" s="1138">
        <f t="shared" si="32"/>
        <v>0</v>
      </c>
      <c r="BR38" s="2328">
        <f t="shared" si="33"/>
        <v>0</v>
      </c>
      <c r="BS38" s="95"/>
      <c r="BT38" s="1135">
        <f t="shared" si="34"/>
        <v>0</v>
      </c>
      <c r="BU38" s="1135">
        <f t="shared" si="35"/>
        <v>0</v>
      </c>
      <c r="BV38" s="1135">
        <f t="shared" si="36"/>
        <v>0</v>
      </c>
      <c r="BW38" s="1807">
        <f t="shared" si="37"/>
        <v>0</v>
      </c>
      <c r="BX38" s="1135">
        <f t="shared" si="38"/>
        <v>0</v>
      </c>
      <c r="BY38" s="2324"/>
      <c r="CA38">
        <v>0</v>
      </c>
      <c r="CB38">
        <v>0</v>
      </c>
      <c r="CD38" s="2159" t="s">
        <v>1646</v>
      </c>
      <c r="CE38" s="33">
        <v>120</v>
      </c>
      <c r="CF38" s="33">
        <v>100</v>
      </c>
      <c r="CG38" s="33">
        <v>10</v>
      </c>
      <c r="CH38" s="2153">
        <v>5</v>
      </c>
      <c r="CI38" s="2153">
        <v>5</v>
      </c>
      <c r="CJ38" s="2152">
        <v>0</v>
      </c>
      <c r="CK38" s="2152">
        <v>0</v>
      </c>
      <c r="CL38" s="2152">
        <v>30</v>
      </c>
      <c r="CM38" s="2157">
        <v>0.14000000000000001</v>
      </c>
    </row>
    <row r="39" spans="1:91" ht="27" customHeight="1">
      <c r="A39" s="1750">
        <v>32</v>
      </c>
      <c r="B39" s="2169">
        <v>0</v>
      </c>
      <c r="C39" s="2172" t="s">
        <v>31</v>
      </c>
      <c r="D39" s="1751">
        <f t="shared" si="14"/>
        <v>0</v>
      </c>
      <c r="E39" s="1940">
        <f t="shared" si="0"/>
        <v>0</v>
      </c>
      <c r="F39" s="1941">
        <v>0</v>
      </c>
      <c r="G39" s="1928">
        <f t="shared" si="26"/>
        <v>0</v>
      </c>
      <c r="H39" s="1928">
        <f t="shared" si="27"/>
        <v>0</v>
      </c>
      <c r="I39" s="1949">
        <f t="shared" si="1"/>
        <v>0</v>
      </c>
      <c r="J39" s="1949">
        <f t="shared" si="2"/>
        <v>0</v>
      </c>
      <c r="K39" s="1949">
        <f t="shared" si="3"/>
        <v>0</v>
      </c>
      <c r="L39" s="1943">
        <f t="shared" si="28"/>
        <v>0</v>
      </c>
      <c r="M39" s="587" t="s">
        <v>503</v>
      </c>
      <c r="N39" s="1905">
        <f t="shared" si="4"/>
        <v>0</v>
      </c>
      <c r="O39" s="761" t="s">
        <v>25</v>
      </c>
      <c r="P39" s="1905">
        <f t="shared" si="5"/>
        <v>0</v>
      </c>
      <c r="Q39" s="1906">
        <f t="shared" si="6"/>
        <v>0</v>
      </c>
      <c r="R39" s="1957">
        <v>0</v>
      </c>
      <c r="S39" s="1907" t="s">
        <v>160</v>
      </c>
      <c r="T39" s="1752">
        <f t="shared" si="7"/>
        <v>0</v>
      </c>
      <c r="U39" s="1961">
        <v>0</v>
      </c>
      <c r="V39" s="1893" t="s">
        <v>1314</v>
      </c>
      <c r="W39" s="1963">
        <f t="shared" si="8"/>
        <v>0</v>
      </c>
      <c r="X39" s="1966">
        <f t="shared" si="18"/>
        <v>0</v>
      </c>
      <c r="Y39" s="1933">
        <f t="shared" si="19"/>
        <v>0</v>
      </c>
      <c r="Z39" s="2098">
        <f t="shared" si="9"/>
        <v>0</v>
      </c>
      <c r="AA39" s="1933">
        <f t="shared" si="10"/>
        <v>0</v>
      </c>
      <c r="AB39" s="2324"/>
      <c r="AC39" s="1281">
        <f t="shared" si="11"/>
        <v>32</v>
      </c>
      <c r="AD39" s="1281" t="str">
        <f t="shared" si="12"/>
        <v>keine</v>
      </c>
      <c r="AE39" s="1329"/>
      <c r="AF39" s="1330" t="s">
        <v>795</v>
      </c>
      <c r="AG39" s="1424">
        <v>0</v>
      </c>
      <c r="AH39" s="1033">
        <f>VLOOKUP(AF39,Düngemittel!$B$6:$E$64,2,FALSE)*(VLOOKUP(AF39,Düngemittel!$B$6:$E$64,3,FALSE))/100*AG39</f>
        <v>0</v>
      </c>
      <c r="AI39" s="1033">
        <f>VLOOKUP(AF39,Düngemittel!$B$6:$E$64,2,FALSE)*AG39</f>
        <v>0</v>
      </c>
      <c r="AJ39" s="1033">
        <f>VLOOKUP(AF39,Düngemittel!$B$6:$E$64,4,FALSE)*AG39</f>
        <v>0</v>
      </c>
      <c r="AK39" s="2324"/>
      <c r="AL39" s="1329"/>
      <c r="AM39" s="1330" t="s">
        <v>795</v>
      </c>
      <c r="AN39" s="1424">
        <v>0</v>
      </c>
      <c r="AO39" s="1033">
        <f>VLOOKUP(AM39,Düngemittel!$B$6:$E$64,2,FALSE)*(VLOOKUP(AM39,Düngemittel!$B$6:$E$64,3,FALSE))/100*AN39</f>
        <v>0</v>
      </c>
      <c r="AP39" s="1033">
        <f>VLOOKUP(AM39,Düngemittel!$B$6:$E$64,2,FALSE)*AN39</f>
        <v>0</v>
      </c>
      <c r="AQ39" s="1033">
        <f>VLOOKUP(AM39,Düngemittel!$B$6:$E$64,4,FALSE)*AN39</f>
        <v>0</v>
      </c>
      <c r="AR39" s="2324"/>
      <c r="AS39" s="1329"/>
      <c r="AT39" s="1330" t="s">
        <v>795</v>
      </c>
      <c r="AU39" s="1424">
        <v>0</v>
      </c>
      <c r="AV39" s="1033">
        <f>VLOOKUP(AT39,Düngemittel!$B$6:$E$64,2,FALSE)*(VLOOKUP(AT39,Düngemittel!$B$6:$E$64,3,FALSE))/100*AU39</f>
        <v>0</v>
      </c>
      <c r="AW39" s="1033">
        <f>VLOOKUP(AT39,Düngemittel!$B$6:$E$64,2,FALSE)*AU39</f>
        <v>0</v>
      </c>
      <c r="AX39" s="1033">
        <f>VLOOKUP(AT39,Düngemittel!$B$6:$E$64,4,FALSE)*AU39</f>
        <v>0</v>
      </c>
      <c r="AY39" s="2324"/>
      <c r="AZ39" s="1329"/>
      <c r="BA39" s="1330" t="s">
        <v>795</v>
      </c>
      <c r="BB39" s="1424">
        <v>0</v>
      </c>
      <c r="BC39" s="1033">
        <f>VLOOKUP(BA39,Düngemittel!$B$6:$E$64,2,FALSE)*(VLOOKUP(BA39,Düngemittel!$B$6:$E$64,3,FALSE))/100*BB39</f>
        <v>0</v>
      </c>
      <c r="BD39" s="1033">
        <f>VLOOKUP(BA39,Düngemittel!$B$6:$E$64,2,FALSE)*BB39</f>
        <v>0</v>
      </c>
      <c r="BE39" s="1033">
        <f>VLOOKUP(BA39,Düngemittel!$B$6:$E$64,4,FALSE)*BB39</f>
        <v>0</v>
      </c>
      <c r="BF39" s="2324"/>
      <c r="BG39" s="1329"/>
      <c r="BH39" s="1330" t="s">
        <v>795</v>
      </c>
      <c r="BI39" s="1424">
        <v>0</v>
      </c>
      <c r="BJ39" s="1033">
        <f>VLOOKUP(BH39,Düngemittel!$B$6:$E$64,2,FALSE)*(VLOOKUP(BH39,Düngemittel!$B$6:$E$64,3,FALSE))/100*BI39</f>
        <v>0</v>
      </c>
      <c r="BK39" s="1033">
        <f>VLOOKUP(BH39,Düngemittel!$B$6:$E$64,2,FALSE)*BI39</f>
        <v>0</v>
      </c>
      <c r="BL39" s="1033">
        <f>VLOOKUP(BH39,Düngemittel!$B$6:$E$64,4,FALSE)*BI39</f>
        <v>0</v>
      </c>
      <c r="BM39" s="2324"/>
      <c r="BN39" s="1282">
        <f t="shared" si="29"/>
        <v>0</v>
      </c>
      <c r="BO39" s="2328">
        <f t="shared" si="30"/>
        <v>0</v>
      </c>
      <c r="BP39" s="1282">
        <f t="shared" si="31"/>
        <v>0</v>
      </c>
      <c r="BQ39" s="1138">
        <f t="shared" si="32"/>
        <v>0</v>
      </c>
      <c r="BR39" s="2328">
        <f t="shared" si="33"/>
        <v>0</v>
      </c>
      <c r="BS39" s="95"/>
      <c r="BT39" s="1135">
        <f t="shared" si="34"/>
        <v>0</v>
      </c>
      <c r="BU39" s="1135">
        <f t="shared" si="35"/>
        <v>0</v>
      </c>
      <c r="BV39" s="1135">
        <f t="shared" si="36"/>
        <v>0</v>
      </c>
      <c r="BW39" s="1807">
        <f t="shared" si="37"/>
        <v>0</v>
      </c>
      <c r="BX39" s="1135">
        <f t="shared" si="38"/>
        <v>0</v>
      </c>
      <c r="BY39" s="2324"/>
      <c r="CA39">
        <v>0</v>
      </c>
      <c r="CB39">
        <v>0</v>
      </c>
      <c r="CD39" s="2141" t="s">
        <v>472</v>
      </c>
      <c r="CE39" s="33">
        <v>400</v>
      </c>
      <c r="CF39" s="33">
        <v>140</v>
      </c>
      <c r="CG39" s="33">
        <v>20</v>
      </c>
      <c r="CH39" s="323">
        <v>20</v>
      </c>
      <c r="CI39" s="323">
        <v>20</v>
      </c>
      <c r="CJ39" s="323">
        <f>CI39*2/3</f>
        <v>13.333333333333334</v>
      </c>
      <c r="CK39" s="323">
        <v>50</v>
      </c>
      <c r="CL39" s="323">
        <v>60</v>
      </c>
      <c r="CM39" s="1001">
        <v>0.20599999999999999</v>
      </c>
    </row>
    <row r="40" spans="1:91" ht="27" customHeight="1">
      <c r="A40" s="1750">
        <v>33</v>
      </c>
      <c r="B40" s="2169">
        <v>0</v>
      </c>
      <c r="C40" s="2172" t="s">
        <v>31</v>
      </c>
      <c r="D40" s="1751">
        <f t="shared" si="14"/>
        <v>0</v>
      </c>
      <c r="E40" s="1940">
        <f t="shared" si="0"/>
        <v>0</v>
      </c>
      <c r="F40" s="1941">
        <v>0</v>
      </c>
      <c r="G40" s="1928">
        <f t="shared" si="26"/>
        <v>0</v>
      </c>
      <c r="H40" s="1928">
        <f t="shared" si="27"/>
        <v>0</v>
      </c>
      <c r="I40" s="1949">
        <f t="shared" si="1"/>
        <v>0</v>
      </c>
      <c r="J40" s="1949">
        <f t="shared" si="2"/>
        <v>0</v>
      </c>
      <c r="K40" s="1949">
        <f t="shared" si="3"/>
        <v>0</v>
      </c>
      <c r="L40" s="1943">
        <f t="shared" si="28"/>
        <v>0</v>
      </c>
      <c r="M40" s="587" t="s">
        <v>503</v>
      </c>
      <c r="N40" s="1905">
        <f t="shared" si="4"/>
        <v>0</v>
      </c>
      <c r="O40" s="761" t="s">
        <v>25</v>
      </c>
      <c r="P40" s="1905">
        <f t="shared" si="5"/>
        <v>0</v>
      </c>
      <c r="Q40" s="1906">
        <f t="shared" si="6"/>
        <v>0</v>
      </c>
      <c r="R40" s="1957">
        <v>0</v>
      </c>
      <c r="S40" s="1907" t="s">
        <v>160</v>
      </c>
      <c r="T40" s="1752">
        <f t="shared" si="7"/>
        <v>0</v>
      </c>
      <c r="U40" s="1961">
        <v>0</v>
      </c>
      <c r="V40" s="1893" t="s">
        <v>1314</v>
      </c>
      <c r="W40" s="1963">
        <f t="shared" si="8"/>
        <v>0</v>
      </c>
      <c r="X40" s="1966">
        <f t="shared" si="18"/>
        <v>0</v>
      </c>
      <c r="Y40" s="1933">
        <f t="shared" si="19"/>
        <v>0</v>
      </c>
      <c r="Z40" s="2098">
        <f t="shared" si="9"/>
        <v>0</v>
      </c>
      <c r="AA40" s="1933">
        <f t="shared" si="10"/>
        <v>0</v>
      </c>
      <c r="AB40" s="2324"/>
      <c r="AC40" s="1281">
        <f t="shared" si="11"/>
        <v>33</v>
      </c>
      <c r="AD40" s="1281" t="str">
        <f t="shared" si="12"/>
        <v>keine</v>
      </c>
      <c r="AE40" s="1329"/>
      <c r="AF40" s="1330" t="s">
        <v>795</v>
      </c>
      <c r="AG40" s="1424">
        <v>0</v>
      </c>
      <c r="AH40" s="1033">
        <f>VLOOKUP(AF40,Düngemittel!$B$6:$E$64,2,FALSE)*(VLOOKUP(AF40,Düngemittel!$B$6:$E$64,3,FALSE))/100*AG40</f>
        <v>0</v>
      </c>
      <c r="AI40" s="1033">
        <f>VLOOKUP(AF40,Düngemittel!$B$6:$E$64,2,FALSE)*AG40</f>
        <v>0</v>
      </c>
      <c r="AJ40" s="1033">
        <f>VLOOKUP(AF40,Düngemittel!$B$6:$E$64,4,FALSE)*AG40</f>
        <v>0</v>
      </c>
      <c r="AK40" s="2324"/>
      <c r="AL40" s="1329"/>
      <c r="AM40" s="1330" t="s">
        <v>795</v>
      </c>
      <c r="AN40" s="1424">
        <v>0</v>
      </c>
      <c r="AO40" s="1033">
        <f>VLOOKUP(AM40,Düngemittel!$B$6:$E$64,2,FALSE)*(VLOOKUP(AM40,Düngemittel!$B$6:$E$64,3,FALSE))/100*AN40</f>
        <v>0</v>
      </c>
      <c r="AP40" s="1033">
        <f>VLOOKUP(AM40,Düngemittel!$B$6:$E$64,2,FALSE)*AN40</f>
        <v>0</v>
      </c>
      <c r="AQ40" s="1033">
        <f>VLOOKUP(AM40,Düngemittel!$B$6:$E$64,4,FALSE)*AN40</f>
        <v>0</v>
      </c>
      <c r="AR40" s="2324"/>
      <c r="AS40" s="1329"/>
      <c r="AT40" s="1330" t="s">
        <v>795</v>
      </c>
      <c r="AU40" s="1424">
        <v>0</v>
      </c>
      <c r="AV40" s="1033">
        <f>VLOOKUP(AT40,Düngemittel!$B$6:$E$64,2,FALSE)*(VLOOKUP(AT40,Düngemittel!$B$6:$E$64,3,FALSE))/100*AU40</f>
        <v>0</v>
      </c>
      <c r="AW40" s="1033">
        <f>VLOOKUP(AT40,Düngemittel!$B$6:$E$64,2,FALSE)*AU40</f>
        <v>0</v>
      </c>
      <c r="AX40" s="1033">
        <f>VLOOKUP(AT40,Düngemittel!$B$6:$E$64,4,FALSE)*AU40</f>
        <v>0</v>
      </c>
      <c r="AY40" s="2324"/>
      <c r="AZ40" s="1329"/>
      <c r="BA40" s="1330" t="s">
        <v>795</v>
      </c>
      <c r="BB40" s="1424">
        <v>0</v>
      </c>
      <c r="BC40" s="1033">
        <f>VLOOKUP(BA40,Düngemittel!$B$6:$E$64,2,FALSE)*(VLOOKUP(BA40,Düngemittel!$B$6:$E$64,3,FALSE))/100*BB40</f>
        <v>0</v>
      </c>
      <c r="BD40" s="1033">
        <f>VLOOKUP(BA40,Düngemittel!$B$6:$E$64,2,FALSE)*BB40</f>
        <v>0</v>
      </c>
      <c r="BE40" s="1033">
        <f>VLOOKUP(BA40,Düngemittel!$B$6:$E$64,4,FALSE)*BB40</f>
        <v>0</v>
      </c>
      <c r="BF40" s="2324"/>
      <c r="BG40" s="1329"/>
      <c r="BH40" s="1330" t="s">
        <v>795</v>
      </c>
      <c r="BI40" s="1424">
        <v>0</v>
      </c>
      <c r="BJ40" s="1033">
        <f>VLOOKUP(BH40,Düngemittel!$B$6:$E$64,2,FALSE)*(VLOOKUP(BH40,Düngemittel!$B$6:$E$64,3,FALSE))/100*BI40</f>
        <v>0</v>
      </c>
      <c r="BK40" s="1033">
        <f>VLOOKUP(BH40,Düngemittel!$B$6:$E$64,2,FALSE)*BI40</f>
        <v>0</v>
      </c>
      <c r="BL40" s="1033">
        <f>VLOOKUP(BH40,Düngemittel!$B$6:$E$64,4,FALSE)*BI40</f>
        <v>0</v>
      </c>
      <c r="BM40" s="2324"/>
      <c r="BN40" s="1282">
        <f t="shared" si="29"/>
        <v>0</v>
      </c>
      <c r="BO40" s="2328">
        <f t="shared" si="30"/>
        <v>0</v>
      </c>
      <c r="BP40" s="1282">
        <f t="shared" si="31"/>
        <v>0</v>
      </c>
      <c r="BQ40" s="1138">
        <f t="shared" si="32"/>
        <v>0</v>
      </c>
      <c r="BR40" s="2328">
        <f t="shared" si="33"/>
        <v>0</v>
      </c>
      <c r="BS40" s="95"/>
      <c r="BT40" s="1135">
        <f t="shared" si="34"/>
        <v>0</v>
      </c>
      <c r="BU40" s="1135">
        <f t="shared" si="35"/>
        <v>0</v>
      </c>
      <c r="BV40" s="1135">
        <f t="shared" si="36"/>
        <v>0</v>
      </c>
      <c r="BW40" s="1807">
        <f t="shared" si="37"/>
        <v>0</v>
      </c>
      <c r="BX40" s="1135">
        <f t="shared" si="38"/>
        <v>0</v>
      </c>
      <c r="BY40" s="2324"/>
      <c r="CA40">
        <v>0</v>
      </c>
      <c r="CB40">
        <v>0</v>
      </c>
      <c r="CD40" s="2140" t="s">
        <v>1647</v>
      </c>
      <c r="CE40" s="33">
        <v>300</v>
      </c>
      <c r="CF40" s="33">
        <v>140</v>
      </c>
      <c r="CG40" s="33">
        <v>20</v>
      </c>
      <c r="CH40" s="323">
        <v>20</v>
      </c>
      <c r="CI40" s="323">
        <v>20</v>
      </c>
      <c r="CJ40" s="323">
        <f>CI40*2/3</f>
        <v>13.333333333333334</v>
      </c>
      <c r="CK40" s="323">
        <v>50</v>
      </c>
      <c r="CL40" s="2156">
        <v>60</v>
      </c>
      <c r="CM40" s="1001">
        <v>0.20599999999999999</v>
      </c>
    </row>
    <row r="41" spans="1:91" ht="27" customHeight="1">
      <c r="A41" s="1750">
        <v>34</v>
      </c>
      <c r="B41" s="2169">
        <v>0</v>
      </c>
      <c r="C41" s="2172" t="s">
        <v>31</v>
      </c>
      <c r="D41" s="1751">
        <f t="shared" si="14"/>
        <v>0</v>
      </c>
      <c r="E41" s="1940">
        <f t="shared" si="0"/>
        <v>0</v>
      </c>
      <c r="F41" s="1941">
        <v>0</v>
      </c>
      <c r="G41" s="1928">
        <f t="shared" si="26"/>
        <v>0</v>
      </c>
      <c r="H41" s="1928">
        <f t="shared" si="27"/>
        <v>0</v>
      </c>
      <c r="I41" s="1949">
        <f t="shared" si="1"/>
        <v>0</v>
      </c>
      <c r="J41" s="1949">
        <f t="shared" si="2"/>
        <v>0</v>
      </c>
      <c r="K41" s="1949">
        <f t="shared" si="3"/>
        <v>0</v>
      </c>
      <c r="L41" s="1943">
        <f t="shared" si="28"/>
        <v>0</v>
      </c>
      <c r="M41" s="587" t="s">
        <v>503</v>
      </c>
      <c r="N41" s="1905">
        <f t="shared" si="4"/>
        <v>0</v>
      </c>
      <c r="O41" s="761" t="s">
        <v>25</v>
      </c>
      <c r="P41" s="1905">
        <f t="shared" si="5"/>
        <v>0</v>
      </c>
      <c r="Q41" s="1906">
        <f t="shared" si="6"/>
        <v>0</v>
      </c>
      <c r="R41" s="1957">
        <v>0</v>
      </c>
      <c r="S41" s="1907" t="s">
        <v>160</v>
      </c>
      <c r="T41" s="1752">
        <f t="shared" si="7"/>
        <v>0</v>
      </c>
      <c r="U41" s="1961">
        <v>0</v>
      </c>
      <c r="V41" s="1893" t="s">
        <v>1314</v>
      </c>
      <c r="W41" s="1963">
        <f t="shared" si="8"/>
        <v>0</v>
      </c>
      <c r="X41" s="1966">
        <f t="shared" si="18"/>
        <v>0</v>
      </c>
      <c r="Y41" s="1933">
        <f t="shared" si="19"/>
        <v>0</v>
      </c>
      <c r="Z41" s="2098">
        <f t="shared" si="9"/>
        <v>0</v>
      </c>
      <c r="AA41" s="1933">
        <f t="shared" si="10"/>
        <v>0</v>
      </c>
      <c r="AB41" s="2324"/>
      <c r="AC41" s="1281">
        <f t="shared" si="11"/>
        <v>34</v>
      </c>
      <c r="AD41" s="1281" t="str">
        <f t="shared" si="12"/>
        <v>keine</v>
      </c>
      <c r="AE41" s="1329"/>
      <c r="AF41" s="1330" t="s">
        <v>795</v>
      </c>
      <c r="AG41" s="1424">
        <v>0</v>
      </c>
      <c r="AH41" s="1033">
        <f>VLOOKUP(AF41,Düngemittel!$B$6:$E$64,2,FALSE)*(VLOOKUP(AF41,Düngemittel!$B$6:$E$64,3,FALSE))/100*AG41</f>
        <v>0</v>
      </c>
      <c r="AI41" s="1033">
        <f>VLOOKUP(AF41,Düngemittel!$B$6:$E$64,2,FALSE)*AG41</f>
        <v>0</v>
      </c>
      <c r="AJ41" s="1033">
        <f>VLOOKUP(AF41,Düngemittel!$B$6:$E$64,4,FALSE)*AG41</f>
        <v>0</v>
      </c>
      <c r="AK41" s="2324"/>
      <c r="AL41" s="1329"/>
      <c r="AM41" s="1330" t="s">
        <v>795</v>
      </c>
      <c r="AN41" s="1424">
        <v>0</v>
      </c>
      <c r="AO41" s="1033">
        <f>VLOOKUP(AM41,Düngemittel!$B$6:$E$64,2,FALSE)*(VLOOKUP(AM41,Düngemittel!$B$6:$E$64,3,FALSE))/100*AN41</f>
        <v>0</v>
      </c>
      <c r="AP41" s="1033">
        <f>VLOOKUP(AM41,Düngemittel!$B$6:$E$64,2,FALSE)*AN41</f>
        <v>0</v>
      </c>
      <c r="AQ41" s="1033">
        <f>VLOOKUP(AM41,Düngemittel!$B$6:$E$64,4,FALSE)*AN41</f>
        <v>0</v>
      </c>
      <c r="AR41" s="2324"/>
      <c r="AS41" s="1329"/>
      <c r="AT41" s="1330" t="s">
        <v>795</v>
      </c>
      <c r="AU41" s="1424">
        <v>0</v>
      </c>
      <c r="AV41" s="1033">
        <f>VLOOKUP(AT41,Düngemittel!$B$6:$E$64,2,FALSE)*(VLOOKUP(AT41,Düngemittel!$B$6:$E$64,3,FALSE))/100*AU41</f>
        <v>0</v>
      </c>
      <c r="AW41" s="1033">
        <f>VLOOKUP(AT41,Düngemittel!$B$6:$E$64,2,FALSE)*AU41</f>
        <v>0</v>
      </c>
      <c r="AX41" s="1033">
        <f>VLOOKUP(AT41,Düngemittel!$B$6:$E$64,4,FALSE)*AU41</f>
        <v>0</v>
      </c>
      <c r="AY41" s="2324"/>
      <c r="AZ41" s="1329"/>
      <c r="BA41" s="1330" t="s">
        <v>795</v>
      </c>
      <c r="BB41" s="1424">
        <v>0</v>
      </c>
      <c r="BC41" s="1033">
        <f>VLOOKUP(BA41,Düngemittel!$B$6:$E$64,2,FALSE)*(VLOOKUP(BA41,Düngemittel!$B$6:$E$64,3,FALSE))/100*BB41</f>
        <v>0</v>
      </c>
      <c r="BD41" s="1033">
        <f>VLOOKUP(BA41,Düngemittel!$B$6:$E$64,2,FALSE)*BB41</f>
        <v>0</v>
      </c>
      <c r="BE41" s="1033">
        <f>VLOOKUP(BA41,Düngemittel!$B$6:$E$64,4,FALSE)*BB41</f>
        <v>0</v>
      </c>
      <c r="BF41" s="2324"/>
      <c r="BG41" s="1329"/>
      <c r="BH41" s="1330" t="s">
        <v>795</v>
      </c>
      <c r="BI41" s="1424">
        <v>0</v>
      </c>
      <c r="BJ41" s="1033">
        <f>VLOOKUP(BH41,Düngemittel!$B$6:$E$64,2,FALSE)*(VLOOKUP(BH41,Düngemittel!$B$6:$E$64,3,FALSE))/100*BI41</f>
        <v>0</v>
      </c>
      <c r="BK41" s="1033">
        <f>VLOOKUP(BH41,Düngemittel!$B$6:$E$64,2,FALSE)*BI41</f>
        <v>0</v>
      </c>
      <c r="BL41" s="1033">
        <f>VLOOKUP(BH41,Düngemittel!$B$6:$E$64,4,FALSE)*BI41</f>
        <v>0</v>
      </c>
      <c r="BM41" s="2324"/>
      <c r="BN41" s="1282">
        <f t="shared" si="29"/>
        <v>0</v>
      </c>
      <c r="BO41" s="2328">
        <f t="shared" si="30"/>
        <v>0</v>
      </c>
      <c r="BP41" s="1282">
        <f t="shared" si="31"/>
        <v>0</v>
      </c>
      <c r="BQ41" s="1138">
        <f t="shared" si="32"/>
        <v>0</v>
      </c>
      <c r="BR41" s="2328">
        <f t="shared" si="33"/>
        <v>0</v>
      </c>
      <c r="BS41" s="95"/>
      <c r="BT41" s="1135">
        <f t="shared" si="34"/>
        <v>0</v>
      </c>
      <c r="BU41" s="1135">
        <f t="shared" si="35"/>
        <v>0</v>
      </c>
      <c r="BV41" s="1135">
        <f t="shared" si="36"/>
        <v>0</v>
      </c>
      <c r="BW41" s="1807">
        <f t="shared" si="37"/>
        <v>0</v>
      </c>
      <c r="BX41" s="1135">
        <f t="shared" si="38"/>
        <v>0</v>
      </c>
      <c r="BY41" s="2324"/>
      <c r="CA41">
        <v>0</v>
      </c>
      <c r="CB41">
        <v>0</v>
      </c>
      <c r="CD41" s="2159" t="s">
        <v>1538</v>
      </c>
      <c r="CE41" s="33">
        <v>25</v>
      </c>
      <c r="CF41" s="33">
        <v>90</v>
      </c>
      <c r="CG41" s="33">
        <v>10</v>
      </c>
      <c r="CH41" s="2158">
        <v>9</v>
      </c>
      <c r="CI41" s="2158">
        <v>9</v>
      </c>
      <c r="CJ41" s="2152">
        <v>0</v>
      </c>
      <c r="CK41" s="2152">
        <v>0</v>
      </c>
      <c r="CL41" s="2154">
        <v>60</v>
      </c>
      <c r="CM41" s="2155">
        <v>0.13</v>
      </c>
    </row>
    <row r="42" spans="1:91" ht="27" customHeight="1">
      <c r="A42" s="1750">
        <v>35</v>
      </c>
      <c r="B42" s="2169">
        <v>0</v>
      </c>
      <c r="C42" s="2172" t="s">
        <v>31</v>
      </c>
      <c r="D42" s="1751">
        <f t="shared" si="14"/>
        <v>0</v>
      </c>
      <c r="E42" s="1940">
        <f t="shared" si="0"/>
        <v>0</v>
      </c>
      <c r="F42" s="1941">
        <v>0</v>
      </c>
      <c r="G42" s="1928">
        <f t="shared" si="26"/>
        <v>0</v>
      </c>
      <c r="H42" s="1928">
        <f t="shared" si="27"/>
        <v>0</v>
      </c>
      <c r="I42" s="1949">
        <f t="shared" si="1"/>
        <v>0</v>
      </c>
      <c r="J42" s="1949">
        <f t="shared" si="2"/>
        <v>0</v>
      </c>
      <c r="K42" s="1949">
        <f t="shared" si="3"/>
        <v>0</v>
      </c>
      <c r="L42" s="1943">
        <f t="shared" si="28"/>
        <v>0</v>
      </c>
      <c r="M42" s="587" t="s">
        <v>503</v>
      </c>
      <c r="N42" s="1905">
        <f t="shared" si="4"/>
        <v>0</v>
      </c>
      <c r="O42" s="761" t="s">
        <v>25</v>
      </c>
      <c r="P42" s="1905">
        <f t="shared" si="5"/>
        <v>0</v>
      </c>
      <c r="Q42" s="1906">
        <f t="shared" si="6"/>
        <v>0</v>
      </c>
      <c r="R42" s="1957">
        <v>0</v>
      </c>
      <c r="S42" s="1907" t="s">
        <v>160</v>
      </c>
      <c r="T42" s="1752">
        <f t="shared" si="7"/>
        <v>0</v>
      </c>
      <c r="U42" s="1961">
        <v>0</v>
      </c>
      <c r="V42" s="1893" t="s">
        <v>1314</v>
      </c>
      <c r="W42" s="1963">
        <f t="shared" si="8"/>
        <v>0</v>
      </c>
      <c r="X42" s="1966">
        <f t="shared" si="18"/>
        <v>0</v>
      </c>
      <c r="Y42" s="1933">
        <f t="shared" si="19"/>
        <v>0</v>
      </c>
      <c r="Z42" s="2098">
        <f t="shared" si="9"/>
        <v>0</v>
      </c>
      <c r="AA42" s="1933">
        <f t="shared" si="10"/>
        <v>0</v>
      </c>
      <c r="AB42" s="2324"/>
      <c r="AC42" s="1281">
        <f t="shared" si="11"/>
        <v>35</v>
      </c>
      <c r="AD42" s="1281" t="str">
        <f t="shared" si="12"/>
        <v>keine</v>
      </c>
      <c r="AE42" s="1329"/>
      <c r="AF42" s="1330" t="s">
        <v>795</v>
      </c>
      <c r="AG42" s="1424">
        <v>0</v>
      </c>
      <c r="AH42" s="1033">
        <f>VLOOKUP(AF42,Düngemittel!$B$6:$E$64,2,FALSE)*(VLOOKUP(AF42,Düngemittel!$B$6:$E$64,3,FALSE))/100*AG42</f>
        <v>0</v>
      </c>
      <c r="AI42" s="1033">
        <f>VLOOKUP(AF42,Düngemittel!$B$6:$E$64,2,FALSE)*AG42</f>
        <v>0</v>
      </c>
      <c r="AJ42" s="1033">
        <f>VLOOKUP(AF42,Düngemittel!$B$6:$E$64,4,FALSE)*AG42</f>
        <v>0</v>
      </c>
      <c r="AK42" s="2324"/>
      <c r="AL42" s="1329"/>
      <c r="AM42" s="1330" t="s">
        <v>795</v>
      </c>
      <c r="AN42" s="1424">
        <v>0</v>
      </c>
      <c r="AO42" s="1033">
        <f>VLOOKUP(AM42,Düngemittel!$B$6:$E$64,2,FALSE)*(VLOOKUP(AM42,Düngemittel!$B$6:$E$64,3,FALSE))/100*AN42</f>
        <v>0</v>
      </c>
      <c r="AP42" s="1033">
        <f>VLOOKUP(AM42,Düngemittel!$B$6:$E$64,2,FALSE)*AN42</f>
        <v>0</v>
      </c>
      <c r="AQ42" s="1033">
        <f>VLOOKUP(AM42,Düngemittel!$B$6:$E$64,4,FALSE)*AN42</f>
        <v>0</v>
      </c>
      <c r="AR42" s="2324"/>
      <c r="AS42" s="1329"/>
      <c r="AT42" s="1330" t="s">
        <v>795</v>
      </c>
      <c r="AU42" s="1424">
        <v>0</v>
      </c>
      <c r="AV42" s="1033">
        <f>VLOOKUP(AT42,Düngemittel!$B$6:$E$64,2,FALSE)*(VLOOKUP(AT42,Düngemittel!$B$6:$E$64,3,FALSE))/100*AU42</f>
        <v>0</v>
      </c>
      <c r="AW42" s="1033">
        <f>VLOOKUP(AT42,Düngemittel!$B$6:$E$64,2,FALSE)*AU42</f>
        <v>0</v>
      </c>
      <c r="AX42" s="1033">
        <f>VLOOKUP(AT42,Düngemittel!$B$6:$E$64,4,FALSE)*AU42</f>
        <v>0</v>
      </c>
      <c r="AY42" s="2324"/>
      <c r="AZ42" s="1329"/>
      <c r="BA42" s="1330" t="s">
        <v>795</v>
      </c>
      <c r="BB42" s="1424">
        <v>0</v>
      </c>
      <c r="BC42" s="1033">
        <f>VLOOKUP(BA42,Düngemittel!$B$6:$E$64,2,FALSE)*(VLOOKUP(BA42,Düngemittel!$B$6:$E$64,3,FALSE))/100*BB42</f>
        <v>0</v>
      </c>
      <c r="BD42" s="1033">
        <f>VLOOKUP(BA42,Düngemittel!$B$6:$E$64,2,FALSE)*BB42</f>
        <v>0</v>
      </c>
      <c r="BE42" s="1033">
        <f>VLOOKUP(BA42,Düngemittel!$B$6:$E$64,4,FALSE)*BB42</f>
        <v>0</v>
      </c>
      <c r="BF42" s="2324"/>
      <c r="BG42" s="1329"/>
      <c r="BH42" s="1330" t="s">
        <v>795</v>
      </c>
      <c r="BI42" s="1424">
        <v>0</v>
      </c>
      <c r="BJ42" s="1033">
        <f>VLOOKUP(BH42,Düngemittel!$B$6:$E$64,2,FALSE)*(VLOOKUP(BH42,Düngemittel!$B$6:$E$64,3,FALSE))/100*BI42</f>
        <v>0</v>
      </c>
      <c r="BK42" s="1033">
        <f>VLOOKUP(BH42,Düngemittel!$B$6:$E$64,2,FALSE)*BI42</f>
        <v>0</v>
      </c>
      <c r="BL42" s="1033">
        <f>VLOOKUP(BH42,Düngemittel!$B$6:$E$64,4,FALSE)*BI42</f>
        <v>0</v>
      </c>
      <c r="BM42" s="2324"/>
      <c r="BN42" s="1282">
        <f t="shared" si="29"/>
        <v>0</v>
      </c>
      <c r="BO42" s="2328">
        <f t="shared" si="30"/>
        <v>0</v>
      </c>
      <c r="BP42" s="1282">
        <f t="shared" si="31"/>
        <v>0</v>
      </c>
      <c r="BQ42" s="1138">
        <f t="shared" si="32"/>
        <v>0</v>
      </c>
      <c r="BR42" s="2328">
        <f t="shared" si="33"/>
        <v>0</v>
      </c>
      <c r="BS42" s="95"/>
      <c r="BT42" s="1135">
        <f t="shared" si="34"/>
        <v>0</v>
      </c>
      <c r="BU42" s="1135">
        <f t="shared" si="35"/>
        <v>0</v>
      </c>
      <c r="BV42" s="1135">
        <f t="shared" si="36"/>
        <v>0</v>
      </c>
      <c r="BW42" s="1807">
        <f t="shared" si="37"/>
        <v>0</v>
      </c>
      <c r="BX42" s="1135">
        <f t="shared" si="38"/>
        <v>0</v>
      </c>
      <c r="BY42" s="2324"/>
      <c r="CA42">
        <v>0</v>
      </c>
      <c r="CB42">
        <v>0</v>
      </c>
      <c r="CD42" s="2159" t="s">
        <v>1648</v>
      </c>
      <c r="CE42" s="33">
        <v>550</v>
      </c>
      <c r="CF42" s="33">
        <v>245</v>
      </c>
      <c r="CG42" s="33">
        <v>10</v>
      </c>
      <c r="CH42" s="2153">
        <v>25</v>
      </c>
      <c r="CI42" s="2153">
        <v>25</v>
      </c>
      <c r="CJ42" s="2152">
        <v>0</v>
      </c>
      <c r="CK42" s="2152">
        <v>0</v>
      </c>
      <c r="CL42" s="2152">
        <v>60</v>
      </c>
      <c r="CM42" s="2155">
        <v>0.11</v>
      </c>
    </row>
    <row r="43" spans="1:91" ht="27" customHeight="1">
      <c r="A43" s="1750">
        <v>36</v>
      </c>
      <c r="B43" s="2169">
        <v>0</v>
      </c>
      <c r="C43" s="2172" t="s">
        <v>31</v>
      </c>
      <c r="D43" s="1751">
        <f t="shared" si="14"/>
        <v>0</v>
      </c>
      <c r="E43" s="1940">
        <f t="shared" si="0"/>
        <v>0</v>
      </c>
      <c r="F43" s="1941">
        <v>0</v>
      </c>
      <c r="G43" s="1928">
        <f t="shared" si="26"/>
        <v>0</v>
      </c>
      <c r="H43" s="1928">
        <f t="shared" si="27"/>
        <v>0</v>
      </c>
      <c r="I43" s="1949">
        <f t="shared" si="1"/>
        <v>0</v>
      </c>
      <c r="J43" s="1949">
        <f t="shared" si="2"/>
        <v>0</v>
      </c>
      <c r="K43" s="1949">
        <f t="shared" si="3"/>
        <v>0</v>
      </c>
      <c r="L43" s="1943">
        <f t="shared" si="28"/>
        <v>0</v>
      </c>
      <c r="M43" s="587" t="s">
        <v>503</v>
      </c>
      <c r="N43" s="1905">
        <f t="shared" si="4"/>
        <v>0</v>
      </c>
      <c r="O43" s="761" t="s">
        <v>25</v>
      </c>
      <c r="P43" s="1905">
        <f t="shared" si="5"/>
        <v>0</v>
      </c>
      <c r="Q43" s="1906">
        <f t="shared" si="6"/>
        <v>0</v>
      </c>
      <c r="R43" s="1957">
        <v>0</v>
      </c>
      <c r="S43" s="1907" t="s">
        <v>160</v>
      </c>
      <c r="T43" s="1752">
        <f t="shared" si="7"/>
        <v>0</v>
      </c>
      <c r="U43" s="1961">
        <v>0</v>
      </c>
      <c r="V43" s="1893" t="s">
        <v>1314</v>
      </c>
      <c r="W43" s="1963">
        <f t="shared" si="8"/>
        <v>0</v>
      </c>
      <c r="X43" s="1966">
        <f t="shared" si="18"/>
        <v>0</v>
      </c>
      <c r="Y43" s="1933">
        <f t="shared" si="19"/>
        <v>0</v>
      </c>
      <c r="Z43" s="2098">
        <f t="shared" si="9"/>
        <v>0</v>
      </c>
      <c r="AA43" s="1933">
        <f t="shared" si="10"/>
        <v>0</v>
      </c>
      <c r="AB43" s="2324"/>
      <c r="AC43" s="1281">
        <f t="shared" si="11"/>
        <v>36</v>
      </c>
      <c r="AD43" s="1281" t="str">
        <f t="shared" si="12"/>
        <v>keine</v>
      </c>
      <c r="AE43" s="1329"/>
      <c r="AF43" s="1330" t="s">
        <v>795</v>
      </c>
      <c r="AG43" s="1424">
        <v>0</v>
      </c>
      <c r="AH43" s="1033">
        <f>VLOOKUP(AF43,Düngemittel!$B$6:$E$64,2,FALSE)*(VLOOKUP(AF43,Düngemittel!$B$6:$E$64,3,FALSE))/100*AG43</f>
        <v>0</v>
      </c>
      <c r="AI43" s="1033">
        <f>VLOOKUP(AF43,Düngemittel!$B$6:$E$64,2,FALSE)*AG43</f>
        <v>0</v>
      </c>
      <c r="AJ43" s="1033">
        <f>VLOOKUP(AF43,Düngemittel!$B$6:$E$64,4,FALSE)*AG43</f>
        <v>0</v>
      </c>
      <c r="AK43" s="2324"/>
      <c r="AL43" s="1329"/>
      <c r="AM43" s="1330" t="s">
        <v>795</v>
      </c>
      <c r="AN43" s="1424">
        <v>0</v>
      </c>
      <c r="AO43" s="1033">
        <f>VLOOKUP(AM43,Düngemittel!$B$6:$E$64,2,FALSE)*(VLOOKUP(AM43,Düngemittel!$B$6:$E$64,3,FALSE))/100*AN43</f>
        <v>0</v>
      </c>
      <c r="AP43" s="1033">
        <f>VLOOKUP(AM43,Düngemittel!$B$6:$E$64,2,FALSE)*AN43</f>
        <v>0</v>
      </c>
      <c r="AQ43" s="1033">
        <f>VLOOKUP(AM43,Düngemittel!$B$6:$E$64,4,FALSE)*AN43</f>
        <v>0</v>
      </c>
      <c r="AR43" s="2324"/>
      <c r="AS43" s="1329"/>
      <c r="AT43" s="1330" t="s">
        <v>795</v>
      </c>
      <c r="AU43" s="1424">
        <v>0</v>
      </c>
      <c r="AV43" s="1033">
        <f>VLOOKUP(AT43,Düngemittel!$B$6:$E$64,2,FALSE)*(VLOOKUP(AT43,Düngemittel!$B$6:$E$64,3,FALSE))/100*AU43</f>
        <v>0</v>
      </c>
      <c r="AW43" s="1033">
        <f>VLOOKUP(AT43,Düngemittel!$B$6:$E$64,2,FALSE)*AU43</f>
        <v>0</v>
      </c>
      <c r="AX43" s="1033">
        <f>VLOOKUP(AT43,Düngemittel!$B$6:$E$64,4,FALSE)*AU43</f>
        <v>0</v>
      </c>
      <c r="AY43" s="2324"/>
      <c r="AZ43" s="1329"/>
      <c r="BA43" s="1330" t="s">
        <v>795</v>
      </c>
      <c r="BB43" s="1424">
        <v>0</v>
      </c>
      <c r="BC43" s="1033">
        <f>VLOOKUP(BA43,Düngemittel!$B$6:$E$64,2,FALSE)*(VLOOKUP(BA43,Düngemittel!$B$6:$E$64,3,FALSE))/100*BB43</f>
        <v>0</v>
      </c>
      <c r="BD43" s="1033">
        <f>VLOOKUP(BA43,Düngemittel!$B$6:$E$64,2,FALSE)*BB43</f>
        <v>0</v>
      </c>
      <c r="BE43" s="1033">
        <f>VLOOKUP(BA43,Düngemittel!$B$6:$E$64,4,FALSE)*BB43</f>
        <v>0</v>
      </c>
      <c r="BF43" s="2324"/>
      <c r="BG43" s="1329"/>
      <c r="BH43" s="1330" t="s">
        <v>795</v>
      </c>
      <c r="BI43" s="1424">
        <v>0</v>
      </c>
      <c r="BJ43" s="1033">
        <f>VLOOKUP(BH43,Düngemittel!$B$6:$E$64,2,FALSE)*(VLOOKUP(BH43,Düngemittel!$B$6:$E$64,3,FALSE))/100*BI43</f>
        <v>0</v>
      </c>
      <c r="BK43" s="1033">
        <f>VLOOKUP(BH43,Düngemittel!$B$6:$E$64,2,FALSE)*BI43</f>
        <v>0</v>
      </c>
      <c r="BL43" s="1033">
        <f>VLOOKUP(BH43,Düngemittel!$B$6:$E$64,4,FALSE)*BI43</f>
        <v>0</v>
      </c>
      <c r="BM43" s="2324"/>
      <c r="BN43" s="1282">
        <f t="shared" si="29"/>
        <v>0</v>
      </c>
      <c r="BO43" s="2328">
        <f t="shared" si="30"/>
        <v>0</v>
      </c>
      <c r="BP43" s="1282">
        <f t="shared" si="31"/>
        <v>0</v>
      </c>
      <c r="BQ43" s="1138">
        <f t="shared" si="32"/>
        <v>0</v>
      </c>
      <c r="BR43" s="2328">
        <f t="shared" si="33"/>
        <v>0</v>
      </c>
      <c r="BS43" s="95"/>
      <c r="BT43" s="1135">
        <f t="shared" si="34"/>
        <v>0</v>
      </c>
      <c r="BU43" s="1135">
        <f t="shared" si="35"/>
        <v>0</v>
      </c>
      <c r="BV43" s="1135">
        <f t="shared" si="36"/>
        <v>0</v>
      </c>
      <c r="BW43" s="1807">
        <f t="shared" si="37"/>
        <v>0</v>
      </c>
      <c r="BX43" s="1135">
        <f t="shared" si="38"/>
        <v>0</v>
      </c>
      <c r="BY43" s="2324"/>
      <c r="CA43">
        <v>0</v>
      </c>
      <c r="CB43">
        <v>0</v>
      </c>
      <c r="CD43" s="2152" t="s">
        <v>1543</v>
      </c>
      <c r="CE43" s="33">
        <v>275</v>
      </c>
      <c r="CF43" s="33">
        <v>135</v>
      </c>
      <c r="CG43" s="33">
        <v>10</v>
      </c>
      <c r="CH43" s="2153">
        <v>14</v>
      </c>
      <c r="CI43" s="2153">
        <v>14</v>
      </c>
      <c r="CJ43" s="2152">
        <v>0</v>
      </c>
      <c r="CK43" s="2152">
        <v>0</v>
      </c>
      <c r="CL43" s="2154">
        <v>60</v>
      </c>
      <c r="CM43" s="2155">
        <v>0.11</v>
      </c>
    </row>
    <row r="44" spans="1:91" ht="27" customHeight="1">
      <c r="A44" s="1750">
        <v>37</v>
      </c>
      <c r="B44" s="2169">
        <v>0</v>
      </c>
      <c r="C44" s="2172" t="s">
        <v>31</v>
      </c>
      <c r="D44" s="1751">
        <f t="shared" si="14"/>
        <v>0</v>
      </c>
      <c r="E44" s="1940">
        <f t="shared" si="0"/>
        <v>0</v>
      </c>
      <c r="F44" s="1941">
        <v>0</v>
      </c>
      <c r="G44" s="1928">
        <f t="shared" si="26"/>
        <v>0</v>
      </c>
      <c r="H44" s="1928">
        <f t="shared" si="27"/>
        <v>0</v>
      </c>
      <c r="I44" s="1949">
        <f t="shared" si="1"/>
        <v>0</v>
      </c>
      <c r="J44" s="1949">
        <f t="shared" si="2"/>
        <v>0</v>
      </c>
      <c r="K44" s="1949">
        <f t="shared" si="3"/>
        <v>0</v>
      </c>
      <c r="L44" s="1943">
        <f t="shared" si="28"/>
        <v>0</v>
      </c>
      <c r="M44" s="587" t="s">
        <v>503</v>
      </c>
      <c r="N44" s="1905">
        <f t="shared" si="4"/>
        <v>0</v>
      </c>
      <c r="O44" s="761" t="s">
        <v>25</v>
      </c>
      <c r="P44" s="1905">
        <f t="shared" si="5"/>
        <v>0</v>
      </c>
      <c r="Q44" s="1906">
        <f t="shared" si="6"/>
        <v>0</v>
      </c>
      <c r="R44" s="1957">
        <v>0</v>
      </c>
      <c r="S44" s="1907" t="s">
        <v>160</v>
      </c>
      <c r="T44" s="1752">
        <f t="shared" si="7"/>
        <v>0</v>
      </c>
      <c r="U44" s="1961">
        <v>0</v>
      </c>
      <c r="V44" s="1893" t="s">
        <v>1314</v>
      </c>
      <c r="W44" s="1963">
        <f t="shared" si="8"/>
        <v>0</v>
      </c>
      <c r="X44" s="1966">
        <f t="shared" si="18"/>
        <v>0</v>
      </c>
      <c r="Y44" s="1933">
        <f t="shared" si="19"/>
        <v>0</v>
      </c>
      <c r="Z44" s="2098">
        <f t="shared" si="9"/>
        <v>0</v>
      </c>
      <c r="AA44" s="1933">
        <f t="shared" si="10"/>
        <v>0</v>
      </c>
      <c r="AB44" s="2324"/>
      <c r="AC44" s="1281">
        <f t="shared" si="11"/>
        <v>37</v>
      </c>
      <c r="AD44" s="1281" t="str">
        <f t="shared" si="12"/>
        <v>keine</v>
      </c>
      <c r="AE44" s="1329"/>
      <c r="AF44" s="1330" t="s">
        <v>795</v>
      </c>
      <c r="AG44" s="1424">
        <v>0</v>
      </c>
      <c r="AH44" s="1033">
        <f>VLOOKUP(AF44,Düngemittel!$B$6:$E$64,2,FALSE)*(VLOOKUP(AF44,Düngemittel!$B$6:$E$64,3,FALSE))/100*AG44</f>
        <v>0</v>
      </c>
      <c r="AI44" s="1033">
        <f>VLOOKUP(AF44,Düngemittel!$B$6:$E$64,2,FALSE)*AG44</f>
        <v>0</v>
      </c>
      <c r="AJ44" s="1033">
        <f>VLOOKUP(AF44,Düngemittel!$B$6:$E$64,4,FALSE)*AG44</f>
        <v>0</v>
      </c>
      <c r="AK44" s="2324"/>
      <c r="AL44" s="1329"/>
      <c r="AM44" s="1330" t="s">
        <v>795</v>
      </c>
      <c r="AN44" s="1424">
        <v>0</v>
      </c>
      <c r="AO44" s="1033">
        <f>VLOOKUP(AM44,Düngemittel!$B$6:$E$64,2,FALSE)*(VLOOKUP(AM44,Düngemittel!$B$6:$E$64,3,FALSE))/100*AN44</f>
        <v>0</v>
      </c>
      <c r="AP44" s="1033">
        <f>VLOOKUP(AM44,Düngemittel!$B$6:$E$64,2,FALSE)*AN44</f>
        <v>0</v>
      </c>
      <c r="AQ44" s="1033">
        <f>VLOOKUP(AM44,Düngemittel!$B$6:$E$64,4,FALSE)*AN44</f>
        <v>0</v>
      </c>
      <c r="AR44" s="2324"/>
      <c r="AS44" s="1329"/>
      <c r="AT44" s="1330" t="s">
        <v>795</v>
      </c>
      <c r="AU44" s="1424">
        <v>0</v>
      </c>
      <c r="AV44" s="1033">
        <f>VLOOKUP(AT44,Düngemittel!$B$6:$E$64,2,FALSE)*(VLOOKUP(AT44,Düngemittel!$B$6:$E$64,3,FALSE))/100*AU44</f>
        <v>0</v>
      </c>
      <c r="AW44" s="1033">
        <f>VLOOKUP(AT44,Düngemittel!$B$6:$E$64,2,FALSE)*AU44</f>
        <v>0</v>
      </c>
      <c r="AX44" s="1033">
        <f>VLOOKUP(AT44,Düngemittel!$B$6:$E$64,4,FALSE)*AU44</f>
        <v>0</v>
      </c>
      <c r="AY44" s="2324"/>
      <c r="AZ44" s="1329"/>
      <c r="BA44" s="1330" t="s">
        <v>795</v>
      </c>
      <c r="BB44" s="1424">
        <v>0</v>
      </c>
      <c r="BC44" s="1033">
        <f>VLOOKUP(BA44,Düngemittel!$B$6:$E$64,2,FALSE)*(VLOOKUP(BA44,Düngemittel!$B$6:$E$64,3,FALSE))/100*BB44</f>
        <v>0</v>
      </c>
      <c r="BD44" s="1033">
        <f>VLOOKUP(BA44,Düngemittel!$B$6:$E$64,2,FALSE)*BB44</f>
        <v>0</v>
      </c>
      <c r="BE44" s="1033">
        <f>VLOOKUP(BA44,Düngemittel!$B$6:$E$64,4,FALSE)*BB44</f>
        <v>0</v>
      </c>
      <c r="BF44" s="2324"/>
      <c r="BG44" s="1329"/>
      <c r="BH44" s="1330" t="s">
        <v>795</v>
      </c>
      <c r="BI44" s="1424">
        <v>0</v>
      </c>
      <c r="BJ44" s="1033">
        <f>VLOOKUP(BH44,Düngemittel!$B$6:$E$64,2,FALSE)*(VLOOKUP(BH44,Düngemittel!$B$6:$E$64,3,FALSE))/100*BI44</f>
        <v>0</v>
      </c>
      <c r="BK44" s="1033">
        <f>VLOOKUP(BH44,Düngemittel!$B$6:$E$64,2,FALSE)*BI44</f>
        <v>0</v>
      </c>
      <c r="BL44" s="1033">
        <f>VLOOKUP(BH44,Düngemittel!$B$6:$E$64,4,FALSE)*BI44</f>
        <v>0</v>
      </c>
      <c r="BM44" s="2324"/>
      <c r="BN44" s="1282">
        <f t="shared" si="29"/>
        <v>0</v>
      </c>
      <c r="BO44" s="2328">
        <f t="shared" si="30"/>
        <v>0</v>
      </c>
      <c r="BP44" s="1282">
        <f t="shared" si="31"/>
        <v>0</v>
      </c>
      <c r="BQ44" s="1138">
        <f t="shared" si="32"/>
        <v>0</v>
      </c>
      <c r="BR44" s="2328">
        <f t="shared" si="33"/>
        <v>0</v>
      </c>
      <c r="BS44" s="95"/>
      <c r="BT44" s="1135">
        <f t="shared" si="34"/>
        <v>0</v>
      </c>
      <c r="BU44" s="1135">
        <f t="shared" si="35"/>
        <v>0</v>
      </c>
      <c r="BV44" s="1135">
        <f t="shared" si="36"/>
        <v>0</v>
      </c>
      <c r="BW44" s="1807">
        <f t="shared" si="37"/>
        <v>0</v>
      </c>
      <c r="BX44" s="1135">
        <f t="shared" si="38"/>
        <v>0</v>
      </c>
      <c r="BY44" s="2324"/>
      <c r="CA44">
        <v>0</v>
      </c>
      <c r="CB44">
        <v>0</v>
      </c>
      <c r="CD44" s="2141" t="s">
        <v>1351</v>
      </c>
      <c r="CE44" s="33">
        <v>650</v>
      </c>
      <c r="CF44" s="33">
        <v>170</v>
      </c>
      <c r="CG44" s="33">
        <v>20</v>
      </c>
      <c r="CH44" s="323">
        <v>20</v>
      </c>
      <c r="CI44" s="323">
        <v>20</v>
      </c>
      <c r="CJ44" s="323">
        <f>CI44*2/3</f>
        <v>13.333333333333334</v>
      </c>
      <c r="CK44" s="323">
        <v>15</v>
      </c>
      <c r="CL44" s="323">
        <v>30</v>
      </c>
      <c r="CM44" s="1001">
        <v>0.10299999999999999</v>
      </c>
    </row>
    <row r="45" spans="1:91" ht="27" customHeight="1">
      <c r="A45" s="1750">
        <v>38</v>
      </c>
      <c r="B45" s="2169">
        <v>0</v>
      </c>
      <c r="C45" s="2172" t="s">
        <v>31</v>
      </c>
      <c r="D45" s="1751">
        <f t="shared" si="14"/>
        <v>0</v>
      </c>
      <c r="E45" s="1940">
        <f t="shared" si="0"/>
        <v>0</v>
      </c>
      <c r="F45" s="1941">
        <v>0</v>
      </c>
      <c r="G45" s="1928">
        <f t="shared" si="26"/>
        <v>0</v>
      </c>
      <c r="H45" s="1928">
        <f t="shared" si="27"/>
        <v>0</v>
      </c>
      <c r="I45" s="1949">
        <f t="shared" si="1"/>
        <v>0</v>
      </c>
      <c r="J45" s="1949">
        <f t="shared" si="2"/>
        <v>0</v>
      </c>
      <c r="K45" s="1949">
        <f t="shared" si="3"/>
        <v>0</v>
      </c>
      <c r="L45" s="1943">
        <f t="shared" si="28"/>
        <v>0</v>
      </c>
      <c r="M45" s="587" t="s">
        <v>503</v>
      </c>
      <c r="N45" s="1905">
        <f t="shared" si="4"/>
        <v>0</v>
      </c>
      <c r="O45" s="761" t="s">
        <v>25</v>
      </c>
      <c r="P45" s="1905">
        <f t="shared" si="5"/>
        <v>0</v>
      </c>
      <c r="Q45" s="1906">
        <f t="shared" si="6"/>
        <v>0</v>
      </c>
      <c r="R45" s="1957">
        <v>0</v>
      </c>
      <c r="S45" s="1907" t="s">
        <v>160</v>
      </c>
      <c r="T45" s="1752">
        <f t="shared" si="7"/>
        <v>0</v>
      </c>
      <c r="U45" s="1961">
        <v>0</v>
      </c>
      <c r="V45" s="1893" t="s">
        <v>1314</v>
      </c>
      <c r="W45" s="1963">
        <f t="shared" si="8"/>
        <v>0</v>
      </c>
      <c r="X45" s="1966">
        <f t="shared" si="18"/>
        <v>0</v>
      </c>
      <c r="Y45" s="1933">
        <f t="shared" si="19"/>
        <v>0</v>
      </c>
      <c r="Z45" s="2098">
        <f t="shared" si="9"/>
        <v>0</v>
      </c>
      <c r="AA45" s="1933">
        <f t="shared" si="10"/>
        <v>0</v>
      </c>
      <c r="AB45" s="2324"/>
      <c r="AC45" s="1281">
        <f t="shared" si="11"/>
        <v>38</v>
      </c>
      <c r="AD45" s="1281" t="str">
        <f t="shared" si="12"/>
        <v>keine</v>
      </c>
      <c r="AE45" s="1329"/>
      <c r="AF45" s="1330" t="s">
        <v>795</v>
      </c>
      <c r="AG45" s="1424">
        <v>0</v>
      </c>
      <c r="AH45" s="1033">
        <f>VLOOKUP(AF45,Düngemittel!$B$6:$E$64,2,FALSE)*(VLOOKUP(AF45,Düngemittel!$B$6:$E$64,3,FALSE))/100*AG45</f>
        <v>0</v>
      </c>
      <c r="AI45" s="1033">
        <f>VLOOKUP(AF45,Düngemittel!$B$6:$E$64,2,FALSE)*AG45</f>
        <v>0</v>
      </c>
      <c r="AJ45" s="1033">
        <f>VLOOKUP(AF45,Düngemittel!$B$6:$E$64,4,FALSE)*AG45</f>
        <v>0</v>
      </c>
      <c r="AK45" s="2324"/>
      <c r="AL45" s="1329"/>
      <c r="AM45" s="1330" t="s">
        <v>795</v>
      </c>
      <c r="AN45" s="1424">
        <v>0</v>
      </c>
      <c r="AO45" s="1033">
        <f>VLOOKUP(AM45,Düngemittel!$B$6:$E$64,2,FALSE)*(VLOOKUP(AM45,Düngemittel!$B$6:$E$64,3,FALSE))/100*AN45</f>
        <v>0</v>
      </c>
      <c r="AP45" s="1033">
        <f>VLOOKUP(AM45,Düngemittel!$B$6:$E$64,2,FALSE)*AN45</f>
        <v>0</v>
      </c>
      <c r="AQ45" s="1033">
        <f>VLOOKUP(AM45,Düngemittel!$B$6:$E$64,4,FALSE)*AN45</f>
        <v>0</v>
      </c>
      <c r="AR45" s="2324"/>
      <c r="AS45" s="1329"/>
      <c r="AT45" s="1330" t="s">
        <v>795</v>
      </c>
      <c r="AU45" s="1424">
        <v>0</v>
      </c>
      <c r="AV45" s="1033">
        <f>VLOOKUP(AT45,Düngemittel!$B$6:$E$64,2,FALSE)*(VLOOKUP(AT45,Düngemittel!$B$6:$E$64,3,FALSE))/100*AU45</f>
        <v>0</v>
      </c>
      <c r="AW45" s="1033">
        <f>VLOOKUP(AT45,Düngemittel!$B$6:$E$64,2,FALSE)*AU45</f>
        <v>0</v>
      </c>
      <c r="AX45" s="1033">
        <f>VLOOKUP(AT45,Düngemittel!$B$6:$E$64,4,FALSE)*AU45</f>
        <v>0</v>
      </c>
      <c r="AY45" s="2324"/>
      <c r="AZ45" s="1329"/>
      <c r="BA45" s="1330" t="s">
        <v>795</v>
      </c>
      <c r="BB45" s="1424">
        <v>0</v>
      </c>
      <c r="BC45" s="1033">
        <f>VLOOKUP(BA45,Düngemittel!$B$6:$E$64,2,FALSE)*(VLOOKUP(BA45,Düngemittel!$B$6:$E$64,3,FALSE))/100*BB45</f>
        <v>0</v>
      </c>
      <c r="BD45" s="1033">
        <f>VLOOKUP(BA45,Düngemittel!$B$6:$E$64,2,FALSE)*BB45</f>
        <v>0</v>
      </c>
      <c r="BE45" s="1033">
        <f>VLOOKUP(BA45,Düngemittel!$B$6:$E$64,4,FALSE)*BB45</f>
        <v>0</v>
      </c>
      <c r="BF45" s="2324"/>
      <c r="BG45" s="1329"/>
      <c r="BH45" s="1330" t="s">
        <v>795</v>
      </c>
      <c r="BI45" s="1424">
        <v>0</v>
      </c>
      <c r="BJ45" s="1033">
        <f>VLOOKUP(BH45,Düngemittel!$B$6:$E$64,2,FALSE)*(VLOOKUP(BH45,Düngemittel!$B$6:$E$64,3,FALSE))/100*BI45</f>
        <v>0</v>
      </c>
      <c r="BK45" s="1033">
        <f>VLOOKUP(BH45,Düngemittel!$B$6:$E$64,2,FALSE)*BI45</f>
        <v>0</v>
      </c>
      <c r="BL45" s="1033">
        <f>VLOOKUP(BH45,Düngemittel!$B$6:$E$64,4,FALSE)*BI45</f>
        <v>0</v>
      </c>
      <c r="BM45" s="2324"/>
      <c r="BN45" s="1282">
        <f t="shared" si="29"/>
        <v>0</v>
      </c>
      <c r="BO45" s="2328">
        <f t="shared" si="30"/>
        <v>0</v>
      </c>
      <c r="BP45" s="1282">
        <f t="shared" si="31"/>
        <v>0</v>
      </c>
      <c r="BQ45" s="1138">
        <f t="shared" si="32"/>
        <v>0</v>
      </c>
      <c r="BR45" s="2328">
        <f t="shared" si="33"/>
        <v>0</v>
      </c>
      <c r="BS45" s="95"/>
      <c r="BT45" s="1135">
        <f t="shared" si="34"/>
        <v>0</v>
      </c>
      <c r="BU45" s="1135">
        <f t="shared" si="35"/>
        <v>0</v>
      </c>
      <c r="BV45" s="1135">
        <f t="shared" si="36"/>
        <v>0</v>
      </c>
      <c r="BW45" s="1807">
        <f t="shared" si="37"/>
        <v>0</v>
      </c>
      <c r="BX45" s="1135">
        <f t="shared" si="38"/>
        <v>0</v>
      </c>
      <c r="BY45" s="2324"/>
      <c r="CA45">
        <v>0</v>
      </c>
      <c r="CB45">
        <v>0</v>
      </c>
      <c r="CD45" s="2159" t="s">
        <v>1649</v>
      </c>
      <c r="CE45" s="33">
        <v>200</v>
      </c>
      <c r="CF45" s="33">
        <v>135</v>
      </c>
      <c r="CG45" s="33">
        <v>10</v>
      </c>
      <c r="CH45" s="2158">
        <v>14</v>
      </c>
      <c r="CI45" s="2158">
        <v>14</v>
      </c>
      <c r="CJ45" s="2152">
        <v>0</v>
      </c>
      <c r="CK45" s="2152">
        <v>0</v>
      </c>
      <c r="CL45" s="2152">
        <v>30</v>
      </c>
      <c r="CM45" s="2155">
        <v>0.14000000000000001</v>
      </c>
    </row>
    <row r="46" spans="1:91" ht="27" customHeight="1">
      <c r="A46" s="1750">
        <v>39</v>
      </c>
      <c r="B46" s="2169">
        <v>0</v>
      </c>
      <c r="C46" s="2172" t="s">
        <v>31</v>
      </c>
      <c r="D46" s="1751">
        <f t="shared" si="14"/>
        <v>0</v>
      </c>
      <c r="E46" s="1940">
        <f t="shared" si="0"/>
        <v>0</v>
      </c>
      <c r="F46" s="1941">
        <v>0</v>
      </c>
      <c r="G46" s="1928">
        <f t="shared" si="26"/>
        <v>0</v>
      </c>
      <c r="H46" s="1928">
        <f t="shared" si="27"/>
        <v>0</v>
      </c>
      <c r="I46" s="1949">
        <f t="shared" si="1"/>
        <v>0</v>
      </c>
      <c r="J46" s="1949">
        <f t="shared" si="2"/>
        <v>0</v>
      </c>
      <c r="K46" s="1949">
        <f t="shared" si="3"/>
        <v>0</v>
      </c>
      <c r="L46" s="1943">
        <f t="shared" si="28"/>
        <v>0</v>
      </c>
      <c r="M46" s="587" t="s">
        <v>503</v>
      </c>
      <c r="N46" s="1905">
        <f t="shared" si="4"/>
        <v>0</v>
      </c>
      <c r="O46" s="761" t="s">
        <v>25</v>
      </c>
      <c r="P46" s="1905">
        <f t="shared" si="5"/>
        <v>0</v>
      </c>
      <c r="Q46" s="1906">
        <f t="shared" si="6"/>
        <v>0</v>
      </c>
      <c r="R46" s="1957">
        <v>0</v>
      </c>
      <c r="S46" s="1907" t="s">
        <v>160</v>
      </c>
      <c r="T46" s="1752">
        <f t="shared" si="7"/>
        <v>0</v>
      </c>
      <c r="U46" s="1961">
        <v>0</v>
      </c>
      <c r="V46" s="1893" t="s">
        <v>1314</v>
      </c>
      <c r="W46" s="1963">
        <f t="shared" si="8"/>
        <v>0</v>
      </c>
      <c r="X46" s="1966">
        <f t="shared" si="18"/>
        <v>0</v>
      </c>
      <c r="Y46" s="1933">
        <f t="shared" si="19"/>
        <v>0</v>
      </c>
      <c r="Z46" s="2098">
        <f t="shared" si="9"/>
        <v>0</v>
      </c>
      <c r="AA46" s="1933">
        <f t="shared" si="10"/>
        <v>0</v>
      </c>
      <c r="AB46" s="2324"/>
      <c r="AC46" s="1281">
        <f t="shared" si="11"/>
        <v>39</v>
      </c>
      <c r="AD46" s="1281" t="str">
        <f t="shared" si="12"/>
        <v>keine</v>
      </c>
      <c r="AE46" s="1329"/>
      <c r="AF46" s="1330" t="s">
        <v>795</v>
      </c>
      <c r="AG46" s="1424">
        <v>0</v>
      </c>
      <c r="AH46" s="1033">
        <f>VLOOKUP(AF46,Düngemittel!$B$6:$E$64,2,FALSE)*(VLOOKUP(AF46,Düngemittel!$B$6:$E$64,3,FALSE))/100*AG46</f>
        <v>0</v>
      </c>
      <c r="AI46" s="1033">
        <f>VLOOKUP(AF46,Düngemittel!$B$6:$E$64,2,FALSE)*AG46</f>
        <v>0</v>
      </c>
      <c r="AJ46" s="1033">
        <f>VLOOKUP(AF46,Düngemittel!$B$6:$E$64,4,FALSE)*AG46</f>
        <v>0</v>
      </c>
      <c r="AK46" s="2324"/>
      <c r="AL46" s="1329"/>
      <c r="AM46" s="1330" t="s">
        <v>795</v>
      </c>
      <c r="AN46" s="1424">
        <v>0</v>
      </c>
      <c r="AO46" s="1033">
        <f>VLOOKUP(AM46,Düngemittel!$B$6:$E$64,2,FALSE)*(VLOOKUP(AM46,Düngemittel!$B$6:$E$64,3,FALSE))/100*AN46</f>
        <v>0</v>
      </c>
      <c r="AP46" s="1033">
        <f>VLOOKUP(AM46,Düngemittel!$B$6:$E$64,2,FALSE)*AN46</f>
        <v>0</v>
      </c>
      <c r="AQ46" s="1033">
        <f>VLOOKUP(AM46,Düngemittel!$B$6:$E$64,4,FALSE)*AN46</f>
        <v>0</v>
      </c>
      <c r="AR46" s="2324"/>
      <c r="AS46" s="1329"/>
      <c r="AT46" s="1330" t="s">
        <v>795</v>
      </c>
      <c r="AU46" s="1424">
        <v>0</v>
      </c>
      <c r="AV46" s="1033">
        <f>VLOOKUP(AT46,Düngemittel!$B$6:$E$64,2,FALSE)*(VLOOKUP(AT46,Düngemittel!$B$6:$E$64,3,FALSE))/100*AU46</f>
        <v>0</v>
      </c>
      <c r="AW46" s="1033">
        <f>VLOOKUP(AT46,Düngemittel!$B$6:$E$64,2,FALSE)*AU46</f>
        <v>0</v>
      </c>
      <c r="AX46" s="1033">
        <f>VLOOKUP(AT46,Düngemittel!$B$6:$E$64,4,FALSE)*AU46</f>
        <v>0</v>
      </c>
      <c r="AY46" s="2324"/>
      <c r="AZ46" s="1329"/>
      <c r="BA46" s="1330" t="s">
        <v>795</v>
      </c>
      <c r="BB46" s="1424">
        <v>0</v>
      </c>
      <c r="BC46" s="1033">
        <f>VLOOKUP(BA46,Düngemittel!$B$6:$E$64,2,FALSE)*(VLOOKUP(BA46,Düngemittel!$B$6:$E$64,3,FALSE))/100*BB46</f>
        <v>0</v>
      </c>
      <c r="BD46" s="1033">
        <f>VLOOKUP(BA46,Düngemittel!$B$6:$E$64,2,FALSE)*BB46</f>
        <v>0</v>
      </c>
      <c r="BE46" s="1033">
        <f>VLOOKUP(BA46,Düngemittel!$B$6:$E$64,4,FALSE)*BB46</f>
        <v>0</v>
      </c>
      <c r="BF46" s="2324"/>
      <c r="BG46" s="1329"/>
      <c r="BH46" s="1330" t="s">
        <v>795</v>
      </c>
      <c r="BI46" s="1424">
        <v>0</v>
      </c>
      <c r="BJ46" s="1033">
        <f>VLOOKUP(BH46,Düngemittel!$B$6:$E$64,2,FALSE)*(VLOOKUP(BH46,Düngemittel!$B$6:$E$64,3,FALSE))/100*BI46</f>
        <v>0</v>
      </c>
      <c r="BK46" s="1033">
        <f>VLOOKUP(BH46,Düngemittel!$B$6:$E$64,2,FALSE)*BI46</f>
        <v>0</v>
      </c>
      <c r="BL46" s="1033">
        <f>VLOOKUP(BH46,Düngemittel!$B$6:$E$64,4,FALSE)*BI46</f>
        <v>0</v>
      </c>
      <c r="BM46" s="2324"/>
      <c r="BN46" s="1282">
        <f t="shared" si="29"/>
        <v>0</v>
      </c>
      <c r="BO46" s="2328">
        <f t="shared" si="30"/>
        <v>0</v>
      </c>
      <c r="BP46" s="1282">
        <f t="shared" si="31"/>
        <v>0</v>
      </c>
      <c r="BQ46" s="1138">
        <f t="shared" si="32"/>
        <v>0</v>
      </c>
      <c r="BR46" s="2328">
        <f t="shared" si="33"/>
        <v>0</v>
      </c>
      <c r="BS46" s="95"/>
      <c r="BT46" s="1135">
        <f t="shared" si="34"/>
        <v>0</v>
      </c>
      <c r="BU46" s="1135">
        <f t="shared" si="35"/>
        <v>0</v>
      </c>
      <c r="BV46" s="1135">
        <f t="shared" si="36"/>
        <v>0</v>
      </c>
      <c r="BW46" s="1807">
        <f t="shared" si="37"/>
        <v>0</v>
      </c>
      <c r="BX46" s="1135">
        <f t="shared" si="38"/>
        <v>0</v>
      </c>
      <c r="BY46" s="2324"/>
      <c r="CA46">
        <v>0</v>
      </c>
      <c r="CB46">
        <v>0</v>
      </c>
      <c r="CD46" s="2140" t="s">
        <v>1650</v>
      </c>
      <c r="CE46" s="33">
        <v>180</v>
      </c>
      <c r="CF46" s="33">
        <v>180</v>
      </c>
      <c r="CG46" s="33">
        <v>20</v>
      </c>
      <c r="CH46" s="2156">
        <v>20</v>
      </c>
      <c r="CI46" s="2156">
        <v>20</v>
      </c>
      <c r="CJ46" s="2156">
        <f>CI46*2/3</f>
        <v>13.333333333333334</v>
      </c>
      <c r="CK46" s="2156">
        <v>25</v>
      </c>
      <c r="CL46" s="2156">
        <v>60</v>
      </c>
      <c r="CM46" s="1914">
        <v>0.09</v>
      </c>
    </row>
    <row r="47" spans="1:91" ht="27" customHeight="1">
      <c r="A47" s="1750">
        <v>40</v>
      </c>
      <c r="B47" s="2169">
        <v>0</v>
      </c>
      <c r="C47" s="2172" t="s">
        <v>31</v>
      </c>
      <c r="D47" s="1751">
        <f t="shared" si="14"/>
        <v>0</v>
      </c>
      <c r="E47" s="1940">
        <f t="shared" si="0"/>
        <v>0</v>
      </c>
      <c r="F47" s="1941">
        <v>0</v>
      </c>
      <c r="G47" s="1928">
        <f t="shared" si="26"/>
        <v>0</v>
      </c>
      <c r="H47" s="1928">
        <f t="shared" si="27"/>
        <v>0</v>
      </c>
      <c r="I47" s="1949">
        <f t="shared" si="1"/>
        <v>0</v>
      </c>
      <c r="J47" s="1949">
        <f t="shared" si="2"/>
        <v>0</v>
      </c>
      <c r="K47" s="1949">
        <f t="shared" si="3"/>
        <v>0</v>
      </c>
      <c r="L47" s="1943">
        <f t="shared" si="28"/>
        <v>0</v>
      </c>
      <c r="M47" s="587" t="s">
        <v>503</v>
      </c>
      <c r="N47" s="1905">
        <f t="shared" si="4"/>
        <v>0</v>
      </c>
      <c r="O47" s="761" t="s">
        <v>25</v>
      </c>
      <c r="P47" s="1905">
        <f t="shared" si="5"/>
        <v>0</v>
      </c>
      <c r="Q47" s="1906">
        <f t="shared" si="6"/>
        <v>0</v>
      </c>
      <c r="R47" s="1957">
        <v>0</v>
      </c>
      <c r="S47" s="1907" t="s">
        <v>160</v>
      </c>
      <c r="T47" s="1752">
        <f t="shared" si="7"/>
        <v>0</v>
      </c>
      <c r="U47" s="1961">
        <v>0</v>
      </c>
      <c r="V47" s="1893" t="s">
        <v>1314</v>
      </c>
      <c r="W47" s="1963">
        <f t="shared" si="8"/>
        <v>0</v>
      </c>
      <c r="X47" s="1966">
        <f t="shared" si="18"/>
        <v>0</v>
      </c>
      <c r="Y47" s="1933">
        <f t="shared" si="19"/>
        <v>0</v>
      </c>
      <c r="Z47" s="2098">
        <f t="shared" si="9"/>
        <v>0</v>
      </c>
      <c r="AA47" s="1933">
        <f t="shared" si="10"/>
        <v>0</v>
      </c>
      <c r="AB47" s="2324"/>
      <c r="AC47" s="1281">
        <f t="shared" si="11"/>
        <v>40</v>
      </c>
      <c r="AD47" s="1281" t="str">
        <f t="shared" si="12"/>
        <v>keine</v>
      </c>
      <c r="AE47" s="1329"/>
      <c r="AF47" s="1330" t="s">
        <v>795</v>
      </c>
      <c r="AG47" s="1424">
        <v>0</v>
      </c>
      <c r="AH47" s="1033">
        <f>VLOOKUP(AF47,Düngemittel!$B$6:$E$64,2,FALSE)*(VLOOKUP(AF47,Düngemittel!$B$6:$E$64,3,FALSE))/100*AG47</f>
        <v>0</v>
      </c>
      <c r="AI47" s="1033">
        <f>VLOOKUP(AF47,Düngemittel!$B$6:$E$64,2,FALSE)*AG47</f>
        <v>0</v>
      </c>
      <c r="AJ47" s="1033">
        <f>VLOOKUP(AF47,Düngemittel!$B$6:$E$64,4,FALSE)*AG47</f>
        <v>0</v>
      </c>
      <c r="AK47" s="2324"/>
      <c r="AL47" s="1329"/>
      <c r="AM47" s="1330" t="s">
        <v>795</v>
      </c>
      <c r="AN47" s="1424">
        <v>0</v>
      </c>
      <c r="AO47" s="1033">
        <f>VLOOKUP(AM47,Düngemittel!$B$6:$E$64,2,FALSE)*(VLOOKUP(AM47,Düngemittel!$B$6:$E$64,3,FALSE))/100*AN47</f>
        <v>0</v>
      </c>
      <c r="AP47" s="1033">
        <f>VLOOKUP(AM47,Düngemittel!$B$6:$E$64,2,FALSE)*AN47</f>
        <v>0</v>
      </c>
      <c r="AQ47" s="1033">
        <f>VLOOKUP(AM47,Düngemittel!$B$6:$E$64,4,FALSE)*AN47</f>
        <v>0</v>
      </c>
      <c r="AR47" s="2324"/>
      <c r="AS47" s="1329"/>
      <c r="AT47" s="1330" t="s">
        <v>795</v>
      </c>
      <c r="AU47" s="1424">
        <v>0</v>
      </c>
      <c r="AV47" s="1033">
        <f>VLOOKUP(AT47,Düngemittel!$B$6:$E$64,2,FALSE)*(VLOOKUP(AT47,Düngemittel!$B$6:$E$64,3,FALSE))/100*AU47</f>
        <v>0</v>
      </c>
      <c r="AW47" s="1033">
        <f>VLOOKUP(AT47,Düngemittel!$B$6:$E$64,2,FALSE)*AU47</f>
        <v>0</v>
      </c>
      <c r="AX47" s="1033">
        <f>VLOOKUP(AT47,Düngemittel!$B$6:$E$64,4,FALSE)*AU47</f>
        <v>0</v>
      </c>
      <c r="AY47" s="2324"/>
      <c r="AZ47" s="1329"/>
      <c r="BA47" s="1330" t="s">
        <v>795</v>
      </c>
      <c r="BB47" s="1424">
        <v>0</v>
      </c>
      <c r="BC47" s="1033">
        <f>VLOOKUP(BA47,Düngemittel!$B$6:$E$64,2,FALSE)*(VLOOKUP(BA47,Düngemittel!$B$6:$E$64,3,FALSE))/100*BB47</f>
        <v>0</v>
      </c>
      <c r="BD47" s="1033">
        <f>VLOOKUP(BA47,Düngemittel!$B$6:$E$64,2,FALSE)*BB47</f>
        <v>0</v>
      </c>
      <c r="BE47" s="1033">
        <f>VLOOKUP(BA47,Düngemittel!$B$6:$E$64,4,FALSE)*BB47</f>
        <v>0</v>
      </c>
      <c r="BF47" s="2324"/>
      <c r="BG47" s="1329"/>
      <c r="BH47" s="1330" t="s">
        <v>795</v>
      </c>
      <c r="BI47" s="1424">
        <v>0</v>
      </c>
      <c r="BJ47" s="1033">
        <f>VLOOKUP(BH47,Düngemittel!$B$6:$E$64,2,FALSE)*(VLOOKUP(BH47,Düngemittel!$B$6:$E$64,3,FALSE))/100*BI47</f>
        <v>0</v>
      </c>
      <c r="BK47" s="1033">
        <f>VLOOKUP(BH47,Düngemittel!$B$6:$E$64,2,FALSE)*BI47</f>
        <v>0</v>
      </c>
      <c r="BL47" s="1033">
        <f>VLOOKUP(BH47,Düngemittel!$B$6:$E$64,4,FALSE)*BI47</f>
        <v>0</v>
      </c>
      <c r="BM47" s="2324"/>
      <c r="BN47" s="1282">
        <f t="shared" si="29"/>
        <v>0</v>
      </c>
      <c r="BO47" s="2328">
        <f t="shared" si="30"/>
        <v>0</v>
      </c>
      <c r="BP47" s="1282">
        <f t="shared" si="31"/>
        <v>0</v>
      </c>
      <c r="BQ47" s="1138">
        <f t="shared" si="32"/>
        <v>0</v>
      </c>
      <c r="BR47" s="2328">
        <f t="shared" si="33"/>
        <v>0</v>
      </c>
      <c r="BS47" s="95"/>
      <c r="BT47" s="1135">
        <f t="shared" si="34"/>
        <v>0</v>
      </c>
      <c r="BU47" s="1135">
        <f t="shared" si="35"/>
        <v>0</v>
      </c>
      <c r="BV47" s="1135">
        <f t="shared" si="36"/>
        <v>0</v>
      </c>
      <c r="BW47" s="1807">
        <f t="shared" si="37"/>
        <v>0</v>
      </c>
      <c r="BX47" s="1135">
        <f t="shared" si="38"/>
        <v>0</v>
      </c>
      <c r="BY47" s="2324"/>
      <c r="CA47">
        <v>0</v>
      </c>
      <c r="CB47">
        <v>0</v>
      </c>
      <c r="CD47" s="2159" t="s">
        <v>1553</v>
      </c>
      <c r="CE47" s="33">
        <v>200</v>
      </c>
      <c r="CF47" s="33">
        <v>255</v>
      </c>
      <c r="CG47" s="33">
        <v>10</v>
      </c>
      <c r="CH47" s="2153">
        <v>26</v>
      </c>
      <c r="CI47" s="2153">
        <v>26</v>
      </c>
      <c r="CJ47" s="2152">
        <v>0</v>
      </c>
      <c r="CK47" s="2152">
        <v>0</v>
      </c>
      <c r="CL47" s="2152">
        <v>60</v>
      </c>
      <c r="CM47" s="2155">
        <v>0.22</v>
      </c>
    </row>
    <row r="48" spans="1:91" ht="27" customHeight="1">
      <c r="A48" s="1750">
        <v>41</v>
      </c>
      <c r="B48" s="2169">
        <v>0</v>
      </c>
      <c r="C48" s="2172" t="s">
        <v>31</v>
      </c>
      <c r="D48" s="1751">
        <f t="shared" si="14"/>
        <v>0</v>
      </c>
      <c r="E48" s="1940">
        <f t="shared" si="0"/>
        <v>0</v>
      </c>
      <c r="F48" s="1941">
        <v>0</v>
      </c>
      <c r="G48" s="1928">
        <f t="shared" si="26"/>
        <v>0</v>
      </c>
      <c r="H48" s="1928">
        <f t="shared" si="27"/>
        <v>0</v>
      </c>
      <c r="I48" s="1949">
        <f t="shared" si="1"/>
        <v>0</v>
      </c>
      <c r="J48" s="1949">
        <f t="shared" si="2"/>
        <v>0</v>
      </c>
      <c r="K48" s="1949">
        <f t="shared" si="3"/>
        <v>0</v>
      </c>
      <c r="L48" s="1943">
        <f t="shared" si="28"/>
        <v>0</v>
      </c>
      <c r="M48" s="587" t="s">
        <v>503</v>
      </c>
      <c r="N48" s="1905">
        <f t="shared" si="4"/>
        <v>0</v>
      </c>
      <c r="O48" s="761" t="s">
        <v>25</v>
      </c>
      <c r="P48" s="1905">
        <f t="shared" si="5"/>
        <v>0</v>
      </c>
      <c r="Q48" s="1906">
        <f t="shared" si="6"/>
        <v>0</v>
      </c>
      <c r="R48" s="1957">
        <v>0</v>
      </c>
      <c r="S48" s="1907" t="s">
        <v>160</v>
      </c>
      <c r="T48" s="1752">
        <f t="shared" si="7"/>
        <v>0</v>
      </c>
      <c r="U48" s="1961">
        <v>0</v>
      </c>
      <c r="V48" s="1893" t="s">
        <v>1314</v>
      </c>
      <c r="W48" s="1963">
        <f t="shared" si="8"/>
        <v>0</v>
      </c>
      <c r="X48" s="1966">
        <f t="shared" si="18"/>
        <v>0</v>
      </c>
      <c r="Y48" s="1933">
        <f t="shared" si="19"/>
        <v>0</v>
      </c>
      <c r="Z48" s="2098">
        <f t="shared" si="9"/>
        <v>0</v>
      </c>
      <c r="AA48" s="1933">
        <f t="shared" si="10"/>
        <v>0</v>
      </c>
      <c r="AB48" s="2324"/>
      <c r="AC48" s="1281">
        <f t="shared" si="11"/>
        <v>41</v>
      </c>
      <c r="AD48" s="1281" t="str">
        <f t="shared" si="12"/>
        <v>keine</v>
      </c>
      <c r="AE48" s="1329"/>
      <c r="AF48" s="1330" t="s">
        <v>795</v>
      </c>
      <c r="AG48" s="1424">
        <v>0</v>
      </c>
      <c r="AH48" s="1033">
        <f>VLOOKUP(AF48,Düngemittel!$B$6:$E$64,2,FALSE)*(VLOOKUP(AF48,Düngemittel!$B$6:$E$64,3,FALSE))/100*AG48</f>
        <v>0</v>
      </c>
      <c r="AI48" s="1033">
        <f>VLOOKUP(AF48,Düngemittel!$B$6:$E$64,2,FALSE)*AG48</f>
        <v>0</v>
      </c>
      <c r="AJ48" s="1033">
        <f>VLOOKUP(AF48,Düngemittel!$B$6:$E$64,4,FALSE)*AG48</f>
        <v>0</v>
      </c>
      <c r="AK48" s="2324"/>
      <c r="AL48" s="1329"/>
      <c r="AM48" s="1330" t="s">
        <v>795</v>
      </c>
      <c r="AN48" s="1424">
        <v>0</v>
      </c>
      <c r="AO48" s="1033">
        <f>VLOOKUP(AM48,Düngemittel!$B$6:$E$64,2,FALSE)*(VLOOKUP(AM48,Düngemittel!$B$6:$E$64,3,FALSE))/100*AN48</f>
        <v>0</v>
      </c>
      <c r="AP48" s="1033">
        <f>VLOOKUP(AM48,Düngemittel!$B$6:$E$64,2,FALSE)*AN48</f>
        <v>0</v>
      </c>
      <c r="AQ48" s="1033">
        <f>VLOOKUP(AM48,Düngemittel!$B$6:$E$64,4,FALSE)*AN48</f>
        <v>0</v>
      </c>
      <c r="AR48" s="2324"/>
      <c r="AS48" s="1329"/>
      <c r="AT48" s="1330" t="s">
        <v>795</v>
      </c>
      <c r="AU48" s="1424">
        <v>0</v>
      </c>
      <c r="AV48" s="1033">
        <f>VLOOKUP(AT48,Düngemittel!$B$6:$E$64,2,FALSE)*(VLOOKUP(AT48,Düngemittel!$B$6:$E$64,3,FALSE))/100*AU48</f>
        <v>0</v>
      </c>
      <c r="AW48" s="1033">
        <f>VLOOKUP(AT48,Düngemittel!$B$6:$E$64,2,FALSE)*AU48</f>
        <v>0</v>
      </c>
      <c r="AX48" s="1033">
        <f>VLOOKUP(AT48,Düngemittel!$B$6:$E$64,4,FALSE)*AU48</f>
        <v>0</v>
      </c>
      <c r="AY48" s="2324"/>
      <c r="AZ48" s="1329"/>
      <c r="BA48" s="1330" t="s">
        <v>795</v>
      </c>
      <c r="BB48" s="1424">
        <v>0</v>
      </c>
      <c r="BC48" s="1033">
        <f>VLOOKUP(BA48,Düngemittel!$B$6:$E$64,2,FALSE)*(VLOOKUP(BA48,Düngemittel!$B$6:$E$64,3,FALSE))/100*BB48</f>
        <v>0</v>
      </c>
      <c r="BD48" s="1033">
        <f>VLOOKUP(BA48,Düngemittel!$B$6:$E$64,2,FALSE)*BB48</f>
        <v>0</v>
      </c>
      <c r="BE48" s="1033">
        <f>VLOOKUP(BA48,Düngemittel!$B$6:$E$64,4,FALSE)*BB48</f>
        <v>0</v>
      </c>
      <c r="BF48" s="2324"/>
      <c r="BG48" s="1329"/>
      <c r="BH48" s="1330" t="s">
        <v>795</v>
      </c>
      <c r="BI48" s="1424">
        <v>0</v>
      </c>
      <c r="BJ48" s="1033">
        <f>VLOOKUP(BH48,Düngemittel!$B$6:$E$64,2,FALSE)*(VLOOKUP(BH48,Düngemittel!$B$6:$E$64,3,FALSE))/100*BI48</f>
        <v>0</v>
      </c>
      <c r="BK48" s="1033">
        <f>VLOOKUP(BH48,Düngemittel!$B$6:$E$64,2,FALSE)*BI48</f>
        <v>0</v>
      </c>
      <c r="BL48" s="1033">
        <f>VLOOKUP(BH48,Düngemittel!$B$6:$E$64,4,FALSE)*BI48</f>
        <v>0</v>
      </c>
      <c r="BM48" s="2324"/>
      <c r="BN48" s="1282">
        <f t="shared" si="29"/>
        <v>0</v>
      </c>
      <c r="BO48" s="2328">
        <f t="shared" si="30"/>
        <v>0</v>
      </c>
      <c r="BP48" s="1282">
        <f t="shared" si="31"/>
        <v>0</v>
      </c>
      <c r="BQ48" s="1138">
        <f t="shared" si="32"/>
        <v>0</v>
      </c>
      <c r="BR48" s="2328">
        <f t="shared" si="33"/>
        <v>0</v>
      </c>
      <c r="BS48" s="95"/>
      <c r="BT48" s="1135">
        <f t="shared" si="34"/>
        <v>0</v>
      </c>
      <c r="BU48" s="1135">
        <f t="shared" si="35"/>
        <v>0</v>
      </c>
      <c r="BV48" s="1135">
        <f t="shared" si="36"/>
        <v>0</v>
      </c>
      <c r="BW48" s="1807">
        <f t="shared" si="37"/>
        <v>0</v>
      </c>
      <c r="BX48" s="1135">
        <f t="shared" si="38"/>
        <v>0</v>
      </c>
      <c r="BY48" s="2324"/>
      <c r="CA48">
        <v>0</v>
      </c>
      <c r="CB48">
        <v>0</v>
      </c>
      <c r="CD48" s="2140" t="s">
        <v>1651</v>
      </c>
      <c r="CE48" s="33">
        <v>150</v>
      </c>
      <c r="CF48" s="33">
        <v>90</v>
      </c>
      <c r="CG48" s="33">
        <v>10</v>
      </c>
      <c r="CH48" s="2153">
        <v>5</v>
      </c>
      <c r="CI48" s="2153">
        <v>5</v>
      </c>
      <c r="CJ48" s="2152">
        <v>0</v>
      </c>
      <c r="CK48" s="2152">
        <v>0</v>
      </c>
      <c r="CL48" s="2152">
        <v>30</v>
      </c>
      <c r="CM48" s="2155">
        <v>0.11</v>
      </c>
    </row>
    <row r="49" spans="1:91" ht="27" customHeight="1">
      <c r="A49" s="1750">
        <v>42</v>
      </c>
      <c r="B49" s="2169">
        <v>0</v>
      </c>
      <c r="C49" s="2172" t="s">
        <v>31</v>
      </c>
      <c r="D49" s="1751">
        <f t="shared" si="14"/>
        <v>0</v>
      </c>
      <c r="E49" s="1940">
        <f t="shared" si="0"/>
        <v>0</v>
      </c>
      <c r="F49" s="1941">
        <v>0</v>
      </c>
      <c r="G49" s="1928">
        <f t="shared" si="26"/>
        <v>0</v>
      </c>
      <c r="H49" s="1928">
        <f t="shared" si="27"/>
        <v>0</v>
      </c>
      <c r="I49" s="1949">
        <f t="shared" si="1"/>
        <v>0</v>
      </c>
      <c r="J49" s="1949">
        <f t="shared" si="2"/>
        <v>0</v>
      </c>
      <c r="K49" s="1949">
        <f t="shared" si="3"/>
        <v>0</v>
      </c>
      <c r="L49" s="1943">
        <f t="shared" si="28"/>
        <v>0</v>
      </c>
      <c r="M49" s="587" t="s">
        <v>503</v>
      </c>
      <c r="N49" s="1905">
        <f t="shared" si="4"/>
        <v>0</v>
      </c>
      <c r="O49" s="761" t="s">
        <v>25</v>
      </c>
      <c r="P49" s="1905">
        <f t="shared" si="5"/>
        <v>0</v>
      </c>
      <c r="Q49" s="1906">
        <f t="shared" si="6"/>
        <v>0</v>
      </c>
      <c r="R49" s="1957">
        <v>0</v>
      </c>
      <c r="S49" s="1907" t="s">
        <v>160</v>
      </c>
      <c r="T49" s="1752">
        <f t="shared" si="7"/>
        <v>0</v>
      </c>
      <c r="U49" s="1961">
        <v>0</v>
      </c>
      <c r="V49" s="1893" t="s">
        <v>1314</v>
      </c>
      <c r="W49" s="1963">
        <f t="shared" si="8"/>
        <v>0</v>
      </c>
      <c r="X49" s="1966">
        <f t="shared" si="18"/>
        <v>0</v>
      </c>
      <c r="Y49" s="1933">
        <f t="shared" si="19"/>
        <v>0</v>
      </c>
      <c r="Z49" s="2098">
        <f t="shared" si="9"/>
        <v>0</v>
      </c>
      <c r="AA49" s="1933">
        <f t="shared" si="10"/>
        <v>0</v>
      </c>
      <c r="AB49" s="2324"/>
      <c r="AC49" s="1281">
        <f t="shared" si="11"/>
        <v>42</v>
      </c>
      <c r="AD49" s="1281" t="str">
        <f t="shared" si="12"/>
        <v>keine</v>
      </c>
      <c r="AE49" s="1329"/>
      <c r="AF49" s="1330" t="s">
        <v>795</v>
      </c>
      <c r="AG49" s="1424">
        <v>0</v>
      </c>
      <c r="AH49" s="1033">
        <f>VLOOKUP(AF49,Düngemittel!$B$6:$E$64,2,FALSE)*(VLOOKUP(AF49,Düngemittel!$B$6:$E$64,3,FALSE))/100*AG49</f>
        <v>0</v>
      </c>
      <c r="AI49" s="1033">
        <f>VLOOKUP(AF49,Düngemittel!$B$6:$E$64,2,FALSE)*AG49</f>
        <v>0</v>
      </c>
      <c r="AJ49" s="1033">
        <f>VLOOKUP(AF49,Düngemittel!$B$6:$E$64,4,FALSE)*AG49</f>
        <v>0</v>
      </c>
      <c r="AK49" s="2324"/>
      <c r="AL49" s="1329"/>
      <c r="AM49" s="1330" t="s">
        <v>795</v>
      </c>
      <c r="AN49" s="1424">
        <v>0</v>
      </c>
      <c r="AO49" s="1033">
        <f>VLOOKUP(AM49,Düngemittel!$B$6:$E$64,2,FALSE)*(VLOOKUP(AM49,Düngemittel!$B$6:$E$64,3,FALSE))/100*AN49</f>
        <v>0</v>
      </c>
      <c r="AP49" s="1033">
        <f>VLOOKUP(AM49,Düngemittel!$B$6:$E$64,2,FALSE)*AN49</f>
        <v>0</v>
      </c>
      <c r="AQ49" s="1033">
        <f>VLOOKUP(AM49,Düngemittel!$B$6:$E$64,4,FALSE)*AN49</f>
        <v>0</v>
      </c>
      <c r="AR49" s="2324"/>
      <c r="AS49" s="1329"/>
      <c r="AT49" s="1330" t="s">
        <v>795</v>
      </c>
      <c r="AU49" s="1424">
        <v>0</v>
      </c>
      <c r="AV49" s="1033">
        <f>VLOOKUP(AT49,Düngemittel!$B$6:$E$64,2,FALSE)*(VLOOKUP(AT49,Düngemittel!$B$6:$E$64,3,FALSE))/100*AU49</f>
        <v>0</v>
      </c>
      <c r="AW49" s="1033">
        <f>VLOOKUP(AT49,Düngemittel!$B$6:$E$64,2,FALSE)*AU49</f>
        <v>0</v>
      </c>
      <c r="AX49" s="1033">
        <f>VLOOKUP(AT49,Düngemittel!$B$6:$E$64,4,FALSE)*AU49</f>
        <v>0</v>
      </c>
      <c r="AY49" s="2324"/>
      <c r="AZ49" s="1329"/>
      <c r="BA49" s="1330" t="s">
        <v>795</v>
      </c>
      <c r="BB49" s="1424">
        <v>0</v>
      </c>
      <c r="BC49" s="1033">
        <f>VLOOKUP(BA49,Düngemittel!$B$6:$E$64,2,FALSE)*(VLOOKUP(BA49,Düngemittel!$B$6:$E$64,3,FALSE))/100*BB49</f>
        <v>0</v>
      </c>
      <c r="BD49" s="1033">
        <f>VLOOKUP(BA49,Düngemittel!$B$6:$E$64,2,FALSE)*BB49</f>
        <v>0</v>
      </c>
      <c r="BE49" s="1033">
        <f>VLOOKUP(BA49,Düngemittel!$B$6:$E$64,4,FALSE)*BB49</f>
        <v>0</v>
      </c>
      <c r="BF49" s="2324"/>
      <c r="BG49" s="1329"/>
      <c r="BH49" s="1330" t="s">
        <v>795</v>
      </c>
      <c r="BI49" s="1424">
        <v>0</v>
      </c>
      <c r="BJ49" s="1033">
        <f>VLOOKUP(BH49,Düngemittel!$B$6:$E$64,2,FALSE)*(VLOOKUP(BH49,Düngemittel!$B$6:$E$64,3,FALSE))/100*BI49</f>
        <v>0</v>
      </c>
      <c r="BK49" s="1033">
        <f>VLOOKUP(BH49,Düngemittel!$B$6:$E$64,2,FALSE)*BI49</f>
        <v>0</v>
      </c>
      <c r="BL49" s="1033">
        <f>VLOOKUP(BH49,Düngemittel!$B$6:$E$64,4,FALSE)*BI49</f>
        <v>0</v>
      </c>
      <c r="BM49" s="2324"/>
      <c r="BN49" s="1282">
        <f t="shared" si="29"/>
        <v>0</v>
      </c>
      <c r="BO49" s="2328">
        <f t="shared" si="30"/>
        <v>0</v>
      </c>
      <c r="BP49" s="1282">
        <f t="shared" si="31"/>
        <v>0</v>
      </c>
      <c r="BQ49" s="1138">
        <f t="shared" si="32"/>
        <v>0</v>
      </c>
      <c r="BR49" s="2328">
        <f t="shared" si="33"/>
        <v>0</v>
      </c>
      <c r="BS49" s="95"/>
      <c r="BT49" s="1135">
        <f t="shared" si="34"/>
        <v>0</v>
      </c>
      <c r="BU49" s="1135">
        <f t="shared" si="35"/>
        <v>0</v>
      </c>
      <c r="BV49" s="1135">
        <f t="shared" si="36"/>
        <v>0</v>
      </c>
      <c r="BW49" s="1807">
        <f t="shared" si="37"/>
        <v>0</v>
      </c>
      <c r="BX49" s="1135">
        <f t="shared" si="38"/>
        <v>0</v>
      </c>
      <c r="BY49" s="2324"/>
      <c r="CA49">
        <v>0</v>
      </c>
      <c r="CB49">
        <v>0</v>
      </c>
      <c r="CD49" s="2140" t="s">
        <v>1652</v>
      </c>
      <c r="CE49" s="33">
        <v>200</v>
      </c>
      <c r="CF49" s="33">
        <v>185</v>
      </c>
      <c r="CG49" s="33">
        <v>20</v>
      </c>
      <c r="CH49" s="2156">
        <v>20</v>
      </c>
      <c r="CI49" s="2156">
        <v>20</v>
      </c>
      <c r="CJ49" s="323">
        <f>CI49*2/3</f>
        <v>13.333333333333334</v>
      </c>
      <c r="CK49" s="2156">
        <v>85</v>
      </c>
      <c r="CL49" s="2156">
        <v>60</v>
      </c>
      <c r="CM49" s="1914">
        <v>7.0000000000000007E-2</v>
      </c>
    </row>
    <row r="50" spans="1:91" ht="27" customHeight="1">
      <c r="A50" s="1750">
        <v>43</v>
      </c>
      <c r="B50" s="2169">
        <v>0</v>
      </c>
      <c r="C50" s="2172" t="s">
        <v>31</v>
      </c>
      <c r="D50" s="1751">
        <f t="shared" si="14"/>
        <v>0</v>
      </c>
      <c r="E50" s="1940">
        <f t="shared" si="0"/>
        <v>0</v>
      </c>
      <c r="F50" s="1941">
        <v>0</v>
      </c>
      <c r="G50" s="1928">
        <f t="shared" si="26"/>
        <v>0</v>
      </c>
      <c r="H50" s="1928">
        <f t="shared" si="27"/>
        <v>0</v>
      </c>
      <c r="I50" s="1949">
        <f t="shared" si="1"/>
        <v>0</v>
      </c>
      <c r="J50" s="1949">
        <f t="shared" si="2"/>
        <v>0</v>
      </c>
      <c r="K50" s="1949">
        <f t="shared" si="3"/>
        <v>0</v>
      </c>
      <c r="L50" s="1943">
        <f t="shared" si="28"/>
        <v>0</v>
      </c>
      <c r="M50" s="587" t="s">
        <v>503</v>
      </c>
      <c r="N50" s="1905">
        <f t="shared" si="4"/>
        <v>0</v>
      </c>
      <c r="O50" s="761" t="s">
        <v>25</v>
      </c>
      <c r="P50" s="1905">
        <f t="shared" si="5"/>
        <v>0</v>
      </c>
      <c r="Q50" s="1906">
        <f t="shared" si="6"/>
        <v>0</v>
      </c>
      <c r="R50" s="1957">
        <v>0</v>
      </c>
      <c r="S50" s="1907" t="s">
        <v>160</v>
      </c>
      <c r="T50" s="1752">
        <f t="shared" si="7"/>
        <v>0</v>
      </c>
      <c r="U50" s="1961">
        <v>0</v>
      </c>
      <c r="V50" s="1893" t="s">
        <v>1314</v>
      </c>
      <c r="W50" s="1963">
        <f t="shared" si="8"/>
        <v>0</v>
      </c>
      <c r="X50" s="1966">
        <f t="shared" si="18"/>
        <v>0</v>
      </c>
      <c r="Y50" s="1933">
        <f t="shared" si="19"/>
        <v>0</v>
      </c>
      <c r="Z50" s="2098">
        <f t="shared" si="9"/>
        <v>0</v>
      </c>
      <c r="AA50" s="1933">
        <f t="shared" si="10"/>
        <v>0</v>
      </c>
      <c r="AB50" s="2324"/>
      <c r="AC50" s="1281">
        <f t="shared" si="11"/>
        <v>43</v>
      </c>
      <c r="AD50" s="1281" t="str">
        <f t="shared" si="12"/>
        <v>keine</v>
      </c>
      <c r="AE50" s="1329"/>
      <c r="AF50" s="1330" t="s">
        <v>795</v>
      </c>
      <c r="AG50" s="1424">
        <v>0</v>
      </c>
      <c r="AH50" s="1033">
        <f>VLOOKUP(AF50,Düngemittel!$B$6:$E$64,2,FALSE)*(VLOOKUP(AF50,Düngemittel!$B$6:$E$64,3,FALSE))/100*AG50</f>
        <v>0</v>
      </c>
      <c r="AI50" s="1033">
        <f>VLOOKUP(AF50,Düngemittel!$B$6:$E$64,2,FALSE)*AG50</f>
        <v>0</v>
      </c>
      <c r="AJ50" s="1033">
        <f>VLOOKUP(AF50,Düngemittel!$B$6:$E$64,4,FALSE)*AG50</f>
        <v>0</v>
      </c>
      <c r="AK50" s="2324"/>
      <c r="AL50" s="1329"/>
      <c r="AM50" s="1330" t="s">
        <v>795</v>
      </c>
      <c r="AN50" s="1424">
        <v>0</v>
      </c>
      <c r="AO50" s="1033">
        <f>VLOOKUP(AM50,Düngemittel!$B$6:$E$64,2,FALSE)*(VLOOKUP(AM50,Düngemittel!$B$6:$E$64,3,FALSE))/100*AN50</f>
        <v>0</v>
      </c>
      <c r="AP50" s="1033">
        <f>VLOOKUP(AM50,Düngemittel!$B$6:$E$64,2,FALSE)*AN50</f>
        <v>0</v>
      </c>
      <c r="AQ50" s="1033">
        <f>VLOOKUP(AM50,Düngemittel!$B$6:$E$64,4,FALSE)*AN50</f>
        <v>0</v>
      </c>
      <c r="AR50" s="2324"/>
      <c r="AS50" s="1329"/>
      <c r="AT50" s="1330" t="s">
        <v>795</v>
      </c>
      <c r="AU50" s="1424">
        <v>0</v>
      </c>
      <c r="AV50" s="1033">
        <f>VLOOKUP(AT50,Düngemittel!$B$6:$E$64,2,FALSE)*(VLOOKUP(AT50,Düngemittel!$B$6:$E$64,3,FALSE))/100*AU50</f>
        <v>0</v>
      </c>
      <c r="AW50" s="1033">
        <f>VLOOKUP(AT50,Düngemittel!$B$6:$E$64,2,FALSE)*AU50</f>
        <v>0</v>
      </c>
      <c r="AX50" s="1033">
        <f>VLOOKUP(AT50,Düngemittel!$B$6:$E$64,4,FALSE)*AU50</f>
        <v>0</v>
      </c>
      <c r="AY50" s="2324"/>
      <c r="AZ50" s="1329"/>
      <c r="BA50" s="1330" t="s">
        <v>795</v>
      </c>
      <c r="BB50" s="1424">
        <v>0</v>
      </c>
      <c r="BC50" s="1033">
        <f>VLOOKUP(BA50,Düngemittel!$B$6:$E$64,2,FALSE)*(VLOOKUP(BA50,Düngemittel!$B$6:$E$64,3,FALSE))/100*BB50</f>
        <v>0</v>
      </c>
      <c r="BD50" s="1033">
        <f>VLOOKUP(BA50,Düngemittel!$B$6:$E$64,2,FALSE)*BB50</f>
        <v>0</v>
      </c>
      <c r="BE50" s="1033">
        <f>VLOOKUP(BA50,Düngemittel!$B$6:$E$64,4,FALSE)*BB50</f>
        <v>0</v>
      </c>
      <c r="BF50" s="2324"/>
      <c r="BG50" s="1329"/>
      <c r="BH50" s="1330" t="s">
        <v>795</v>
      </c>
      <c r="BI50" s="1424">
        <v>0</v>
      </c>
      <c r="BJ50" s="1033">
        <f>VLOOKUP(BH50,Düngemittel!$B$6:$E$64,2,FALSE)*(VLOOKUP(BH50,Düngemittel!$B$6:$E$64,3,FALSE))/100*BI50</f>
        <v>0</v>
      </c>
      <c r="BK50" s="1033">
        <f>VLOOKUP(BH50,Düngemittel!$B$6:$E$64,2,FALSE)*BI50</f>
        <v>0</v>
      </c>
      <c r="BL50" s="1033">
        <f>VLOOKUP(BH50,Düngemittel!$B$6:$E$64,4,FALSE)*BI50</f>
        <v>0</v>
      </c>
      <c r="BM50" s="2324"/>
      <c r="BN50" s="1282">
        <f t="shared" si="29"/>
        <v>0</v>
      </c>
      <c r="BO50" s="2328">
        <f t="shared" si="30"/>
        <v>0</v>
      </c>
      <c r="BP50" s="1282">
        <f t="shared" si="31"/>
        <v>0</v>
      </c>
      <c r="BQ50" s="1138">
        <f t="shared" si="32"/>
        <v>0</v>
      </c>
      <c r="BR50" s="2328">
        <f t="shared" si="33"/>
        <v>0</v>
      </c>
      <c r="BS50" s="95"/>
      <c r="BT50" s="1135">
        <f t="shared" si="34"/>
        <v>0</v>
      </c>
      <c r="BU50" s="1135">
        <f t="shared" si="35"/>
        <v>0</v>
      </c>
      <c r="BV50" s="1135">
        <f t="shared" si="36"/>
        <v>0</v>
      </c>
      <c r="BW50" s="1807">
        <f t="shared" si="37"/>
        <v>0</v>
      </c>
      <c r="BX50" s="1135">
        <f t="shared" si="38"/>
        <v>0</v>
      </c>
      <c r="BY50" s="2324"/>
      <c r="CA50">
        <v>0</v>
      </c>
      <c r="CB50">
        <v>0</v>
      </c>
      <c r="CD50" s="2141" t="s">
        <v>1352</v>
      </c>
      <c r="CE50" s="33">
        <v>600</v>
      </c>
      <c r="CF50" s="33">
        <v>115</v>
      </c>
      <c r="CG50" s="33">
        <v>20</v>
      </c>
      <c r="CH50" s="323">
        <v>20</v>
      </c>
      <c r="CI50" s="323">
        <v>20</v>
      </c>
      <c r="CJ50" s="323">
        <f>CI50*2/3</f>
        <v>13.333333333333334</v>
      </c>
      <c r="CK50" s="323">
        <v>10</v>
      </c>
      <c r="CL50" s="323">
        <v>60</v>
      </c>
      <c r="CM50" s="1001">
        <v>8.2000000000000003E-2</v>
      </c>
    </row>
    <row r="51" spans="1:91" ht="27" customHeight="1">
      <c r="A51" s="1750">
        <v>44</v>
      </c>
      <c r="B51" s="2169">
        <v>0</v>
      </c>
      <c r="C51" s="2172" t="s">
        <v>31</v>
      </c>
      <c r="D51" s="1751">
        <f t="shared" si="14"/>
        <v>0</v>
      </c>
      <c r="E51" s="1940">
        <f t="shared" si="0"/>
        <v>0</v>
      </c>
      <c r="F51" s="1941">
        <v>0</v>
      </c>
      <c r="G51" s="1928">
        <f t="shared" si="15"/>
        <v>0</v>
      </c>
      <c r="H51" s="1928">
        <f t="shared" si="16"/>
        <v>0</v>
      </c>
      <c r="I51" s="1949">
        <f t="shared" si="1"/>
        <v>0</v>
      </c>
      <c r="J51" s="1949">
        <f t="shared" si="2"/>
        <v>0</v>
      </c>
      <c r="K51" s="1949">
        <f t="shared" si="3"/>
        <v>0</v>
      </c>
      <c r="L51" s="1943">
        <f t="shared" si="17"/>
        <v>0</v>
      </c>
      <c r="M51" s="587" t="s">
        <v>503</v>
      </c>
      <c r="N51" s="1905">
        <f t="shared" si="4"/>
        <v>0</v>
      </c>
      <c r="O51" s="761" t="s">
        <v>25</v>
      </c>
      <c r="P51" s="1905">
        <f t="shared" si="5"/>
        <v>0</v>
      </c>
      <c r="Q51" s="1906">
        <f t="shared" si="6"/>
        <v>0</v>
      </c>
      <c r="R51" s="1957">
        <v>0</v>
      </c>
      <c r="S51" s="1907" t="s">
        <v>160</v>
      </c>
      <c r="T51" s="1752">
        <f t="shared" si="7"/>
        <v>0</v>
      </c>
      <c r="U51" s="1961">
        <v>0</v>
      </c>
      <c r="V51" s="1893" t="s">
        <v>1314</v>
      </c>
      <c r="W51" s="1963">
        <f t="shared" si="8"/>
        <v>0</v>
      </c>
      <c r="X51" s="1966">
        <f t="shared" si="18"/>
        <v>0</v>
      </c>
      <c r="Y51" s="1933">
        <f t="shared" si="19"/>
        <v>0</v>
      </c>
      <c r="Z51" s="2098">
        <f t="shared" si="9"/>
        <v>0</v>
      </c>
      <c r="AA51" s="1933">
        <f t="shared" si="10"/>
        <v>0</v>
      </c>
      <c r="AB51" s="1736"/>
      <c r="AC51" s="1281">
        <f t="shared" si="11"/>
        <v>44</v>
      </c>
      <c r="AD51" s="1281" t="str">
        <f t="shared" si="12"/>
        <v>keine</v>
      </c>
      <c r="AE51" s="1329"/>
      <c r="AF51" s="1330" t="s">
        <v>795</v>
      </c>
      <c r="AG51" s="1424">
        <v>0</v>
      </c>
      <c r="AH51" s="1033">
        <f>VLOOKUP(AF51,Düngemittel!$B$6:$E$64,2,FALSE)*(VLOOKUP(AF51,Düngemittel!$B$6:$E$64,3,FALSE))/100*AG51</f>
        <v>0</v>
      </c>
      <c r="AI51" s="1033">
        <f>VLOOKUP(AF51,Düngemittel!$B$6:$E$64,2,FALSE)*AG51</f>
        <v>0</v>
      </c>
      <c r="AJ51" s="1033">
        <f>VLOOKUP(AF51,Düngemittel!$B$6:$E$64,4,FALSE)*AG51</f>
        <v>0</v>
      </c>
      <c r="AK51" s="2081"/>
      <c r="AL51" s="1329"/>
      <c r="AM51" s="1330" t="s">
        <v>795</v>
      </c>
      <c r="AN51" s="1424">
        <v>0</v>
      </c>
      <c r="AO51" s="1033">
        <f>VLOOKUP(AM51,Düngemittel!$B$6:$E$64,2,FALSE)*(VLOOKUP(AM51,Düngemittel!$B$6:$E$64,3,FALSE))/100*AN51</f>
        <v>0</v>
      </c>
      <c r="AP51" s="1033">
        <f>VLOOKUP(AM51,Düngemittel!$B$6:$E$64,2,FALSE)*AN51</f>
        <v>0</v>
      </c>
      <c r="AQ51" s="1033">
        <f>VLOOKUP(AM51,Düngemittel!$B$6:$E$64,4,FALSE)*AN51</f>
        <v>0</v>
      </c>
      <c r="AR51" s="2081"/>
      <c r="AS51" s="1329"/>
      <c r="AT51" s="1330" t="s">
        <v>795</v>
      </c>
      <c r="AU51" s="1424">
        <v>0</v>
      </c>
      <c r="AV51" s="1033">
        <f>VLOOKUP(AT51,Düngemittel!$B$6:$E$64,2,FALSE)*(VLOOKUP(AT51,Düngemittel!$B$6:$E$64,3,FALSE))/100*AU51</f>
        <v>0</v>
      </c>
      <c r="AW51" s="1033">
        <f>VLOOKUP(AT51,Düngemittel!$B$6:$E$64,2,FALSE)*AU51</f>
        <v>0</v>
      </c>
      <c r="AX51" s="1033">
        <f>VLOOKUP(AT51,Düngemittel!$B$6:$E$64,4,FALSE)*AU51</f>
        <v>0</v>
      </c>
      <c r="AY51" s="2081"/>
      <c r="AZ51" s="1329"/>
      <c r="BA51" s="1330" t="s">
        <v>795</v>
      </c>
      <c r="BB51" s="1424">
        <v>0</v>
      </c>
      <c r="BC51" s="1033">
        <f>VLOOKUP(BA51,Düngemittel!$B$6:$E$64,2,FALSE)*(VLOOKUP(BA51,Düngemittel!$B$6:$E$64,3,FALSE))/100*BB51</f>
        <v>0</v>
      </c>
      <c r="BD51" s="1033">
        <f>VLOOKUP(BA51,Düngemittel!$B$6:$E$64,2,FALSE)*BB51</f>
        <v>0</v>
      </c>
      <c r="BE51" s="1033">
        <f>VLOOKUP(BA51,Düngemittel!$B$6:$E$64,4,FALSE)*BB51</f>
        <v>0</v>
      </c>
      <c r="BF51" s="2081"/>
      <c r="BG51" s="1329"/>
      <c r="BH51" s="1330" t="s">
        <v>795</v>
      </c>
      <c r="BI51" s="1424">
        <v>0</v>
      </c>
      <c r="BJ51" s="1033">
        <f>VLOOKUP(BH51,Düngemittel!$B$6:$E$64,2,FALSE)*(VLOOKUP(BH51,Düngemittel!$B$6:$E$64,3,FALSE))/100*BI51</f>
        <v>0</v>
      </c>
      <c r="BK51" s="1033">
        <f>VLOOKUP(BH51,Düngemittel!$B$6:$E$64,2,FALSE)*BI51</f>
        <v>0</v>
      </c>
      <c r="BL51" s="1033">
        <f>VLOOKUP(BH51,Düngemittel!$B$6:$E$64,4,FALSE)*BI51</f>
        <v>0</v>
      </c>
      <c r="BM51" s="1736"/>
      <c r="BN51" s="1282">
        <f t="shared" si="20"/>
        <v>0</v>
      </c>
      <c r="BO51" s="1745">
        <f t="shared" si="21"/>
        <v>0</v>
      </c>
      <c r="BP51" s="1282">
        <f t="shared" si="21"/>
        <v>0</v>
      </c>
      <c r="BQ51" s="1138">
        <f t="shared" si="22"/>
        <v>0</v>
      </c>
      <c r="BR51" s="1745">
        <f t="shared" si="23"/>
        <v>0</v>
      </c>
      <c r="BS51" s="95"/>
      <c r="BT51" s="1135">
        <f t="shared" si="24"/>
        <v>0</v>
      </c>
      <c r="BU51" s="1135">
        <f t="shared" si="24"/>
        <v>0</v>
      </c>
      <c r="BV51" s="1135">
        <f t="shared" si="24"/>
        <v>0</v>
      </c>
      <c r="BW51" s="1807">
        <f t="shared" si="24"/>
        <v>0</v>
      </c>
      <c r="BX51" s="1135">
        <f t="shared" si="24"/>
        <v>0</v>
      </c>
      <c r="BY51" s="1736"/>
      <c r="CA51">
        <v>0</v>
      </c>
      <c r="CB51">
        <v>0</v>
      </c>
      <c r="CD51" s="2141" t="s">
        <v>1353</v>
      </c>
      <c r="CE51" s="33">
        <v>900</v>
      </c>
      <c r="CF51" s="33">
        <v>165</v>
      </c>
      <c r="CG51" s="33">
        <v>20</v>
      </c>
      <c r="CH51" s="323">
        <v>20</v>
      </c>
      <c r="CI51" s="323">
        <v>20</v>
      </c>
      <c r="CJ51" s="323">
        <f>CI51*2/3</f>
        <v>13.333333333333334</v>
      </c>
      <c r="CK51" s="323">
        <v>45</v>
      </c>
      <c r="CL51" s="323">
        <v>90</v>
      </c>
      <c r="CM51" s="1001">
        <v>0.08</v>
      </c>
    </row>
    <row r="52" spans="1:91" ht="27" customHeight="1" thickBot="1">
      <c r="A52" s="1750">
        <v>45</v>
      </c>
      <c r="B52" s="2170">
        <v>0</v>
      </c>
      <c r="C52" s="2172" t="s">
        <v>31</v>
      </c>
      <c r="D52" s="1751">
        <f t="shared" si="14"/>
        <v>0</v>
      </c>
      <c r="E52" s="1940">
        <f t="shared" si="0"/>
        <v>0</v>
      </c>
      <c r="F52" s="1942">
        <v>0</v>
      </c>
      <c r="G52" s="1930">
        <f t="shared" si="15"/>
        <v>0</v>
      </c>
      <c r="H52" s="1930">
        <f t="shared" si="16"/>
        <v>0</v>
      </c>
      <c r="I52" s="1949">
        <f t="shared" si="1"/>
        <v>0</v>
      </c>
      <c r="J52" s="1949">
        <f t="shared" si="2"/>
        <v>0</v>
      </c>
      <c r="K52" s="1949">
        <f t="shared" si="3"/>
        <v>0</v>
      </c>
      <c r="L52" s="1943">
        <f t="shared" si="17"/>
        <v>0</v>
      </c>
      <c r="M52" s="588" t="s">
        <v>503</v>
      </c>
      <c r="N52" s="1905">
        <f t="shared" si="4"/>
        <v>0</v>
      </c>
      <c r="O52" s="762" t="s">
        <v>25</v>
      </c>
      <c r="P52" s="1905">
        <f t="shared" si="5"/>
        <v>0</v>
      </c>
      <c r="Q52" s="1956">
        <f t="shared" si="6"/>
        <v>0</v>
      </c>
      <c r="R52" s="2176">
        <v>0</v>
      </c>
      <c r="S52" s="1959" t="s">
        <v>160</v>
      </c>
      <c r="T52" s="1955">
        <f t="shared" si="7"/>
        <v>0</v>
      </c>
      <c r="U52" s="1962">
        <v>0</v>
      </c>
      <c r="V52" s="1932" t="s">
        <v>1314</v>
      </c>
      <c r="W52" s="1964">
        <f t="shared" si="8"/>
        <v>0</v>
      </c>
      <c r="X52" s="1966">
        <f t="shared" si="18"/>
        <v>0</v>
      </c>
      <c r="Y52" s="1933">
        <f t="shared" si="19"/>
        <v>0</v>
      </c>
      <c r="Z52" s="2098">
        <f t="shared" si="9"/>
        <v>0</v>
      </c>
      <c r="AA52" s="1753">
        <f t="shared" si="10"/>
        <v>0</v>
      </c>
      <c r="AB52" s="1736"/>
      <c r="AC52" s="1281">
        <f t="shared" si="11"/>
        <v>45</v>
      </c>
      <c r="AD52" s="1281" t="str">
        <f t="shared" si="12"/>
        <v>keine</v>
      </c>
      <c r="AE52" s="1329"/>
      <c r="AF52" s="1330" t="s">
        <v>795</v>
      </c>
      <c r="AG52" s="1424">
        <v>0</v>
      </c>
      <c r="AH52" s="1033">
        <f>VLOOKUP(AF52,Düngemittel!$B$6:$E$64,2,FALSE)*(VLOOKUP(AF52,Düngemittel!$B$6:$E$64,3,FALSE))/100*AG52</f>
        <v>0</v>
      </c>
      <c r="AI52" s="1033">
        <f>VLOOKUP(AF52,Düngemittel!$B$6:$E$64,2,FALSE)*AG52</f>
        <v>0</v>
      </c>
      <c r="AJ52" s="1033">
        <f>VLOOKUP(AF52,Düngemittel!$B$6:$E$64,4,FALSE)*AG52</f>
        <v>0</v>
      </c>
      <c r="AK52" s="2081"/>
      <c r="AL52" s="1329"/>
      <c r="AM52" s="1330" t="s">
        <v>795</v>
      </c>
      <c r="AN52" s="1424">
        <v>0</v>
      </c>
      <c r="AO52" s="1033">
        <f>VLOOKUP(AM52,Düngemittel!$B$6:$E$64,2,FALSE)*(VLOOKUP(AM52,Düngemittel!$B$6:$E$64,3,FALSE))/100*AN52</f>
        <v>0</v>
      </c>
      <c r="AP52" s="1033">
        <f>VLOOKUP(AM52,Düngemittel!$B$6:$E$64,2,FALSE)*AN52</f>
        <v>0</v>
      </c>
      <c r="AQ52" s="1033">
        <f>VLOOKUP(AM52,Düngemittel!$B$6:$E$64,4,FALSE)*AN52</f>
        <v>0</v>
      </c>
      <c r="AR52" s="2081"/>
      <c r="AS52" s="1329"/>
      <c r="AT52" s="1330" t="s">
        <v>795</v>
      </c>
      <c r="AU52" s="1424">
        <v>0</v>
      </c>
      <c r="AV52" s="1033">
        <f>VLOOKUP(AT52,Düngemittel!$B$6:$E$64,2,FALSE)*(VLOOKUP(AT52,Düngemittel!$B$6:$E$64,3,FALSE))/100*AU52</f>
        <v>0</v>
      </c>
      <c r="AW52" s="1033">
        <f>VLOOKUP(AT52,Düngemittel!$B$6:$E$64,2,FALSE)*AU52</f>
        <v>0</v>
      </c>
      <c r="AX52" s="1033">
        <f>VLOOKUP(AT52,Düngemittel!$B$6:$E$64,4,FALSE)*AU52</f>
        <v>0</v>
      </c>
      <c r="AY52" s="2081"/>
      <c r="AZ52" s="1329"/>
      <c r="BA52" s="1330" t="s">
        <v>795</v>
      </c>
      <c r="BB52" s="1424">
        <v>0</v>
      </c>
      <c r="BC52" s="1033">
        <f>VLOOKUP(BA52,Düngemittel!$B$6:$E$64,2,FALSE)*(VLOOKUP(BA52,Düngemittel!$B$6:$E$64,3,FALSE))/100*BB52</f>
        <v>0</v>
      </c>
      <c r="BD52" s="1033">
        <f>VLOOKUP(BA52,Düngemittel!$B$6:$E$64,2,FALSE)*BB52</f>
        <v>0</v>
      </c>
      <c r="BE52" s="1033">
        <f>VLOOKUP(BA52,Düngemittel!$B$6:$E$64,4,FALSE)*BB52</f>
        <v>0</v>
      </c>
      <c r="BF52" s="2081"/>
      <c r="BG52" s="1329"/>
      <c r="BH52" s="1330" t="s">
        <v>795</v>
      </c>
      <c r="BI52" s="1424">
        <v>0</v>
      </c>
      <c r="BJ52" s="1033">
        <f>VLOOKUP(BH52,Düngemittel!$B$6:$E$64,2,FALSE)*(VLOOKUP(BH52,Düngemittel!$B$6:$E$64,3,FALSE))/100*BI52</f>
        <v>0</v>
      </c>
      <c r="BK52" s="1033">
        <f>VLOOKUP(BH52,Düngemittel!$B$6:$E$64,2,FALSE)*BI52</f>
        <v>0</v>
      </c>
      <c r="BL52" s="1033">
        <f>VLOOKUP(BH52,Düngemittel!$B$6:$E$64,4,FALSE)*BI52</f>
        <v>0</v>
      </c>
      <c r="BM52" s="1736"/>
      <c r="BN52" s="1282">
        <f t="shared" si="20"/>
        <v>0</v>
      </c>
      <c r="BO52" s="1745">
        <f t="shared" si="21"/>
        <v>0</v>
      </c>
      <c r="BP52" s="1282">
        <f t="shared" si="21"/>
        <v>0</v>
      </c>
      <c r="BQ52" s="1138">
        <f t="shared" si="22"/>
        <v>0</v>
      </c>
      <c r="BR52" s="1745">
        <f t="shared" si="23"/>
        <v>0</v>
      </c>
      <c r="BS52" s="95"/>
      <c r="BT52" s="1135">
        <f t="shared" si="24"/>
        <v>0</v>
      </c>
      <c r="BU52" s="1135">
        <f t="shared" si="24"/>
        <v>0</v>
      </c>
      <c r="BV52" s="1135">
        <f t="shared" si="24"/>
        <v>0</v>
      </c>
      <c r="BW52" s="1807">
        <f t="shared" si="24"/>
        <v>0</v>
      </c>
      <c r="BX52" s="1135">
        <f t="shared" si="24"/>
        <v>0</v>
      </c>
      <c r="BY52" s="1736"/>
      <c r="CA52">
        <v>0</v>
      </c>
      <c r="CB52">
        <v>0</v>
      </c>
      <c r="CD52" s="2141" t="s">
        <v>1354</v>
      </c>
      <c r="CE52" s="33">
        <v>700</v>
      </c>
      <c r="CF52" s="33">
        <v>125</v>
      </c>
      <c r="CG52" s="33">
        <v>20</v>
      </c>
      <c r="CH52" s="323">
        <v>20</v>
      </c>
      <c r="CI52" s="323">
        <v>20</v>
      </c>
      <c r="CJ52" s="323">
        <f>CI52*2/3</f>
        <v>13.333333333333334</v>
      </c>
      <c r="CK52" s="323">
        <v>30</v>
      </c>
      <c r="CL52" s="323">
        <v>60</v>
      </c>
      <c r="CM52" s="1001">
        <v>0.08</v>
      </c>
    </row>
    <row r="53" spans="1:91" ht="19.5" thickBot="1">
      <c r="A53" s="1754" t="s">
        <v>286</v>
      </c>
      <c r="B53" s="1755">
        <f>SUM(B8:B52)</f>
        <v>0</v>
      </c>
      <c r="C53" s="2173" t="s">
        <v>31</v>
      </c>
      <c r="D53" s="1756"/>
      <c r="E53" s="1756"/>
      <c r="F53" s="1757"/>
      <c r="G53" s="1756"/>
      <c r="H53" s="1756"/>
      <c r="I53" s="1756"/>
      <c r="J53" s="1756"/>
      <c r="K53" s="1756"/>
      <c r="L53" s="1756"/>
      <c r="M53" s="1757"/>
      <c r="N53" s="1757"/>
      <c r="O53" s="1757"/>
      <c r="P53" s="1757"/>
      <c r="Q53" s="1757"/>
      <c r="R53" s="1756"/>
      <c r="S53" s="1756"/>
      <c r="T53" s="1757"/>
      <c r="U53" s="1756"/>
      <c r="V53" s="1756"/>
      <c r="W53" s="1756"/>
      <c r="X53" s="1966"/>
      <c r="Y53" s="1933">
        <f>SUM(Y8:Y52)</f>
        <v>0</v>
      </c>
      <c r="Z53" s="1758"/>
      <c r="AA53" s="1759">
        <f>SUM(AA8:AA52)</f>
        <v>0</v>
      </c>
      <c r="AB53" s="1736"/>
      <c r="AC53" s="1736"/>
      <c r="AD53" s="1736"/>
      <c r="AE53" s="1736"/>
      <c r="AF53" s="1736"/>
      <c r="AG53" s="1736"/>
      <c r="AH53" s="1736"/>
      <c r="AI53" s="1736"/>
      <c r="AJ53" s="1736"/>
      <c r="AK53" s="1736"/>
      <c r="AL53" s="1736"/>
      <c r="AM53" s="1736"/>
      <c r="AN53" s="1736"/>
      <c r="AO53" s="1736"/>
      <c r="AP53" s="1736"/>
      <c r="AQ53" s="1736"/>
      <c r="AR53" s="1736"/>
      <c r="AS53" s="1736"/>
      <c r="AT53" s="1736"/>
      <c r="AU53" s="1736"/>
      <c r="AV53" s="1736"/>
      <c r="AW53" s="1736"/>
      <c r="AX53" s="1736"/>
      <c r="AY53" s="1736"/>
      <c r="AZ53" s="1736"/>
      <c r="BA53" s="1736"/>
      <c r="BB53" s="1736"/>
      <c r="BC53" s="1736"/>
      <c r="BD53" s="1736"/>
      <c r="BE53" s="1736"/>
      <c r="BF53" s="1736"/>
      <c r="BG53" s="1736"/>
      <c r="BH53" s="1736"/>
      <c r="BI53" s="1736"/>
      <c r="BJ53" s="1736"/>
      <c r="BK53" s="1736"/>
      <c r="BL53" s="1736"/>
      <c r="BM53" s="216"/>
      <c r="BN53" s="216"/>
      <c r="BO53" s="635"/>
      <c r="BP53" s="1736"/>
      <c r="BQ53" s="1736"/>
      <c r="BR53" s="1736"/>
      <c r="BS53" s="111"/>
      <c r="BT53" s="1746">
        <f>SUM(BT8:BT52)</f>
        <v>0</v>
      </c>
      <c r="BU53" s="1746">
        <f>SUM(BU8:BU52)</f>
        <v>0</v>
      </c>
      <c r="BV53" s="1746">
        <f t="shared" ref="BV53:BX53" si="39">SUM(BV8:BV52)</f>
        <v>0</v>
      </c>
      <c r="BW53" s="1808">
        <f t="shared" si="39"/>
        <v>0</v>
      </c>
      <c r="BX53" s="1746">
        <f t="shared" si="39"/>
        <v>0</v>
      </c>
      <c r="BY53" s="1143" t="s">
        <v>1081</v>
      </c>
      <c r="CD53" s="2159" t="s">
        <v>1653</v>
      </c>
      <c r="CE53" s="33">
        <v>120</v>
      </c>
      <c r="CF53" s="33">
        <v>100</v>
      </c>
      <c r="CG53" s="33">
        <v>10</v>
      </c>
      <c r="CH53" s="2160">
        <v>5</v>
      </c>
      <c r="CI53" s="2160">
        <v>5</v>
      </c>
      <c r="CJ53" s="2156">
        <v>0</v>
      </c>
      <c r="CK53" s="2156">
        <v>0</v>
      </c>
      <c r="CL53" s="2156">
        <v>30</v>
      </c>
      <c r="CM53" s="1914">
        <v>0.14000000000000001</v>
      </c>
    </row>
    <row r="54" spans="1:91" ht="18.75">
      <c r="A54" s="1760"/>
      <c r="B54" s="1761"/>
      <c r="C54" s="148"/>
      <c r="D54" s="148"/>
      <c r="E54" s="1761"/>
      <c r="F54" s="148"/>
      <c r="G54" s="148"/>
      <c r="H54" s="148"/>
      <c r="I54" s="148"/>
      <c r="J54" s="148"/>
      <c r="K54" s="148"/>
      <c r="L54" s="148"/>
      <c r="M54" s="148"/>
      <c r="N54" s="148"/>
      <c r="O54" s="1762"/>
      <c r="P54" s="148"/>
      <c r="Q54" s="148"/>
      <c r="R54" s="148"/>
      <c r="S54" s="148"/>
      <c r="T54" s="148"/>
      <c r="U54" s="148"/>
      <c r="V54" s="148"/>
      <c r="W54" s="148"/>
      <c r="X54" s="1763"/>
      <c r="Y54" s="2779" t="s">
        <v>1100</v>
      </c>
      <c r="Z54" s="1764"/>
      <c r="AA54" s="2779" t="s">
        <v>1272</v>
      </c>
      <c r="AB54" s="1736"/>
      <c r="AC54" s="1736"/>
      <c r="AD54" s="1736"/>
      <c r="AE54" s="1736"/>
      <c r="AF54" s="1736"/>
      <c r="AG54" s="1736"/>
      <c r="AH54" s="1736"/>
      <c r="AI54" s="1736"/>
      <c r="AJ54" s="1736"/>
      <c r="AK54" s="1736"/>
      <c r="AL54" s="1736"/>
      <c r="AM54" s="1736"/>
      <c r="AN54" s="1736"/>
      <c r="AO54" s="1736"/>
      <c r="AP54" s="1736"/>
      <c r="AQ54" s="1736"/>
      <c r="AR54" s="1736"/>
      <c r="AS54" s="1736"/>
      <c r="AT54" s="1736"/>
      <c r="AU54" s="1736"/>
      <c r="AV54" s="1736"/>
      <c r="AW54" s="1736"/>
      <c r="AX54" s="1736"/>
      <c r="AY54" s="1736"/>
      <c r="AZ54" s="1736"/>
      <c r="BA54" s="1736"/>
      <c r="BB54" s="1736"/>
      <c r="BC54" s="1736"/>
      <c r="BD54" s="1736"/>
      <c r="BE54" s="1736"/>
      <c r="BF54" s="1736"/>
      <c r="BG54" s="1736"/>
      <c r="BH54" s="1736"/>
      <c r="BI54" s="1736"/>
      <c r="BJ54" s="1736"/>
      <c r="BK54" s="1736"/>
      <c r="BL54" s="1736"/>
      <c r="BM54" s="1736"/>
      <c r="BN54" s="622" t="e">
        <f t="shared" ref="BN54:BQ54" si="40">BT54</f>
        <v>#DIV/0!</v>
      </c>
      <c r="BO54" s="622" t="e">
        <f t="shared" si="40"/>
        <v>#DIV/0!</v>
      </c>
      <c r="BP54" s="622" t="e">
        <f t="shared" si="40"/>
        <v>#DIV/0!</v>
      </c>
      <c r="BQ54" s="1138" t="e">
        <f t="shared" si="40"/>
        <v>#DIV/0!</v>
      </c>
      <c r="BR54" s="1745" t="e">
        <f>BX54</f>
        <v>#DIV/0!</v>
      </c>
      <c r="BS54" s="111"/>
      <c r="BT54" s="1140" t="e">
        <f>BT53/$B53</f>
        <v>#DIV/0!</v>
      </c>
      <c r="BU54" s="1745" t="e">
        <f>BU53/$B53</f>
        <v>#DIV/0!</v>
      </c>
      <c r="BV54" s="1140" t="e">
        <f>BV53/$B53</f>
        <v>#DIV/0!</v>
      </c>
      <c r="BW54" s="1138" t="e">
        <f>BW53/$B53</f>
        <v>#DIV/0!</v>
      </c>
      <c r="BX54" s="1745" t="e">
        <f>BX53/$B53</f>
        <v>#DIV/0!</v>
      </c>
      <c r="BY54" s="1143" t="s">
        <v>1060</v>
      </c>
      <c r="CD54" s="2140" t="s">
        <v>1654</v>
      </c>
      <c r="CE54" s="33">
        <v>700</v>
      </c>
      <c r="CF54" s="33">
        <v>180</v>
      </c>
      <c r="CG54" s="33">
        <v>20</v>
      </c>
      <c r="CH54" s="2156">
        <v>20</v>
      </c>
      <c r="CI54" s="2156">
        <v>20</v>
      </c>
      <c r="CJ54" s="323">
        <f t="shared" ref="CJ54:CJ61" si="41">CI54*2/3</f>
        <v>13.333333333333334</v>
      </c>
      <c r="CK54" s="2156">
        <v>5</v>
      </c>
      <c r="CL54" s="2162">
        <v>60</v>
      </c>
      <c r="CM54" s="2163">
        <v>6.9000000000000006E-2</v>
      </c>
    </row>
    <row r="55" spans="1:91" ht="30.75" thickBot="1">
      <c r="A55" s="1765"/>
      <c r="B55" s="1766"/>
      <c r="C55" s="148"/>
      <c r="D55" s="148"/>
      <c r="E55" s="1761"/>
      <c r="F55" s="148"/>
      <c r="G55" s="148"/>
      <c r="H55" s="148"/>
      <c r="I55" s="148"/>
      <c r="J55" s="148"/>
      <c r="K55" s="148"/>
      <c r="L55" s="148"/>
      <c r="M55" s="148"/>
      <c r="N55" s="148"/>
      <c r="O55" s="1762"/>
      <c r="P55" s="148"/>
      <c r="Q55" s="148"/>
      <c r="R55" s="148"/>
      <c r="S55" s="148"/>
      <c r="T55" s="148"/>
      <c r="U55" s="1765"/>
      <c r="V55" s="1765"/>
      <c r="W55" s="1765"/>
      <c r="X55" s="1767"/>
      <c r="Y55" s="2780"/>
      <c r="Z55" s="1768"/>
      <c r="AA55" s="2780"/>
      <c r="AB55" s="1161"/>
      <c r="AC55" s="1161"/>
      <c r="AD55" s="1161"/>
      <c r="AE55" s="1747"/>
      <c r="AF55" s="1747"/>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34" t="s">
        <v>1080</v>
      </c>
      <c r="BO55" s="1737" t="s">
        <v>1066</v>
      </c>
      <c r="BP55" s="1737" t="s">
        <v>1067</v>
      </c>
      <c r="BQ55" s="906" t="s">
        <v>1241</v>
      </c>
      <c r="BR55" s="1737" t="s">
        <v>284</v>
      </c>
      <c r="BS55" s="1161"/>
      <c r="BT55" s="1141" t="s">
        <v>1080</v>
      </c>
      <c r="BU55" s="1737" t="s">
        <v>1066</v>
      </c>
      <c r="BV55" s="1142" t="s">
        <v>1082</v>
      </c>
      <c r="BW55" s="906" t="s">
        <v>1241</v>
      </c>
      <c r="BX55" s="1737" t="s">
        <v>284</v>
      </c>
      <c r="BY55" s="1086"/>
      <c r="CD55" s="2142" t="s">
        <v>1655</v>
      </c>
      <c r="CE55" s="33">
        <v>600</v>
      </c>
      <c r="CF55" s="33">
        <v>160</v>
      </c>
      <c r="CG55" s="33">
        <v>20</v>
      </c>
      <c r="CH55" s="2162">
        <v>20</v>
      </c>
      <c r="CI55" s="2162">
        <v>20</v>
      </c>
      <c r="CJ55" s="2144">
        <f t="shared" si="41"/>
        <v>13.333333333333334</v>
      </c>
      <c r="CK55" s="2162">
        <v>5</v>
      </c>
      <c r="CL55" s="2162">
        <v>60</v>
      </c>
      <c r="CM55" s="2163">
        <v>6.9000000000000006E-2</v>
      </c>
    </row>
    <row r="56" spans="1:91" ht="18.75">
      <c r="A56" s="175"/>
      <c r="B56" s="175"/>
      <c r="C56" s="1421"/>
      <c r="D56" s="1421"/>
      <c r="E56" s="175"/>
      <c r="F56" s="1421"/>
      <c r="G56" s="1421"/>
      <c r="H56" s="1421"/>
      <c r="I56" s="1421"/>
      <c r="J56" s="1421"/>
      <c r="K56" s="1421"/>
      <c r="L56" s="1421"/>
      <c r="M56" s="1421"/>
      <c r="N56" s="1421"/>
      <c r="O56" s="185"/>
      <c r="P56" s="1421"/>
      <c r="Q56" s="1421"/>
      <c r="R56" s="1421"/>
      <c r="S56" s="1421"/>
      <c r="T56" s="1421"/>
      <c r="U56" s="1421"/>
      <c r="V56" s="1421"/>
      <c r="W56" s="1421"/>
      <c r="X56" s="175"/>
      <c r="Y56" s="282"/>
      <c r="Z56" s="638"/>
      <c r="AA56" s="1736"/>
      <c r="AB56" s="1161"/>
      <c r="AC56" s="1747"/>
      <c r="AD56" s="1747"/>
      <c r="AE56" s="1747"/>
      <c r="AF56" s="1747"/>
      <c r="AG56" s="1086"/>
      <c r="AH56" s="1086"/>
      <c r="AI56" s="1086"/>
      <c r="AJ56" s="1086"/>
      <c r="AK56" s="1086"/>
      <c r="AL56" s="1086"/>
      <c r="AM56" s="1086"/>
      <c r="AN56" s="1086"/>
      <c r="AO56" s="1086"/>
      <c r="AP56" s="1086"/>
      <c r="AQ56" s="1086"/>
      <c r="AR56" s="1086"/>
      <c r="AS56" s="1086"/>
      <c r="AT56" s="1086"/>
      <c r="AU56" s="1086"/>
      <c r="AV56" s="1086"/>
      <c r="AW56" s="1086"/>
      <c r="AX56" s="1086"/>
      <c r="AY56" s="1086"/>
      <c r="AZ56" s="1086"/>
      <c r="BA56" s="1086"/>
      <c r="BB56" s="1086"/>
      <c r="BC56" s="1086"/>
      <c r="BD56" s="1086"/>
      <c r="BE56" s="1086"/>
      <c r="BF56" s="1086"/>
      <c r="BG56" s="1086"/>
      <c r="BH56" s="1086"/>
      <c r="BI56" s="1086"/>
      <c r="BJ56" s="1086"/>
      <c r="BK56" s="1086"/>
      <c r="BL56" s="1086"/>
      <c r="BM56" s="1086"/>
      <c r="BN56" s="1086"/>
      <c r="BO56" s="1086"/>
      <c r="BP56" s="1086"/>
      <c r="BQ56" s="1086"/>
      <c r="BR56" s="1086"/>
      <c r="BS56" s="1086"/>
      <c r="BT56" s="1086"/>
      <c r="BU56" s="1086"/>
      <c r="BV56" s="1086"/>
      <c r="BW56" s="1086"/>
      <c r="BX56" s="1086"/>
      <c r="BY56" s="1086"/>
      <c r="CD56" s="2140" t="s">
        <v>1656</v>
      </c>
      <c r="CE56" s="33">
        <v>500</v>
      </c>
      <c r="CF56" s="33">
        <v>250</v>
      </c>
      <c r="CG56" s="33">
        <v>20</v>
      </c>
      <c r="CH56" s="1924">
        <v>20</v>
      </c>
      <c r="CI56" s="1924">
        <v>20</v>
      </c>
      <c r="CJ56" s="2145">
        <f t="shared" si="41"/>
        <v>13.333333333333334</v>
      </c>
      <c r="CK56" s="1924">
        <v>100</v>
      </c>
      <c r="CL56" s="1924">
        <v>60</v>
      </c>
      <c r="CM56" s="1925">
        <v>7.0000000000000007E-2</v>
      </c>
    </row>
    <row r="57" spans="1:91">
      <c r="A57" s="2459" t="s">
        <v>1068</v>
      </c>
      <c r="B57" s="2460"/>
      <c r="C57" s="2667" t="s">
        <v>1069</v>
      </c>
      <c r="D57" s="2668"/>
      <c r="E57" s="2668"/>
      <c r="F57" s="2668"/>
      <c r="G57" s="2668"/>
      <c r="H57" s="2668"/>
      <c r="I57" s="2668"/>
      <c r="J57" s="2668"/>
      <c r="K57" s="2668"/>
      <c r="L57" s="2668"/>
      <c r="M57" s="2668"/>
      <c r="N57" s="2668"/>
      <c r="O57" s="2668"/>
      <c r="P57" s="2668"/>
      <c r="Q57" s="2668"/>
      <c r="R57" s="2668"/>
      <c r="S57" s="2668"/>
      <c r="T57" s="2800"/>
      <c r="U57" s="2800"/>
      <c r="V57" s="2800"/>
      <c r="W57" s="2800"/>
      <c r="X57" s="2800"/>
      <c r="Y57" s="2800"/>
      <c r="Z57" s="2801"/>
      <c r="AA57" s="2802"/>
      <c r="AB57" s="1161"/>
      <c r="AC57" s="1747"/>
      <c r="AD57" s="1747"/>
      <c r="AE57" s="1747"/>
      <c r="AF57" s="1747"/>
      <c r="AG57" s="1086"/>
      <c r="AH57" s="1086"/>
      <c r="AI57" s="1086"/>
      <c r="AJ57" s="1086"/>
      <c r="AK57" s="1086"/>
      <c r="AL57" s="1086"/>
      <c r="AM57" s="1086"/>
      <c r="AN57" s="1086"/>
      <c r="AO57" s="1086"/>
      <c r="AP57" s="1086"/>
      <c r="AQ57" s="1086"/>
      <c r="AR57" s="1086"/>
      <c r="AS57" s="1086"/>
      <c r="AT57" s="1086"/>
      <c r="AU57" s="1086"/>
      <c r="AV57" s="1086"/>
      <c r="AW57" s="1086"/>
      <c r="AX57" s="1086"/>
      <c r="AY57" s="1086"/>
      <c r="AZ57" s="1086"/>
      <c r="BA57" s="1086"/>
      <c r="BB57" s="1086"/>
      <c r="BC57" s="1086"/>
      <c r="BD57" s="1086"/>
      <c r="BE57" s="1086"/>
      <c r="BF57" s="1086"/>
      <c r="BG57" s="1086"/>
      <c r="BH57" s="1086"/>
      <c r="BI57" s="1086"/>
      <c r="BJ57" s="1086"/>
      <c r="BK57" s="1086"/>
      <c r="BL57" s="1086"/>
      <c r="BM57" s="1086"/>
      <c r="BN57" s="1086"/>
      <c r="BO57" s="1086"/>
      <c r="BP57" s="1086"/>
      <c r="BQ57" s="1086"/>
      <c r="BR57" s="1086"/>
      <c r="BS57" s="1086"/>
      <c r="BT57" s="1086"/>
      <c r="BU57" s="1086"/>
      <c r="BV57" s="1086"/>
      <c r="BW57" s="1086"/>
      <c r="BX57" s="1086"/>
      <c r="BY57" s="1086"/>
      <c r="CD57" s="2141" t="s">
        <v>1285</v>
      </c>
      <c r="CE57" s="33">
        <v>400</v>
      </c>
      <c r="CF57" s="33">
        <v>140</v>
      </c>
      <c r="CG57" s="33">
        <v>20</v>
      </c>
      <c r="CH57" s="323">
        <v>20</v>
      </c>
      <c r="CI57" s="323">
        <v>20</v>
      </c>
      <c r="CJ57" s="323">
        <f t="shared" si="41"/>
        <v>13.333333333333334</v>
      </c>
      <c r="CK57" s="323">
        <v>50</v>
      </c>
      <c r="CL57" s="323">
        <v>60</v>
      </c>
      <c r="CM57" s="1001">
        <v>0.23599999999999999</v>
      </c>
    </row>
    <row r="58" spans="1:91">
      <c r="A58" s="2461"/>
      <c r="B58" s="2462"/>
      <c r="C58" s="2669"/>
      <c r="D58" s="2670"/>
      <c r="E58" s="2670"/>
      <c r="F58" s="2670"/>
      <c r="G58" s="2670"/>
      <c r="H58" s="2670"/>
      <c r="I58" s="2670"/>
      <c r="J58" s="2670"/>
      <c r="K58" s="2670"/>
      <c r="L58" s="2670"/>
      <c r="M58" s="2670"/>
      <c r="N58" s="2670"/>
      <c r="O58" s="2670"/>
      <c r="P58" s="2670"/>
      <c r="Q58" s="2670"/>
      <c r="R58" s="2670"/>
      <c r="S58" s="2670"/>
      <c r="T58" s="2803"/>
      <c r="U58" s="2803"/>
      <c r="V58" s="2803"/>
      <c r="W58" s="2803"/>
      <c r="X58" s="2803"/>
      <c r="Y58" s="2803"/>
      <c r="Z58" s="2804"/>
      <c r="AA58" s="2805"/>
      <c r="AB58" s="1161"/>
      <c r="AC58" s="1747"/>
      <c r="AD58" s="1747"/>
      <c r="AE58" s="1747"/>
      <c r="AF58" s="1747"/>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6"/>
      <c r="BF58" s="1086"/>
      <c r="BG58" s="1086"/>
      <c r="BH58" s="1086"/>
      <c r="BI58" s="1086"/>
      <c r="BJ58" s="1086"/>
      <c r="BK58" s="1086"/>
      <c r="BL58" s="1086"/>
      <c r="BM58" s="1086"/>
      <c r="BN58" s="1086"/>
      <c r="BO58" s="1086"/>
      <c r="BP58" s="1086"/>
      <c r="BQ58" s="1086"/>
      <c r="BR58" s="1086"/>
      <c r="BS58" s="1086"/>
      <c r="BT58" s="1086"/>
      <c r="BU58" s="1086"/>
      <c r="BV58" s="1086"/>
      <c r="BW58" s="1086"/>
      <c r="BX58" s="1086"/>
      <c r="BY58" s="1086"/>
      <c r="CD58" s="2141" t="s">
        <v>1355</v>
      </c>
      <c r="CE58" s="33">
        <v>240</v>
      </c>
      <c r="CF58" s="33">
        <v>160</v>
      </c>
      <c r="CG58" s="33">
        <v>20</v>
      </c>
      <c r="CH58" s="323">
        <v>20</v>
      </c>
      <c r="CI58" s="323">
        <v>20</v>
      </c>
      <c r="CJ58" s="323">
        <f t="shared" si="41"/>
        <v>13.333333333333334</v>
      </c>
      <c r="CK58" s="323">
        <v>10</v>
      </c>
      <c r="CL58" s="323">
        <v>60</v>
      </c>
      <c r="CM58" s="1001">
        <v>0.115</v>
      </c>
    </row>
    <row r="59" spans="1:91">
      <c r="A59" s="2463"/>
      <c r="B59" s="2464"/>
      <c r="C59" s="2806"/>
      <c r="D59" s="2803"/>
      <c r="E59" s="2803"/>
      <c r="F59" s="2803"/>
      <c r="G59" s="2803"/>
      <c r="H59" s="2803"/>
      <c r="I59" s="2803"/>
      <c r="J59" s="2803"/>
      <c r="K59" s="2803"/>
      <c r="L59" s="2803"/>
      <c r="M59" s="2803"/>
      <c r="N59" s="2803"/>
      <c r="O59" s="2803"/>
      <c r="P59" s="2803"/>
      <c r="Q59" s="2803"/>
      <c r="R59" s="2803"/>
      <c r="S59" s="2803"/>
      <c r="T59" s="2803"/>
      <c r="U59" s="2803"/>
      <c r="V59" s="2803"/>
      <c r="W59" s="2803"/>
      <c r="X59" s="2803"/>
      <c r="Y59" s="2803"/>
      <c r="Z59" s="2804"/>
      <c r="AA59" s="2805"/>
      <c r="AB59" s="1161"/>
      <c r="AC59" s="1161"/>
      <c r="AD59" s="1161"/>
      <c r="AE59" s="1747"/>
      <c r="AF59" s="1747"/>
      <c r="AG59" s="1086"/>
      <c r="AH59" s="1086"/>
      <c r="AI59" s="1086"/>
      <c r="AJ59" s="1086"/>
      <c r="AK59" s="1086"/>
      <c r="AL59" s="1086"/>
      <c r="AM59" s="1086"/>
      <c r="AN59" s="1086"/>
      <c r="AO59" s="1086"/>
      <c r="AP59" s="1086"/>
      <c r="AQ59" s="1086"/>
      <c r="AR59" s="1086"/>
      <c r="AS59" s="1086"/>
      <c r="AT59" s="1086"/>
      <c r="AU59" s="1086"/>
      <c r="AV59" s="1086"/>
      <c r="AW59" s="1086"/>
      <c r="AX59" s="1086"/>
      <c r="AY59" s="1086"/>
      <c r="AZ59" s="1086"/>
      <c r="BA59" s="1086"/>
      <c r="BB59" s="1086"/>
      <c r="BC59" s="1086"/>
      <c r="BD59" s="1086"/>
      <c r="BE59" s="1086"/>
      <c r="BF59" s="1086"/>
      <c r="BG59" s="1086"/>
      <c r="BH59" s="1086"/>
      <c r="BI59" s="1086"/>
      <c r="BJ59" s="1086"/>
      <c r="BK59" s="1086"/>
      <c r="BL59" s="1086"/>
      <c r="BM59" s="1086"/>
      <c r="BN59" s="1086"/>
      <c r="BO59" s="1086"/>
      <c r="BP59" s="1086"/>
      <c r="BQ59" s="1086"/>
      <c r="BR59" s="1086"/>
      <c r="BS59" s="1086"/>
      <c r="BT59" s="1086"/>
      <c r="BU59" s="1736"/>
      <c r="BV59" s="1736"/>
      <c r="BW59" s="1736"/>
      <c r="BX59" s="1736"/>
      <c r="BY59" s="1736"/>
      <c r="CD59" s="2141" t="s">
        <v>1356</v>
      </c>
      <c r="CE59" s="33">
        <v>160</v>
      </c>
      <c r="CF59" s="33">
        <v>100</v>
      </c>
      <c r="CG59" s="33">
        <v>20</v>
      </c>
      <c r="CH59" s="323">
        <v>20</v>
      </c>
      <c r="CI59" s="323">
        <v>20</v>
      </c>
      <c r="CJ59" s="323">
        <f t="shared" si="41"/>
        <v>13.333333333333334</v>
      </c>
      <c r="CK59" s="323">
        <v>10</v>
      </c>
      <c r="CL59" s="323">
        <v>60</v>
      </c>
      <c r="CM59" s="1001">
        <v>0.115</v>
      </c>
    </row>
    <row r="60" spans="1:91">
      <c r="A60" s="2463"/>
      <c r="B60" s="2464"/>
      <c r="C60" s="2806"/>
      <c r="D60" s="2803"/>
      <c r="E60" s="2803"/>
      <c r="F60" s="2803"/>
      <c r="G60" s="2803"/>
      <c r="H60" s="2803"/>
      <c r="I60" s="2803"/>
      <c r="J60" s="2803"/>
      <c r="K60" s="2803"/>
      <c r="L60" s="2803"/>
      <c r="M60" s="2803"/>
      <c r="N60" s="2803"/>
      <c r="O60" s="2803"/>
      <c r="P60" s="2803"/>
      <c r="Q60" s="2803"/>
      <c r="R60" s="2803"/>
      <c r="S60" s="2803"/>
      <c r="T60" s="2803"/>
      <c r="U60" s="2803"/>
      <c r="V60" s="2803"/>
      <c r="W60" s="2803"/>
      <c r="X60" s="2803"/>
      <c r="Y60" s="2803"/>
      <c r="Z60" s="2804"/>
      <c r="AA60" s="2805"/>
      <c r="AB60" s="1736"/>
      <c r="AC60" s="1736"/>
      <c r="AD60" s="1736"/>
      <c r="AE60" s="1736"/>
      <c r="AF60" s="1736"/>
      <c r="AG60" s="1736"/>
      <c r="AH60" s="1736"/>
      <c r="AI60" s="1736"/>
      <c r="AJ60" s="1736"/>
      <c r="AK60" s="1736"/>
      <c r="AL60" s="1736"/>
      <c r="AM60" s="1736"/>
      <c r="AN60" s="1736"/>
      <c r="AO60" s="1736"/>
      <c r="AP60" s="1736"/>
      <c r="AQ60" s="1736"/>
      <c r="AR60" s="1736"/>
      <c r="AS60" s="1736"/>
      <c r="AT60" s="1736"/>
      <c r="AU60" s="1736"/>
      <c r="AV60" s="1736"/>
      <c r="AW60" s="1736"/>
      <c r="AX60" s="1736"/>
      <c r="AY60" s="1736"/>
      <c r="AZ60" s="1736"/>
      <c r="BA60" s="1736"/>
      <c r="BB60" s="1736"/>
      <c r="BC60" s="1736"/>
      <c r="BD60" s="1736"/>
      <c r="BE60" s="1736"/>
      <c r="BF60" s="1736"/>
      <c r="BG60" s="1736"/>
      <c r="BH60" s="1736"/>
      <c r="BI60" s="1736"/>
      <c r="BJ60" s="1736"/>
      <c r="BK60" s="1736"/>
      <c r="BL60" s="1736"/>
      <c r="BM60" s="1736"/>
      <c r="BN60" s="1736"/>
      <c r="BO60" s="1736"/>
      <c r="BP60" s="1736"/>
      <c r="BQ60" s="1736"/>
      <c r="BR60" s="1736"/>
      <c r="BS60" s="1736"/>
      <c r="BT60" s="1736"/>
      <c r="BU60" s="1736"/>
      <c r="BV60" s="1736"/>
      <c r="BW60" s="1736"/>
      <c r="BX60" s="1736"/>
      <c r="BY60" s="1736"/>
      <c r="CD60" s="2154" t="s">
        <v>1573</v>
      </c>
      <c r="CE60" s="33">
        <v>500</v>
      </c>
      <c r="CF60" s="33">
        <v>285</v>
      </c>
      <c r="CG60" s="33">
        <v>10</v>
      </c>
      <c r="CH60" s="2153">
        <v>29</v>
      </c>
      <c r="CI60" s="2153">
        <v>14</v>
      </c>
      <c r="CJ60" s="2161">
        <v>0</v>
      </c>
      <c r="CK60" s="2161">
        <v>0</v>
      </c>
      <c r="CL60" s="2161">
        <v>60</v>
      </c>
      <c r="CM60" s="2157">
        <v>0.13</v>
      </c>
    </row>
    <row r="61" spans="1:91">
      <c r="A61" s="2465"/>
      <c r="B61" s="2466"/>
      <c r="C61" s="2807"/>
      <c r="D61" s="2808"/>
      <c r="E61" s="2808"/>
      <c r="F61" s="2808"/>
      <c r="G61" s="2808"/>
      <c r="H61" s="2808"/>
      <c r="I61" s="2808"/>
      <c r="J61" s="2808"/>
      <c r="K61" s="2808"/>
      <c r="L61" s="2808"/>
      <c r="M61" s="2808"/>
      <c r="N61" s="2808"/>
      <c r="O61" s="2808"/>
      <c r="P61" s="2808"/>
      <c r="Q61" s="2808"/>
      <c r="R61" s="2808"/>
      <c r="S61" s="2808"/>
      <c r="T61" s="2808"/>
      <c r="U61" s="2808"/>
      <c r="V61" s="2808"/>
      <c r="W61" s="2808"/>
      <c r="X61" s="2808"/>
      <c r="Y61" s="2808"/>
      <c r="Z61" s="2809"/>
      <c r="AA61" s="2810"/>
      <c r="AB61" s="1736"/>
      <c r="AC61" s="1736"/>
      <c r="AD61" s="1736"/>
      <c r="AE61" s="1736"/>
      <c r="AF61" s="1736"/>
      <c r="AG61" s="1736"/>
      <c r="AH61" s="1736"/>
      <c r="AI61" s="1736"/>
      <c r="AJ61" s="1736"/>
      <c r="AK61" s="1736"/>
      <c r="AL61" s="1736"/>
      <c r="AM61" s="1736"/>
      <c r="AN61" s="1736"/>
      <c r="AO61" s="1736"/>
      <c r="AP61" s="1736"/>
      <c r="AQ61" s="1736"/>
      <c r="AR61" s="1736"/>
      <c r="AS61" s="1736"/>
      <c r="AT61" s="1736"/>
      <c r="AU61" s="1736"/>
      <c r="AV61" s="1736"/>
      <c r="AW61" s="1736"/>
      <c r="AX61" s="1736"/>
      <c r="AY61" s="1736"/>
      <c r="AZ61" s="1736"/>
      <c r="BA61" s="1736"/>
      <c r="BB61" s="1736"/>
      <c r="BC61" s="1736"/>
      <c r="BD61" s="1736"/>
      <c r="BE61" s="1736"/>
      <c r="BF61" s="1736"/>
      <c r="BG61" s="1736"/>
      <c r="BH61" s="1736"/>
      <c r="BI61" s="1736"/>
      <c r="BJ61" s="1736"/>
      <c r="BK61" s="1736"/>
      <c r="BL61" s="1736"/>
      <c r="BM61" s="1736"/>
      <c r="BN61" s="1736"/>
      <c r="BO61" s="1736"/>
      <c r="BP61" s="1736"/>
      <c r="BQ61" s="1736"/>
      <c r="BR61" s="1736"/>
      <c r="BS61" s="1736"/>
      <c r="BT61" s="1736"/>
      <c r="BU61" s="1736"/>
      <c r="BV61" s="1736"/>
      <c r="BW61" s="1736"/>
      <c r="BX61" s="1736"/>
      <c r="BY61" s="1736"/>
      <c r="CD61" s="2141" t="s">
        <v>1357</v>
      </c>
      <c r="CE61" s="33">
        <v>400</v>
      </c>
      <c r="CF61" s="33">
        <v>130</v>
      </c>
      <c r="CG61" s="33">
        <v>20</v>
      </c>
      <c r="CH61" s="323">
        <v>20</v>
      </c>
      <c r="CI61" s="323">
        <v>20</v>
      </c>
      <c r="CJ61" s="323">
        <f t="shared" si="41"/>
        <v>13.333333333333334</v>
      </c>
      <c r="CK61" s="323">
        <v>45</v>
      </c>
      <c r="CL61" s="323">
        <v>60</v>
      </c>
      <c r="CM61" s="1001">
        <v>0.13700000000000001</v>
      </c>
    </row>
    <row r="62" spans="1:91">
      <c r="A62" s="175"/>
      <c r="B62" s="1421"/>
      <c r="C62" s="1421"/>
      <c r="D62" s="175"/>
      <c r="E62" s="1421"/>
      <c r="F62" s="1421"/>
      <c r="G62" s="1421"/>
      <c r="H62" s="1421"/>
      <c r="I62" s="1421"/>
      <c r="J62" s="1421"/>
      <c r="K62" s="1421"/>
      <c r="L62" s="1421"/>
      <c r="M62" s="1421"/>
      <c r="N62" s="1421"/>
      <c r="O62" s="1421"/>
      <c r="P62" s="1421"/>
      <c r="Q62" s="1421"/>
      <c r="R62" s="1421"/>
      <c r="S62" s="1421"/>
      <c r="T62" s="1421"/>
      <c r="U62" s="1421"/>
      <c r="V62" s="1421"/>
      <c r="W62" s="1421"/>
      <c r="X62" s="175"/>
      <c r="Y62" s="282"/>
      <c r="Z62" s="638"/>
      <c r="AA62" s="92"/>
      <c r="AB62" s="1736"/>
      <c r="AC62" s="1736"/>
      <c r="AD62" s="1736"/>
      <c r="AE62" s="1736"/>
      <c r="AF62" s="1736"/>
      <c r="AG62" s="1736"/>
      <c r="AH62" s="1736"/>
      <c r="AI62" s="1736"/>
      <c r="AJ62" s="1736"/>
      <c r="AK62" s="1736"/>
      <c r="AL62" s="1736"/>
      <c r="AM62" s="1736"/>
      <c r="AN62" s="1736"/>
      <c r="AO62" s="1736"/>
      <c r="AP62" s="1736"/>
      <c r="AQ62" s="1736"/>
      <c r="AR62" s="1736"/>
      <c r="AS62" s="1736"/>
      <c r="AT62" s="1736"/>
      <c r="AU62" s="1736"/>
      <c r="AV62" s="1736"/>
      <c r="AW62" s="1736"/>
      <c r="AX62" s="1736"/>
      <c r="AY62" s="1736"/>
      <c r="AZ62" s="1736"/>
      <c r="BA62" s="1736"/>
      <c r="BB62" s="1736"/>
      <c r="BC62" s="1736"/>
      <c r="BD62" s="1736"/>
      <c r="BE62" s="1736"/>
      <c r="BF62" s="1736"/>
      <c r="BG62" s="1736"/>
      <c r="BH62" s="1736"/>
      <c r="BI62" s="1736"/>
      <c r="BJ62" s="1736"/>
      <c r="BK62" s="1736"/>
      <c r="BL62" s="1736"/>
      <c r="BM62" s="1736"/>
      <c r="BN62" s="1736"/>
      <c r="BO62" s="1736"/>
      <c r="BP62" s="1736"/>
      <c r="BQ62" s="1736"/>
      <c r="BR62" s="1736"/>
      <c r="BS62" s="1736"/>
      <c r="BT62" s="1736"/>
      <c r="BU62" s="1736"/>
      <c r="BV62" s="1736"/>
      <c r="BW62" s="1736"/>
      <c r="BX62" s="1736"/>
      <c r="BY62" s="1736"/>
      <c r="CD62" s="2159" t="s">
        <v>1657</v>
      </c>
      <c r="CE62" s="33">
        <v>400</v>
      </c>
      <c r="CF62" s="33">
        <v>210</v>
      </c>
      <c r="CG62" s="33">
        <v>10</v>
      </c>
      <c r="CH62" s="2158">
        <v>21</v>
      </c>
      <c r="CI62" s="2158">
        <v>21</v>
      </c>
      <c r="CJ62" s="2152">
        <v>0</v>
      </c>
      <c r="CK62" s="2152">
        <v>0</v>
      </c>
      <c r="CL62" s="2152">
        <v>30</v>
      </c>
      <c r="CM62" s="2155">
        <v>0.11</v>
      </c>
    </row>
    <row r="63" spans="1:91">
      <c r="A63" s="2481" t="s">
        <v>609</v>
      </c>
      <c r="B63" s="2482"/>
      <c r="C63" s="2787" t="s">
        <v>1273</v>
      </c>
      <c r="D63" s="2517"/>
      <c r="E63" s="2517"/>
      <c r="F63" s="2517"/>
      <c r="G63" s="2517"/>
      <c r="H63" s="2517"/>
      <c r="I63" s="2517"/>
      <c r="J63" s="2517"/>
      <c r="K63" s="2517"/>
      <c r="L63" s="2517"/>
      <c r="M63" s="2517"/>
      <c r="N63" s="2517"/>
      <c r="O63" s="2517"/>
      <c r="P63" s="2517"/>
      <c r="Q63" s="2517"/>
      <c r="R63" s="2517"/>
      <c r="S63" s="2517"/>
      <c r="T63" s="2517"/>
      <c r="U63" s="2517"/>
      <c r="V63" s="2517"/>
      <c r="W63" s="2517"/>
      <c r="X63" s="2788"/>
      <c r="Y63" s="2788"/>
      <c r="Z63" s="2788"/>
      <c r="AA63" s="2788"/>
      <c r="AB63" s="1736"/>
      <c r="AC63" s="1736"/>
      <c r="AD63" s="1736"/>
      <c r="AE63" s="1736"/>
      <c r="AF63" s="1736"/>
      <c r="AG63" s="1736"/>
      <c r="AH63" s="1736"/>
      <c r="AI63" s="1736"/>
      <c r="AJ63" s="1736"/>
      <c r="AK63" s="1736"/>
      <c r="AL63" s="1736"/>
      <c r="AM63" s="1736"/>
      <c r="AN63" s="1736"/>
      <c r="AO63" s="1736"/>
      <c r="AP63" s="1736"/>
      <c r="AQ63" s="1736"/>
      <c r="AR63" s="1736"/>
      <c r="AS63" s="1736"/>
      <c r="AT63" s="1736"/>
      <c r="AU63" s="1736"/>
      <c r="AV63" s="1736"/>
      <c r="AW63" s="1736"/>
      <c r="AX63" s="1736"/>
      <c r="AY63" s="1736"/>
      <c r="AZ63" s="1736"/>
      <c r="BA63" s="1736"/>
      <c r="BB63" s="1736"/>
      <c r="BC63" s="1736"/>
      <c r="BD63" s="1736"/>
      <c r="BE63" s="1736"/>
      <c r="BF63" s="1736"/>
      <c r="BG63" s="1736"/>
      <c r="BH63" s="1736"/>
      <c r="BI63" s="1736"/>
      <c r="BJ63" s="1736"/>
      <c r="BK63" s="1736"/>
      <c r="BL63" s="1736"/>
      <c r="BM63" s="1736"/>
      <c r="BN63" s="1736"/>
      <c r="BO63" s="1736"/>
      <c r="BP63" s="1736"/>
      <c r="BQ63" s="1736"/>
      <c r="BR63" s="1736"/>
      <c r="BS63" s="1736"/>
      <c r="BT63" s="1736"/>
      <c r="BU63" s="1736"/>
      <c r="BV63" s="1736"/>
      <c r="BW63" s="1736"/>
      <c r="BX63" s="1736"/>
      <c r="BY63" s="1736"/>
      <c r="CD63" s="2141" t="s">
        <v>1658</v>
      </c>
      <c r="CE63" s="33">
        <v>150</v>
      </c>
      <c r="CF63" s="33">
        <v>150</v>
      </c>
      <c r="CG63" s="33">
        <v>10</v>
      </c>
      <c r="CH63" s="323">
        <v>10</v>
      </c>
      <c r="CI63" s="323">
        <v>10</v>
      </c>
      <c r="CJ63" s="323">
        <v>20</v>
      </c>
      <c r="CK63" s="323">
        <v>30</v>
      </c>
      <c r="CL63" s="323">
        <v>30</v>
      </c>
      <c r="CM63" s="2146">
        <v>7.0000000000000007E-2</v>
      </c>
    </row>
    <row r="64" spans="1:91">
      <c r="A64" s="2483"/>
      <c r="B64" s="2484"/>
      <c r="C64" s="2517"/>
      <c r="D64" s="2517"/>
      <c r="E64" s="2517"/>
      <c r="F64" s="2517"/>
      <c r="G64" s="2517"/>
      <c r="H64" s="2517"/>
      <c r="I64" s="2517"/>
      <c r="J64" s="2517"/>
      <c r="K64" s="2517"/>
      <c r="L64" s="2517"/>
      <c r="M64" s="2517"/>
      <c r="N64" s="2517"/>
      <c r="O64" s="2517"/>
      <c r="P64" s="2517"/>
      <c r="Q64" s="2517"/>
      <c r="R64" s="2517"/>
      <c r="S64" s="2517"/>
      <c r="T64" s="2517"/>
      <c r="U64" s="2517"/>
      <c r="V64" s="2517"/>
      <c r="W64" s="2517"/>
      <c r="X64" s="2788"/>
      <c r="Y64" s="2788"/>
      <c r="Z64" s="2788"/>
      <c r="AA64" s="2788"/>
      <c r="AB64" s="1736"/>
      <c r="AC64" s="1736"/>
      <c r="AD64" s="1736"/>
      <c r="AE64" s="1736"/>
      <c r="AF64" s="1736"/>
      <c r="AG64" s="1736"/>
      <c r="AH64" s="1736"/>
      <c r="AI64" s="1736"/>
      <c r="AJ64" s="1736"/>
      <c r="AK64" s="1736"/>
      <c r="AL64" s="1736"/>
      <c r="AM64" s="1736"/>
      <c r="AN64" s="1736"/>
      <c r="AO64" s="1736"/>
      <c r="AP64" s="1736"/>
      <c r="AQ64" s="1736"/>
      <c r="AR64" s="1736"/>
      <c r="AS64" s="1736"/>
      <c r="AT64" s="1736"/>
      <c r="AU64" s="1736"/>
      <c r="AV64" s="1736"/>
      <c r="AW64" s="1736"/>
      <c r="AX64" s="1736"/>
      <c r="AY64" s="1736"/>
      <c r="AZ64" s="1736"/>
      <c r="BA64" s="1736"/>
      <c r="BB64" s="1736"/>
      <c r="BC64" s="1736"/>
      <c r="BD64" s="1736"/>
      <c r="BE64" s="1736"/>
      <c r="BF64" s="1736"/>
      <c r="BG64" s="1736"/>
      <c r="BH64" s="1736"/>
      <c r="BI64" s="1736"/>
      <c r="BJ64" s="1736"/>
      <c r="BK64" s="1736"/>
      <c r="BL64" s="1736"/>
      <c r="BM64" s="1736"/>
      <c r="BN64" s="1736"/>
      <c r="BO64" s="1736"/>
      <c r="BP64" s="1736"/>
      <c r="BQ64" s="1736"/>
      <c r="BR64" s="1736"/>
      <c r="BS64" s="1736"/>
      <c r="BT64" s="1736"/>
      <c r="BU64" s="1736"/>
      <c r="BV64" s="1736"/>
      <c r="BW64" s="1736"/>
      <c r="BX64" s="1736"/>
      <c r="BY64" s="1736"/>
      <c r="CD64" s="2141" t="s">
        <v>1358</v>
      </c>
      <c r="CE64" s="33">
        <v>600</v>
      </c>
      <c r="CF64" s="33">
        <v>250</v>
      </c>
      <c r="CG64" s="33">
        <v>20</v>
      </c>
      <c r="CH64" s="323">
        <v>40</v>
      </c>
      <c r="CI64" s="323">
        <v>40</v>
      </c>
      <c r="CJ64" s="323">
        <f t="shared" ref="CJ64:CJ80" si="42">CI64*2/3</f>
        <v>26.666666666666668</v>
      </c>
      <c r="CK64" s="323">
        <v>55</v>
      </c>
      <c r="CL64" s="323">
        <v>60</v>
      </c>
      <c r="CM64" s="1001">
        <v>0.08</v>
      </c>
    </row>
    <row r="65" spans="1:91">
      <c r="A65" s="2485"/>
      <c r="B65" s="2486"/>
      <c r="C65" s="2517"/>
      <c r="D65" s="2517"/>
      <c r="E65" s="2517"/>
      <c r="F65" s="2517"/>
      <c r="G65" s="2517"/>
      <c r="H65" s="2517"/>
      <c r="I65" s="2517"/>
      <c r="J65" s="2517"/>
      <c r="K65" s="2517"/>
      <c r="L65" s="2517"/>
      <c r="M65" s="2517"/>
      <c r="N65" s="2517"/>
      <c r="O65" s="2517"/>
      <c r="P65" s="2517"/>
      <c r="Q65" s="2517"/>
      <c r="R65" s="2517"/>
      <c r="S65" s="2517"/>
      <c r="T65" s="2517"/>
      <c r="U65" s="2517"/>
      <c r="V65" s="2517"/>
      <c r="W65" s="2517"/>
      <c r="X65" s="2788"/>
      <c r="Y65" s="2788"/>
      <c r="Z65" s="2788"/>
      <c r="AA65" s="2788"/>
      <c r="AB65" s="1736"/>
      <c r="AC65" s="1736"/>
      <c r="AD65" s="1736"/>
      <c r="AE65" s="1736"/>
      <c r="AF65" s="1736"/>
      <c r="AG65" s="1736"/>
      <c r="AH65" s="1736"/>
      <c r="AI65" s="1736"/>
      <c r="AJ65" s="1736"/>
      <c r="AK65" s="1736"/>
      <c r="AL65" s="1736"/>
      <c r="AM65" s="1736"/>
      <c r="AN65" s="1736"/>
      <c r="AO65" s="1736"/>
      <c r="AP65" s="1736"/>
      <c r="AQ65" s="1736"/>
      <c r="AR65" s="1736"/>
      <c r="AS65" s="1736"/>
      <c r="AT65" s="1736"/>
      <c r="AU65" s="1736"/>
      <c r="AV65" s="1736"/>
      <c r="AW65" s="1736"/>
      <c r="AX65" s="1736"/>
      <c r="AY65" s="1736"/>
      <c r="AZ65" s="1736"/>
      <c r="BA65" s="1736"/>
      <c r="BB65" s="1736"/>
      <c r="BC65" s="1736"/>
      <c r="BD65" s="1736"/>
      <c r="BE65" s="1736"/>
      <c r="BF65" s="1736"/>
      <c r="BG65" s="1736"/>
      <c r="BH65" s="1736"/>
      <c r="BI65" s="1736"/>
      <c r="BJ65" s="1736"/>
      <c r="BK65" s="1736"/>
      <c r="BL65" s="1736"/>
      <c r="BM65" s="1736"/>
      <c r="BN65" s="1736"/>
      <c r="BO65" s="1736"/>
      <c r="BP65" s="1736"/>
      <c r="BQ65" s="1736"/>
      <c r="BR65" s="1736"/>
      <c r="BS65" s="1736"/>
      <c r="BT65" s="1736"/>
      <c r="BU65" s="1736"/>
      <c r="BV65" s="1736"/>
      <c r="BW65" s="1736"/>
      <c r="BX65" s="1736"/>
      <c r="BY65" s="1736"/>
      <c r="CD65" s="2140" t="s">
        <v>1659</v>
      </c>
      <c r="CE65" s="33">
        <v>150</v>
      </c>
      <c r="CF65" s="33">
        <v>90</v>
      </c>
      <c r="CG65" s="33">
        <v>20</v>
      </c>
      <c r="CH65" s="323">
        <v>20</v>
      </c>
      <c r="CI65" s="323">
        <v>20</v>
      </c>
      <c r="CJ65" s="323">
        <f t="shared" si="42"/>
        <v>13.333333333333334</v>
      </c>
      <c r="CK65" s="2156">
        <v>0</v>
      </c>
      <c r="CL65" s="2156">
        <v>30</v>
      </c>
      <c r="CM65" s="1914">
        <v>0.11</v>
      </c>
    </row>
    <row r="66" spans="1:91">
      <c r="A66" s="2487"/>
      <c r="B66" s="2488"/>
      <c r="C66" s="2787" t="s">
        <v>588</v>
      </c>
      <c r="D66" s="2517"/>
      <c r="E66" s="2517"/>
      <c r="F66" s="2517"/>
      <c r="G66" s="2517"/>
      <c r="H66" s="2517"/>
      <c r="I66" s="2517"/>
      <c r="J66" s="2517"/>
      <c r="K66" s="2517"/>
      <c r="L66" s="2517"/>
      <c r="M66" s="2517"/>
      <c r="N66" s="2517"/>
      <c r="O66" s="2517"/>
      <c r="P66" s="2517"/>
      <c r="Q66" s="2517"/>
      <c r="R66" s="2517"/>
      <c r="S66" s="2517"/>
      <c r="T66" s="2788"/>
      <c r="U66" s="2788"/>
      <c r="V66" s="2788"/>
      <c r="W66" s="2788"/>
      <c r="X66" s="2788"/>
      <c r="Y66" s="2788"/>
      <c r="Z66" s="2788"/>
      <c r="AA66" s="2788"/>
      <c r="AB66" s="1736"/>
      <c r="AC66" s="1736"/>
      <c r="AD66" s="1736"/>
      <c r="AE66" s="1736"/>
      <c r="AF66" s="1736"/>
      <c r="AG66" s="1736"/>
      <c r="AH66" s="1736"/>
      <c r="AI66" s="1736"/>
      <c r="AJ66" s="1736"/>
      <c r="AK66" s="1736"/>
      <c r="AL66" s="1736"/>
      <c r="AM66" s="1736"/>
      <c r="AN66" s="1736"/>
      <c r="AO66" s="1736"/>
      <c r="AP66" s="1736"/>
      <c r="AQ66" s="1736"/>
      <c r="AR66" s="1736"/>
      <c r="AS66" s="1736"/>
      <c r="AT66" s="1736"/>
      <c r="AU66" s="1736"/>
      <c r="AV66" s="1736"/>
      <c r="AW66" s="1736"/>
      <c r="AX66" s="1736"/>
      <c r="AY66" s="1736"/>
      <c r="AZ66" s="1736"/>
      <c r="BA66" s="1736"/>
      <c r="BB66" s="1736"/>
      <c r="BC66" s="1736"/>
      <c r="BD66" s="1736"/>
      <c r="BE66" s="1736"/>
      <c r="BF66" s="1736"/>
      <c r="BG66" s="1736"/>
      <c r="BH66" s="1736"/>
      <c r="BI66" s="1736"/>
      <c r="BJ66" s="1736"/>
      <c r="BK66" s="1736"/>
      <c r="BL66" s="1736"/>
      <c r="BM66" s="1736"/>
      <c r="BN66" s="1736"/>
      <c r="BO66" s="1736"/>
      <c r="BP66" s="1736"/>
      <c r="BQ66" s="1736"/>
      <c r="BR66" s="1736"/>
      <c r="BS66" s="1736"/>
      <c r="BT66" s="1736"/>
      <c r="BU66" s="1736"/>
      <c r="BV66" s="1736"/>
      <c r="BW66" s="1736"/>
      <c r="BX66" s="1736"/>
      <c r="BY66" s="1736"/>
      <c r="CD66" s="2140" t="s">
        <v>1660</v>
      </c>
      <c r="CE66" s="33">
        <v>100</v>
      </c>
      <c r="CF66" s="33">
        <v>70</v>
      </c>
      <c r="CG66" s="33">
        <v>20</v>
      </c>
      <c r="CH66" s="323">
        <v>20</v>
      </c>
      <c r="CI66" s="323">
        <v>20</v>
      </c>
      <c r="CJ66" s="323">
        <f t="shared" si="42"/>
        <v>13.333333333333334</v>
      </c>
      <c r="CK66" s="2156">
        <v>0</v>
      </c>
      <c r="CL66" s="2156">
        <v>30</v>
      </c>
      <c r="CM66" s="1914">
        <v>0.11</v>
      </c>
    </row>
    <row r="67" spans="1:91">
      <c r="A67" s="175"/>
      <c r="B67" s="1421"/>
      <c r="C67" s="1421"/>
      <c r="D67" s="175"/>
      <c r="E67" s="1421"/>
      <c r="F67" s="1421"/>
      <c r="G67" s="1421"/>
      <c r="H67" s="1421"/>
      <c r="I67" s="1421"/>
      <c r="J67" s="1421"/>
      <c r="K67" s="1421"/>
      <c r="L67" s="1421"/>
      <c r="M67" s="1421"/>
      <c r="N67" s="1421"/>
      <c r="O67" s="1421"/>
      <c r="P67" s="1421"/>
      <c r="Q67" s="1421"/>
      <c r="R67" s="1421"/>
      <c r="S67" s="1421"/>
      <c r="T67" s="1421"/>
      <c r="U67" s="1421"/>
      <c r="V67" s="1421"/>
      <c r="W67" s="1421"/>
      <c r="X67" s="175"/>
      <c r="Y67" s="282"/>
      <c r="Z67" s="638"/>
      <c r="AA67" s="1736"/>
      <c r="AB67" s="1736"/>
      <c r="AC67" s="1736"/>
      <c r="AD67" s="1736"/>
      <c r="AE67" s="1736"/>
      <c r="AF67" s="1736"/>
      <c r="AG67" s="1736"/>
      <c r="AH67" s="1736"/>
      <c r="AI67" s="1736"/>
      <c r="AJ67" s="1736"/>
      <c r="AK67" s="1736"/>
      <c r="AL67" s="1736"/>
      <c r="AM67" s="1736"/>
      <c r="AN67" s="1736"/>
      <c r="AO67" s="1736"/>
      <c r="AP67" s="1736"/>
      <c r="AQ67" s="1736"/>
      <c r="AR67" s="1736"/>
      <c r="AS67" s="1736"/>
      <c r="AT67" s="1736"/>
      <c r="AU67" s="1736"/>
      <c r="AV67" s="1736"/>
      <c r="AW67" s="1736"/>
      <c r="AX67" s="1736"/>
      <c r="AY67" s="1736"/>
      <c r="AZ67" s="1736"/>
      <c r="BA67" s="1736"/>
      <c r="BB67" s="1736"/>
      <c r="BC67" s="1736"/>
      <c r="BD67" s="1736"/>
      <c r="BE67" s="1736"/>
      <c r="BF67" s="1736"/>
      <c r="BG67" s="1736"/>
      <c r="BH67" s="1736"/>
      <c r="BI67" s="1736"/>
      <c r="BJ67" s="1736"/>
      <c r="BK67" s="1736"/>
      <c r="BL67" s="1736"/>
      <c r="BM67" s="1736"/>
      <c r="BN67" s="1736"/>
      <c r="BO67" s="1736"/>
      <c r="BP67" s="1736"/>
      <c r="BQ67" s="1736"/>
      <c r="BR67" s="1736"/>
      <c r="BS67" s="1736"/>
      <c r="BT67" s="1736"/>
      <c r="BU67" s="1736"/>
      <c r="BV67" s="1736"/>
      <c r="BW67" s="1736"/>
      <c r="BX67" s="1736"/>
      <c r="BY67" s="1736"/>
      <c r="CD67" s="2140" t="s">
        <v>1661</v>
      </c>
      <c r="CE67" s="33">
        <v>150</v>
      </c>
      <c r="CF67" s="33">
        <v>90</v>
      </c>
      <c r="CG67" s="33">
        <v>20</v>
      </c>
      <c r="CH67" s="323">
        <v>20</v>
      </c>
      <c r="CI67" s="323">
        <v>20</v>
      </c>
      <c r="CJ67" s="323">
        <f t="shared" si="42"/>
        <v>13.333333333333334</v>
      </c>
      <c r="CK67" s="2156">
        <v>0</v>
      </c>
      <c r="CL67" s="2156">
        <v>30</v>
      </c>
      <c r="CM67" s="1914">
        <v>0.11</v>
      </c>
    </row>
    <row r="68" spans="1:91">
      <c r="A68" s="175"/>
      <c r="B68" s="1421"/>
      <c r="C68" s="1421"/>
      <c r="D68" s="175"/>
      <c r="E68" s="1421"/>
      <c r="F68" s="1421"/>
      <c r="G68" s="1421"/>
      <c r="H68" s="1421"/>
      <c r="I68" s="1421"/>
      <c r="J68" s="1421"/>
      <c r="K68" s="1421"/>
      <c r="L68" s="1421"/>
      <c r="M68" s="1421"/>
      <c r="N68" s="1421"/>
      <c r="O68" s="1421"/>
      <c r="P68" s="1421"/>
      <c r="Q68" s="1421"/>
      <c r="R68" s="1421"/>
      <c r="S68" s="1421"/>
      <c r="T68" s="1421"/>
      <c r="U68" s="1421"/>
      <c r="V68" s="1421"/>
      <c r="W68" s="1421"/>
      <c r="X68" s="175"/>
      <c r="Y68" s="282"/>
      <c r="Z68" s="638"/>
      <c r="AA68" s="1736"/>
      <c r="AB68" s="1736"/>
      <c r="AC68" s="1736"/>
      <c r="AD68" s="1736"/>
      <c r="AE68" s="1736"/>
      <c r="AF68" s="1736"/>
      <c r="AG68" s="1736"/>
      <c r="AH68" s="1736"/>
      <c r="AI68" s="1736"/>
      <c r="AJ68" s="1736"/>
      <c r="AK68" s="1736"/>
      <c r="AL68" s="1736"/>
      <c r="AM68" s="1736"/>
      <c r="AN68" s="1736"/>
      <c r="AO68" s="1736"/>
      <c r="AP68" s="1736"/>
      <c r="AQ68" s="1736"/>
      <c r="AR68" s="1736"/>
      <c r="AS68" s="1736"/>
      <c r="AT68" s="1736"/>
      <c r="AU68" s="1736"/>
      <c r="AV68" s="1736"/>
      <c r="AW68" s="1736"/>
      <c r="AX68" s="1736"/>
      <c r="AY68" s="1736"/>
      <c r="AZ68" s="1736"/>
      <c r="BA68" s="1736"/>
      <c r="BB68" s="1736"/>
      <c r="BC68" s="1736"/>
      <c r="BD68" s="1736"/>
      <c r="BE68" s="1736"/>
      <c r="BF68" s="1736"/>
      <c r="BG68" s="1736"/>
      <c r="BH68" s="1736"/>
      <c r="BI68" s="1736"/>
      <c r="BJ68" s="1736"/>
      <c r="BK68" s="1736"/>
      <c r="BL68" s="1736"/>
      <c r="BM68" s="1736"/>
      <c r="BN68" s="1736"/>
      <c r="BO68" s="1736"/>
      <c r="BP68" s="1736"/>
      <c r="BQ68" s="1736"/>
      <c r="BR68" s="1736"/>
      <c r="BS68" s="1736"/>
      <c r="BT68" s="1736"/>
      <c r="BU68" s="1736"/>
      <c r="BV68" s="1736"/>
      <c r="BW68" s="1736"/>
      <c r="BX68" s="1736"/>
      <c r="BY68" s="1736"/>
      <c r="CD68" s="2140" t="s">
        <v>1662</v>
      </c>
      <c r="CE68" s="33">
        <v>100</v>
      </c>
      <c r="CF68" s="33">
        <v>70</v>
      </c>
      <c r="CG68" s="33">
        <v>20</v>
      </c>
      <c r="CH68" s="323">
        <v>20</v>
      </c>
      <c r="CI68" s="323">
        <v>20</v>
      </c>
      <c r="CJ68" s="323">
        <f t="shared" si="42"/>
        <v>13.333333333333334</v>
      </c>
      <c r="CK68" s="2156">
        <v>0</v>
      </c>
      <c r="CL68" s="2156">
        <v>30</v>
      </c>
      <c r="CM68" s="1914">
        <v>0.11</v>
      </c>
    </row>
    <row r="69" spans="1:91">
      <c r="A69" s="175"/>
      <c r="B69" s="1421"/>
      <c r="C69" s="1421"/>
      <c r="D69" s="175"/>
      <c r="E69" s="1421"/>
      <c r="F69" s="1421"/>
      <c r="G69" s="1421"/>
      <c r="H69" s="1421"/>
      <c r="I69" s="1421"/>
      <c r="J69" s="1421"/>
      <c r="K69" s="1421"/>
      <c r="L69" s="1421"/>
      <c r="M69" s="1421"/>
      <c r="N69" s="1421"/>
      <c r="O69" s="1421"/>
      <c r="P69" s="1421"/>
      <c r="Q69" s="1421"/>
      <c r="R69" s="1421"/>
      <c r="S69" s="1421"/>
      <c r="T69" s="1421"/>
      <c r="U69" s="1421"/>
      <c r="V69" s="1421"/>
      <c r="W69" s="1421"/>
      <c r="X69" s="175"/>
      <c r="Y69" s="282"/>
      <c r="Z69" s="638"/>
      <c r="AA69" s="1736"/>
      <c r="AB69" s="1736"/>
      <c r="AC69" s="1736"/>
      <c r="AD69" s="1736"/>
      <c r="AE69" s="1736"/>
      <c r="AF69" s="1736"/>
      <c r="AG69" s="1736"/>
      <c r="AH69" s="1736"/>
      <c r="AI69" s="1736"/>
      <c r="AJ69" s="1736"/>
      <c r="AK69" s="1736"/>
      <c r="AL69" s="1736"/>
      <c r="AM69" s="1736"/>
      <c r="AN69" s="1736"/>
      <c r="AO69" s="1736"/>
      <c r="AP69" s="1736"/>
      <c r="AQ69" s="1736"/>
      <c r="AR69" s="1736"/>
      <c r="AS69" s="1736"/>
      <c r="AT69" s="1736"/>
      <c r="AU69" s="1736"/>
      <c r="AV69" s="1736"/>
      <c r="AW69" s="1736"/>
      <c r="AX69" s="1736"/>
      <c r="AY69" s="1736"/>
      <c r="AZ69" s="1736"/>
      <c r="BA69" s="1736"/>
      <c r="BB69" s="1736"/>
      <c r="BC69" s="1736"/>
      <c r="BD69" s="1736"/>
      <c r="BE69" s="1736"/>
      <c r="BF69" s="1736"/>
      <c r="BG69" s="1736"/>
      <c r="BH69" s="1736"/>
      <c r="BI69" s="1736"/>
      <c r="BJ69" s="1736"/>
      <c r="BK69" s="1736"/>
      <c r="BL69" s="1736"/>
      <c r="BM69" s="1736"/>
      <c r="BN69" s="1736"/>
      <c r="BO69" s="1736"/>
      <c r="BP69" s="1736"/>
      <c r="BQ69" s="1736"/>
      <c r="BR69" s="1736"/>
      <c r="BS69" s="1736"/>
      <c r="BT69" s="1736"/>
      <c r="BU69" s="1736"/>
      <c r="BV69" s="1736"/>
      <c r="BW69" s="1736"/>
      <c r="BX69" s="1736"/>
      <c r="BY69" s="1736"/>
      <c r="CD69" s="2141" t="s">
        <v>1359</v>
      </c>
      <c r="CE69" s="33">
        <v>300</v>
      </c>
      <c r="CF69" s="33">
        <v>110</v>
      </c>
      <c r="CG69" s="33">
        <v>20</v>
      </c>
      <c r="CH69" s="323">
        <v>20</v>
      </c>
      <c r="CI69" s="323">
        <v>20</v>
      </c>
      <c r="CJ69" s="323">
        <f t="shared" si="42"/>
        <v>13.333333333333334</v>
      </c>
      <c r="CK69" s="323">
        <v>5</v>
      </c>
      <c r="CL69" s="323">
        <v>30</v>
      </c>
      <c r="CM69" s="1001">
        <v>6.9000000000000006E-2</v>
      </c>
    </row>
    <row r="70" spans="1:91">
      <c r="A70" s="175"/>
      <c r="B70" s="1421"/>
      <c r="C70" s="1421"/>
      <c r="D70" s="175"/>
      <c r="E70" s="1421"/>
      <c r="F70" s="1421"/>
      <c r="G70" s="1421"/>
      <c r="H70" s="1421"/>
      <c r="I70" s="1421"/>
      <c r="J70" s="1421"/>
      <c r="K70" s="1421"/>
      <c r="L70" s="1421"/>
      <c r="M70" s="1421"/>
      <c r="N70" s="1421"/>
      <c r="O70" s="1421"/>
      <c r="P70" s="1421"/>
      <c r="Q70" s="1421"/>
      <c r="R70" s="1421"/>
      <c r="S70" s="1421"/>
      <c r="T70" s="1421"/>
      <c r="U70" s="1421"/>
      <c r="V70" s="1421"/>
      <c r="W70" s="1421"/>
      <c r="X70" s="175"/>
      <c r="Y70" s="282"/>
      <c r="Z70" s="638"/>
      <c r="AA70" s="1421"/>
      <c r="AB70" s="1736"/>
      <c r="AC70" s="1736"/>
      <c r="AD70" s="1736"/>
      <c r="AE70" s="1736"/>
      <c r="AF70" s="1736"/>
      <c r="AG70" s="1736"/>
      <c r="AH70" s="1736"/>
      <c r="AI70" s="1736"/>
      <c r="AJ70" s="1736"/>
      <c r="AK70" s="1736"/>
      <c r="AL70" s="1736"/>
      <c r="AM70" s="1736"/>
      <c r="AN70" s="1736"/>
      <c r="AO70" s="1736"/>
      <c r="AP70" s="1736"/>
      <c r="AQ70" s="1736"/>
      <c r="AR70" s="1736"/>
      <c r="AS70" s="1736"/>
      <c r="AT70" s="1736"/>
      <c r="AU70" s="1736"/>
      <c r="AV70" s="1736"/>
      <c r="AW70" s="1736"/>
      <c r="AX70" s="1736"/>
      <c r="AY70" s="1736"/>
      <c r="AZ70" s="1736"/>
      <c r="BA70" s="1736"/>
      <c r="BB70" s="1736"/>
      <c r="BC70" s="1736"/>
      <c r="BD70" s="1736"/>
      <c r="BE70" s="1736"/>
      <c r="BF70" s="1736"/>
      <c r="BG70" s="1736"/>
      <c r="BH70" s="1736"/>
      <c r="BI70" s="1736"/>
      <c r="BJ70" s="1736"/>
      <c r="BK70" s="1736"/>
      <c r="BL70" s="1736"/>
      <c r="BM70" s="1736"/>
      <c r="BN70" s="1736"/>
      <c r="BO70" s="1736"/>
      <c r="BP70" s="1736"/>
      <c r="BQ70" s="1736"/>
      <c r="BR70" s="1736"/>
      <c r="BS70" s="1736"/>
      <c r="BT70" s="1736"/>
      <c r="BU70" s="1736"/>
      <c r="BV70" s="1736"/>
      <c r="BW70" s="1736"/>
      <c r="BX70" s="1736"/>
      <c r="BY70" s="1736"/>
      <c r="CD70" s="2141" t="s">
        <v>1360</v>
      </c>
      <c r="CE70" s="33">
        <v>500</v>
      </c>
      <c r="CF70" s="33">
        <v>140</v>
      </c>
      <c r="CG70" s="33">
        <v>20</v>
      </c>
      <c r="CH70" s="323">
        <v>40</v>
      </c>
      <c r="CI70" s="323">
        <v>40</v>
      </c>
      <c r="CJ70" s="323">
        <f t="shared" si="42"/>
        <v>26.666666666666668</v>
      </c>
      <c r="CK70" s="323">
        <v>10</v>
      </c>
      <c r="CL70" s="323">
        <v>30</v>
      </c>
      <c r="CM70" s="1001">
        <v>7.5999999999999998E-2</v>
      </c>
    </row>
    <row r="71" spans="1:91">
      <c r="A71" s="175"/>
      <c r="B71" s="1421"/>
      <c r="C71" s="1421"/>
      <c r="D71" s="175"/>
      <c r="E71" s="1421"/>
      <c r="F71" s="1421"/>
      <c r="G71" s="1421"/>
      <c r="H71" s="1421"/>
      <c r="I71" s="1421"/>
      <c r="J71" s="1421"/>
      <c r="K71" s="1421"/>
      <c r="L71" s="1421"/>
      <c r="M71" s="1421"/>
      <c r="N71" s="1421"/>
      <c r="O71" s="1421"/>
      <c r="P71" s="1421"/>
      <c r="Q71" s="1421"/>
      <c r="R71" s="1421"/>
      <c r="S71" s="1421"/>
      <c r="T71" s="1421"/>
      <c r="U71" s="1421"/>
      <c r="V71" s="1421"/>
      <c r="W71" s="1421"/>
      <c r="X71" s="175"/>
      <c r="Y71" s="282"/>
      <c r="Z71" s="638"/>
      <c r="AA71" s="1421"/>
      <c r="AB71" s="1736"/>
      <c r="AC71" s="1736"/>
      <c r="AD71" s="1736"/>
      <c r="AE71" s="1736"/>
      <c r="AF71" s="1736"/>
      <c r="AG71" s="1736"/>
      <c r="AH71" s="1736"/>
      <c r="AI71" s="1736"/>
      <c r="AJ71" s="1736"/>
      <c r="AK71" s="1736"/>
      <c r="AL71" s="1736"/>
      <c r="AM71" s="1736"/>
      <c r="AN71" s="1736"/>
      <c r="AO71" s="1736"/>
      <c r="AP71" s="1736"/>
      <c r="AQ71" s="1736"/>
      <c r="AR71" s="1736"/>
      <c r="AS71" s="1736"/>
      <c r="AT71" s="1736"/>
      <c r="AU71" s="1736"/>
      <c r="AV71" s="1736"/>
      <c r="AW71" s="1736"/>
      <c r="AX71" s="1736"/>
      <c r="AY71" s="1736"/>
      <c r="AZ71" s="1736"/>
      <c r="BA71" s="1736"/>
      <c r="BB71" s="1736"/>
      <c r="BC71" s="1736"/>
      <c r="BD71" s="1736"/>
      <c r="BE71" s="1736"/>
      <c r="BF71" s="1736"/>
      <c r="BG71" s="1736"/>
      <c r="BH71" s="1736"/>
      <c r="BI71" s="1736"/>
      <c r="BJ71" s="1736"/>
      <c r="BK71" s="1736"/>
      <c r="BL71" s="1736"/>
      <c r="BM71" s="1736"/>
      <c r="BN71" s="1736"/>
      <c r="BO71" s="1736"/>
      <c r="BP71" s="1736"/>
      <c r="BQ71" s="1736"/>
      <c r="BR71" s="1736"/>
      <c r="BS71" s="1736"/>
      <c r="BT71" s="1736"/>
      <c r="BU71" s="1736"/>
      <c r="BV71" s="1736"/>
      <c r="BW71" s="1736"/>
      <c r="BX71" s="1736"/>
      <c r="BY71" s="1736"/>
      <c r="CD71" s="2141" t="s">
        <v>1286</v>
      </c>
      <c r="CE71" s="33">
        <v>550</v>
      </c>
      <c r="CF71" s="33">
        <v>175</v>
      </c>
      <c r="CG71" s="33">
        <v>20</v>
      </c>
      <c r="CH71" s="323">
        <v>40</v>
      </c>
      <c r="CI71" s="323">
        <v>40</v>
      </c>
      <c r="CJ71" s="323">
        <f t="shared" si="42"/>
        <v>26.666666666666668</v>
      </c>
      <c r="CK71" s="323">
        <v>30</v>
      </c>
      <c r="CL71" s="323">
        <v>60</v>
      </c>
      <c r="CM71" s="1001">
        <v>0.08</v>
      </c>
    </row>
    <row r="72" spans="1:91">
      <c r="A72" s="175"/>
      <c r="B72" s="1421"/>
      <c r="C72" s="1421"/>
      <c r="D72" s="175"/>
      <c r="E72" s="1421"/>
      <c r="F72" s="1421"/>
      <c r="G72" s="1421"/>
      <c r="H72" s="1421"/>
      <c r="I72" s="1421"/>
      <c r="J72" s="1421"/>
      <c r="K72" s="1421"/>
      <c r="L72" s="1421"/>
      <c r="M72" s="1421"/>
      <c r="N72" s="1421"/>
      <c r="O72" s="1421"/>
      <c r="P72" s="1421"/>
      <c r="Q72" s="1421"/>
      <c r="R72" s="1421"/>
      <c r="S72" s="1421"/>
      <c r="T72" s="1421"/>
      <c r="U72" s="1421"/>
      <c r="V72" s="1421"/>
      <c r="W72" s="1421"/>
      <c r="X72" s="175"/>
      <c r="Y72" s="282"/>
      <c r="Z72" s="638"/>
      <c r="AA72" s="1421"/>
      <c r="AB72" s="1736"/>
      <c r="AC72" s="1421"/>
      <c r="AD72" s="1421"/>
      <c r="AE72" s="1736"/>
      <c r="AF72" s="1736"/>
      <c r="AG72" s="1736"/>
      <c r="AH72" s="1736"/>
      <c r="AI72" s="1736"/>
      <c r="AJ72" s="1736"/>
      <c r="AK72" s="1736"/>
      <c r="AL72" s="1736"/>
      <c r="AM72" s="1736"/>
      <c r="AN72" s="1736"/>
      <c r="AO72" s="1736"/>
      <c r="AP72" s="1736"/>
      <c r="AQ72" s="1736"/>
      <c r="AR72" s="1736"/>
      <c r="AS72" s="1736"/>
      <c r="AT72" s="1736"/>
      <c r="AU72" s="1736"/>
      <c r="AV72" s="1736"/>
      <c r="AW72" s="1736"/>
      <c r="AX72" s="1736"/>
      <c r="AY72" s="1736"/>
      <c r="AZ72" s="1736"/>
      <c r="BA72" s="1736"/>
      <c r="BB72" s="1736"/>
      <c r="BC72" s="1736"/>
      <c r="BD72" s="1736"/>
      <c r="BE72" s="1736"/>
      <c r="BF72" s="1736"/>
      <c r="BG72" s="1736"/>
      <c r="BH72" s="1736"/>
      <c r="BI72" s="1736"/>
      <c r="BJ72" s="1736"/>
      <c r="BK72" s="1736"/>
      <c r="BL72" s="1736"/>
      <c r="BM72" s="1736"/>
      <c r="BN72" s="1736"/>
      <c r="BO72" s="1736"/>
      <c r="BP72" s="1736"/>
      <c r="BQ72" s="1736"/>
      <c r="BR72" s="1736"/>
      <c r="BS72" s="1736"/>
      <c r="BT72" s="1736"/>
      <c r="BU72" s="1736"/>
      <c r="BV72" s="1736"/>
      <c r="BW72" s="1736"/>
      <c r="BX72" s="1736"/>
      <c r="BY72" s="1736"/>
      <c r="CD72" s="2141" t="s">
        <v>1287</v>
      </c>
      <c r="CE72" s="33">
        <v>1000</v>
      </c>
      <c r="CF72" s="33">
        <v>230</v>
      </c>
      <c r="CG72" s="33">
        <v>20</v>
      </c>
      <c r="CH72" s="323">
        <v>40</v>
      </c>
      <c r="CI72" s="323">
        <v>40</v>
      </c>
      <c r="CJ72" s="323">
        <f t="shared" si="42"/>
        <v>26.666666666666668</v>
      </c>
      <c r="CK72" s="323">
        <v>45</v>
      </c>
      <c r="CL72" s="323">
        <v>60</v>
      </c>
      <c r="CM72" s="1001">
        <v>0.06</v>
      </c>
    </row>
    <row r="73" spans="1:91" ht="18.75">
      <c r="A73" s="175"/>
      <c r="B73" s="1421"/>
      <c r="C73" s="1421"/>
      <c r="D73" s="175"/>
      <c r="E73" s="1421"/>
      <c r="F73" s="1421"/>
      <c r="G73" s="1421"/>
      <c r="H73" s="1421"/>
      <c r="I73" s="1421"/>
      <c r="J73" s="1421"/>
      <c r="K73" s="1421"/>
      <c r="L73" s="1421"/>
      <c r="M73" s="1421"/>
      <c r="N73" s="1421"/>
      <c r="O73" s="1421"/>
      <c r="P73" s="1421"/>
      <c r="Q73" s="1421"/>
      <c r="R73" s="1421"/>
      <c r="S73" s="1421"/>
      <c r="T73" s="1421"/>
      <c r="U73" s="1421"/>
      <c r="V73" s="1421"/>
      <c r="W73" s="1421"/>
      <c r="X73" s="175"/>
      <c r="Y73" s="282"/>
      <c r="Z73" s="638"/>
      <c r="AA73" s="1421"/>
      <c r="AB73" s="1736"/>
      <c r="AC73" s="861"/>
      <c r="AD73" s="861"/>
      <c r="AE73" s="1736"/>
      <c r="AF73" s="1736"/>
      <c r="AG73" s="1736"/>
      <c r="AH73" s="1736"/>
      <c r="AI73" s="1736"/>
      <c r="AJ73" s="1736"/>
      <c r="AK73" s="1736"/>
      <c r="AL73" s="1736"/>
      <c r="AM73" s="1736"/>
      <c r="AN73" s="1736"/>
      <c r="AO73" s="1736"/>
      <c r="AP73" s="1736"/>
      <c r="AQ73" s="1736"/>
      <c r="AR73" s="1736"/>
      <c r="AS73" s="1736"/>
      <c r="AT73" s="1736"/>
      <c r="AU73" s="1736"/>
      <c r="AV73" s="1736"/>
      <c r="AW73" s="1736"/>
      <c r="AX73" s="1736"/>
      <c r="AY73" s="1736"/>
      <c r="AZ73" s="1736"/>
      <c r="BA73" s="1736"/>
      <c r="BB73" s="1736"/>
      <c r="BC73" s="1736"/>
      <c r="BD73" s="1736"/>
      <c r="BE73" s="1736"/>
      <c r="BF73" s="1736"/>
      <c r="BG73" s="1736"/>
      <c r="BH73" s="1736"/>
      <c r="BI73" s="1736"/>
      <c r="BJ73" s="1736"/>
      <c r="BK73" s="1736"/>
      <c r="BL73" s="1736"/>
      <c r="BM73" s="1736"/>
      <c r="BN73" s="1736"/>
      <c r="BO73" s="1736"/>
      <c r="BP73" s="1736"/>
      <c r="BQ73" s="1736"/>
      <c r="BR73" s="1736"/>
      <c r="BS73" s="1736"/>
      <c r="BT73" s="1736"/>
      <c r="BU73" s="1736"/>
      <c r="BV73" s="1736"/>
      <c r="BW73" s="1736"/>
      <c r="BX73" s="1736"/>
      <c r="BY73" s="1736"/>
      <c r="CD73" s="2141" t="s">
        <v>1361</v>
      </c>
      <c r="CE73" s="33">
        <v>0</v>
      </c>
      <c r="CF73" s="33">
        <v>130</v>
      </c>
      <c r="CG73" s="33">
        <v>20</v>
      </c>
      <c r="CH73" s="323">
        <v>20</v>
      </c>
      <c r="CI73" s="323">
        <v>20</v>
      </c>
      <c r="CJ73" s="323">
        <f t="shared" si="42"/>
        <v>13.333333333333334</v>
      </c>
      <c r="CK73" s="323"/>
      <c r="CL73" s="323">
        <v>30</v>
      </c>
      <c r="CM73" s="1001">
        <v>9.1999999999999998E-2</v>
      </c>
    </row>
    <row r="74" spans="1:91" ht="15.75">
      <c r="A74" s="175"/>
      <c r="B74" s="1421"/>
      <c r="C74" s="1421"/>
      <c r="D74" s="175"/>
      <c r="E74" s="1421"/>
      <c r="F74" s="1421"/>
      <c r="G74" s="1421"/>
      <c r="H74" s="1421"/>
      <c r="I74" s="1421"/>
      <c r="J74" s="1421"/>
      <c r="K74" s="1421"/>
      <c r="L74" s="1421"/>
      <c r="M74" s="1421"/>
      <c r="N74" s="1421"/>
      <c r="O74" s="1421"/>
      <c r="P74" s="1421"/>
      <c r="Q74" s="1421"/>
      <c r="R74" s="1421"/>
      <c r="S74" s="1421"/>
      <c r="T74" s="1421"/>
      <c r="U74" s="1421"/>
      <c r="V74" s="1421"/>
      <c r="W74" s="1421"/>
      <c r="X74" s="175"/>
      <c r="Y74" s="282"/>
      <c r="Z74" s="638"/>
      <c r="AA74" s="1421"/>
      <c r="AB74" s="1421"/>
      <c r="AC74" s="1421"/>
      <c r="AD74" s="1421"/>
      <c r="AE74" s="1421"/>
      <c r="AF74" s="1421"/>
      <c r="AG74" s="1421"/>
      <c r="AH74" s="1421"/>
      <c r="AI74" s="1421"/>
      <c r="AJ74" s="1421"/>
      <c r="AK74" s="1421"/>
      <c r="AL74" s="1739"/>
      <c r="AM74" s="1739"/>
      <c r="AN74" s="1739"/>
      <c r="AO74" s="1736"/>
      <c r="AP74" s="1736"/>
      <c r="AQ74" s="1736"/>
      <c r="AR74" s="1736"/>
      <c r="AS74" s="1736"/>
      <c r="AT74" s="1736"/>
      <c r="AU74" s="1736"/>
      <c r="AV74" s="1736"/>
      <c r="AW74" s="1736"/>
      <c r="AX74" s="1736"/>
      <c r="AY74" s="1736"/>
      <c r="AZ74" s="1736"/>
      <c r="BA74" s="1736"/>
      <c r="BB74" s="1736"/>
      <c r="BC74" s="1736"/>
      <c r="BD74" s="1736"/>
      <c r="BE74" s="1736"/>
      <c r="BF74" s="1736"/>
      <c r="BG74" s="1736"/>
      <c r="BH74" s="1736"/>
      <c r="BI74" s="1736"/>
      <c r="BJ74" s="1736"/>
      <c r="BK74" s="1736"/>
      <c r="BL74" s="1736"/>
      <c r="BM74" s="1736"/>
      <c r="BN74" s="1736"/>
      <c r="BO74" s="1736"/>
      <c r="BP74" s="1736"/>
      <c r="BQ74" s="1736"/>
      <c r="BR74" s="1736"/>
      <c r="BS74" s="1736"/>
      <c r="BT74" s="1736"/>
      <c r="BU74" s="1736"/>
      <c r="BV74" s="1736"/>
      <c r="BW74" s="1736"/>
      <c r="BX74" s="1736"/>
      <c r="BY74" s="1736"/>
      <c r="CD74" s="2141" t="s">
        <v>1362</v>
      </c>
      <c r="CE74" s="33"/>
      <c r="CF74" s="33">
        <v>150</v>
      </c>
      <c r="CG74" s="33">
        <v>20</v>
      </c>
      <c r="CH74" s="323">
        <v>20</v>
      </c>
      <c r="CI74" s="323">
        <v>20</v>
      </c>
      <c r="CJ74" s="323">
        <f t="shared" si="42"/>
        <v>13.333333333333334</v>
      </c>
      <c r="CK74" s="323"/>
      <c r="CL74" s="323">
        <v>60</v>
      </c>
      <c r="CM74" s="1001">
        <v>9.1999999999999998E-2</v>
      </c>
    </row>
    <row r="75" spans="1:91" ht="15.75">
      <c r="A75" s="175"/>
      <c r="B75" s="1421"/>
      <c r="C75" s="1421"/>
      <c r="D75" s="175"/>
      <c r="E75" s="1421"/>
      <c r="F75" s="1421"/>
      <c r="G75" s="1421"/>
      <c r="H75" s="1421"/>
      <c r="I75" s="1421"/>
      <c r="J75" s="1421"/>
      <c r="K75" s="1421"/>
      <c r="L75" s="1421"/>
      <c r="M75" s="1421"/>
      <c r="N75" s="1421"/>
      <c r="O75" s="1421"/>
      <c r="P75" s="1421"/>
      <c r="Q75" s="1421"/>
      <c r="R75" s="1421"/>
      <c r="S75" s="1421"/>
      <c r="T75" s="1421"/>
      <c r="U75" s="1421"/>
      <c r="V75" s="1421"/>
      <c r="W75" s="1421"/>
      <c r="X75" s="175"/>
      <c r="Y75" s="282"/>
      <c r="Z75" s="638"/>
      <c r="AA75" s="1421"/>
      <c r="AB75" s="1421"/>
      <c r="AC75" s="1421"/>
      <c r="AD75" s="1421"/>
      <c r="AE75" s="1421"/>
      <c r="AF75" s="1421"/>
      <c r="AG75" s="1421"/>
      <c r="AH75" s="1421"/>
      <c r="AI75" s="1421"/>
      <c r="AJ75" s="1421"/>
      <c r="AK75" s="1421"/>
      <c r="AL75" s="1739"/>
      <c r="AM75" s="1739"/>
      <c r="AN75" s="1739"/>
      <c r="AO75" s="1736"/>
      <c r="AP75" s="1736"/>
      <c r="AQ75" s="1736"/>
      <c r="AR75" s="1736"/>
      <c r="AS75" s="1736"/>
      <c r="AT75" s="1736"/>
      <c r="AU75" s="1736"/>
      <c r="AV75" s="1736"/>
      <c r="AW75" s="1736"/>
      <c r="AX75" s="1736"/>
      <c r="AY75" s="1736"/>
      <c r="AZ75" s="1736"/>
      <c r="BA75" s="1736"/>
      <c r="BB75" s="1736"/>
      <c r="BC75" s="1736"/>
      <c r="BD75" s="1736"/>
      <c r="BE75" s="1736"/>
      <c r="BF75" s="1736"/>
      <c r="BG75" s="1736"/>
      <c r="BH75" s="1736"/>
      <c r="BI75" s="1736"/>
      <c r="BJ75" s="1736"/>
      <c r="BK75" s="1736"/>
      <c r="BL75" s="1736"/>
      <c r="BM75" s="1736"/>
      <c r="BN75" s="1736"/>
      <c r="BO75" s="1736"/>
      <c r="BP75" s="1736"/>
      <c r="BQ75" s="1736"/>
      <c r="BR75" s="1736"/>
      <c r="BS75" s="1736"/>
      <c r="BT75" s="1736"/>
      <c r="BU75" s="1736"/>
      <c r="BV75" s="1736"/>
      <c r="BW75" s="1736"/>
      <c r="BX75" s="1736"/>
      <c r="BY75" s="1736"/>
      <c r="CD75" s="2141" t="s">
        <v>1363</v>
      </c>
      <c r="CE75" s="33">
        <v>100</v>
      </c>
      <c r="CF75" s="33">
        <v>100</v>
      </c>
      <c r="CG75" s="33">
        <v>20</v>
      </c>
      <c r="CH75" s="323">
        <v>20</v>
      </c>
      <c r="CI75" s="323">
        <v>20</v>
      </c>
      <c r="CJ75" s="323">
        <f t="shared" si="42"/>
        <v>13.333333333333334</v>
      </c>
      <c r="CK75" s="323"/>
      <c r="CL75" s="323">
        <v>30</v>
      </c>
      <c r="CM75" s="1001">
        <v>9.1999999999999998E-2</v>
      </c>
    </row>
    <row r="76" spans="1:91" ht="15.75">
      <c r="A76" s="175"/>
      <c r="B76" s="1421"/>
      <c r="C76" s="1421"/>
      <c r="D76" s="175"/>
      <c r="E76" s="1421"/>
      <c r="F76" s="1421"/>
      <c r="G76" s="1421"/>
      <c r="H76" s="1421"/>
      <c r="I76" s="1421"/>
      <c r="J76" s="1421"/>
      <c r="K76" s="1421"/>
      <c r="L76" s="1421"/>
      <c r="M76" s="1421"/>
      <c r="N76" s="1421"/>
      <c r="O76" s="1421"/>
      <c r="P76" s="1421"/>
      <c r="Q76" s="1421"/>
      <c r="R76" s="1421"/>
      <c r="S76" s="1421"/>
      <c r="T76" s="1421"/>
      <c r="U76" s="1421"/>
      <c r="V76" s="1421"/>
      <c r="W76" s="1421"/>
      <c r="X76" s="175"/>
      <c r="Y76" s="282"/>
      <c r="Z76" s="638"/>
      <c r="AA76" s="1421"/>
      <c r="AB76" s="1421"/>
      <c r="AC76" s="1421"/>
      <c r="AD76" s="1421"/>
      <c r="AE76" s="1421"/>
      <c r="AF76" s="1421"/>
      <c r="AG76" s="1421"/>
      <c r="AH76" s="1421"/>
      <c r="AI76" s="1421"/>
      <c r="AJ76" s="1421"/>
      <c r="AK76" s="1421"/>
      <c r="AL76" s="1739"/>
      <c r="AM76" s="1739"/>
      <c r="AN76" s="1739"/>
      <c r="AO76" s="1736"/>
      <c r="AP76" s="1736"/>
      <c r="AQ76" s="1736"/>
      <c r="AR76" s="1736"/>
      <c r="AS76" s="1736"/>
      <c r="AT76" s="1736"/>
      <c r="AU76" s="1736"/>
      <c r="AV76" s="1736"/>
      <c r="AW76" s="1736"/>
      <c r="AX76" s="1736"/>
      <c r="AY76" s="1736"/>
      <c r="AZ76" s="1736"/>
      <c r="BA76" s="1736"/>
      <c r="BB76" s="1736"/>
      <c r="BC76" s="1736"/>
      <c r="BD76" s="1736"/>
      <c r="BE76" s="1736"/>
      <c r="BF76" s="1736"/>
      <c r="BG76" s="1736"/>
      <c r="BH76" s="1736"/>
      <c r="BI76" s="1736"/>
      <c r="BJ76" s="1736"/>
      <c r="BK76" s="1736"/>
      <c r="BL76" s="1736"/>
      <c r="BM76" s="1736"/>
      <c r="BN76" s="1736"/>
      <c r="BO76" s="1736"/>
      <c r="BP76" s="1736"/>
      <c r="BQ76" s="1736"/>
      <c r="BR76" s="1736"/>
      <c r="BS76" s="1736"/>
      <c r="BT76" s="1736"/>
      <c r="BU76" s="1736"/>
      <c r="BV76" s="1736"/>
      <c r="BW76" s="1736"/>
      <c r="BX76" s="1736"/>
      <c r="BY76" s="1736"/>
      <c r="CD76" s="2141" t="s">
        <v>1364</v>
      </c>
      <c r="CE76" s="33"/>
      <c r="CF76" s="33">
        <v>170</v>
      </c>
      <c r="CG76" s="33">
        <v>20</v>
      </c>
      <c r="CH76" s="323">
        <v>20</v>
      </c>
      <c r="CI76" s="323">
        <v>20</v>
      </c>
      <c r="CJ76" s="323">
        <f t="shared" si="42"/>
        <v>13.333333333333334</v>
      </c>
      <c r="CK76" s="323"/>
      <c r="CL76" s="323">
        <v>90</v>
      </c>
      <c r="CM76" s="1001">
        <v>9.1999999999999998E-2</v>
      </c>
    </row>
    <row r="77" spans="1:91" ht="15.75">
      <c r="A77" s="175"/>
      <c r="B77" s="1421"/>
      <c r="C77" s="1421"/>
      <c r="D77" s="175"/>
      <c r="E77" s="1421"/>
      <c r="F77" s="1421"/>
      <c r="G77" s="1421"/>
      <c r="H77" s="1421"/>
      <c r="I77" s="1421"/>
      <c r="J77" s="1421"/>
      <c r="K77" s="1421"/>
      <c r="L77" s="1421"/>
      <c r="M77" s="1421"/>
      <c r="N77" s="1421"/>
      <c r="O77" s="1421"/>
      <c r="P77" s="1421"/>
      <c r="Q77" s="1421"/>
      <c r="R77" s="1421"/>
      <c r="S77" s="1421"/>
      <c r="T77" s="1421"/>
      <c r="U77" s="1421"/>
      <c r="V77" s="1421"/>
      <c r="W77" s="1421"/>
      <c r="X77" s="175"/>
      <c r="Y77" s="282"/>
      <c r="Z77" s="638"/>
      <c r="AA77" s="1421"/>
      <c r="AB77" s="1421"/>
      <c r="AC77" s="1421"/>
      <c r="AD77" s="1421"/>
      <c r="AE77" s="1421"/>
      <c r="AF77" s="1421"/>
      <c r="AG77" s="1421"/>
      <c r="AH77" s="1421"/>
      <c r="AI77" s="1421"/>
      <c r="AJ77" s="1421"/>
      <c r="AK77" s="1736"/>
      <c r="AL77" s="1739"/>
      <c r="AM77" s="1739"/>
      <c r="AN77" s="1739"/>
      <c r="AO77" s="1736"/>
      <c r="AP77" s="1739"/>
      <c r="AQ77" s="1739"/>
      <c r="AR77" s="1736"/>
      <c r="AS77" s="1736"/>
      <c r="AT77" s="1736"/>
      <c r="AU77" s="1736"/>
      <c r="AV77" s="1736"/>
      <c r="AW77" s="1736"/>
      <c r="AX77" s="1736"/>
      <c r="AY77" s="1736"/>
      <c r="AZ77" s="1736"/>
      <c r="BA77" s="1736"/>
      <c r="BB77" s="1736"/>
      <c r="BC77" s="1736"/>
      <c r="BD77" s="1736"/>
      <c r="BE77" s="1736"/>
      <c r="BF77" s="1736"/>
      <c r="BG77" s="1736"/>
      <c r="BH77" s="1736"/>
      <c r="BI77" s="1736"/>
      <c r="BJ77" s="1736"/>
      <c r="BK77" s="1736"/>
      <c r="BL77" s="1736"/>
      <c r="BM77" s="1736"/>
      <c r="BN77" s="1736"/>
      <c r="BO77" s="1736"/>
      <c r="BP77" s="1736"/>
      <c r="BQ77" s="1736"/>
      <c r="BR77" s="1736"/>
      <c r="BS77" s="1736"/>
      <c r="BT77" s="1736"/>
      <c r="BU77" s="1421"/>
      <c r="BV77" s="1421"/>
      <c r="BW77" s="1421"/>
      <c r="BX77" s="1421"/>
      <c r="BY77" s="1421"/>
      <c r="CD77" s="2141" t="s">
        <v>1365</v>
      </c>
      <c r="CE77" s="33">
        <v>200</v>
      </c>
      <c r="CF77" s="33">
        <v>120</v>
      </c>
      <c r="CG77" s="33">
        <v>20</v>
      </c>
      <c r="CH77" s="323">
        <v>20</v>
      </c>
      <c r="CI77" s="323">
        <v>20</v>
      </c>
      <c r="CJ77" s="323">
        <f t="shared" si="42"/>
        <v>13.333333333333334</v>
      </c>
      <c r="CK77" s="323"/>
      <c r="CL77" s="323">
        <v>60</v>
      </c>
      <c r="CM77" s="1001">
        <v>9.1999999999999998E-2</v>
      </c>
    </row>
    <row r="78" spans="1:91" ht="15.75">
      <c r="A78" s="175"/>
      <c r="B78" s="1421"/>
      <c r="C78" s="1421"/>
      <c r="D78" s="175"/>
      <c r="E78" s="1421"/>
      <c r="F78" s="1421"/>
      <c r="G78" s="1421"/>
      <c r="H78" s="1421"/>
      <c r="I78" s="1421"/>
      <c r="J78" s="1421"/>
      <c r="K78" s="1421"/>
      <c r="L78" s="1421"/>
      <c r="M78" s="1421"/>
      <c r="N78" s="1421"/>
      <c r="O78" s="1421"/>
      <c r="P78" s="1421"/>
      <c r="Q78" s="1421"/>
      <c r="R78" s="1421"/>
      <c r="S78" s="1421"/>
      <c r="T78" s="1421"/>
      <c r="U78" s="1421"/>
      <c r="V78" s="1421"/>
      <c r="W78" s="1421"/>
      <c r="X78" s="175"/>
      <c r="Y78" s="282"/>
      <c r="Z78" s="638"/>
      <c r="AA78" s="1421"/>
      <c r="AB78" s="1421"/>
      <c r="AC78" s="1736"/>
      <c r="AD78" s="1736"/>
      <c r="AE78" s="1421"/>
      <c r="AF78" s="1421"/>
      <c r="AG78" s="1421"/>
      <c r="AH78" s="1421"/>
      <c r="AI78" s="1421"/>
      <c r="AJ78" s="1421"/>
      <c r="AK78" s="1736"/>
      <c r="AL78" s="1739"/>
      <c r="AM78" s="1739"/>
      <c r="AN78" s="1739"/>
      <c r="AO78" s="1736"/>
      <c r="AP78" s="1736"/>
      <c r="AQ78" s="1736"/>
      <c r="AR78" s="1736"/>
      <c r="AS78" s="1736"/>
      <c r="AT78" s="1736"/>
      <c r="AU78" s="1736"/>
      <c r="AV78" s="1421"/>
      <c r="AW78" s="1421"/>
      <c r="AX78" s="1421"/>
      <c r="AY78" s="1421"/>
      <c r="AZ78" s="1421"/>
      <c r="BA78" s="1421"/>
      <c r="BB78" s="1421"/>
      <c r="BC78" s="1421"/>
      <c r="BD78" s="1421"/>
      <c r="BE78" s="1421"/>
      <c r="BF78" s="1421"/>
      <c r="BG78" s="1421"/>
      <c r="BH78" s="1421"/>
      <c r="BI78" s="1421"/>
      <c r="BJ78" s="1421"/>
      <c r="BK78" s="1421"/>
      <c r="BL78" s="1421"/>
      <c r="BM78" s="1421"/>
      <c r="BN78" s="1421"/>
      <c r="BO78" s="1421"/>
      <c r="BP78" s="1421"/>
      <c r="BQ78" s="1421"/>
      <c r="BR78" s="1421"/>
      <c r="BS78" s="1421"/>
      <c r="BT78" s="1421"/>
      <c r="BU78" s="1421"/>
      <c r="BV78" s="1421"/>
      <c r="BW78" s="1421"/>
      <c r="BX78" s="1421"/>
      <c r="BY78" s="1421"/>
      <c r="CD78" s="2141" t="s">
        <v>1366</v>
      </c>
      <c r="CE78" s="33"/>
      <c r="CF78" s="33">
        <v>140</v>
      </c>
      <c r="CG78" s="33">
        <v>20</v>
      </c>
      <c r="CH78" s="323">
        <v>20</v>
      </c>
      <c r="CI78" s="323">
        <v>20</v>
      </c>
      <c r="CJ78" s="323">
        <f t="shared" si="42"/>
        <v>13.333333333333334</v>
      </c>
      <c r="CK78" s="323"/>
      <c r="CL78" s="323">
        <v>90</v>
      </c>
      <c r="CM78" s="1001">
        <v>9.1999999999999998E-2</v>
      </c>
    </row>
    <row r="79" spans="1:91" ht="15.75">
      <c r="A79" s="175"/>
      <c r="B79" s="1421"/>
      <c r="C79" s="1421"/>
      <c r="D79" s="175"/>
      <c r="E79" s="1421"/>
      <c r="F79" s="1421"/>
      <c r="G79" s="1421"/>
      <c r="H79" s="1421"/>
      <c r="I79" s="1421"/>
      <c r="J79" s="1421"/>
      <c r="K79" s="1421"/>
      <c r="L79" s="1421"/>
      <c r="M79" s="1421"/>
      <c r="N79" s="1421"/>
      <c r="O79" s="1421"/>
      <c r="P79" s="1421"/>
      <c r="Q79" s="1421"/>
      <c r="R79" s="1421"/>
      <c r="S79" s="1421"/>
      <c r="T79" s="1421"/>
      <c r="U79" s="1421"/>
      <c r="V79" s="1421"/>
      <c r="W79" s="1421"/>
      <c r="X79" s="175"/>
      <c r="Y79" s="282"/>
      <c r="Z79" s="638"/>
      <c r="AA79" s="1421"/>
      <c r="AB79" s="1421"/>
      <c r="AC79" s="201"/>
      <c r="AD79" s="201"/>
      <c r="AE79" s="1421"/>
      <c r="AF79" s="1421"/>
      <c r="AG79" s="1421"/>
      <c r="AH79" s="1421"/>
      <c r="AI79" s="1421"/>
      <c r="AJ79" s="1421"/>
      <c r="AK79" s="1736"/>
      <c r="AL79" s="1739"/>
      <c r="AM79" s="1739"/>
      <c r="AN79" s="1739"/>
      <c r="AO79" s="1736"/>
      <c r="AP79" s="1736"/>
      <c r="AQ79" s="1736"/>
      <c r="AR79" s="1736"/>
      <c r="AS79" s="1736"/>
      <c r="AT79" s="1736"/>
      <c r="AU79" s="1736"/>
      <c r="AV79" s="1421"/>
      <c r="AW79" s="1421"/>
      <c r="AX79" s="1421"/>
      <c r="AY79" s="1421"/>
      <c r="AZ79" s="1421"/>
      <c r="BA79" s="1421"/>
      <c r="BB79" s="1421"/>
      <c r="BC79" s="1421"/>
      <c r="BD79" s="1421"/>
      <c r="BE79" s="1421"/>
      <c r="BF79" s="1421"/>
      <c r="BG79" s="1421"/>
      <c r="BH79" s="1421"/>
      <c r="BI79" s="1421"/>
      <c r="BJ79" s="1421"/>
      <c r="BK79" s="1421"/>
      <c r="BL79" s="1421"/>
      <c r="BM79" s="1421"/>
      <c r="BN79" s="1421"/>
      <c r="BO79" s="1421"/>
      <c r="BP79" s="1421"/>
      <c r="BQ79" s="1421"/>
      <c r="BR79" s="1421"/>
      <c r="BS79" s="1421"/>
      <c r="BT79" s="1421"/>
      <c r="BU79" s="1421"/>
      <c r="BV79" s="1421"/>
      <c r="BW79" s="1421"/>
      <c r="BX79" s="1421"/>
      <c r="BY79" s="1421"/>
      <c r="CD79" s="2141" t="s">
        <v>1367</v>
      </c>
      <c r="CE79" s="33">
        <v>350</v>
      </c>
      <c r="CF79" s="33">
        <v>140</v>
      </c>
      <c r="CG79" s="33">
        <v>20</v>
      </c>
      <c r="CH79" s="323">
        <v>20</v>
      </c>
      <c r="CI79" s="323">
        <v>20</v>
      </c>
      <c r="CJ79" s="323">
        <f t="shared" si="42"/>
        <v>13.333333333333334</v>
      </c>
      <c r="CK79" s="323"/>
      <c r="CL79" s="323">
        <v>60</v>
      </c>
      <c r="CM79" s="1001">
        <v>9.1999999999999998E-2</v>
      </c>
    </row>
    <row r="80" spans="1:91" ht="15.75">
      <c r="A80" s="175"/>
      <c r="B80" s="1421"/>
      <c r="C80" s="1421"/>
      <c r="D80" s="175"/>
      <c r="E80" s="1421"/>
      <c r="F80" s="1421"/>
      <c r="G80" s="1421"/>
      <c r="H80" s="1421"/>
      <c r="I80" s="1421"/>
      <c r="J80" s="1421"/>
      <c r="K80" s="1421"/>
      <c r="L80" s="1421"/>
      <c r="M80" s="1421"/>
      <c r="N80" s="1421"/>
      <c r="O80" s="1421"/>
      <c r="P80" s="1421"/>
      <c r="Q80" s="1421"/>
      <c r="R80" s="1421"/>
      <c r="S80" s="1421"/>
      <c r="T80" s="1421"/>
      <c r="U80" s="1421"/>
      <c r="V80" s="1421"/>
      <c r="W80" s="1421"/>
      <c r="X80" s="175"/>
      <c r="Y80" s="282"/>
      <c r="Z80" s="638"/>
      <c r="AA80" s="1421"/>
      <c r="AB80" s="1421"/>
      <c r="AC80" s="201"/>
      <c r="AD80" s="201"/>
      <c r="AE80" s="1421"/>
      <c r="AF80" s="1421"/>
      <c r="AG80" s="1421"/>
      <c r="AH80" s="1421"/>
      <c r="AI80" s="1421"/>
      <c r="AJ80" s="1421"/>
      <c r="AK80" s="1736"/>
      <c r="AL80" s="1736"/>
      <c r="AM80" s="1736"/>
      <c r="AN80" s="1736"/>
      <c r="AO80" s="1736"/>
      <c r="AP80" s="1736"/>
      <c r="AQ80" s="1736"/>
      <c r="AR80" s="1736"/>
      <c r="AS80" s="1736"/>
      <c r="AT80" s="1736"/>
      <c r="AU80" s="1736"/>
      <c r="AV80" s="1421"/>
      <c r="AW80" s="1421"/>
      <c r="AX80" s="1421"/>
      <c r="AY80" s="1421"/>
      <c r="AZ80" s="1421"/>
      <c r="BA80" s="1421"/>
      <c r="BB80" s="1421"/>
      <c r="BC80" s="1421"/>
      <c r="BD80" s="1421"/>
      <c r="BE80" s="1421"/>
      <c r="BF80" s="1421"/>
      <c r="BG80" s="1421"/>
      <c r="BH80" s="1421"/>
      <c r="BI80" s="1421"/>
      <c r="BJ80" s="1421"/>
      <c r="BK80" s="1421"/>
      <c r="BL80" s="1421"/>
      <c r="BM80" s="1421"/>
      <c r="BN80" s="1421"/>
      <c r="BO80" s="1421"/>
      <c r="BP80" s="1421"/>
      <c r="BQ80" s="1421"/>
      <c r="BR80" s="1421"/>
      <c r="BS80" s="1421"/>
      <c r="BT80" s="1421"/>
      <c r="BU80" s="1736"/>
      <c r="BV80" s="1736"/>
      <c r="BW80" s="1736"/>
      <c r="BX80" s="1736"/>
      <c r="BY80" s="1736"/>
      <c r="CD80" s="2141" t="s">
        <v>1288</v>
      </c>
      <c r="CE80" s="33">
        <v>250</v>
      </c>
      <c r="CF80" s="33">
        <v>310</v>
      </c>
      <c r="CG80" s="33">
        <v>20</v>
      </c>
      <c r="CH80" s="323">
        <v>40</v>
      </c>
      <c r="CI80" s="323">
        <v>40</v>
      </c>
      <c r="CJ80" s="323">
        <f t="shared" si="42"/>
        <v>26.666666666666668</v>
      </c>
      <c r="CK80" s="323">
        <v>130</v>
      </c>
      <c r="CL80" s="323">
        <v>90</v>
      </c>
      <c r="CM80" s="1001">
        <v>0.19500000000000001</v>
      </c>
    </row>
    <row r="81" spans="1:91">
      <c r="A81" s="175"/>
      <c r="B81" s="1421"/>
      <c r="C81" s="1421"/>
      <c r="D81" s="175"/>
      <c r="E81" s="1421"/>
      <c r="F81" s="1421"/>
      <c r="G81" s="1421"/>
      <c r="H81" s="1421"/>
      <c r="I81" s="1421"/>
      <c r="J81" s="1421"/>
      <c r="K81" s="1421"/>
      <c r="L81" s="1421"/>
      <c r="M81" s="1421"/>
      <c r="N81" s="1421"/>
      <c r="O81" s="1421"/>
      <c r="P81" s="1421"/>
      <c r="Q81" s="1421"/>
      <c r="R81" s="1421"/>
      <c r="S81" s="1421"/>
      <c r="T81" s="1421"/>
      <c r="U81" s="1421"/>
      <c r="V81" s="1421"/>
      <c r="W81" s="1421"/>
      <c r="X81" s="175"/>
      <c r="Y81" s="282"/>
      <c r="Z81" s="638"/>
      <c r="AA81" s="1421"/>
      <c r="AB81" s="1421"/>
      <c r="AC81" s="1736"/>
      <c r="AD81" s="1736"/>
      <c r="AE81" s="1421"/>
      <c r="AF81" s="1421"/>
      <c r="AG81" s="1421"/>
      <c r="AH81" s="1421"/>
      <c r="AI81" s="1421"/>
      <c r="AJ81" s="1421"/>
      <c r="AK81" s="1736"/>
      <c r="AL81" s="1421"/>
      <c r="AM81" s="1421"/>
      <c r="AN81" s="1421"/>
      <c r="AO81" s="1421"/>
      <c r="AP81" s="1736"/>
      <c r="AQ81" s="1736"/>
      <c r="AR81" s="1736"/>
      <c r="AS81" s="1736"/>
      <c r="AT81" s="1736"/>
      <c r="AU81" s="1736"/>
      <c r="AV81" s="1736"/>
      <c r="AW81" s="1736"/>
      <c r="AX81" s="1736"/>
      <c r="AY81" s="1736"/>
      <c r="AZ81" s="1736"/>
      <c r="BA81" s="1736"/>
      <c r="BB81" s="1736"/>
      <c r="BC81" s="1736"/>
      <c r="BD81" s="1736"/>
      <c r="BE81" s="1736"/>
      <c r="BF81" s="1736"/>
      <c r="BG81" s="1736"/>
      <c r="BH81" s="1736"/>
      <c r="BI81" s="1736"/>
      <c r="BJ81" s="1736"/>
      <c r="BK81" s="1736"/>
      <c r="BL81" s="1736"/>
      <c r="BM81" s="1736"/>
      <c r="BN81" s="1736"/>
      <c r="BO81" s="1736"/>
      <c r="BP81" s="1736"/>
      <c r="BQ81" s="1736"/>
      <c r="BR81" s="1736"/>
      <c r="BS81" s="1736"/>
      <c r="BT81" s="1736"/>
      <c r="BU81" s="1736"/>
      <c r="BV81" s="1736"/>
      <c r="BW81" s="1736"/>
      <c r="BX81" s="1736"/>
      <c r="BY81" s="1736"/>
      <c r="CD81" s="2159" t="s">
        <v>1663</v>
      </c>
      <c r="CE81" s="33">
        <v>80</v>
      </c>
      <c r="CF81" s="33">
        <v>65</v>
      </c>
      <c r="CG81" s="33">
        <v>10</v>
      </c>
      <c r="CH81" s="2153">
        <v>7</v>
      </c>
      <c r="CI81" s="2153">
        <v>7</v>
      </c>
      <c r="CJ81" s="2152">
        <v>0</v>
      </c>
      <c r="CK81" s="2152">
        <v>0</v>
      </c>
      <c r="CL81" s="2152">
        <v>30</v>
      </c>
      <c r="CM81" s="2155">
        <v>0.09</v>
      </c>
    </row>
    <row r="82" spans="1:91">
      <c r="A82" s="175"/>
      <c r="B82" s="1421"/>
      <c r="C82" s="1421"/>
      <c r="D82" s="175"/>
      <c r="E82" s="1421"/>
      <c r="F82" s="1421"/>
      <c r="G82" s="1421"/>
      <c r="H82" s="1421"/>
      <c r="I82" s="1421"/>
      <c r="J82" s="1421"/>
      <c r="K82" s="1421"/>
      <c r="L82" s="1421"/>
      <c r="M82" s="1421"/>
      <c r="N82" s="1421"/>
      <c r="O82" s="1421"/>
      <c r="P82" s="1421"/>
      <c r="Q82" s="1421"/>
      <c r="R82" s="1421"/>
      <c r="S82" s="1421"/>
      <c r="T82" s="1421"/>
      <c r="U82" s="1421"/>
      <c r="V82" s="1421"/>
      <c r="W82" s="1421"/>
      <c r="X82" s="175"/>
      <c r="Y82" s="282"/>
      <c r="Z82" s="638"/>
      <c r="AA82" s="1421"/>
      <c r="AB82" s="1421"/>
      <c r="AC82" s="1736"/>
      <c r="AD82" s="1736"/>
      <c r="AE82" s="1421"/>
      <c r="AF82" s="1421"/>
      <c r="AG82" s="1421"/>
      <c r="AH82" s="1421"/>
      <c r="AI82" s="1421"/>
      <c r="AJ82" s="1421"/>
      <c r="AK82" s="1421"/>
      <c r="AL82" s="1421"/>
      <c r="AM82" s="1421"/>
      <c r="AN82" s="1421"/>
      <c r="AO82" s="1421"/>
      <c r="AP82" s="1736"/>
      <c r="AQ82" s="1736"/>
      <c r="AR82" s="1736"/>
      <c r="AS82" s="1736"/>
      <c r="AT82" s="1736"/>
      <c r="AU82" s="1736"/>
      <c r="AV82" s="1736"/>
      <c r="AW82" s="1736"/>
      <c r="AX82" s="1736"/>
      <c r="AY82" s="1736"/>
      <c r="AZ82" s="1736"/>
      <c r="BA82" s="1736"/>
      <c r="BB82" s="1736"/>
      <c r="BC82" s="1736"/>
      <c r="BD82" s="1736"/>
      <c r="BE82" s="1736"/>
      <c r="BF82" s="1736"/>
      <c r="BG82" s="1736"/>
      <c r="BH82" s="1736"/>
      <c r="BI82" s="1736"/>
      <c r="BJ82" s="1736"/>
      <c r="BK82" s="1736"/>
      <c r="BL82" s="1736"/>
      <c r="BM82" s="1736"/>
      <c r="BN82" s="1736"/>
      <c r="BO82" s="1736"/>
      <c r="BP82" s="1736"/>
      <c r="BQ82" s="1736"/>
      <c r="BR82" s="1736"/>
      <c r="BS82" s="1736"/>
      <c r="BT82" s="1736"/>
      <c r="BU82" s="1736"/>
      <c r="BV82" s="1736"/>
      <c r="BW82" s="1736"/>
      <c r="BX82" s="1736"/>
      <c r="BY82" s="1736"/>
      <c r="CD82" s="2141" t="s">
        <v>1368</v>
      </c>
      <c r="CE82" s="33">
        <v>600</v>
      </c>
      <c r="CF82" s="33">
        <v>250</v>
      </c>
      <c r="CG82" s="33">
        <v>20</v>
      </c>
      <c r="CH82" s="323">
        <v>20</v>
      </c>
      <c r="CI82" s="323">
        <v>20</v>
      </c>
      <c r="CJ82" s="323">
        <f>CI82*2/3</f>
        <v>13.333333333333334</v>
      </c>
      <c r="CK82" s="323">
        <v>50</v>
      </c>
      <c r="CL82" s="323">
        <v>60</v>
      </c>
      <c r="CM82" s="1001">
        <v>0.115</v>
      </c>
    </row>
    <row r="83" spans="1:91">
      <c r="A83" s="175"/>
      <c r="B83" s="1421"/>
      <c r="C83" s="1421"/>
      <c r="D83" s="175"/>
      <c r="E83" s="1421"/>
      <c r="F83" s="1421"/>
      <c r="G83" s="1421"/>
      <c r="H83" s="1421"/>
      <c r="I83" s="1421"/>
      <c r="J83" s="1421"/>
      <c r="K83" s="1421"/>
      <c r="L83" s="1421"/>
      <c r="M83" s="1421"/>
      <c r="N83" s="1421"/>
      <c r="O83" s="1421"/>
      <c r="P83" s="1421"/>
      <c r="Q83" s="1421"/>
      <c r="R83" s="1421"/>
      <c r="S83" s="1421"/>
      <c r="T83" s="1421"/>
      <c r="U83" s="1421"/>
      <c r="V83" s="1421"/>
      <c r="W83" s="1421"/>
      <c r="X83" s="175"/>
      <c r="Y83" s="282"/>
      <c r="Z83" s="638"/>
      <c r="AA83" s="1421"/>
      <c r="AB83" s="1421"/>
      <c r="AC83" s="1421"/>
      <c r="AD83" s="1421"/>
      <c r="AE83" s="1421"/>
      <c r="AF83" s="1421"/>
      <c r="AG83" s="1421"/>
      <c r="AH83" s="1421"/>
      <c r="AI83" s="1421"/>
      <c r="AJ83" s="1421"/>
      <c r="AK83" s="1421"/>
      <c r="AL83" s="1421"/>
      <c r="AM83" s="1421"/>
      <c r="AN83" s="1421"/>
      <c r="AO83" s="1421"/>
      <c r="AP83" s="1736"/>
      <c r="AQ83" s="1736"/>
      <c r="AR83" s="1736"/>
      <c r="AS83" s="1736"/>
      <c r="AT83" s="1736"/>
      <c r="AU83" s="1736"/>
      <c r="AV83" s="1736"/>
      <c r="AW83" s="1736"/>
      <c r="AX83" s="1736"/>
      <c r="AY83" s="1736"/>
      <c r="AZ83" s="1736"/>
      <c r="BA83" s="1736"/>
      <c r="BB83" s="1736"/>
      <c r="BC83" s="1736"/>
      <c r="BD83" s="1736"/>
      <c r="BE83" s="1736"/>
      <c r="BF83" s="1736"/>
      <c r="BG83" s="1736"/>
      <c r="BH83" s="1736"/>
      <c r="BI83" s="1736"/>
      <c r="BJ83" s="1736"/>
      <c r="BK83" s="1736"/>
      <c r="BL83" s="1736"/>
      <c r="BM83" s="1736"/>
      <c r="BN83" s="1736"/>
      <c r="BO83" s="1736"/>
      <c r="BP83" s="1736"/>
      <c r="BQ83" s="1736"/>
      <c r="BR83" s="1736"/>
      <c r="BS83" s="1736"/>
      <c r="BT83" s="1736"/>
      <c r="BU83" s="1421"/>
      <c r="BV83" s="1421"/>
      <c r="BW83" s="1421"/>
      <c r="BX83" s="1421"/>
      <c r="BY83" s="1421"/>
      <c r="CD83" s="2141" t="s">
        <v>1664</v>
      </c>
      <c r="CE83" s="33">
        <v>400</v>
      </c>
      <c r="CF83" s="33">
        <v>150</v>
      </c>
      <c r="CG83" s="33">
        <v>20</v>
      </c>
      <c r="CH83" s="323">
        <v>20</v>
      </c>
      <c r="CI83" s="323">
        <v>20</v>
      </c>
      <c r="CJ83" s="323">
        <v>16.666666666666668</v>
      </c>
      <c r="CK83" s="323">
        <v>25</v>
      </c>
      <c r="CL83" s="323">
        <v>60</v>
      </c>
      <c r="CM83" s="2146">
        <v>0.115</v>
      </c>
    </row>
    <row r="84" spans="1:91">
      <c r="A84" s="175"/>
      <c r="B84" s="1421"/>
      <c r="C84" s="1421"/>
      <c r="D84" s="175"/>
      <c r="E84" s="1421"/>
      <c r="F84" s="1421"/>
      <c r="G84" s="1421"/>
      <c r="H84" s="1421"/>
      <c r="I84" s="1421"/>
      <c r="J84" s="1421"/>
      <c r="K84" s="1421"/>
      <c r="L84" s="1421"/>
      <c r="M84" s="1421"/>
      <c r="N84" s="1421"/>
      <c r="O84" s="1421"/>
      <c r="P84" s="1421"/>
      <c r="Q84" s="1421"/>
      <c r="R84" s="1421"/>
      <c r="S84" s="1421"/>
      <c r="T84" s="1421"/>
      <c r="U84" s="1421"/>
      <c r="V84" s="1421"/>
      <c r="W84" s="1421"/>
      <c r="X84" s="175"/>
      <c r="Y84" s="282"/>
      <c r="Z84" s="638"/>
      <c r="AA84" s="1421"/>
      <c r="AB84" s="1421"/>
      <c r="AC84" s="1421"/>
      <c r="AD84" s="1421"/>
      <c r="AE84" s="1421"/>
      <c r="AF84" s="1421"/>
      <c r="AG84" s="1421"/>
      <c r="AH84" s="1421"/>
      <c r="AI84" s="1421"/>
      <c r="AJ84" s="1421"/>
      <c r="AK84" s="1421"/>
      <c r="AL84" s="1421"/>
      <c r="AM84" s="1421"/>
      <c r="AN84" s="1421"/>
      <c r="AO84" s="1421"/>
      <c r="AP84" s="1736"/>
      <c r="AQ84" s="1736"/>
      <c r="AR84" s="1736"/>
      <c r="AS84" s="1736"/>
      <c r="AT84" s="1736"/>
      <c r="AU84" s="1736"/>
      <c r="AV84" s="1421"/>
      <c r="AW84" s="1421"/>
      <c r="AX84" s="1421"/>
      <c r="AY84" s="1421"/>
      <c r="AZ84" s="1421"/>
      <c r="BA84" s="1421"/>
      <c r="BB84" s="1421"/>
      <c r="BC84" s="1421"/>
      <c r="BD84" s="1421"/>
      <c r="BE84" s="1421"/>
      <c r="BF84" s="1421"/>
      <c r="BG84" s="1421"/>
      <c r="BH84" s="1421"/>
      <c r="BI84" s="1421"/>
      <c r="BJ84" s="1421"/>
      <c r="BK84" s="1421"/>
      <c r="BL84" s="1421"/>
      <c r="BM84" s="1421"/>
      <c r="BN84" s="1421"/>
      <c r="BO84" s="1421"/>
      <c r="BP84" s="1421"/>
      <c r="BQ84" s="1421"/>
      <c r="BR84" s="1421"/>
      <c r="BS84" s="1421"/>
      <c r="BT84" s="1421"/>
      <c r="BU84" s="1421"/>
      <c r="BV84" s="1421"/>
      <c r="BW84" s="1421"/>
      <c r="BX84" s="1421"/>
      <c r="BY84" s="1421"/>
      <c r="CD84" s="2141" t="s">
        <v>1665</v>
      </c>
      <c r="CE84" s="33">
        <v>500</v>
      </c>
      <c r="CF84" s="33">
        <v>140</v>
      </c>
      <c r="CG84" s="33">
        <v>20</v>
      </c>
      <c r="CH84" s="323">
        <v>20</v>
      </c>
      <c r="CI84" s="323">
        <v>20</v>
      </c>
      <c r="CJ84" s="323">
        <v>10</v>
      </c>
      <c r="CK84" s="323">
        <v>15</v>
      </c>
      <c r="CL84" s="323">
        <v>60</v>
      </c>
      <c r="CM84" s="2146">
        <v>0.1</v>
      </c>
    </row>
    <row r="85" spans="1:91">
      <c r="A85" s="175"/>
      <c r="B85" s="1421"/>
      <c r="C85" s="1421"/>
      <c r="D85" s="175"/>
      <c r="E85" s="1421"/>
      <c r="F85" s="1421"/>
      <c r="G85" s="1421"/>
      <c r="H85" s="1421"/>
      <c r="I85" s="1421"/>
      <c r="J85" s="1421"/>
      <c r="K85" s="1421"/>
      <c r="L85" s="1421"/>
      <c r="M85" s="1421"/>
      <c r="N85" s="1421"/>
      <c r="O85" s="1421"/>
      <c r="P85" s="1421"/>
      <c r="Q85" s="1421"/>
      <c r="R85" s="1421"/>
      <c r="S85" s="1421"/>
      <c r="T85" s="1421"/>
      <c r="U85" s="1421"/>
      <c r="V85" s="1421"/>
      <c r="W85" s="1421"/>
      <c r="X85" s="175"/>
      <c r="Y85" s="282"/>
      <c r="Z85" s="638"/>
      <c r="AA85" s="1421"/>
      <c r="AB85" s="1421"/>
      <c r="AC85" s="1421"/>
      <c r="AD85" s="1421"/>
      <c r="AE85" s="1421"/>
      <c r="AF85" s="1421"/>
      <c r="AG85" s="1421"/>
      <c r="AH85" s="1421"/>
      <c r="AI85" s="1421"/>
      <c r="AJ85" s="1421"/>
      <c r="AK85" s="1421"/>
      <c r="AL85" s="1421"/>
      <c r="AM85" s="1421"/>
      <c r="AN85" s="1421"/>
      <c r="AO85" s="1421"/>
      <c r="AP85" s="1736"/>
      <c r="AQ85" s="1736"/>
      <c r="AR85" s="1736"/>
      <c r="AS85" s="1736"/>
      <c r="AT85" s="1736"/>
      <c r="AU85" s="1736"/>
      <c r="AV85" s="1421"/>
      <c r="AW85" s="1421"/>
      <c r="AX85" s="1421"/>
      <c r="AY85" s="1421"/>
      <c r="AZ85" s="1421"/>
      <c r="BA85" s="1421"/>
      <c r="BB85" s="1421"/>
      <c r="BC85" s="1421"/>
      <c r="BD85" s="1421"/>
      <c r="BE85" s="1421"/>
      <c r="BF85" s="1421"/>
      <c r="BG85" s="1421"/>
      <c r="BH85" s="1421"/>
      <c r="BI85" s="1421"/>
      <c r="BJ85" s="1421"/>
      <c r="BK85" s="1421"/>
      <c r="BL85" s="1421"/>
      <c r="BM85" s="1421"/>
      <c r="BN85" s="1421"/>
      <c r="BO85" s="1421"/>
      <c r="BP85" s="1421"/>
      <c r="BQ85" s="1421"/>
      <c r="BR85" s="1421"/>
      <c r="BS85" s="1421"/>
      <c r="BT85" s="1421"/>
      <c r="BU85" s="1421"/>
      <c r="BV85" s="1421"/>
      <c r="BW85" s="1421"/>
      <c r="BX85" s="1421"/>
      <c r="BY85" s="1421"/>
      <c r="CD85" s="2141" t="s">
        <v>1289</v>
      </c>
      <c r="CE85" s="33">
        <v>600</v>
      </c>
      <c r="CF85" s="33">
        <v>260</v>
      </c>
      <c r="CG85" s="33">
        <v>20</v>
      </c>
      <c r="CH85" s="323">
        <v>40</v>
      </c>
      <c r="CI85" s="323">
        <v>40</v>
      </c>
      <c r="CJ85" s="323">
        <f t="shared" ref="CJ85:CJ91" si="43">CI85*2/3</f>
        <v>26.666666666666668</v>
      </c>
      <c r="CK85" s="323">
        <v>60</v>
      </c>
      <c r="CL85" s="323">
        <v>60</v>
      </c>
      <c r="CM85" s="1001">
        <v>0.08</v>
      </c>
    </row>
    <row r="86" spans="1:91">
      <c r="A86" s="175"/>
      <c r="B86" s="1421"/>
      <c r="C86" s="1421"/>
      <c r="D86" s="175"/>
      <c r="E86" s="1421"/>
      <c r="F86" s="1421"/>
      <c r="G86" s="1421"/>
      <c r="H86" s="1421"/>
      <c r="I86" s="1421"/>
      <c r="J86" s="1421"/>
      <c r="K86" s="1421"/>
      <c r="L86" s="1421"/>
      <c r="M86" s="1421"/>
      <c r="N86" s="1421"/>
      <c r="O86" s="1421"/>
      <c r="P86" s="1421"/>
      <c r="Q86" s="1421"/>
      <c r="R86" s="1421"/>
      <c r="S86" s="1421"/>
      <c r="T86" s="1421"/>
      <c r="U86" s="1421"/>
      <c r="V86" s="1421"/>
      <c r="W86" s="1421"/>
      <c r="X86" s="175"/>
      <c r="Y86" s="282"/>
      <c r="Z86" s="638"/>
      <c r="AA86" s="1421"/>
      <c r="AB86" s="1421"/>
      <c r="AC86" s="1421"/>
      <c r="AD86" s="1421"/>
      <c r="AE86" s="1421"/>
      <c r="AF86" s="1421"/>
      <c r="AG86" s="1421"/>
      <c r="AH86" s="1421"/>
      <c r="AI86" s="1421"/>
      <c r="AJ86" s="1421"/>
      <c r="AK86" s="1421"/>
      <c r="AL86" s="1421"/>
      <c r="AM86" s="1421"/>
      <c r="AN86" s="1421"/>
      <c r="AO86" s="1421"/>
      <c r="AP86" s="1736"/>
      <c r="AQ86" s="1736"/>
      <c r="AR86" s="1736"/>
      <c r="AS86" s="1736"/>
      <c r="AT86" s="1736"/>
      <c r="AU86" s="1736"/>
      <c r="AV86" s="1421"/>
      <c r="AW86" s="1421"/>
      <c r="AX86" s="1421"/>
      <c r="AY86" s="1421"/>
      <c r="AZ86" s="1421"/>
      <c r="BA86" s="1421"/>
      <c r="BB86" s="1421"/>
      <c r="BC86" s="1421"/>
      <c r="BD86" s="1421"/>
      <c r="BE86" s="1421"/>
      <c r="BF86" s="1421"/>
      <c r="BG86" s="1421"/>
      <c r="BH86" s="1421"/>
      <c r="BI86" s="1421"/>
      <c r="BJ86" s="1421"/>
      <c r="BK86" s="1421"/>
      <c r="BL86" s="1421"/>
      <c r="BM86" s="1421"/>
      <c r="BN86" s="1421"/>
      <c r="BO86" s="1421"/>
      <c r="BP86" s="1421"/>
      <c r="BQ86" s="1421"/>
      <c r="BR86" s="1421"/>
      <c r="BS86" s="1421"/>
      <c r="BT86" s="1421"/>
      <c r="BU86" s="1421"/>
      <c r="BV86" s="1421"/>
      <c r="BW86" s="1421"/>
      <c r="BX86" s="1421"/>
      <c r="BY86" s="1421"/>
      <c r="CD86" s="2141" t="s">
        <v>1369</v>
      </c>
      <c r="CE86" s="33">
        <v>175</v>
      </c>
      <c r="CF86" s="33">
        <v>150</v>
      </c>
      <c r="CG86" s="33">
        <v>20</v>
      </c>
      <c r="CH86" s="323">
        <v>20</v>
      </c>
      <c r="CI86" s="323">
        <v>20</v>
      </c>
      <c r="CJ86" s="323">
        <f t="shared" si="43"/>
        <v>13.333333333333334</v>
      </c>
      <c r="CK86" s="323">
        <v>20</v>
      </c>
      <c r="CL86" s="323">
        <v>30</v>
      </c>
      <c r="CM86" s="1001">
        <v>0.10299999999999999</v>
      </c>
    </row>
    <row r="87" spans="1:91">
      <c r="A87" s="175"/>
      <c r="B87" s="1421"/>
      <c r="C87" s="1421"/>
      <c r="D87" s="175"/>
      <c r="E87" s="1421"/>
      <c r="F87" s="1421"/>
      <c r="G87" s="1421"/>
      <c r="H87" s="1421"/>
      <c r="I87" s="1421"/>
      <c r="J87" s="1421"/>
      <c r="K87" s="1421"/>
      <c r="L87" s="1421"/>
      <c r="M87" s="1421"/>
      <c r="N87" s="1421"/>
      <c r="O87" s="1421"/>
      <c r="P87" s="1421"/>
      <c r="Q87" s="1421"/>
      <c r="R87" s="1421"/>
      <c r="S87" s="1421"/>
      <c r="T87" s="1421"/>
      <c r="U87" s="1421"/>
      <c r="V87" s="1421"/>
      <c r="W87" s="1421"/>
      <c r="X87" s="175"/>
      <c r="Y87" s="282"/>
      <c r="Z87" s="638"/>
      <c r="AA87" s="1421"/>
      <c r="AB87" s="1421"/>
      <c r="AC87" s="1421"/>
      <c r="AD87" s="1421"/>
      <c r="AE87" s="1421"/>
      <c r="AF87" s="1421"/>
      <c r="AG87" s="1421"/>
      <c r="AH87" s="1421"/>
      <c r="AI87" s="1421"/>
      <c r="AJ87" s="1421"/>
      <c r="AK87" s="1421"/>
      <c r="AL87" s="1421"/>
      <c r="AM87" s="1421"/>
      <c r="AN87" s="1421"/>
      <c r="AO87" s="1421"/>
      <c r="AP87" s="1736"/>
      <c r="AQ87" s="1736"/>
      <c r="AR87" s="1736"/>
      <c r="AS87" s="1736"/>
      <c r="AT87" s="1736"/>
      <c r="AU87" s="1736"/>
      <c r="AV87" s="1421"/>
      <c r="AW87" s="1421"/>
      <c r="AX87" s="1421"/>
      <c r="AY87" s="1421"/>
      <c r="AZ87" s="1421"/>
      <c r="BA87" s="1421"/>
      <c r="BB87" s="1421"/>
      <c r="BC87" s="1421"/>
      <c r="BD87" s="1421"/>
      <c r="BE87" s="1421"/>
      <c r="BF87" s="1421"/>
      <c r="BG87" s="1421"/>
      <c r="BH87" s="1421"/>
      <c r="BI87" s="1421"/>
      <c r="BJ87" s="1421"/>
      <c r="BK87" s="1421"/>
      <c r="BL87" s="1421"/>
      <c r="BM87" s="1421"/>
      <c r="BN87" s="1421"/>
      <c r="BO87" s="1421"/>
      <c r="BP87" s="1421"/>
      <c r="BQ87" s="1421"/>
      <c r="BR87" s="1421"/>
      <c r="BS87" s="1421"/>
      <c r="BT87" s="1421"/>
      <c r="BU87" s="1421"/>
      <c r="BV87" s="1421"/>
      <c r="BW87" s="1421"/>
      <c r="BX87" s="1421"/>
      <c r="BY87" s="1421"/>
      <c r="CD87" s="2141" t="s">
        <v>1370</v>
      </c>
      <c r="CE87" s="33">
        <v>300</v>
      </c>
      <c r="CF87" s="33">
        <v>210</v>
      </c>
      <c r="CG87" s="33">
        <v>20</v>
      </c>
      <c r="CH87" s="323">
        <v>20</v>
      </c>
      <c r="CI87" s="323">
        <v>20</v>
      </c>
      <c r="CJ87" s="323">
        <f t="shared" si="43"/>
        <v>13.333333333333334</v>
      </c>
      <c r="CK87" s="323">
        <v>20</v>
      </c>
      <c r="CL87" s="323">
        <v>30</v>
      </c>
      <c r="CM87" s="1001">
        <v>0.10299999999999999</v>
      </c>
    </row>
    <row r="88" spans="1:91">
      <c r="A88" s="175"/>
      <c r="B88" s="1421"/>
      <c r="C88" s="1421"/>
      <c r="D88" s="175"/>
      <c r="E88" s="1421"/>
      <c r="F88" s="1421"/>
      <c r="G88" s="1421"/>
      <c r="H88" s="1421"/>
      <c r="I88" s="1421"/>
      <c r="J88" s="1421"/>
      <c r="K88" s="1421"/>
      <c r="L88" s="1421"/>
      <c r="M88" s="1421"/>
      <c r="N88" s="1421"/>
      <c r="O88" s="1421"/>
      <c r="P88" s="1421"/>
      <c r="Q88" s="1421"/>
      <c r="R88" s="1421"/>
      <c r="S88" s="1421"/>
      <c r="T88" s="1421"/>
      <c r="U88" s="1421"/>
      <c r="V88" s="1421"/>
      <c r="W88" s="1421"/>
      <c r="X88" s="175"/>
      <c r="Y88" s="282"/>
      <c r="Z88" s="638"/>
      <c r="AA88" s="1421"/>
      <c r="AB88" s="1421"/>
      <c r="AC88" s="1421"/>
      <c r="AD88" s="1421"/>
      <c r="AE88" s="1421"/>
      <c r="AF88" s="1421"/>
      <c r="AG88" s="1421"/>
      <c r="AH88" s="1421"/>
      <c r="AI88" s="1421"/>
      <c r="AJ88" s="1421"/>
      <c r="AK88" s="1421"/>
      <c r="AL88" s="1421"/>
      <c r="AM88" s="1421"/>
      <c r="AN88" s="1421"/>
      <c r="AO88" s="1421"/>
      <c r="AP88" s="1736"/>
      <c r="AQ88" s="1736"/>
      <c r="AR88" s="1736"/>
      <c r="AS88" s="1736"/>
      <c r="AT88" s="1736"/>
      <c r="AU88" s="1736"/>
      <c r="AV88" s="1421"/>
      <c r="AW88" s="1421"/>
      <c r="AX88" s="1421"/>
      <c r="AY88" s="1421"/>
      <c r="AZ88" s="1421"/>
      <c r="BA88" s="1421"/>
      <c r="BB88" s="1421"/>
      <c r="BC88" s="1421"/>
      <c r="BD88" s="1421"/>
      <c r="BE88" s="1421"/>
      <c r="BF88" s="1421"/>
      <c r="BG88" s="1421"/>
      <c r="BH88" s="1421"/>
      <c r="BI88" s="1421"/>
      <c r="BJ88" s="1421"/>
      <c r="BK88" s="1421"/>
      <c r="BL88" s="1421"/>
      <c r="BM88" s="1421"/>
      <c r="BN88" s="1421"/>
      <c r="BO88" s="1421"/>
      <c r="BP88" s="1421"/>
      <c r="BQ88" s="1421"/>
      <c r="BR88" s="1421"/>
      <c r="BS88" s="1421"/>
      <c r="BT88" s="1421"/>
      <c r="BU88" s="1421"/>
      <c r="BV88" s="1421"/>
      <c r="BW88" s="1421"/>
      <c r="BX88" s="1421"/>
      <c r="BY88" s="1421"/>
      <c r="CD88" s="2141" t="s">
        <v>1371</v>
      </c>
      <c r="CE88" s="33">
        <v>140</v>
      </c>
      <c r="CF88" s="33">
        <v>90</v>
      </c>
      <c r="CG88" s="33">
        <v>20</v>
      </c>
      <c r="CH88" s="323">
        <v>20</v>
      </c>
      <c r="CI88" s="323">
        <v>20</v>
      </c>
      <c r="CJ88" s="323">
        <f t="shared" si="43"/>
        <v>13.333333333333334</v>
      </c>
      <c r="CK88" s="323">
        <v>0</v>
      </c>
      <c r="CL88" s="323">
        <v>30</v>
      </c>
      <c r="CM88" s="1001">
        <v>0.08</v>
      </c>
    </row>
    <row r="89" spans="1:91">
      <c r="A89" s="175"/>
      <c r="B89" s="1421"/>
      <c r="C89" s="1421"/>
      <c r="D89" s="175"/>
      <c r="E89" s="1421"/>
      <c r="F89" s="1421"/>
      <c r="G89" s="1421"/>
      <c r="H89" s="1421"/>
      <c r="I89" s="1421"/>
      <c r="J89" s="1421"/>
      <c r="K89" s="1421"/>
      <c r="L89" s="1421"/>
      <c r="M89" s="1421"/>
      <c r="N89" s="1421"/>
      <c r="O89" s="1421"/>
      <c r="P89" s="1421"/>
      <c r="Q89" s="1421"/>
      <c r="R89" s="1421"/>
      <c r="S89" s="1421"/>
      <c r="T89" s="1421"/>
      <c r="U89" s="1421"/>
      <c r="V89" s="1421"/>
      <c r="W89" s="1421"/>
      <c r="X89" s="175"/>
      <c r="Y89" s="282"/>
      <c r="Z89" s="638"/>
      <c r="AA89" s="1421"/>
      <c r="AB89" s="1421"/>
      <c r="AC89" s="1421"/>
      <c r="AD89" s="1421"/>
      <c r="AE89" s="1421"/>
      <c r="AF89" s="1421"/>
      <c r="AG89" s="1421"/>
      <c r="AH89" s="1421"/>
      <c r="AI89" s="1421"/>
      <c r="AJ89" s="1421"/>
      <c r="AK89" s="1421"/>
      <c r="AL89" s="1421"/>
      <c r="AM89" s="1421"/>
      <c r="AN89" s="1421"/>
      <c r="AO89" s="1421"/>
      <c r="AP89" s="1736"/>
      <c r="AQ89" s="1736"/>
      <c r="AR89" s="1736"/>
      <c r="AS89" s="1736"/>
      <c r="AT89" s="1736"/>
      <c r="AU89" s="1736"/>
      <c r="AV89" s="1421"/>
      <c r="AW89" s="1421"/>
      <c r="AX89" s="1421"/>
      <c r="AY89" s="1421"/>
      <c r="AZ89" s="1421"/>
      <c r="BA89" s="1421"/>
      <c r="BB89" s="1421"/>
      <c r="BC89" s="1421"/>
      <c r="BD89" s="1421"/>
      <c r="BE89" s="1421"/>
      <c r="BF89" s="1421"/>
      <c r="BG89" s="1421"/>
      <c r="BH89" s="1421"/>
      <c r="BI89" s="1421"/>
      <c r="BJ89" s="1421"/>
      <c r="BK89" s="1421"/>
      <c r="BL89" s="1421"/>
      <c r="BM89" s="1421"/>
      <c r="BN89" s="1421"/>
      <c r="BO89" s="1421"/>
      <c r="BP89" s="1421"/>
      <c r="BQ89" s="1421"/>
      <c r="BR89" s="1421"/>
      <c r="BS89" s="1421"/>
      <c r="BT89" s="1421"/>
      <c r="BU89" s="1421"/>
      <c r="BV89" s="1421"/>
      <c r="BW89" s="1421"/>
      <c r="BX89" s="1421"/>
      <c r="BY89" s="1421"/>
      <c r="CD89" s="2141" t="s">
        <v>1372</v>
      </c>
      <c r="CE89" s="33">
        <v>350</v>
      </c>
      <c r="CF89" s="33">
        <v>130</v>
      </c>
      <c r="CG89" s="33">
        <v>20</v>
      </c>
      <c r="CH89" s="323">
        <v>20</v>
      </c>
      <c r="CI89" s="323">
        <v>20</v>
      </c>
      <c r="CJ89" s="323">
        <f t="shared" si="43"/>
        <v>13.333333333333334</v>
      </c>
      <c r="CK89" s="323">
        <v>10</v>
      </c>
      <c r="CL89" s="323">
        <v>30</v>
      </c>
      <c r="CM89" s="1001">
        <v>6.9000000000000006E-2</v>
      </c>
    </row>
    <row r="90" spans="1:91">
      <c r="A90" s="175"/>
      <c r="B90" s="1421"/>
      <c r="C90" s="1421"/>
      <c r="D90" s="175"/>
      <c r="E90" s="1421"/>
      <c r="F90" s="1421"/>
      <c r="G90" s="1421"/>
      <c r="H90" s="1421"/>
      <c r="I90" s="1421"/>
      <c r="J90" s="1421"/>
      <c r="K90" s="1421"/>
      <c r="L90" s="1421"/>
      <c r="M90" s="1421"/>
      <c r="N90" s="1421"/>
      <c r="O90" s="1421"/>
      <c r="P90" s="1421"/>
      <c r="Q90" s="1421"/>
      <c r="R90" s="1421"/>
      <c r="S90" s="1421"/>
      <c r="T90" s="1421"/>
      <c r="U90" s="1421"/>
      <c r="V90" s="1421"/>
      <c r="W90" s="1421"/>
      <c r="X90" s="175"/>
      <c r="Y90" s="282"/>
      <c r="Z90" s="638"/>
      <c r="AA90" s="1421"/>
      <c r="AB90" s="1421"/>
      <c r="AC90" s="1421"/>
      <c r="AD90" s="1421"/>
      <c r="AE90" s="1421"/>
      <c r="AF90" s="1421"/>
      <c r="AG90" s="1421"/>
      <c r="AH90" s="1421"/>
      <c r="AI90" s="1421"/>
      <c r="AJ90" s="1421"/>
      <c r="AK90" s="1421"/>
      <c r="AL90" s="1421"/>
      <c r="AM90" s="1421"/>
      <c r="AN90" s="1421"/>
      <c r="AO90" s="1421"/>
      <c r="AP90" s="1736"/>
      <c r="AQ90" s="1736"/>
      <c r="AR90" s="1736"/>
      <c r="AS90" s="1736"/>
      <c r="AT90" s="1736"/>
      <c r="AU90" s="1736"/>
      <c r="AV90" s="1421"/>
      <c r="AW90" s="1421"/>
      <c r="AX90" s="1421"/>
      <c r="AY90" s="1421"/>
      <c r="AZ90" s="1421"/>
      <c r="BA90" s="1421"/>
      <c r="BB90" s="1421"/>
      <c r="BC90" s="1421"/>
      <c r="BD90" s="1421"/>
      <c r="BE90" s="1421"/>
      <c r="BF90" s="1421"/>
      <c r="BG90" s="1421"/>
      <c r="BH90" s="1421"/>
      <c r="BI90" s="1421"/>
      <c r="BJ90" s="1421"/>
      <c r="BK90" s="1421"/>
      <c r="BL90" s="1421"/>
      <c r="BM90" s="1421"/>
      <c r="BN90" s="1421"/>
      <c r="BO90" s="1421"/>
      <c r="BP90" s="1421"/>
      <c r="BQ90" s="1421"/>
      <c r="BR90" s="1421"/>
      <c r="BS90" s="1421"/>
      <c r="BT90" s="1421"/>
      <c r="BU90" s="1421"/>
      <c r="BV90" s="1421"/>
      <c r="BW90" s="1421"/>
      <c r="BX90" s="1421"/>
      <c r="BY90" s="1421"/>
      <c r="CD90" s="2141" t="s">
        <v>1373</v>
      </c>
      <c r="CE90" s="33">
        <v>300</v>
      </c>
      <c r="CF90" s="33">
        <v>115</v>
      </c>
      <c r="CG90" s="33">
        <v>20</v>
      </c>
      <c r="CH90" s="323">
        <v>20</v>
      </c>
      <c r="CI90" s="323">
        <v>20</v>
      </c>
      <c r="CJ90" s="323">
        <f t="shared" si="43"/>
        <v>13.333333333333334</v>
      </c>
      <c r="CK90" s="323">
        <v>10</v>
      </c>
      <c r="CL90" s="323">
        <v>30</v>
      </c>
      <c r="CM90" s="1001">
        <v>6.9000000000000006E-2</v>
      </c>
    </row>
    <row r="91" spans="1:91">
      <c r="A91" s="175"/>
      <c r="B91" s="1421"/>
      <c r="C91" s="1421"/>
      <c r="D91" s="175"/>
      <c r="E91" s="1421"/>
      <c r="F91" s="1421"/>
      <c r="G91" s="1421"/>
      <c r="H91" s="1421"/>
      <c r="I91" s="1421"/>
      <c r="J91" s="1421"/>
      <c r="K91" s="1421"/>
      <c r="L91" s="1421"/>
      <c r="M91" s="1421"/>
      <c r="N91" s="1421"/>
      <c r="O91" s="1421"/>
      <c r="P91" s="1421"/>
      <c r="Q91" s="1421"/>
      <c r="R91" s="1421"/>
      <c r="S91" s="1421"/>
      <c r="T91" s="1421"/>
      <c r="U91" s="1421"/>
      <c r="V91" s="1421"/>
      <c r="W91" s="1421"/>
      <c r="X91" s="175"/>
      <c r="Y91" s="282"/>
      <c r="Z91" s="638"/>
      <c r="AA91" s="1421"/>
      <c r="AB91" s="1421"/>
      <c r="AC91" s="1421"/>
      <c r="AD91" s="1421"/>
      <c r="AE91" s="1421"/>
      <c r="AF91" s="1421"/>
      <c r="AG91" s="1421"/>
      <c r="AH91" s="1421"/>
      <c r="AI91" s="1421"/>
      <c r="AJ91" s="1421"/>
      <c r="AK91" s="1421"/>
      <c r="AL91" s="1421"/>
      <c r="AM91" s="1421"/>
      <c r="AN91" s="1421"/>
      <c r="AO91" s="1421"/>
      <c r="AP91" s="1736"/>
      <c r="AQ91" s="1736"/>
      <c r="AR91" s="1736"/>
      <c r="AS91" s="1736"/>
      <c r="AT91" s="1736"/>
      <c r="AU91" s="1736"/>
      <c r="AV91" s="1421"/>
      <c r="AW91" s="1421"/>
      <c r="AX91" s="1421"/>
      <c r="AY91" s="1421"/>
      <c r="AZ91" s="1421"/>
      <c r="BA91" s="1421"/>
      <c r="BB91" s="1421"/>
      <c r="BC91" s="1421"/>
      <c r="BD91" s="1421"/>
      <c r="BE91" s="1421"/>
      <c r="BF91" s="1421"/>
      <c r="BG91" s="1421"/>
      <c r="BH91" s="1421"/>
      <c r="BI91" s="1421"/>
      <c r="BJ91" s="1421"/>
      <c r="BK91" s="1421"/>
      <c r="BL91" s="1421"/>
      <c r="BM91" s="1421"/>
      <c r="BN91" s="1421"/>
      <c r="BO91" s="1421"/>
      <c r="BP91" s="1421"/>
      <c r="BQ91" s="1421"/>
      <c r="BR91" s="1421"/>
      <c r="BS91" s="1421"/>
      <c r="BT91" s="1421"/>
      <c r="BU91" s="1421"/>
      <c r="BV91" s="1421"/>
      <c r="BW91" s="1421"/>
      <c r="BX91" s="1421"/>
      <c r="BY91" s="1421"/>
      <c r="CD91" s="2141" t="s">
        <v>1290</v>
      </c>
      <c r="CE91" s="33">
        <v>600</v>
      </c>
      <c r="CF91" s="33">
        <v>175</v>
      </c>
      <c r="CG91" s="33">
        <v>20</v>
      </c>
      <c r="CH91" s="323">
        <v>20</v>
      </c>
      <c r="CI91" s="323">
        <v>20</v>
      </c>
      <c r="CJ91" s="323">
        <f t="shared" si="43"/>
        <v>13.333333333333334</v>
      </c>
      <c r="CK91" s="323">
        <v>15</v>
      </c>
      <c r="CL91" s="323">
        <v>30</v>
      </c>
      <c r="CM91" s="1001">
        <v>5.7000000000000002E-2</v>
      </c>
    </row>
    <row r="92" spans="1:91">
      <c r="A92" s="175"/>
      <c r="B92" s="1421"/>
      <c r="C92" s="1421"/>
      <c r="D92" s="175"/>
      <c r="E92" s="1421"/>
      <c r="F92" s="1421"/>
      <c r="G92" s="1421"/>
      <c r="H92" s="1421"/>
      <c r="I92" s="1421"/>
      <c r="J92" s="1421"/>
      <c r="K92" s="1421"/>
      <c r="L92" s="1421"/>
      <c r="M92" s="1421"/>
      <c r="N92" s="1421"/>
      <c r="O92" s="1421"/>
      <c r="P92" s="1421"/>
      <c r="Q92" s="1421"/>
      <c r="R92" s="1421"/>
      <c r="S92" s="1421"/>
      <c r="T92" s="1421"/>
      <c r="U92" s="1421"/>
      <c r="V92" s="1421"/>
      <c r="W92" s="1421"/>
      <c r="X92" s="175"/>
      <c r="Y92" s="282"/>
      <c r="Z92" s="638"/>
      <c r="AA92" s="1421"/>
      <c r="AB92" s="1421"/>
      <c r="AC92" s="1421"/>
      <c r="AD92" s="1421"/>
      <c r="AE92" s="1421"/>
      <c r="AF92" s="1421"/>
      <c r="AG92" s="1421"/>
      <c r="AH92" s="1421"/>
      <c r="AI92" s="1421"/>
      <c r="AJ92" s="1421"/>
      <c r="AK92" s="1421"/>
      <c r="AL92" s="1421"/>
      <c r="AM92" s="1421"/>
      <c r="AN92" s="1421"/>
      <c r="AO92" s="1421"/>
      <c r="AP92" s="1736"/>
      <c r="AQ92" s="1736"/>
      <c r="AR92" s="1736"/>
      <c r="AS92" s="1736"/>
      <c r="AT92" s="1736"/>
      <c r="AU92" s="1736"/>
      <c r="AV92" s="1421"/>
      <c r="AW92" s="1421"/>
      <c r="AX92" s="1421"/>
      <c r="AY92" s="1421"/>
      <c r="AZ92" s="1421"/>
      <c r="BA92" s="1421"/>
      <c r="BB92" s="1421"/>
      <c r="BC92" s="1421"/>
      <c r="BD92" s="1421"/>
      <c r="BE92" s="1421"/>
      <c r="BF92" s="1421"/>
      <c r="BG92" s="1421"/>
      <c r="BH92" s="1421"/>
      <c r="BI92" s="1421"/>
      <c r="BJ92" s="1421"/>
      <c r="BK92" s="1421"/>
      <c r="BL92" s="1421"/>
      <c r="BM92" s="1421"/>
      <c r="BN92" s="1421"/>
      <c r="BO92" s="1421"/>
      <c r="BP92" s="1421"/>
      <c r="BQ92" s="1421"/>
      <c r="BR92" s="1421"/>
      <c r="BS92" s="1421"/>
      <c r="BT92" s="1421"/>
      <c r="BU92" s="1421"/>
      <c r="BV92" s="1421"/>
      <c r="BW92" s="1421"/>
      <c r="BX92" s="1421"/>
      <c r="BY92" s="1421"/>
      <c r="CD92" s="2141" t="s">
        <v>1666</v>
      </c>
      <c r="CE92" s="33">
        <v>600</v>
      </c>
      <c r="CF92" s="33">
        <v>200</v>
      </c>
      <c r="CG92" s="33">
        <v>20</v>
      </c>
      <c r="CH92" s="323">
        <v>20</v>
      </c>
      <c r="CI92" s="323">
        <v>20</v>
      </c>
      <c r="CJ92" s="323">
        <v>26.666666666666668</v>
      </c>
      <c r="CK92" s="323">
        <v>40</v>
      </c>
      <c r="CL92" s="323">
        <v>30</v>
      </c>
      <c r="CM92" s="2146">
        <v>9.1999999999999998E-2</v>
      </c>
    </row>
    <row r="93" spans="1:91">
      <c r="A93" s="175"/>
      <c r="B93" s="1421"/>
      <c r="C93" s="1421"/>
      <c r="D93" s="175"/>
      <c r="E93" s="1421"/>
      <c r="F93" s="1421"/>
      <c r="G93" s="1421"/>
      <c r="H93" s="1421"/>
      <c r="I93" s="1421"/>
      <c r="J93" s="1421"/>
      <c r="K93" s="1421"/>
      <c r="L93" s="1421"/>
      <c r="M93" s="1421"/>
      <c r="N93" s="1421"/>
      <c r="O93" s="1421"/>
      <c r="P93" s="1421"/>
      <c r="Q93" s="1421"/>
      <c r="R93" s="1421"/>
      <c r="S93" s="1421"/>
      <c r="T93" s="1421"/>
      <c r="U93" s="1421"/>
      <c r="V93" s="1421"/>
      <c r="W93" s="1421"/>
      <c r="X93" s="175"/>
      <c r="Y93" s="282"/>
      <c r="Z93" s="638"/>
      <c r="AA93" s="1421"/>
      <c r="AB93" s="1421"/>
      <c r="AC93" s="1421"/>
      <c r="AD93" s="1421"/>
      <c r="AE93" s="1421"/>
      <c r="AF93" s="1421"/>
      <c r="AG93" s="1421"/>
      <c r="AH93" s="1421"/>
      <c r="AI93" s="1421"/>
      <c r="AJ93" s="1421"/>
      <c r="AK93" s="1421"/>
      <c r="AL93" s="1421"/>
      <c r="AM93" s="1421"/>
      <c r="AN93" s="1421"/>
      <c r="AO93" s="1421"/>
      <c r="AP93" s="1736"/>
      <c r="AQ93" s="1736"/>
      <c r="AR93" s="1736"/>
      <c r="AS93" s="1736"/>
      <c r="AT93" s="1736"/>
      <c r="AU93" s="1736"/>
      <c r="AV93" s="1421"/>
      <c r="AW93" s="1421"/>
      <c r="AX93" s="1421"/>
      <c r="AY93" s="1421"/>
      <c r="AZ93" s="1421"/>
      <c r="BA93" s="1421"/>
      <c r="BB93" s="1421"/>
      <c r="BC93" s="1421"/>
      <c r="BD93" s="1421"/>
      <c r="BE93" s="1421"/>
      <c r="BF93" s="1421"/>
      <c r="BG93" s="1421"/>
      <c r="BH93" s="1421"/>
      <c r="BI93" s="1421"/>
      <c r="BJ93" s="1421"/>
      <c r="BK93" s="1421"/>
      <c r="BL93" s="1421"/>
      <c r="BM93" s="1421"/>
      <c r="BN93" s="1421"/>
      <c r="BO93" s="1421"/>
      <c r="BP93" s="1421"/>
      <c r="BQ93" s="1421"/>
      <c r="BR93" s="1421"/>
      <c r="BS93" s="1421"/>
      <c r="BT93" s="1421"/>
      <c r="BU93" s="1421"/>
      <c r="BV93" s="1421"/>
      <c r="BW93" s="1421"/>
      <c r="BX93" s="1421"/>
      <c r="BY93" s="1421"/>
      <c r="CD93" s="2141" t="s">
        <v>1374</v>
      </c>
      <c r="CE93" s="33">
        <v>350</v>
      </c>
      <c r="CF93" s="33">
        <v>150</v>
      </c>
      <c r="CG93" s="33">
        <v>20</v>
      </c>
      <c r="CH93" s="323">
        <v>20</v>
      </c>
      <c r="CI93" s="323">
        <v>20</v>
      </c>
      <c r="CJ93" s="323">
        <f t="shared" ref="CJ93:CJ100" si="44">CI93*2/3</f>
        <v>13.333333333333334</v>
      </c>
      <c r="CK93" s="323">
        <v>15</v>
      </c>
      <c r="CL93" s="323">
        <v>60</v>
      </c>
      <c r="CM93" s="1001">
        <v>0.06</v>
      </c>
    </row>
    <row r="94" spans="1:91">
      <c r="A94" s="175"/>
      <c r="B94" s="1421"/>
      <c r="C94" s="1421"/>
      <c r="D94" s="175"/>
      <c r="E94" s="1421"/>
      <c r="F94" s="1421"/>
      <c r="G94" s="1421"/>
      <c r="H94" s="1421"/>
      <c r="I94" s="1421"/>
      <c r="J94" s="1421"/>
      <c r="K94" s="1421"/>
      <c r="L94" s="1421"/>
      <c r="M94" s="1421"/>
      <c r="N94" s="1421"/>
      <c r="O94" s="1421"/>
      <c r="P94" s="1421"/>
      <c r="Q94" s="1421"/>
      <c r="R94" s="1421"/>
      <c r="S94" s="1421"/>
      <c r="T94" s="1421"/>
      <c r="U94" s="1421"/>
      <c r="V94" s="1421"/>
      <c r="W94" s="1421"/>
      <c r="X94" s="175"/>
      <c r="Y94" s="282"/>
      <c r="Z94" s="638"/>
      <c r="AA94" s="1421"/>
      <c r="AB94" s="1421"/>
      <c r="AC94" s="1421"/>
      <c r="AD94" s="1421"/>
      <c r="AE94" s="1421"/>
      <c r="AF94" s="1421"/>
      <c r="AG94" s="1421"/>
      <c r="AH94" s="1421"/>
      <c r="AI94" s="1421"/>
      <c r="AJ94" s="1421"/>
      <c r="AK94" s="1421"/>
      <c r="AL94" s="1421"/>
      <c r="AM94" s="1421"/>
      <c r="AN94" s="1421"/>
      <c r="AO94" s="1421"/>
      <c r="AP94" s="1736"/>
      <c r="AQ94" s="1736"/>
      <c r="AR94" s="1736"/>
      <c r="AS94" s="1736"/>
      <c r="AT94" s="1736"/>
      <c r="AU94" s="1736"/>
      <c r="AV94" s="1421"/>
      <c r="AW94" s="1421"/>
      <c r="AX94" s="1421"/>
      <c r="AY94" s="1421"/>
      <c r="AZ94" s="1421"/>
      <c r="BA94" s="1421"/>
      <c r="BB94" s="1421"/>
      <c r="BC94" s="1421"/>
      <c r="BD94" s="1421"/>
      <c r="BE94" s="1421"/>
      <c r="BF94" s="1421"/>
      <c r="BG94" s="1421"/>
      <c r="BH94" s="1421"/>
      <c r="BI94" s="1421"/>
      <c r="BJ94" s="1421"/>
      <c r="BK94" s="1421"/>
      <c r="BL94" s="1421"/>
      <c r="BM94" s="1421"/>
      <c r="BN94" s="1421"/>
      <c r="BO94" s="1421"/>
      <c r="BP94" s="1421"/>
      <c r="BQ94" s="1421"/>
      <c r="BR94" s="1421"/>
      <c r="BS94" s="1421"/>
      <c r="BT94" s="1421"/>
      <c r="BU94" s="1421"/>
      <c r="BV94" s="1421"/>
      <c r="BW94" s="1421"/>
      <c r="BX94" s="1421"/>
      <c r="BY94" s="1421"/>
      <c r="CD94" s="2141" t="s">
        <v>1375</v>
      </c>
      <c r="CE94" s="33">
        <v>600</v>
      </c>
      <c r="CF94" s="33">
        <v>190</v>
      </c>
      <c r="CG94" s="33">
        <v>20</v>
      </c>
      <c r="CH94" s="323">
        <v>20</v>
      </c>
      <c r="CI94" s="323">
        <v>20</v>
      </c>
      <c r="CJ94" s="323">
        <f t="shared" si="44"/>
        <v>13.333333333333334</v>
      </c>
      <c r="CK94" s="323">
        <v>20</v>
      </c>
      <c r="CL94" s="323">
        <v>60</v>
      </c>
      <c r="CM94" s="1001">
        <v>0.06</v>
      </c>
    </row>
    <row r="95" spans="1:91">
      <c r="A95" s="175"/>
      <c r="B95" s="1421"/>
      <c r="C95" s="1421"/>
      <c r="D95" s="175"/>
      <c r="E95" s="1421"/>
      <c r="F95" s="1421"/>
      <c r="G95" s="1421"/>
      <c r="H95" s="1421"/>
      <c r="I95" s="1421"/>
      <c r="J95" s="1421"/>
      <c r="K95" s="1421"/>
      <c r="L95" s="1421"/>
      <c r="M95" s="1421"/>
      <c r="N95" s="1421"/>
      <c r="O95" s="1421"/>
      <c r="P95" s="1421"/>
      <c r="Q95" s="1421"/>
      <c r="R95" s="1421"/>
      <c r="S95" s="1421"/>
      <c r="T95" s="1421"/>
      <c r="U95" s="1421"/>
      <c r="V95" s="1421"/>
      <c r="W95" s="1421"/>
      <c r="X95" s="175"/>
      <c r="Y95" s="282"/>
      <c r="Z95" s="638"/>
      <c r="AA95" s="1421"/>
      <c r="AB95" s="1421"/>
      <c r="AC95" s="1421"/>
      <c r="AD95" s="1421"/>
      <c r="AE95" s="1421"/>
      <c r="AF95" s="1421"/>
      <c r="AG95" s="1421"/>
      <c r="AH95" s="1421"/>
      <c r="AI95" s="1421"/>
      <c r="AJ95" s="1421"/>
      <c r="AK95" s="1421"/>
      <c r="AL95" s="1421"/>
      <c r="AM95" s="1421"/>
      <c r="AN95" s="1421"/>
      <c r="AO95" s="1421"/>
      <c r="AP95" s="1736"/>
      <c r="AQ95" s="1736"/>
      <c r="AR95" s="1736"/>
      <c r="AS95" s="1736"/>
      <c r="AT95" s="1736"/>
      <c r="AU95" s="1736"/>
      <c r="AV95" s="1421"/>
      <c r="AW95" s="1421"/>
      <c r="AX95" s="1421"/>
      <c r="AY95" s="1421"/>
      <c r="AZ95" s="1421"/>
      <c r="BA95" s="1421"/>
      <c r="BB95" s="1421"/>
      <c r="BC95" s="1421"/>
      <c r="BD95" s="1421"/>
      <c r="BE95" s="1421"/>
      <c r="BF95" s="1421"/>
      <c r="BG95" s="1421"/>
      <c r="BH95" s="1421"/>
      <c r="BI95" s="1421"/>
      <c r="BJ95" s="1421"/>
      <c r="BK95" s="1421"/>
      <c r="BL95" s="1421"/>
      <c r="BM95" s="1421"/>
      <c r="BN95" s="1421"/>
      <c r="BO95" s="1421"/>
      <c r="BP95" s="1421"/>
      <c r="BQ95" s="1421"/>
      <c r="BR95" s="1421"/>
      <c r="BS95" s="1421"/>
      <c r="BT95" s="1421"/>
      <c r="BU95" s="1421"/>
      <c r="BV95" s="1421"/>
      <c r="BW95" s="1421"/>
      <c r="BX95" s="1421"/>
      <c r="BY95" s="1421"/>
      <c r="CD95" s="2141" t="s">
        <v>1291</v>
      </c>
      <c r="CE95" s="33">
        <v>500</v>
      </c>
      <c r="CF95" s="33">
        <v>150</v>
      </c>
      <c r="CG95" s="33">
        <v>20</v>
      </c>
      <c r="CH95" s="323">
        <v>20</v>
      </c>
      <c r="CI95" s="323">
        <v>20</v>
      </c>
      <c r="CJ95" s="323">
        <f t="shared" si="44"/>
        <v>13.333333333333334</v>
      </c>
      <c r="CK95" s="323">
        <v>10</v>
      </c>
      <c r="CL95" s="323">
        <v>30</v>
      </c>
      <c r="CM95" s="1001">
        <v>6.9000000000000006E-2</v>
      </c>
    </row>
    <row r="96" spans="1:91">
      <c r="A96" s="175"/>
      <c r="B96" s="1421"/>
      <c r="C96" s="1421"/>
      <c r="D96" s="175"/>
      <c r="E96" s="1421"/>
      <c r="F96" s="1421"/>
      <c r="G96" s="1421"/>
      <c r="H96" s="1421"/>
      <c r="I96" s="1421"/>
      <c r="J96" s="1421"/>
      <c r="K96" s="1421"/>
      <c r="L96" s="1421"/>
      <c r="M96" s="1421"/>
      <c r="N96" s="1421"/>
      <c r="O96" s="1421"/>
      <c r="P96" s="1421"/>
      <c r="Q96" s="1421"/>
      <c r="R96" s="1421"/>
      <c r="S96" s="1421"/>
      <c r="T96" s="1421"/>
      <c r="U96" s="1421"/>
      <c r="V96" s="1421"/>
      <c r="W96" s="1421"/>
      <c r="X96" s="175"/>
      <c r="Y96" s="282"/>
      <c r="Z96" s="638"/>
      <c r="AA96" s="1421"/>
      <c r="AB96" s="1421"/>
      <c r="AC96" s="1421"/>
      <c r="AD96" s="1421"/>
      <c r="AE96" s="1421"/>
      <c r="AF96" s="1421"/>
      <c r="AG96" s="1421"/>
      <c r="AH96" s="1421"/>
      <c r="AI96" s="1421"/>
      <c r="AJ96" s="1421"/>
      <c r="AK96" s="1421"/>
      <c r="AL96" s="1421"/>
      <c r="AM96" s="1421"/>
      <c r="AN96" s="1421"/>
      <c r="AO96" s="1421"/>
      <c r="AP96" s="1736"/>
      <c r="AQ96" s="1736"/>
      <c r="AR96" s="1736"/>
      <c r="AS96" s="1736"/>
      <c r="AT96" s="1736"/>
      <c r="AU96" s="1736"/>
      <c r="AV96" s="1421"/>
      <c r="AW96" s="1421"/>
      <c r="AX96" s="1421"/>
      <c r="AY96" s="1421"/>
      <c r="AZ96" s="1421"/>
      <c r="BA96" s="1421"/>
      <c r="BB96" s="1421"/>
      <c r="BC96" s="1421"/>
      <c r="BD96" s="1421"/>
      <c r="BE96" s="1421"/>
      <c r="BF96" s="1421"/>
      <c r="BG96" s="1421"/>
      <c r="BH96" s="1421"/>
      <c r="BI96" s="1421"/>
      <c r="BJ96" s="1421"/>
      <c r="BK96" s="1421"/>
      <c r="BL96" s="1421"/>
      <c r="BM96" s="1421"/>
      <c r="BN96" s="1421"/>
      <c r="BO96" s="1421"/>
      <c r="BP96" s="1421"/>
      <c r="BQ96" s="1421"/>
      <c r="BR96" s="1421"/>
      <c r="BS96" s="1421"/>
      <c r="BT96" s="1421"/>
      <c r="BU96" s="1421"/>
      <c r="BV96" s="1421"/>
      <c r="BW96" s="1421"/>
      <c r="BX96" s="1421"/>
      <c r="BY96" s="1421"/>
      <c r="CD96" s="2141" t="s">
        <v>1292</v>
      </c>
      <c r="CE96" s="33">
        <v>280</v>
      </c>
      <c r="CF96" s="33">
        <v>140</v>
      </c>
      <c r="CG96" s="33">
        <v>20</v>
      </c>
      <c r="CH96" s="323">
        <v>20</v>
      </c>
      <c r="CI96" s="323">
        <v>20</v>
      </c>
      <c r="CJ96" s="323">
        <f t="shared" si="44"/>
        <v>13.333333333333334</v>
      </c>
      <c r="CK96" s="323">
        <v>30</v>
      </c>
      <c r="CL96" s="323">
        <v>60</v>
      </c>
      <c r="CM96" s="1001">
        <v>9.1999999999999998E-2</v>
      </c>
    </row>
    <row r="97" spans="1:91">
      <c r="A97" s="175"/>
      <c r="B97" s="1421"/>
      <c r="C97" s="1421"/>
      <c r="D97" s="175"/>
      <c r="E97" s="1421"/>
      <c r="F97" s="1421"/>
      <c r="G97" s="1421"/>
      <c r="H97" s="1421"/>
      <c r="I97" s="1421"/>
      <c r="J97" s="1421"/>
      <c r="K97" s="1421"/>
      <c r="L97" s="1421"/>
      <c r="M97" s="1421"/>
      <c r="N97" s="1421"/>
      <c r="O97" s="1421"/>
      <c r="P97" s="1421"/>
      <c r="Q97" s="1421"/>
      <c r="R97" s="1421"/>
      <c r="S97" s="1421"/>
      <c r="T97" s="1421"/>
      <c r="U97" s="1421"/>
      <c r="V97" s="1421"/>
      <c r="W97" s="1421"/>
      <c r="X97" s="175"/>
      <c r="Y97" s="282"/>
      <c r="Z97" s="638"/>
      <c r="AA97" s="1421"/>
      <c r="AB97" s="1421"/>
      <c r="AC97" s="1421"/>
      <c r="AD97" s="1421"/>
      <c r="AE97" s="1421"/>
      <c r="AF97" s="1421"/>
      <c r="AG97" s="1421"/>
      <c r="AH97" s="1421"/>
      <c r="AI97" s="1421"/>
      <c r="AJ97" s="1421"/>
      <c r="AK97" s="1421"/>
      <c r="AL97" s="1421"/>
      <c r="AM97" s="1421"/>
      <c r="AN97" s="1421"/>
      <c r="AO97" s="1421"/>
      <c r="AP97" s="1736"/>
      <c r="AQ97" s="1736"/>
      <c r="AR97" s="1736"/>
      <c r="AS97" s="1736"/>
      <c r="AT97" s="1736"/>
      <c r="AU97" s="1736"/>
      <c r="AV97" s="1421"/>
      <c r="AW97" s="1421"/>
      <c r="AX97" s="1421"/>
      <c r="AY97" s="1421"/>
      <c r="AZ97" s="1421"/>
      <c r="BA97" s="1421"/>
      <c r="BB97" s="1421"/>
      <c r="BC97" s="1421"/>
      <c r="BD97" s="1421"/>
      <c r="BE97" s="1421"/>
      <c r="BF97" s="1421"/>
      <c r="BG97" s="1421"/>
      <c r="BH97" s="1421"/>
      <c r="BI97" s="1421"/>
      <c r="BJ97" s="1421"/>
      <c r="BK97" s="1421"/>
      <c r="BL97" s="1421"/>
      <c r="BM97" s="1421"/>
      <c r="BN97" s="1421"/>
      <c r="BO97" s="1421"/>
      <c r="BP97" s="1421"/>
      <c r="BQ97" s="1421"/>
      <c r="BR97" s="1421"/>
      <c r="BS97" s="1421"/>
      <c r="BT97" s="1421"/>
      <c r="BU97" s="1421"/>
      <c r="BV97" s="1421"/>
      <c r="BW97" s="1421"/>
      <c r="BX97" s="1421"/>
      <c r="BY97" s="1421"/>
      <c r="CD97" s="2141" t="s">
        <v>1294</v>
      </c>
      <c r="CE97" s="33">
        <v>450</v>
      </c>
      <c r="CF97" s="33">
        <v>140</v>
      </c>
      <c r="CG97" s="33">
        <v>20</v>
      </c>
      <c r="CH97" s="323">
        <v>20</v>
      </c>
      <c r="CI97" s="323">
        <v>20</v>
      </c>
      <c r="CJ97" s="323">
        <f t="shared" si="44"/>
        <v>13.333333333333334</v>
      </c>
      <c r="CK97" s="323">
        <v>10</v>
      </c>
      <c r="CL97" s="323">
        <v>60</v>
      </c>
      <c r="CM97" s="1001">
        <v>9.1999999999999998E-2</v>
      </c>
    </row>
    <row r="98" spans="1:91">
      <c r="A98" s="175"/>
      <c r="B98" s="1421"/>
      <c r="C98" s="1421"/>
      <c r="D98" s="175"/>
      <c r="E98" s="1421"/>
      <c r="F98" s="1421"/>
      <c r="G98" s="1421"/>
      <c r="H98" s="1421"/>
      <c r="I98" s="1421"/>
      <c r="J98" s="1421"/>
      <c r="K98" s="1421"/>
      <c r="L98" s="1421"/>
      <c r="M98" s="1421"/>
      <c r="N98" s="1421"/>
      <c r="O98" s="1421"/>
      <c r="P98" s="1421"/>
      <c r="Q98" s="1421"/>
      <c r="R98" s="1421"/>
      <c r="S98" s="1421"/>
      <c r="T98" s="1421"/>
      <c r="U98" s="1421"/>
      <c r="V98" s="1421"/>
      <c r="W98" s="1421"/>
      <c r="X98" s="175"/>
      <c r="Y98" s="282"/>
      <c r="Z98" s="638"/>
      <c r="AA98" s="1421"/>
      <c r="AB98" s="1421"/>
      <c r="AC98" s="1421"/>
      <c r="AD98" s="1421"/>
      <c r="AE98" s="1421"/>
      <c r="AF98" s="1421"/>
      <c r="AG98" s="1421"/>
      <c r="AH98" s="1421"/>
      <c r="AI98" s="1421"/>
      <c r="AJ98" s="1421"/>
      <c r="AK98" s="1421"/>
      <c r="AL98" s="1421"/>
      <c r="AM98" s="1421"/>
      <c r="AN98" s="1421"/>
      <c r="AO98" s="1421"/>
      <c r="AP98" s="1736"/>
      <c r="AQ98" s="1736"/>
      <c r="AR98" s="1736"/>
      <c r="AS98" s="1736"/>
      <c r="AT98" s="1736"/>
      <c r="AU98" s="1736"/>
      <c r="AV98" s="1421"/>
      <c r="AW98" s="1421"/>
      <c r="AX98" s="1421"/>
      <c r="AY98" s="1421"/>
      <c r="AZ98" s="1421"/>
      <c r="BA98" s="1421"/>
      <c r="BB98" s="1421"/>
      <c r="BC98" s="1421"/>
      <c r="BD98" s="1421"/>
      <c r="BE98" s="1421"/>
      <c r="BF98" s="1421"/>
      <c r="BG98" s="1421"/>
      <c r="BH98" s="1421"/>
      <c r="BI98" s="1421"/>
      <c r="BJ98" s="1421"/>
      <c r="BK98" s="1421"/>
      <c r="BL98" s="1421"/>
      <c r="BM98" s="1421"/>
      <c r="BN98" s="1421"/>
      <c r="BO98" s="1421"/>
      <c r="BP98" s="1421"/>
      <c r="BQ98" s="1421"/>
      <c r="BR98" s="1421"/>
      <c r="BS98" s="1421"/>
      <c r="BT98" s="1421"/>
      <c r="BU98" s="1421"/>
      <c r="BV98" s="1421"/>
      <c r="BW98" s="1421"/>
      <c r="BX98" s="1421"/>
      <c r="BY98" s="1421"/>
      <c r="CD98" s="2141" t="s">
        <v>1376</v>
      </c>
      <c r="CE98" s="33">
        <v>300</v>
      </c>
      <c r="CF98" s="33">
        <v>150</v>
      </c>
      <c r="CG98" s="33">
        <v>20</v>
      </c>
      <c r="CH98" s="323">
        <v>20</v>
      </c>
      <c r="CI98" s="323">
        <v>20</v>
      </c>
      <c r="CJ98" s="323">
        <f t="shared" si="44"/>
        <v>13.333333333333334</v>
      </c>
      <c r="CK98" s="323">
        <v>15</v>
      </c>
      <c r="CL98" s="323">
        <v>30</v>
      </c>
      <c r="CM98" s="1001">
        <v>9.1999999999999998E-2</v>
      </c>
    </row>
    <row r="99" spans="1:91">
      <c r="A99" s="175"/>
      <c r="B99" s="1421"/>
      <c r="C99" s="1421"/>
      <c r="D99" s="175"/>
      <c r="E99" s="1421"/>
      <c r="F99" s="1421"/>
      <c r="G99" s="1421"/>
      <c r="H99" s="1421"/>
      <c r="I99" s="1421"/>
      <c r="J99" s="1421"/>
      <c r="K99" s="1421"/>
      <c r="L99" s="1421"/>
      <c r="M99" s="1421"/>
      <c r="N99" s="1421"/>
      <c r="O99" s="1421"/>
      <c r="P99" s="1421"/>
      <c r="Q99" s="1421"/>
      <c r="R99" s="1421"/>
      <c r="S99" s="1421"/>
      <c r="T99" s="1421"/>
      <c r="U99" s="1421"/>
      <c r="V99" s="1421"/>
      <c r="W99" s="1421"/>
      <c r="X99" s="175"/>
      <c r="Y99" s="282"/>
      <c r="Z99" s="638"/>
      <c r="AA99" s="1421"/>
      <c r="AB99" s="1421"/>
      <c r="AC99" s="1421"/>
      <c r="AD99" s="1421"/>
      <c r="AE99" s="1421"/>
      <c r="AF99" s="1421"/>
      <c r="AG99" s="1421"/>
      <c r="AH99" s="1421"/>
      <c r="AI99" s="1421"/>
      <c r="AJ99" s="1421"/>
      <c r="AK99" s="1421"/>
      <c r="AL99" s="1421"/>
      <c r="AM99" s="1421"/>
      <c r="AN99" s="1421"/>
      <c r="AO99" s="1421"/>
      <c r="AP99" s="1736"/>
      <c r="AQ99" s="1736"/>
      <c r="AR99" s="1736"/>
      <c r="AS99" s="1736"/>
      <c r="AT99" s="1736"/>
      <c r="AU99" s="1736"/>
      <c r="AV99" s="1421"/>
      <c r="AW99" s="1421"/>
      <c r="AX99" s="1421"/>
      <c r="AY99" s="1421"/>
      <c r="AZ99" s="1421"/>
      <c r="BA99" s="1421"/>
      <c r="BB99" s="1421"/>
      <c r="BC99" s="1421"/>
      <c r="BD99" s="1421"/>
      <c r="BE99" s="1421"/>
      <c r="BF99" s="1421"/>
      <c r="BG99" s="1421"/>
      <c r="BH99" s="1421"/>
      <c r="BI99" s="1421"/>
      <c r="BJ99" s="1421"/>
      <c r="BK99" s="1421"/>
      <c r="BL99" s="1421"/>
      <c r="BM99" s="1421"/>
      <c r="BN99" s="1421"/>
      <c r="BO99" s="1421"/>
      <c r="BP99" s="1421"/>
      <c r="BQ99" s="1421"/>
      <c r="BR99" s="1421"/>
      <c r="BS99" s="1421"/>
      <c r="BT99" s="1421"/>
      <c r="BU99" s="1421"/>
      <c r="BV99" s="1421"/>
      <c r="BW99" s="1421"/>
      <c r="BX99" s="1421"/>
      <c r="BY99" s="1421"/>
      <c r="CD99" s="2141" t="s">
        <v>1293</v>
      </c>
      <c r="CE99" s="33">
        <v>450</v>
      </c>
      <c r="CF99" s="33">
        <v>150</v>
      </c>
      <c r="CG99" s="33">
        <v>20</v>
      </c>
      <c r="CH99" s="323">
        <v>20</v>
      </c>
      <c r="CI99" s="323">
        <v>20</v>
      </c>
      <c r="CJ99" s="323">
        <f t="shared" si="44"/>
        <v>13.333333333333334</v>
      </c>
      <c r="CK99" s="323">
        <v>10</v>
      </c>
      <c r="CL99" s="323">
        <v>30</v>
      </c>
      <c r="CM99" s="1001">
        <v>6.9000000000000006E-2</v>
      </c>
    </row>
    <row r="100" spans="1:91">
      <c r="A100" s="175"/>
      <c r="B100" s="1421"/>
      <c r="C100" s="1421"/>
      <c r="D100" s="175"/>
      <c r="E100" s="1421"/>
      <c r="F100" s="1421"/>
      <c r="G100" s="1421"/>
      <c r="H100" s="1421"/>
      <c r="I100" s="1421"/>
      <c r="J100" s="1421"/>
      <c r="K100" s="1421"/>
      <c r="L100" s="1421"/>
      <c r="M100" s="1421"/>
      <c r="N100" s="1421"/>
      <c r="O100" s="1421"/>
      <c r="P100" s="1421"/>
      <c r="Q100" s="1421"/>
      <c r="R100" s="1421"/>
      <c r="S100" s="1421"/>
      <c r="T100" s="1421"/>
      <c r="U100" s="1421"/>
      <c r="V100" s="1421"/>
      <c r="W100" s="1421"/>
      <c r="X100" s="175"/>
      <c r="Y100" s="282"/>
      <c r="Z100" s="638"/>
      <c r="AA100" s="1421"/>
      <c r="AB100" s="1421"/>
      <c r="AC100" s="1421"/>
      <c r="AD100" s="1421"/>
      <c r="AE100" s="1421"/>
      <c r="AF100" s="1421"/>
      <c r="AG100" s="1421"/>
      <c r="AH100" s="1421"/>
      <c r="AI100" s="1421"/>
      <c r="AJ100" s="1421"/>
      <c r="AK100" s="1421"/>
      <c r="AL100" s="1421"/>
      <c r="AM100" s="1421"/>
      <c r="AN100" s="1421"/>
      <c r="AO100" s="1421"/>
      <c r="AP100" s="1736"/>
      <c r="AQ100" s="1736"/>
      <c r="AR100" s="1736"/>
      <c r="AS100" s="1736"/>
      <c r="AT100" s="1736"/>
      <c r="AU100" s="1736"/>
      <c r="AV100" s="1421"/>
      <c r="AW100" s="1421"/>
      <c r="AX100" s="1421"/>
      <c r="AY100" s="1421"/>
      <c r="AZ100" s="1421"/>
      <c r="BA100" s="1421"/>
      <c r="BB100" s="1421"/>
      <c r="BC100" s="1421"/>
      <c r="BD100" s="1421"/>
      <c r="BE100" s="1421"/>
      <c r="BF100" s="1421"/>
      <c r="BG100" s="1421"/>
      <c r="BH100" s="1421"/>
      <c r="BI100" s="1421"/>
      <c r="BJ100" s="1421"/>
      <c r="BK100" s="1421"/>
      <c r="BL100" s="1421"/>
      <c r="BM100" s="1421"/>
      <c r="BN100" s="1421"/>
      <c r="BO100" s="1421"/>
      <c r="BP100" s="1421"/>
      <c r="BQ100" s="1421"/>
      <c r="BR100" s="1421"/>
      <c r="BS100" s="1421"/>
      <c r="BT100" s="1421"/>
      <c r="BU100" s="1421"/>
      <c r="BV100" s="1421"/>
      <c r="BW100" s="1421"/>
      <c r="BX100" s="1421"/>
      <c r="BY100" s="1421"/>
      <c r="CD100" s="2141" t="s">
        <v>1295</v>
      </c>
      <c r="CE100" s="33">
        <v>600</v>
      </c>
      <c r="CF100" s="33">
        <v>190</v>
      </c>
      <c r="CG100" s="33">
        <v>20</v>
      </c>
      <c r="CH100" s="323">
        <v>20</v>
      </c>
      <c r="CI100" s="323">
        <v>20</v>
      </c>
      <c r="CJ100" s="323">
        <f t="shared" si="44"/>
        <v>13.333333333333334</v>
      </c>
      <c r="CK100" s="323">
        <v>20</v>
      </c>
      <c r="CL100" s="323">
        <v>60</v>
      </c>
      <c r="CM100" s="1001">
        <v>0.115</v>
      </c>
    </row>
    <row r="101" spans="1:91">
      <c r="A101" s="175"/>
      <c r="B101" s="1421"/>
      <c r="C101" s="1421"/>
      <c r="D101" s="175"/>
      <c r="E101" s="1421"/>
      <c r="F101" s="1421"/>
      <c r="G101" s="1421"/>
      <c r="H101" s="1421"/>
      <c r="I101" s="1421"/>
      <c r="J101" s="1421"/>
      <c r="K101" s="1421"/>
      <c r="L101" s="1421"/>
      <c r="M101" s="1421"/>
      <c r="N101" s="1421"/>
      <c r="O101" s="1421"/>
      <c r="P101" s="1421"/>
      <c r="Q101" s="1421"/>
      <c r="R101" s="1421"/>
      <c r="S101" s="1421"/>
      <c r="T101" s="1421"/>
      <c r="U101" s="1421"/>
      <c r="V101" s="1421"/>
      <c r="W101" s="1421"/>
      <c r="X101" s="175"/>
      <c r="Y101" s="282"/>
      <c r="Z101" s="638"/>
      <c r="AA101" s="1421"/>
      <c r="AB101" s="1421"/>
      <c r="AC101" s="1421"/>
      <c r="AD101" s="1421"/>
      <c r="AE101" s="1421"/>
      <c r="AF101" s="1421"/>
      <c r="AG101" s="1421"/>
      <c r="AH101" s="1421"/>
      <c r="AI101" s="1421"/>
      <c r="AJ101" s="1421"/>
      <c r="AK101" s="1421"/>
      <c r="AL101" s="1421"/>
      <c r="AM101" s="1421"/>
      <c r="AN101" s="1421"/>
      <c r="AO101" s="1421"/>
      <c r="AP101" s="1736"/>
      <c r="AQ101" s="1736"/>
      <c r="AR101" s="1736"/>
      <c r="AS101" s="1736"/>
      <c r="AT101" s="1736"/>
      <c r="AU101" s="1736"/>
      <c r="AV101" s="1421"/>
      <c r="AW101" s="1421"/>
      <c r="AX101" s="1421"/>
      <c r="AY101" s="1421"/>
      <c r="AZ101" s="1421"/>
      <c r="BA101" s="1421"/>
      <c r="BB101" s="1421"/>
      <c r="BC101" s="1421"/>
      <c r="BD101" s="1421"/>
      <c r="BE101" s="1421"/>
      <c r="BF101" s="1421"/>
      <c r="BG101" s="1421"/>
      <c r="BH101" s="1421"/>
      <c r="BI101" s="1421"/>
      <c r="BJ101" s="1421"/>
      <c r="BK101" s="1421"/>
      <c r="BL101" s="1421"/>
      <c r="BM101" s="1421"/>
      <c r="BN101" s="1421"/>
      <c r="BO101" s="1421"/>
      <c r="BP101" s="1421"/>
      <c r="BQ101" s="1421"/>
      <c r="BR101" s="1421"/>
      <c r="BS101" s="1421"/>
      <c r="BT101" s="1421"/>
      <c r="BU101" s="1421"/>
      <c r="BV101" s="1421"/>
      <c r="BW101" s="1421"/>
      <c r="BX101" s="1421"/>
      <c r="BY101" s="1421"/>
      <c r="CD101" s="2159" t="s">
        <v>1667</v>
      </c>
      <c r="CE101" s="33">
        <v>350</v>
      </c>
      <c r="CF101" s="33">
        <v>210</v>
      </c>
      <c r="CG101" s="33">
        <v>10</v>
      </c>
      <c r="CH101" s="2158">
        <v>21</v>
      </c>
      <c r="CI101" s="2158">
        <v>21</v>
      </c>
      <c r="CJ101" s="2152">
        <v>0</v>
      </c>
      <c r="CK101" s="2152">
        <v>0</v>
      </c>
      <c r="CL101" s="2152">
        <v>60</v>
      </c>
      <c r="CM101" s="2155">
        <v>0.11</v>
      </c>
    </row>
    <row r="102" spans="1:91">
      <c r="A102" s="175"/>
      <c r="B102" s="1421"/>
      <c r="C102" s="1421"/>
      <c r="D102" s="175"/>
      <c r="E102" s="1421"/>
      <c r="F102" s="1421"/>
      <c r="G102" s="1421"/>
      <c r="H102" s="1421"/>
      <c r="I102" s="1421"/>
      <c r="J102" s="1421"/>
      <c r="K102" s="1421"/>
      <c r="L102" s="1421"/>
      <c r="M102" s="1421"/>
      <c r="N102" s="1421"/>
      <c r="O102" s="1421"/>
      <c r="P102" s="1421"/>
      <c r="Q102" s="1421"/>
      <c r="R102" s="1421"/>
      <c r="S102" s="1421"/>
      <c r="T102" s="1421"/>
      <c r="U102" s="1421"/>
      <c r="V102" s="1421"/>
      <c r="W102" s="1421"/>
      <c r="X102" s="175"/>
      <c r="Y102" s="282"/>
      <c r="Z102" s="638"/>
      <c r="AA102" s="1421"/>
      <c r="AB102" s="1421"/>
      <c r="AC102" s="1421"/>
      <c r="AD102" s="1421"/>
      <c r="AE102" s="1421"/>
      <c r="AF102" s="1421"/>
      <c r="AG102" s="1421"/>
      <c r="AH102" s="1421"/>
      <c r="AI102" s="1421"/>
      <c r="AJ102" s="1421"/>
      <c r="AK102" s="1421"/>
      <c r="AL102" s="1421"/>
      <c r="AM102" s="1421"/>
      <c r="AN102" s="1421"/>
      <c r="AO102" s="1421"/>
      <c r="AP102" s="1736"/>
      <c r="AQ102" s="1736"/>
      <c r="AR102" s="1736"/>
      <c r="AS102" s="1736"/>
      <c r="AT102" s="1736"/>
      <c r="AU102" s="1736"/>
      <c r="AV102" s="1421"/>
      <c r="AW102" s="1421"/>
      <c r="AX102" s="1421"/>
      <c r="AY102" s="1421"/>
      <c r="AZ102" s="1421"/>
      <c r="BA102" s="1421"/>
      <c r="BB102" s="1421"/>
      <c r="BC102" s="1421"/>
      <c r="BD102" s="1421"/>
      <c r="BE102" s="1421"/>
      <c r="BF102" s="1421"/>
      <c r="BG102" s="1421"/>
      <c r="BH102" s="1421"/>
      <c r="BI102" s="1421"/>
      <c r="BJ102" s="1421"/>
      <c r="BK102" s="1421"/>
      <c r="BL102" s="1421"/>
      <c r="BM102" s="1421"/>
      <c r="BN102" s="1421"/>
      <c r="BO102" s="1421"/>
      <c r="BP102" s="1421"/>
      <c r="BQ102" s="1421"/>
      <c r="BR102" s="1421"/>
      <c r="BS102" s="1421"/>
      <c r="BT102" s="1421"/>
      <c r="BU102" s="1421"/>
      <c r="BV102" s="1421"/>
      <c r="BW102" s="1421"/>
      <c r="BX102" s="1421"/>
      <c r="BY102" s="1421"/>
      <c r="CD102" s="2159" t="s">
        <v>1668</v>
      </c>
      <c r="CE102" s="33">
        <v>300</v>
      </c>
      <c r="CF102" s="33">
        <v>130</v>
      </c>
      <c r="CG102" s="33">
        <v>10</v>
      </c>
      <c r="CH102" s="2158">
        <v>13</v>
      </c>
      <c r="CI102" s="2158">
        <v>13</v>
      </c>
      <c r="CJ102" s="2152">
        <v>0</v>
      </c>
      <c r="CK102" s="2152">
        <v>0</v>
      </c>
      <c r="CL102" s="2152">
        <v>60</v>
      </c>
      <c r="CM102" s="2155">
        <v>0.08</v>
      </c>
    </row>
    <row r="103" spans="1:91">
      <c r="CD103" s="2141" t="s">
        <v>1669</v>
      </c>
      <c r="CE103" s="33">
        <v>200</v>
      </c>
      <c r="CF103" s="33">
        <v>145</v>
      </c>
      <c r="CG103" s="33">
        <v>10</v>
      </c>
      <c r="CH103" s="2153">
        <v>7</v>
      </c>
      <c r="CI103" s="2153">
        <v>7</v>
      </c>
      <c r="CJ103" s="2164">
        <v>0</v>
      </c>
      <c r="CK103" s="2164">
        <v>0</v>
      </c>
      <c r="CL103" s="2164">
        <v>60</v>
      </c>
      <c r="CM103" s="2157">
        <v>0.09</v>
      </c>
    </row>
    <row r="104" spans="1:91">
      <c r="CD104" s="2141" t="s">
        <v>1377</v>
      </c>
      <c r="CE104" s="33">
        <v>280</v>
      </c>
      <c r="CF104" s="33">
        <v>240</v>
      </c>
      <c r="CG104" s="33">
        <v>20</v>
      </c>
      <c r="CH104" s="323">
        <v>20</v>
      </c>
      <c r="CI104" s="323">
        <v>20</v>
      </c>
      <c r="CJ104" s="323">
        <f t="shared" ref="CJ104:CJ110" si="45">CI104*2/3</f>
        <v>13.333333333333334</v>
      </c>
      <c r="CK104" s="323">
        <v>55</v>
      </c>
      <c r="CL104" s="323">
        <v>60</v>
      </c>
      <c r="CM104" s="1001">
        <v>0.13700000000000001</v>
      </c>
    </row>
    <row r="105" spans="1:91">
      <c r="CD105" s="2141" t="s">
        <v>1378</v>
      </c>
      <c r="CE105" s="33">
        <v>300</v>
      </c>
      <c r="CF105" s="33">
        <v>210</v>
      </c>
      <c r="CG105" s="33">
        <v>20</v>
      </c>
      <c r="CH105" s="323">
        <v>20</v>
      </c>
      <c r="CI105" s="323">
        <v>20</v>
      </c>
      <c r="CJ105" s="323">
        <f t="shared" si="45"/>
        <v>13.333333333333334</v>
      </c>
      <c r="CK105" s="323">
        <v>10</v>
      </c>
      <c r="CL105" s="323">
        <v>60</v>
      </c>
      <c r="CM105" s="1001">
        <v>0.13700000000000001</v>
      </c>
    </row>
    <row r="106" spans="1:91">
      <c r="CD106" s="2141" t="s">
        <v>1379</v>
      </c>
      <c r="CE106" s="33">
        <v>200</v>
      </c>
      <c r="CF106" s="33">
        <v>180</v>
      </c>
      <c r="CG106" s="33">
        <v>20</v>
      </c>
      <c r="CH106" s="323">
        <v>20</v>
      </c>
      <c r="CI106" s="323">
        <v>20</v>
      </c>
      <c r="CJ106" s="323">
        <f t="shared" si="45"/>
        <v>13.333333333333334</v>
      </c>
      <c r="CK106" s="323">
        <v>25</v>
      </c>
      <c r="CL106" s="323">
        <v>60</v>
      </c>
      <c r="CM106" s="1001">
        <v>0.13700000000000001</v>
      </c>
    </row>
    <row r="107" spans="1:91">
      <c r="CD107" s="2154" t="s">
        <v>1597</v>
      </c>
      <c r="CE107" s="33">
        <v>500</v>
      </c>
      <c r="CF107" s="33">
        <v>310</v>
      </c>
      <c r="CG107" s="33">
        <v>10</v>
      </c>
      <c r="CH107" s="2153">
        <v>31</v>
      </c>
      <c r="CI107" s="2153">
        <v>31</v>
      </c>
      <c r="CJ107" s="2154">
        <v>0</v>
      </c>
      <c r="CK107" s="2154">
        <v>0</v>
      </c>
      <c r="CL107" s="2154">
        <v>60</v>
      </c>
      <c r="CM107" s="2157">
        <v>0.13700000000000001</v>
      </c>
    </row>
    <row r="108" spans="1:91">
      <c r="CD108" s="2141" t="s">
        <v>1296</v>
      </c>
      <c r="CE108" s="33">
        <v>200</v>
      </c>
      <c r="CF108" s="33">
        <v>75</v>
      </c>
      <c r="CG108" s="33">
        <v>20</v>
      </c>
      <c r="CH108" s="323">
        <v>20</v>
      </c>
      <c r="CI108" s="323">
        <v>20</v>
      </c>
      <c r="CJ108" s="323">
        <f t="shared" si="45"/>
        <v>13.333333333333334</v>
      </c>
      <c r="CK108" s="323">
        <v>25</v>
      </c>
      <c r="CL108" s="323">
        <v>90</v>
      </c>
      <c r="CM108" s="1001">
        <v>0.16</v>
      </c>
    </row>
    <row r="109" spans="1:91">
      <c r="CD109" s="2141" t="s">
        <v>1380</v>
      </c>
      <c r="CE109" s="33">
        <v>600</v>
      </c>
      <c r="CF109" s="33">
        <v>205</v>
      </c>
      <c r="CG109" s="33">
        <v>20</v>
      </c>
      <c r="CH109" s="323">
        <v>20</v>
      </c>
      <c r="CI109" s="323">
        <v>20</v>
      </c>
      <c r="CJ109" s="323">
        <f t="shared" si="45"/>
        <v>13.333333333333334</v>
      </c>
      <c r="CK109" s="323">
        <v>10</v>
      </c>
      <c r="CL109" s="323">
        <v>30</v>
      </c>
      <c r="CM109" s="1001">
        <v>0.126</v>
      </c>
    </row>
    <row r="110" spans="1:91">
      <c r="CD110" s="2141" t="s">
        <v>1381</v>
      </c>
      <c r="CE110" s="33">
        <v>650</v>
      </c>
      <c r="CF110" s="33">
        <v>220</v>
      </c>
      <c r="CG110" s="33">
        <v>20</v>
      </c>
      <c r="CH110" s="323">
        <v>40</v>
      </c>
      <c r="CI110" s="323">
        <v>40</v>
      </c>
      <c r="CJ110" s="323">
        <f t="shared" si="45"/>
        <v>26.666666666666668</v>
      </c>
      <c r="CK110" s="323">
        <v>40</v>
      </c>
      <c r="CL110" s="323">
        <v>60</v>
      </c>
      <c r="CM110" s="1001">
        <v>0.14899999999999999</v>
      </c>
    </row>
    <row r="111" spans="1:91">
      <c r="CD111" s="2141" t="s">
        <v>1670</v>
      </c>
      <c r="CE111" s="33">
        <v>550</v>
      </c>
      <c r="CF111" s="33">
        <v>245</v>
      </c>
      <c r="CG111" s="33">
        <v>10</v>
      </c>
      <c r="CH111" s="2153">
        <v>25</v>
      </c>
      <c r="CI111" s="2153">
        <v>25</v>
      </c>
      <c r="CJ111" s="2164">
        <v>0</v>
      </c>
      <c r="CK111" s="2164">
        <v>0</v>
      </c>
      <c r="CL111" s="2164">
        <v>60</v>
      </c>
      <c r="CM111" s="2155">
        <v>0.11</v>
      </c>
    </row>
    <row r="112" spans="1:91">
      <c r="CD112" s="2141" t="s">
        <v>1382</v>
      </c>
      <c r="CE112" s="33">
        <v>500</v>
      </c>
      <c r="CF112" s="33">
        <v>230</v>
      </c>
      <c r="CG112" s="33">
        <v>20</v>
      </c>
      <c r="CH112" s="323">
        <v>20</v>
      </c>
      <c r="CI112" s="323">
        <v>20</v>
      </c>
      <c r="CJ112" s="323">
        <f t="shared" ref="CJ112:CJ122" si="46">CI112*2/3</f>
        <v>13.333333333333334</v>
      </c>
      <c r="CK112" s="323">
        <v>40</v>
      </c>
      <c r="CL112" s="323">
        <v>30</v>
      </c>
      <c r="CM112" s="1001">
        <v>0.115</v>
      </c>
    </row>
    <row r="113" spans="82:92">
      <c r="CD113" s="2141" t="s">
        <v>1383</v>
      </c>
      <c r="CE113" s="33">
        <v>0</v>
      </c>
      <c r="CF113" s="33">
        <v>140</v>
      </c>
      <c r="CG113" s="33">
        <v>20</v>
      </c>
      <c r="CH113" s="323">
        <v>20</v>
      </c>
      <c r="CI113" s="323">
        <v>20</v>
      </c>
      <c r="CJ113" s="323">
        <f t="shared" si="46"/>
        <v>13.333333333333334</v>
      </c>
      <c r="CK113" s="323"/>
      <c r="CL113" s="323">
        <v>60</v>
      </c>
      <c r="CM113" s="1001">
        <v>8.2000000000000003E-2</v>
      </c>
    </row>
    <row r="114" spans="82:92">
      <c r="CD114" s="2141" t="s">
        <v>1384</v>
      </c>
      <c r="CE114" s="33">
        <v>20</v>
      </c>
      <c r="CF114" s="33">
        <v>160</v>
      </c>
      <c r="CG114" s="33">
        <v>20</v>
      </c>
      <c r="CH114" s="323">
        <v>20</v>
      </c>
      <c r="CI114" s="323">
        <v>20</v>
      </c>
      <c r="CJ114" s="323">
        <f t="shared" si="46"/>
        <v>13.333333333333334</v>
      </c>
      <c r="CK114" s="323"/>
      <c r="CL114" s="323">
        <v>90</v>
      </c>
      <c r="CM114" s="1001">
        <v>8.2000000000000003E-2</v>
      </c>
    </row>
    <row r="115" spans="82:92">
      <c r="CD115" s="2141" t="s">
        <v>1385</v>
      </c>
      <c r="CE115" s="33">
        <v>0</v>
      </c>
      <c r="CF115" s="33">
        <v>160</v>
      </c>
      <c r="CG115" s="33">
        <v>20</v>
      </c>
      <c r="CH115" s="323">
        <v>20</v>
      </c>
      <c r="CI115" s="323">
        <v>20</v>
      </c>
      <c r="CJ115" s="323">
        <f t="shared" si="46"/>
        <v>13.333333333333334</v>
      </c>
      <c r="CK115" s="323"/>
      <c r="CL115" s="323">
        <v>90</v>
      </c>
      <c r="CM115" s="1001">
        <v>8.2000000000000003E-2</v>
      </c>
    </row>
    <row r="116" spans="82:92">
      <c r="CD116" s="2141" t="s">
        <v>1386</v>
      </c>
      <c r="CE116" s="33">
        <v>80</v>
      </c>
      <c r="CF116" s="33">
        <v>160</v>
      </c>
      <c r="CG116" s="33">
        <v>20</v>
      </c>
      <c r="CH116" s="323">
        <v>20</v>
      </c>
      <c r="CI116" s="323">
        <v>20</v>
      </c>
      <c r="CJ116" s="323">
        <f t="shared" si="46"/>
        <v>13.333333333333334</v>
      </c>
      <c r="CK116" s="323"/>
      <c r="CL116" s="323">
        <v>90</v>
      </c>
      <c r="CM116" s="1001">
        <v>8.2000000000000003E-2</v>
      </c>
    </row>
    <row r="117" spans="82:92">
      <c r="CD117" s="2141" t="s">
        <v>1387</v>
      </c>
      <c r="CE117" s="33">
        <v>100</v>
      </c>
      <c r="CF117" s="33">
        <v>80</v>
      </c>
      <c r="CG117" s="33">
        <v>20</v>
      </c>
      <c r="CH117" s="323">
        <v>20</v>
      </c>
      <c r="CI117" s="323">
        <v>20</v>
      </c>
      <c r="CJ117" s="323">
        <f t="shared" si="46"/>
        <v>13.333333333333334</v>
      </c>
      <c r="CK117" s="323"/>
      <c r="CL117" s="323">
        <v>90</v>
      </c>
      <c r="CM117" s="1001">
        <v>8.2000000000000003E-2</v>
      </c>
    </row>
    <row r="118" spans="82:92">
      <c r="CD118" s="2141" t="s">
        <v>1388</v>
      </c>
      <c r="CE118" s="33">
        <v>100</v>
      </c>
      <c r="CF118" s="33">
        <v>100</v>
      </c>
      <c r="CG118" s="33">
        <v>20</v>
      </c>
      <c r="CH118" s="323">
        <v>20</v>
      </c>
      <c r="CI118" s="323">
        <v>20</v>
      </c>
      <c r="CJ118" s="323">
        <f t="shared" si="46"/>
        <v>13.333333333333334</v>
      </c>
      <c r="CK118" s="323">
        <v>10</v>
      </c>
      <c r="CL118" s="323">
        <v>30</v>
      </c>
      <c r="CM118" s="1001">
        <v>0.115</v>
      </c>
    </row>
    <row r="119" spans="82:92">
      <c r="CD119" s="2141" t="s">
        <v>1297</v>
      </c>
      <c r="CE119" s="33">
        <v>250</v>
      </c>
      <c r="CF119" s="33">
        <v>190</v>
      </c>
      <c r="CG119" s="33">
        <v>20</v>
      </c>
      <c r="CH119" s="323">
        <v>20</v>
      </c>
      <c r="CI119" s="323">
        <v>20</v>
      </c>
      <c r="CJ119" s="323">
        <f t="shared" si="46"/>
        <v>13.333333333333334</v>
      </c>
      <c r="CK119" s="323">
        <v>30</v>
      </c>
      <c r="CL119" s="323">
        <v>30</v>
      </c>
      <c r="CM119" s="1001">
        <v>0.115</v>
      </c>
    </row>
    <row r="120" spans="82:92">
      <c r="CD120" s="2141" t="s">
        <v>1298</v>
      </c>
      <c r="CE120" s="33">
        <v>300</v>
      </c>
      <c r="CF120" s="33">
        <v>205</v>
      </c>
      <c r="CG120" s="33">
        <v>20</v>
      </c>
      <c r="CH120" s="323">
        <v>20</v>
      </c>
      <c r="CI120" s="323">
        <v>20</v>
      </c>
      <c r="CJ120" s="323">
        <f t="shared" si="46"/>
        <v>13.333333333333334</v>
      </c>
      <c r="CK120" s="323">
        <v>30</v>
      </c>
      <c r="CL120" s="323">
        <v>30</v>
      </c>
      <c r="CM120" s="1001">
        <v>0.115</v>
      </c>
      <c r="CN120" s="2147"/>
    </row>
    <row r="121" spans="82:92">
      <c r="CD121" s="2143" t="s">
        <v>1671</v>
      </c>
      <c r="CE121" s="33">
        <v>310</v>
      </c>
      <c r="CF121" s="33">
        <v>240</v>
      </c>
      <c r="CG121" s="33">
        <v>20</v>
      </c>
      <c r="CH121" s="2144">
        <v>20</v>
      </c>
      <c r="CI121" s="2144">
        <v>20</v>
      </c>
      <c r="CJ121" s="2144">
        <f t="shared" si="46"/>
        <v>13.333333333333334</v>
      </c>
      <c r="CK121" s="2144">
        <v>50</v>
      </c>
      <c r="CL121" s="2144">
        <v>30</v>
      </c>
      <c r="CM121" s="2148">
        <v>0.115</v>
      </c>
      <c r="CN121" s="2147"/>
    </row>
    <row r="122" spans="82:92">
      <c r="CD122" s="2143" t="s">
        <v>1672</v>
      </c>
      <c r="CE122" s="33">
        <v>360</v>
      </c>
      <c r="CF122" s="33">
        <v>300</v>
      </c>
      <c r="CG122" s="33">
        <v>20</v>
      </c>
      <c r="CH122" s="2144">
        <v>20</v>
      </c>
      <c r="CI122" s="2144">
        <v>20</v>
      </c>
      <c r="CJ122" s="2144">
        <f t="shared" si="46"/>
        <v>13.333333333333334</v>
      </c>
      <c r="CK122" s="2144">
        <v>50</v>
      </c>
      <c r="CL122" s="2144">
        <v>30</v>
      </c>
      <c r="CM122" s="2148">
        <v>0.115</v>
      </c>
      <c r="CN122" s="2147"/>
    </row>
    <row r="123" spans="82:92">
      <c r="CD123" s="2140" t="s">
        <v>1627</v>
      </c>
      <c r="CE123" s="33">
        <v>350</v>
      </c>
      <c r="CF123" s="33">
        <v>185</v>
      </c>
      <c r="CG123" s="33">
        <v>10</v>
      </c>
      <c r="CH123" s="2153">
        <v>19</v>
      </c>
      <c r="CI123" s="2153">
        <v>19</v>
      </c>
      <c r="CJ123" s="2152">
        <v>0</v>
      </c>
      <c r="CK123" s="2152">
        <v>0</v>
      </c>
      <c r="CL123" s="2152">
        <v>60</v>
      </c>
      <c r="CM123" s="2157">
        <v>0.12</v>
      </c>
      <c r="CN123" s="2147"/>
    </row>
    <row r="124" spans="82:92">
      <c r="CD124" s="2141" t="s">
        <v>1389</v>
      </c>
      <c r="CE124" s="33">
        <v>250</v>
      </c>
      <c r="CF124" s="33">
        <v>100</v>
      </c>
      <c r="CG124" s="33">
        <v>20</v>
      </c>
      <c r="CH124" s="323">
        <v>20</v>
      </c>
      <c r="CI124" s="323">
        <v>20</v>
      </c>
      <c r="CJ124" s="323">
        <f>CI124*2/3</f>
        <v>13.333333333333334</v>
      </c>
      <c r="CK124" s="323">
        <v>70</v>
      </c>
      <c r="CL124" s="323">
        <v>60</v>
      </c>
      <c r="CM124" s="1001">
        <v>9.1999999999999998E-2</v>
      </c>
      <c r="CN124" s="2147"/>
    </row>
    <row r="125" spans="82:92">
      <c r="CD125" s="2141" t="s">
        <v>1299</v>
      </c>
      <c r="CE125" s="33">
        <v>150</v>
      </c>
      <c r="CF125" s="33">
        <v>110</v>
      </c>
      <c r="CG125" s="33">
        <v>20</v>
      </c>
      <c r="CH125" s="323">
        <v>20</v>
      </c>
      <c r="CI125" s="323">
        <v>20</v>
      </c>
      <c r="CJ125" s="323">
        <f>CI125*2/3</f>
        <v>13.333333333333334</v>
      </c>
      <c r="CK125" s="323">
        <v>30</v>
      </c>
      <c r="CL125" s="323">
        <v>60</v>
      </c>
      <c r="CM125" s="1001">
        <v>0.24099999999999999</v>
      </c>
      <c r="CN125" s="2147"/>
    </row>
    <row r="126" spans="82:92">
      <c r="CD126" s="2159" t="s">
        <v>1673</v>
      </c>
      <c r="CE126" s="33">
        <v>150</v>
      </c>
      <c r="CF126" s="33">
        <v>100</v>
      </c>
      <c r="CG126" s="33">
        <v>10</v>
      </c>
      <c r="CH126" s="2158">
        <v>5</v>
      </c>
      <c r="CI126" s="2158">
        <v>5</v>
      </c>
      <c r="CJ126" s="2152">
        <v>0</v>
      </c>
      <c r="CK126" s="2152">
        <v>0</v>
      </c>
      <c r="CL126" s="2152">
        <v>60</v>
      </c>
      <c r="CM126" s="2155">
        <v>0.12</v>
      </c>
      <c r="CN126" s="2147"/>
    </row>
    <row r="127" spans="82:92">
      <c r="CD127" s="2141" t="s">
        <v>1390</v>
      </c>
      <c r="CE127" s="33">
        <v>700</v>
      </c>
      <c r="CF127" s="33">
        <v>260</v>
      </c>
      <c r="CG127" s="33">
        <v>20</v>
      </c>
      <c r="CH127" s="323">
        <v>40</v>
      </c>
      <c r="CI127" s="323">
        <v>40</v>
      </c>
      <c r="CJ127" s="323">
        <f>CI127*2/3</f>
        <v>26.666666666666668</v>
      </c>
      <c r="CK127" s="323">
        <v>75</v>
      </c>
      <c r="CL127" s="323">
        <v>60</v>
      </c>
      <c r="CM127" s="1001">
        <v>7.2999999999999995E-2</v>
      </c>
      <c r="CN127" s="2147"/>
    </row>
    <row r="128" spans="82:92">
      <c r="CD128" s="2141" t="s">
        <v>1391</v>
      </c>
      <c r="CE128" s="33">
        <v>1000</v>
      </c>
      <c r="CF128" s="33">
        <v>320</v>
      </c>
      <c r="CG128" s="33">
        <v>20</v>
      </c>
      <c r="CH128" s="323">
        <v>40</v>
      </c>
      <c r="CI128" s="323">
        <v>40</v>
      </c>
      <c r="CJ128" s="323">
        <f>CI128*2/3</f>
        <v>26.666666666666668</v>
      </c>
      <c r="CK128" s="323">
        <v>75</v>
      </c>
      <c r="CL128" s="323">
        <v>90</v>
      </c>
      <c r="CM128" s="1001">
        <v>7.2999999999999995E-2</v>
      </c>
      <c r="CN128" s="2147"/>
    </row>
    <row r="129" spans="82:92">
      <c r="CD129" s="2159" t="s">
        <v>1674</v>
      </c>
      <c r="CE129" s="33">
        <v>100</v>
      </c>
      <c r="CF129" s="33">
        <v>80</v>
      </c>
      <c r="CG129" s="33">
        <v>10</v>
      </c>
      <c r="CH129" s="2158">
        <v>4</v>
      </c>
      <c r="CI129" s="2158">
        <v>4</v>
      </c>
      <c r="CJ129" s="2152">
        <v>0</v>
      </c>
      <c r="CK129" s="2152">
        <v>0</v>
      </c>
      <c r="CL129" s="2152">
        <v>30</v>
      </c>
      <c r="CM129" s="2165">
        <v>0.1</v>
      </c>
      <c r="CN129" s="2147"/>
    </row>
    <row r="130" spans="82:92">
      <c r="CD130" s="2152" t="s">
        <v>1637</v>
      </c>
      <c r="CE130" s="33">
        <v>800</v>
      </c>
      <c r="CF130" s="33">
        <v>440</v>
      </c>
      <c r="CG130" s="33">
        <v>10</v>
      </c>
      <c r="CH130" s="2153">
        <v>44</v>
      </c>
      <c r="CI130" s="2153">
        <v>44</v>
      </c>
      <c r="CJ130" s="2152">
        <v>0</v>
      </c>
      <c r="CK130" s="2152">
        <v>0</v>
      </c>
      <c r="CL130" s="2154">
        <v>60</v>
      </c>
      <c r="CM130" s="2155">
        <v>0.13700000000000001</v>
      </c>
      <c r="CN130" s="2147"/>
    </row>
    <row r="131" spans="82:92">
      <c r="CD131" s="2141" t="s">
        <v>1300</v>
      </c>
      <c r="CE131" s="2129">
        <v>400</v>
      </c>
      <c r="CF131" s="2129">
        <v>285</v>
      </c>
      <c r="CG131" s="2129">
        <v>20</v>
      </c>
      <c r="CH131" s="323">
        <v>40</v>
      </c>
      <c r="CI131" s="323">
        <v>40</v>
      </c>
      <c r="CJ131" s="323">
        <f>CI131*2/3</f>
        <v>26.666666666666668</v>
      </c>
      <c r="CK131" s="323">
        <v>80</v>
      </c>
      <c r="CL131" s="323">
        <v>60</v>
      </c>
      <c r="CM131" s="1001">
        <v>0.115</v>
      </c>
      <c r="CN131" s="2147"/>
    </row>
    <row r="132" spans="82:92">
      <c r="CD132" s="2159" t="s">
        <v>1675</v>
      </c>
      <c r="CE132" s="2129">
        <v>300</v>
      </c>
      <c r="CF132" s="2129">
        <v>185</v>
      </c>
      <c r="CG132" s="2129">
        <v>10</v>
      </c>
      <c r="CH132" s="2158">
        <v>19</v>
      </c>
      <c r="CI132" s="2158">
        <v>19</v>
      </c>
      <c r="CJ132" s="2164">
        <v>0</v>
      </c>
      <c r="CK132" s="2164">
        <v>0</v>
      </c>
      <c r="CL132" s="2164">
        <v>60</v>
      </c>
      <c r="CM132" s="2155">
        <v>0.14000000000000001</v>
      </c>
      <c r="CN132" s="2147"/>
    </row>
    <row r="133" spans="82:92">
      <c r="CD133" s="2141" t="s">
        <v>1301</v>
      </c>
      <c r="CE133" s="2129">
        <v>650</v>
      </c>
      <c r="CF133" s="2129">
        <v>250</v>
      </c>
      <c r="CG133" s="2129">
        <v>20</v>
      </c>
      <c r="CH133" s="323">
        <v>20</v>
      </c>
      <c r="CI133" s="323">
        <v>20</v>
      </c>
      <c r="CJ133" s="323">
        <f>CI133*2/3</f>
        <v>13.333333333333334</v>
      </c>
      <c r="CK133" s="323">
        <v>85</v>
      </c>
      <c r="CL133" s="323">
        <v>60</v>
      </c>
      <c r="CM133" s="1001">
        <v>0.06</v>
      </c>
      <c r="CN133" s="2147"/>
    </row>
    <row r="134" spans="82:92">
      <c r="CD134" s="2141" t="s">
        <v>1302</v>
      </c>
      <c r="CE134" s="2129">
        <v>200</v>
      </c>
      <c r="CF134" s="2129">
        <v>160</v>
      </c>
      <c r="CG134" s="2129">
        <v>20</v>
      </c>
      <c r="CH134" s="323">
        <v>20</v>
      </c>
      <c r="CI134" s="323">
        <v>20</v>
      </c>
      <c r="CJ134" s="323">
        <f>CI134*2/3</f>
        <v>13.333333333333334</v>
      </c>
      <c r="CK134" s="323">
        <v>60</v>
      </c>
      <c r="CL134" s="323">
        <v>90</v>
      </c>
      <c r="CM134" s="1001">
        <v>0.16</v>
      </c>
      <c r="CN134" s="2147"/>
    </row>
    <row r="135" spans="82:92">
      <c r="CD135" s="2141" t="s">
        <v>1392</v>
      </c>
      <c r="CE135" s="2129">
        <v>680</v>
      </c>
      <c r="CF135" s="2129">
        <v>210</v>
      </c>
      <c r="CG135" s="2129">
        <v>20</v>
      </c>
      <c r="CH135" s="323">
        <v>20</v>
      </c>
      <c r="CI135" s="323">
        <v>20</v>
      </c>
      <c r="CJ135" s="323">
        <f>CI135*2/3</f>
        <v>13.333333333333334</v>
      </c>
      <c r="CK135" s="323">
        <v>15</v>
      </c>
      <c r="CL135" s="323">
        <v>30</v>
      </c>
      <c r="CM135" s="1001">
        <v>0.06</v>
      </c>
      <c r="CN135" s="2147"/>
    </row>
    <row r="136" spans="82:92">
      <c r="CD136" s="2141" t="s">
        <v>1676</v>
      </c>
      <c r="CE136" s="2129">
        <v>250</v>
      </c>
      <c r="CF136" s="2129">
        <v>130</v>
      </c>
      <c r="CG136" s="2129">
        <v>20</v>
      </c>
      <c r="CH136" s="323">
        <v>20</v>
      </c>
      <c r="CI136" s="323">
        <v>20</v>
      </c>
      <c r="CJ136" s="323">
        <f>CI136*2/3</f>
        <v>13.333333333333334</v>
      </c>
      <c r="CK136" s="323">
        <v>30</v>
      </c>
      <c r="CL136" s="323">
        <v>60</v>
      </c>
      <c r="CM136" s="1001">
        <v>0.12</v>
      </c>
      <c r="CN136" s="2147"/>
    </row>
    <row r="137" spans="82:92">
      <c r="CD137" s="2141" t="s">
        <v>1303</v>
      </c>
      <c r="CE137" s="2129">
        <v>600</v>
      </c>
      <c r="CF137" s="2129">
        <v>155</v>
      </c>
      <c r="CG137" s="2129">
        <v>20</v>
      </c>
      <c r="CH137" s="323">
        <v>20</v>
      </c>
      <c r="CI137" s="323">
        <v>20</v>
      </c>
      <c r="CJ137" s="323">
        <f>CI137*2/3</f>
        <v>13.333333333333334</v>
      </c>
      <c r="CK137" s="323">
        <v>30</v>
      </c>
      <c r="CL137" s="323">
        <v>60</v>
      </c>
      <c r="CM137" s="1001">
        <v>0.08</v>
      </c>
      <c r="CN137" s="2147"/>
    </row>
    <row r="138" spans="82:92" ht="15.75">
      <c r="CE138" s="2129"/>
      <c r="CF138" s="2129"/>
      <c r="CG138" s="2129"/>
      <c r="CH138" s="2129"/>
      <c r="CI138" s="2129"/>
      <c r="CJ138" s="2129"/>
      <c r="CK138" s="2129"/>
      <c r="CL138" s="1936"/>
      <c r="CM138" s="1936"/>
      <c r="CN138" s="2147"/>
    </row>
    <row r="139" spans="82:92" ht="15.75">
      <c r="CE139" s="2129"/>
      <c r="CF139" s="2129"/>
      <c r="CG139" s="2129"/>
      <c r="CH139" s="2129"/>
      <c r="CI139" s="2129"/>
      <c r="CJ139" s="2129"/>
      <c r="CK139" s="2129"/>
      <c r="CL139" s="1936"/>
      <c r="CM139" s="1936"/>
      <c r="CN139" s="2147"/>
    </row>
    <row r="140" spans="82:92" ht="15.75">
      <c r="CE140" s="2129"/>
      <c r="CF140" s="2129"/>
      <c r="CG140" s="2129"/>
      <c r="CH140" s="2129"/>
      <c r="CI140" s="2129"/>
      <c r="CJ140" s="2129"/>
      <c r="CK140" s="2129"/>
      <c r="CL140" s="1936"/>
      <c r="CM140" s="1936"/>
      <c r="CN140" s="2147"/>
    </row>
    <row r="141" spans="82:92" ht="15.75">
      <c r="CD141" s="324" t="s">
        <v>6</v>
      </c>
      <c r="CE141" s="2129"/>
      <c r="CF141" s="2129"/>
      <c r="CG141" s="2129"/>
      <c r="CH141" s="2129"/>
      <c r="CI141" s="2129"/>
      <c r="CJ141" s="2129"/>
      <c r="CK141" s="2129"/>
      <c r="CL141" s="1935"/>
      <c r="CM141" s="1927"/>
      <c r="CN141" s="2147"/>
    </row>
    <row r="142" spans="82:92" ht="15.75">
      <c r="CD142" s="33" t="s">
        <v>503</v>
      </c>
      <c r="CE142" s="2166">
        <v>0</v>
      </c>
      <c r="CF142" s="2129"/>
      <c r="CG142" s="2129"/>
      <c r="CH142" s="2129"/>
      <c r="CI142" s="2129"/>
      <c r="CJ142" s="2129"/>
      <c r="CK142" s="2129"/>
      <c r="CL142" s="1935"/>
      <c r="CM142" s="1927"/>
      <c r="CN142" s="2147"/>
    </row>
    <row r="143" spans="82:92" ht="15.75">
      <c r="CD143" s="33" t="s">
        <v>22</v>
      </c>
      <c r="CE143" s="2166">
        <v>10</v>
      </c>
      <c r="CF143" s="2129"/>
      <c r="CG143" s="2129"/>
      <c r="CH143" s="2129"/>
      <c r="CI143" s="2129"/>
      <c r="CJ143" s="2129"/>
      <c r="CK143" s="2129"/>
      <c r="CN143" s="2147"/>
    </row>
    <row r="144" spans="82:92" ht="15.75">
      <c r="CD144" s="33" t="s">
        <v>528</v>
      </c>
      <c r="CE144" s="2166">
        <v>10</v>
      </c>
      <c r="CN144" s="2147"/>
    </row>
    <row r="145" spans="82:92" ht="15.75">
      <c r="CD145" s="33" t="s">
        <v>7</v>
      </c>
      <c r="CE145" s="2166">
        <v>10</v>
      </c>
      <c r="CN145" s="2147"/>
    </row>
    <row r="146" spans="82:92" ht="15.75">
      <c r="CD146" s="33" t="s">
        <v>17</v>
      </c>
      <c r="CE146" s="2167">
        <v>20</v>
      </c>
      <c r="CN146" s="2147"/>
    </row>
    <row r="147" spans="82:92" ht="15.75">
      <c r="CD147" s="33" t="s">
        <v>23</v>
      </c>
      <c r="CE147" s="2167">
        <v>0</v>
      </c>
      <c r="CN147" s="2147"/>
    </row>
    <row r="148" spans="82:92" ht="15.75">
      <c r="CD148" s="33" t="s">
        <v>20</v>
      </c>
      <c r="CE148" s="2167">
        <v>20</v>
      </c>
      <c r="CN148" s="2147"/>
    </row>
    <row r="149" spans="82:92" ht="15.75">
      <c r="CD149" s="33" t="s">
        <v>19</v>
      </c>
      <c r="CE149" s="2167">
        <v>10</v>
      </c>
      <c r="CN149" s="2147"/>
    </row>
    <row r="150" spans="82:92" ht="15.75">
      <c r="CD150" s="33" t="s">
        <v>529</v>
      </c>
      <c r="CE150" s="2167">
        <v>0</v>
      </c>
      <c r="CN150" s="2147"/>
    </row>
    <row r="151" spans="82:92" ht="15.75">
      <c r="CD151" s="33" t="s">
        <v>21</v>
      </c>
      <c r="CE151" s="2167">
        <v>10</v>
      </c>
      <c r="CN151" s="2147"/>
    </row>
    <row r="152" spans="82:92" ht="15.75">
      <c r="CD152" s="33" t="s">
        <v>18</v>
      </c>
      <c r="CE152" s="2167">
        <v>20</v>
      </c>
      <c r="CN152" s="2147"/>
    </row>
    <row r="153" spans="82:92" ht="15.75">
      <c r="CE153" s="2167"/>
      <c r="CN153" s="2147"/>
    </row>
    <row r="154" spans="82:92" ht="15.75">
      <c r="CD154" s="324" t="s">
        <v>8</v>
      </c>
      <c r="CE154" s="2167"/>
      <c r="CN154" s="2147"/>
    </row>
    <row r="155" spans="82:92" ht="15.75">
      <c r="CD155" s="33" t="s">
        <v>25</v>
      </c>
      <c r="CE155" s="2167">
        <v>0</v>
      </c>
      <c r="CN155" s="2147"/>
    </row>
    <row r="156" spans="82:92" ht="15.75">
      <c r="CD156" s="33" t="s">
        <v>531</v>
      </c>
      <c r="CE156" s="2167">
        <v>0</v>
      </c>
      <c r="CN156" s="2147"/>
    </row>
    <row r="157" spans="82:92" ht="15.75">
      <c r="CD157" s="33" t="s">
        <v>530</v>
      </c>
      <c r="CE157" s="2167">
        <v>20</v>
      </c>
      <c r="CN157" s="2147"/>
    </row>
    <row r="158" spans="82:92" ht="15.75">
      <c r="CD158" s="33" t="s">
        <v>28</v>
      </c>
      <c r="CE158" s="2167">
        <v>10</v>
      </c>
      <c r="CN158" s="2147"/>
    </row>
    <row r="159" spans="82:92" ht="15.75">
      <c r="CD159" s="33" t="s">
        <v>533</v>
      </c>
      <c r="CE159" s="2167">
        <v>10</v>
      </c>
      <c r="CN159" s="2147"/>
    </row>
    <row r="160" spans="82:92" ht="15.75">
      <c r="CD160" s="33" t="s">
        <v>671</v>
      </c>
      <c r="CE160" s="2167">
        <v>30</v>
      </c>
      <c r="CN160" s="2147"/>
    </row>
    <row r="161" spans="82:92" ht="15.75">
      <c r="CD161" s="33" t="s">
        <v>532</v>
      </c>
      <c r="CE161" s="2167">
        <v>40</v>
      </c>
      <c r="CN161" s="2147"/>
    </row>
    <row r="162" spans="82:92" ht="15.75">
      <c r="CD162" s="33" t="s">
        <v>9</v>
      </c>
      <c r="CE162" s="2167">
        <v>0</v>
      </c>
    </row>
    <row r="163" spans="82:92" ht="15.75">
      <c r="CD163" s="33" t="s">
        <v>10</v>
      </c>
      <c r="CE163" s="2167">
        <v>10</v>
      </c>
    </row>
    <row r="164" spans="82:92" ht="15.75">
      <c r="CD164" s="33" t="s">
        <v>31</v>
      </c>
      <c r="CE164" s="2167">
        <v>0</v>
      </c>
    </row>
    <row r="165" spans="82:92" ht="15.75">
      <c r="CE165" s="2167"/>
    </row>
    <row r="166" spans="82:92" ht="15.75">
      <c r="CD166" s="324" t="s">
        <v>159</v>
      </c>
      <c r="CE166" s="2167"/>
    </row>
    <row r="167" spans="82:92" ht="15.75">
      <c r="CD167" s="33" t="s">
        <v>224</v>
      </c>
      <c r="CE167" s="2167">
        <v>20</v>
      </c>
    </row>
    <row r="168" spans="82:92" ht="15.75">
      <c r="CD168" s="33" t="s">
        <v>160</v>
      </c>
      <c r="CE168" s="2167">
        <v>0</v>
      </c>
    </row>
    <row r="170" spans="82:92">
      <c r="CD170" s="33" t="s">
        <v>1328</v>
      </c>
    </row>
    <row r="171" spans="82:92">
      <c r="CD171" s="33" t="s">
        <v>1329</v>
      </c>
      <c r="CE171" s="323" t="s">
        <v>1330</v>
      </c>
    </row>
    <row r="172" spans="82:92">
      <c r="CD172" s="33" t="s">
        <v>1331</v>
      </c>
      <c r="CE172" s="323">
        <v>20</v>
      </c>
    </row>
    <row r="173" spans="82:92">
      <c r="CD173" s="33" t="s">
        <v>1327</v>
      </c>
      <c r="CE173" s="323">
        <v>0</v>
      </c>
    </row>
  </sheetData>
  <sheetProtection sheet="1" objects="1" scenarios="1"/>
  <mergeCells count="58">
    <mergeCell ref="CM1:CM3"/>
    <mergeCell ref="CE1:CE3"/>
    <mergeCell ref="CF1:CF3"/>
    <mergeCell ref="CK1:CK3"/>
    <mergeCell ref="CG1:CG3"/>
    <mergeCell ref="CI1:CI3"/>
    <mergeCell ref="CH1:CH3"/>
    <mergeCell ref="CJ1:CJ3"/>
    <mergeCell ref="CL1:CL3"/>
    <mergeCell ref="A4:AA4"/>
    <mergeCell ref="AC4:BL4"/>
    <mergeCell ref="A5:AA5"/>
    <mergeCell ref="AC5:BL5"/>
    <mergeCell ref="BN5:BR6"/>
    <mergeCell ref="K6:K7"/>
    <mergeCell ref="J6:J7"/>
    <mergeCell ref="I6:I7"/>
    <mergeCell ref="R6:R7"/>
    <mergeCell ref="S6:S7"/>
    <mergeCell ref="T6:T7"/>
    <mergeCell ref="BN1:BX4"/>
    <mergeCell ref="BT5:BX6"/>
    <mergeCell ref="A6:A7"/>
    <mergeCell ref="B6:B7"/>
    <mergeCell ref="AE6:AJ6"/>
    <mergeCell ref="AL6:AQ6"/>
    <mergeCell ref="P6:P7"/>
    <mergeCell ref="L6:L7"/>
    <mergeCell ref="AS6:AX6"/>
    <mergeCell ref="AZ6:BE6"/>
    <mergeCell ref="W6:W7"/>
    <mergeCell ref="BG6:BL6"/>
    <mergeCell ref="A63:B66"/>
    <mergeCell ref="C63:AA65"/>
    <mergeCell ref="C66:AA66"/>
    <mergeCell ref="A57:B61"/>
    <mergeCell ref="C6:C7"/>
    <mergeCell ref="D6:E6"/>
    <mergeCell ref="M6:M7"/>
    <mergeCell ref="N6:N7"/>
    <mergeCell ref="O6:O7"/>
    <mergeCell ref="U6:U7"/>
    <mergeCell ref="Q6:Q7"/>
    <mergeCell ref="G6:G7"/>
    <mergeCell ref="H6:H7"/>
    <mergeCell ref="C57:AA61"/>
    <mergeCell ref="V6:V7"/>
    <mergeCell ref="M1:N1"/>
    <mergeCell ref="M2:N2"/>
    <mergeCell ref="B1:D1"/>
    <mergeCell ref="B2:D2"/>
    <mergeCell ref="B3:D3"/>
    <mergeCell ref="Y54:Y55"/>
    <mergeCell ref="AA54:AA55"/>
    <mergeCell ref="AD6:AD7"/>
    <mergeCell ref="AC6:AC7"/>
    <mergeCell ref="X6:Y6"/>
    <mergeCell ref="Z6:AA6"/>
  </mergeCells>
  <conditionalFormatting sqref="CK110">
    <cfRule type="cellIs" dxfId="161" priority="32" operator="equal">
      <formula>90</formula>
    </cfRule>
    <cfRule type="cellIs" dxfId="160" priority="33" operator="equal">
      <formula>60</formula>
    </cfRule>
    <cfRule type="cellIs" dxfId="159" priority="34" operator="equal">
      <formula>15</formula>
    </cfRule>
  </conditionalFormatting>
  <conditionalFormatting sqref="CK6">
    <cfRule type="cellIs" dxfId="158" priority="29" operator="equal">
      <formula>90</formula>
    </cfRule>
    <cfRule type="cellIs" dxfId="157" priority="30" operator="equal">
      <formula>60</formula>
    </cfRule>
    <cfRule type="cellIs" dxfId="156" priority="31" operator="equal">
      <formula>15</formula>
    </cfRule>
  </conditionalFormatting>
  <conditionalFormatting sqref="CH99:CI112 CH121:CI126 CH130:CI130">
    <cfRule type="cellIs" dxfId="155" priority="27" operator="notEqual">
      <formula>20</formula>
    </cfRule>
  </conditionalFormatting>
  <conditionalFormatting sqref="CI113">
    <cfRule type="cellIs" dxfId="154" priority="23" operator="notEqual">
      <formula>20</formula>
    </cfRule>
  </conditionalFormatting>
  <conditionalFormatting sqref="CH6:CI14">
    <cfRule type="cellIs" dxfId="153" priority="21" operator="notEqual">
      <formula>20</formula>
    </cfRule>
  </conditionalFormatting>
  <conditionalFormatting sqref="CH59">
    <cfRule type="cellIs" dxfId="152" priority="20" operator="notEqual">
      <formula>20</formula>
    </cfRule>
  </conditionalFormatting>
  <conditionalFormatting sqref="CI48:CI49">
    <cfRule type="cellIs" dxfId="151" priority="16" operator="notEqual">
      <formula>20</formula>
    </cfRule>
  </conditionalFormatting>
  <conditionalFormatting sqref="CH39:CH40 CH42 CH34:CI37 CH60:CI69 CH44:CH47 CH50:CH57 CH114:CI118 CH5:CI5 CH71:CI88 CH91:CI97 CH15:CI32">
    <cfRule type="cellIs" dxfId="150" priority="26" operator="notEqual">
      <formula>20</formula>
    </cfRule>
  </conditionalFormatting>
  <conditionalFormatting sqref="CH113">
    <cfRule type="cellIs" dxfId="149" priority="25" operator="notEqual">
      <formula>20</formula>
    </cfRule>
  </conditionalFormatting>
  <conditionalFormatting sqref="CI39:CI40 CI42 CI44:CI47 CI50:CI57">
    <cfRule type="cellIs" dxfId="148" priority="24" operator="notEqual">
      <formula>20</formula>
    </cfRule>
  </conditionalFormatting>
  <conditionalFormatting sqref="CH38:CI38">
    <cfRule type="cellIs" dxfId="147" priority="22" operator="notEqual">
      <formula>20</formula>
    </cfRule>
  </conditionalFormatting>
  <conditionalFormatting sqref="CI59">
    <cfRule type="cellIs" dxfId="146" priority="19" operator="notEqual">
      <formula>20</formula>
    </cfRule>
  </conditionalFormatting>
  <conditionalFormatting sqref="CH43:CI43">
    <cfRule type="cellIs" dxfId="145" priority="18" operator="notEqual">
      <formula>20</formula>
    </cfRule>
  </conditionalFormatting>
  <conditionalFormatting sqref="CH48:CH49">
    <cfRule type="cellIs" dxfId="144" priority="17" operator="notEqual">
      <formula>20</formula>
    </cfRule>
  </conditionalFormatting>
  <conditionalFormatting sqref="CH70:CI70">
    <cfRule type="cellIs" dxfId="143" priority="15" operator="notEqual">
      <formula>20</formula>
    </cfRule>
  </conditionalFormatting>
  <conditionalFormatting sqref="CH89:CI90">
    <cfRule type="cellIs" dxfId="142" priority="14" operator="notEqual">
      <formula>20</formula>
    </cfRule>
  </conditionalFormatting>
  <conditionalFormatting sqref="CH58">
    <cfRule type="cellIs" dxfId="141" priority="13" operator="notEqual">
      <formula>20</formula>
    </cfRule>
  </conditionalFormatting>
  <conditionalFormatting sqref="CI58">
    <cfRule type="cellIs" dxfId="140" priority="12" operator="notEqual">
      <formula>20</formula>
    </cfRule>
  </conditionalFormatting>
  <conditionalFormatting sqref="CH127:CI127">
    <cfRule type="cellIs" dxfId="139" priority="11" operator="notEqual">
      <formula>20</formula>
    </cfRule>
  </conditionalFormatting>
  <conditionalFormatting sqref="CH98:CI98">
    <cfRule type="cellIs" dxfId="138" priority="10" operator="notEqual">
      <formula>20</formula>
    </cfRule>
  </conditionalFormatting>
  <conditionalFormatting sqref="CH41:CI41">
    <cfRule type="cellIs" dxfId="137" priority="9" operator="notEqual">
      <formula>20</formula>
    </cfRule>
  </conditionalFormatting>
  <conditionalFormatting sqref="CH33:CI33">
    <cfRule type="cellIs" dxfId="136" priority="8" operator="notEqual">
      <formula>20</formula>
    </cfRule>
  </conditionalFormatting>
  <conditionalFormatting sqref="CH119:CI119">
    <cfRule type="cellIs" dxfId="135" priority="7" operator="notEqual">
      <formula>20</formula>
    </cfRule>
  </conditionalFormatting>
  <conditionalFormatting sqref="CL99:CL118 CL59:CL97 CL121:CL126 CL130 CL34:CL57 CL5:CL32">
    <cfRule type="cellIs" dxfId="134" priority="4" operator="equal">
      <formula>90</formula>
    </cfRule>
    <cfRule type="cellIs" dxfId="133" priority="5" operator="equal">
      <formula>60</formula>
    </cfRule>
    <cfRule type="cellIs" dxfId="132" priority="6" operator="equal">
      <formula>15</formula>
    </cfRule>
  </conditionalFormatting>
  <conditionalFormatting sqref="CL33">
    <cfRule type="cellIs" dxfId="131" priority="1" operator="equal">
      <formula>90</formula>
    </cfRule>
    <cfRule type="cellIs" dxfId="130" priority="2" operator="equal">
      <formula>60</formula>
    </cfRule>
    <cfRule type="cellIs" dxfId="129" priority="3" operator="equal">
      <formula>15</formula>
    </cfRule>
  </conditionalFormatting>
  <dataValidations count="5">
    <dataValidation type="list" allowBlank="1" showInputMessage="1" showErrorMessage="1" sqref="V8:V52">
      <formula1>"Ja,Nein"</formula1>
    </dataValidation>
    <dataValidation type="list" allowBlank="1" sqref="M8:M52">
      <formula1>$CD$142:$CD$152</formula1>
    </dataValidation>
    <dataValidation type="list" allowBlank="1" sqref="O8:O52">
      <formula1>$CD$155:$CD$164</formula1>
    </dataValidation>
    <dataValidation type="list" allowBlank="1" sqref="S8:S52">
      <formula1>$CD$167:$CD$168</formula1>
    </dataValidation>
    <dataValidation type="list" allowBlank="1" sqref="C8:C53">
      <formula1>$CD$4:$CD$137</formula1>
    </dataValidation>
  </dataValidations>
  <pageMargins left="0.7" right="0.7" top="0.78740157499999996" bottom="0.78740157499999996" header="0.3" footer="0.3"/>
  <pageSetup paperSize="9" scale="29" orientation="portrait" r:id="rId1"/>
  <colBreaks count="1" manualBreakCount="1">
    <brk id="27" max="30" man="1"/>
  </colBreaks>
  <ignoredErrors>
    <ignoredError sqref="W51:W52 W8:W29 W30:W5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AF8:AF52 BA8:BA52 AT8:AT52 AM8:AM52 BH8:BH52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U173"/>
  <sheetViews>
    <sheetView topLeftCell="A4" zoomScale="80" zoomScaleNormal="80" zoomScaleSheetLayoutView="30" workbookViewId="0">
      <selection activeCell="A8" sqref="A8"/>
    </sheetView>
  </sheetViews>
  <sheetFormatPr baseColWidth="10" defaultRowHeight="15"/>
  <cols>
    <col min="1" max="1" width="21.5703125" customWidth="1"/>
    <col min="2" max="2" width="10.42578125" customWidth="1"/>
    <col min="3" max="3" width="21.140625" customWidth="1"/>
    <col min="4" max="4" width="7.140625" customWidth="1"/>
    <col min="5" max="5" width="10.28515625" customWidth="1"/>
    <col min="6" max="6" width="14.85546875" customWidth="1"/>
    <col min="7" max="8" width="13.140625" hidden="1" customWidth="1"/>
    <col min="9" max="9" width="12.28515625" hidden="1" customWidth="1"/>
    <col min="10" max="10" width="9.85546875" hidden="1" customWidth="1"/>
    <col min="11" max="11" width="10" hidden="1" customWidth="1"/>
    <col min="12" max="12" width="13.85546875" hidden="1" customWidth="1"/>
    <col min="13" max="13" width="6.28515625" hidden="1" customWidth="1"/>
    <col min="14" max="14" width="16.140625" customWidth="1"/>
    <col min="15" max="15" width="6.140625" customWidth="1"/>
    <col min="16" max="16" width="16.5703125" customWidth="1"/>
    <col min="17" max="17" width="5" customWidth="1"/>
    <col min="18" max="18" width="6.85546875" customWidth="1"/>
    <col min="19" max="19" width="7.140625" customWidth="1"/>
    <col min="20" max="20" width="10" customWidth="1"/>
    <col min="21" max="21" width="5.28515625" customWidth="1"/>
    <col min="22" max="22" width="12.5703125" customWidth="1"/>
    <col min="24" max="24" width="7.42578125" customWidth="1"/>
    <col min="25" max="25" width="10.7109375" customWidth="1"/>
    <col min="26" max="26" width="9" customWidth="1"/>
    <col min="27" max="27" width="8" customWidth="1"/>
    <col min="28" max="28" width="8.5703125" customWidth="1"/>
    <col min="29" max="29" width="10.5703125" customWidth="1"/>
    <col min="30" max="30" width="9.42578125" customWidth="1"/>
    <col min="31" max="31" width="1.5703125" customWidth="1"/>
    <col min="33" max="33" width="15.85546875" customWidth="1"/>
    <col min="34" max="34" width="10" customWidth="1"/>
    <col min="35" max="35" width="13.85546875" customWidth="1"/>
    <col min="36" max="36" width="9.5703125" customWidth="1"/>
    <col min="37" max="37" width="7.42578125" customWidth="1"/>
    <col min="38" max="39" width="9.140625" customWidth="1"/>
    <col min="40" max="40" width="1.85546875" customWidth="1"/>
    <col min="42" max="42" width="13.7109375" customWidth="1"/>
    <col min="43" max="43" width="9.42578125" customWidth="1"/>
    <col min="44" max="44" width="9.140625" customWidth="1"/>
    <col min="45" max="45" width="9.5703125" customWidth="1"/>
    <col min="46" max="46" width="10" customWidth="1"/>
    <col min="47" max="47" width="1.7109375" customWidth="1"/>
    <col min="49" max="49" width="13.28515625" customWidth="1"/>
    <col min="50" max="50" width="9.7109375" customWidth="1"/>
    <col min="51" max="51" width="9.42578125" customWidth="1"/>
    <col min="52" max="52" width="8.85546875" customWidth="1"/>
    <col min="53" max="53" width="9.85546875" customWidth="1"/>
    <col min="54" max="54" width="1.85546875" customWidth="1"/>
    <col min="55" max="56" width="2.85546875" customWidth="1"/>
    <col min="57" max="57" width="2.42578125" customWidth="1"/>
    <col min="58" max="58" width="2" customWidth="1"/>
    <col min="59" max="59" width="2.28515625" customWidth="1"/>
    <col min="60" max="60" width="2.5703125" customWidth="1"/>
    <col min="61" max="62" width="2.140625" customWidth="1"/>
    <col min="63" max="63" width="2.7109375" customWidth="1"/>
    <col min="64" max="64" width="2.140625" customWidth="1"/>
    <col min="65" max="65" width="3" customWidth="1"/>
    <col min="66" max="66" width="2.140625" customWidth="1"/>
    <col min="67" max="67" width="3.140625" customWidth="1"/>
    <col min="68" max="68" width="2.7109375" customWidth="1"/>
    <col min="74" max="74" width="1.85546875" customWidth="1"/>
    <col min="80" max="81" width="4.5703125" customWidth="1"/>
    <col min="82" max="82" width="6.85546875" customWidth="1"/>
    <col min="83" max="83" width="5.7109375" customWidth="1"/>
    <col min="84" max="84" width="6.7109375" customWidth="1"/>
    <col min="85" max="85" width="50" style="33" customWidth="1"/>
    <col min="86" max="86" width="7.28515625" style="323" customWidth="1"/>
    <col min="87" max="87" width="18.42578125" style="323" customWidth="1"/>
    <col min="88" max="90" width="17.42578125" style="323" customWidth="1"/>
    <col min="91" max="91" width="17.42578125" style="33" customWidth="1"/>
    <col min="92" max="92" width="21.5703125" style="33" customWidth="1"/>
    <col min="93" max="93" width="22.28515625" style="33" customWidth="1"/>
    <col min="94" max="94" width="15.85546875" style="969" customWidth="1"/>
    <col min="95" max="95" width="12.85546875" style="969" customWidth="1"/>
    <col min="97" max="97" width="29" customWidth="1"/>
    <col min="98" max="98" width="12.5703125" style="1421" customWidth="1"/>
    <col min="99" max="99" width="12.85546875" customWidth="1"/>
  </cols>
  <sheetData>
    <row r="1" spans="1:99" ht="22.5" customHeight="1">
      <c r="A1" s="2833" t="s">
        <v>1711</v>
      </c>
      <c r="B1" s="2785" t="str">
        <f>'DüV-N-Ackerbau'!C1</f>
        <v>Karl vom Land</v>
      </c>
      <c r="C1" s="2785"/>
      <c r="D1" s="2785"/>
      <c r="E1" s="1884" t="str">
        <f>'DüV-N-Ackerbau'!F1</f>
        <v>Erntejahr</v>
      </c>
      <c r="F1" s="1342"/>
      <c r="G1" s="1882"/>
      <c r="H1" s="1882"/>
      <c r="I1" s="1882"/>
      <c r="J1" s="1882"/>
      <c r="K1" s="1882"/>
      <c r="L1" s="1882"/>
      <c r="M1" s="1882"/>
      <c r="N1" s="2584" t="s">
        <v>34</v>
      </c>
      <c r="O1" s="2585"/>
      <c r="P1" s="1882"/>
      <c r="Q1" s="1882"/>
      <c r="R1" s="1882"/>
      <c r="S1" s="2832" t="s">
        <v>1143</v>
      </c>
      <c r="T1" s="2832"/>
      <c r="U1" s="1882"/>
      <c r="V1" s="1882"/>
      <c r="W1" s="1883"/>
      <c r="X1" s="1883"/>
      <c r="Y1" s="1883"/>
      <c r="Z1" s="1883"/>
      <c r="AA1" s="2836" t="s">
        <v>1143</v>
      </c>
      <c r="AB1" s="2836"/>
      <c r="AC1" s="2836"/>
      <c r="AE1" s="1878"/>
      <c r="AF1" s="2559" t="s">
        <v>1142</v>
      </c>
      <c r="AG1" s="2560"/>
      <c r="AH1" s="2569" t="s">
        <v>1182</v>
      </c>
      <c r="AI1" s="2569"/>
      <c r="AJ1" s="2569"/>
      <c r="AK1" s="2569"/>
      <c r="AL1" s="2569"/>
      <c r="AM1" s="2569"/>
      <c r="AN1" s="2570"/>
      <c r="AO1" s="2570"/>
      <c r="AP1" s="2570"/>
      <c r="AQ1" s="2570"/>
      <c r="AR1" s="2570"/>
      <c r="AS1" s="2570"/>
      <c r="AT1" s="2570"/>
      <c r="AU1" s="2571"/>
      <c r="AV1" s="2571"/>
      <c r="AW1" s="2571"/>
      <c r="AX1" s="2571"/>
      <c r="AY1" s="2571"/>
      <c r="AZ1" s="2571"/>
      <c r="BA1" s="2571"/>
      <c r="BB1" s="2571"/>
      <c r="BC1" s="2571"/>
      <c r="BD1" s="2571"/>
      <c r="BE1" s="2571"/>
      <c r="BF1" s="2571"/>
      <c r="BG1" s="2571"/>
      <c r="BH1" s="2571"/>
      <c r="BI1" s="2571"/>
      <c r="BJ1" s="2571"/>
      <c r="BK1" s="2571"/>
      <c r="BL1" s="2571"/>
      <c r="BM1" s="2571"/>
      <c r="BN1" s="2571"/>
      <c r="BO1" s="2571"/>
      <c r="BP1" s="1878"/>
      <c r="BQ1" s="2541" t="s">
        <v>1310</v>
      </c>
      <c r="BR1" s="2542"/>
      <c r="BS1" s="2542"/>
      <c r="BT1" s="2542"/>
      <c r="BU1" s="2542"/>
      <c r="BV1" s="2542"/>
      <c r="BW1" s="2542"/>
      <c r="BX1" s="2542"/>
      <c r="BY1" s="2542"/>
      <c r="BZ1" s="2542"/>
      <c r="CA1" s="2543"/>
      <c r="CB1" s="1878"/>
      <c r="CG1" s="2149" t="s">
        <v>1404</v>
      </c>
      <c r="CH1" s="2825" t="s">
        <v>33</v>
      </c>
      <c r="CI1" s="2825" t="s">
        <v>1275</v>
      </c>
      <c r="CJ1" s="2827" t="s">
        <v>1322</v>
      </c>
      <c r="CK1" s="2827" t="s">
        <v>1323</v>
      </c>
      <c r="CL1" s="2827" t="s">
        <v>1324</v>
      </c>
      <c r="CM1" s="2829" t="s">
        <v>1325</v>
      </c>
      <c r="CN1" s="2826" t="s">
        <v>1333</v>
      </c>
      <c r="CO1" s="2830" t="s">
        <v>323</v>
      </c>
      <c r="CP1" s="2823" t="s">
        <v>1276</v>
      </c>
      <c r="CQ1" s="604" t="s">
        <v>1276</v>
      </c>
      <c r="CS1" s="2073"/>
      <c r="CT1" s="2073"/>
      <c r="CU1" s="2073"/>
    </row>
    <row r="2" spans="1:99" ht="22.5" customHeight="1">
      <c r="A2" s="2834"/>
      <c r="B2" s="2786" t="str">
        <f>'DüV-N-Ackerbau'!C2</f>
        <v>Höfen 1</v>
      </c>
      <c r="C2" s="2786"/>
      <c r="D2" s="2786"/>
      <c r="E2" s="1885">
        <f>'DüV-N-Ackerbau'!G1</f>
        <v>2022</v>
      </c>
      <c r="F2" s="1344"/>
      <c r="G2" s="1345"/>
      <c r="H2" s="1345"/>
      <c r="I2" s="1345"/>
      <c r="J2" s="1345"/>
      <c r="K2" s="1345"/>
      <c r="L2" s="1345"/>
      <c r="M2" s="1345"/>
      <c r="N2" s="2586" t="s">
        <v>36</v>
      </c>
      <c r="O2" s="2587"/>
      <c r="P2" s="1883"/>
      <c r="Q2" s="1883"/>
      <c r="R2" s="1883"/>
      <c r="S2" s="2832"/>
      <c r="T2" s="2832"/>
      <c r="U2" s="1883"/>
      <c r="V2" s="1883"/>
      <c r="W2" s="1883"/>
      <c r="X2" s="1883"/>
      <c r="Y2" s="1883"/>
      <c r="Z2" s="1883"/>
      <c r="AA2" s="2836"/>
      <c r="AB2" s="2836"/>
      <c r="AC2" s="2836"/>
      <c r="AE2" s="1878"/>
      <c r="AF2" s="2560"/>
      <c r="AG2" s="2560"/>
      <c r="AH2" s="2569"/>
      <c r="AI2" s="2569"/>
      <c r="AJ2" s="2569"/>
      <c r="AK2" s="2569"/>
      <c r="AL2" s="2569"/>
      <c r="AM2" s="2569"/>
      <c r="AN2" s="2570"/>
      <c r="AO2" s="2570"/>
      <c r="AP2" s="2570"/>
      <c r="AQ2" s="2570"/>
      <c r="AR2" s="2570"/>
      <c r="AS2" s="2570"/>
      <c r="AT2" s="2570"/>
      <c r="AU2" s="2571"/>
      <c r="AV2" s="2571"/>
      <c r="AW2" s="2571"/>
      <c r="AX2" s="2571"/>
      <c r="AY2" s="2571"/>
      <c r="AZ2" s="2571"/>
      <c r="BA2" s="2571"/>
      <c r="BB2" s="2571"/>
      <c r="BC2" s="2571"/>
      <c r="BD2" s="2571"/>
      <c r="BE2" s="2571"/>
      <c r="BF2" s="2571"/>
      <c r="BG2" s="2571"/>
      <c r="BH2" s="2571"/>
      <c r="BI2" s="2571"/>
      <c r="BJ2" s="2571"/>
      <c r="BK2" s="2571"/>
      <c r="BL2" s="2571"/>
      <c r="BM2" s="2571"/>
      <c r="BN2" s="2571"/>
      <c r="BO2" s="2571"/>
      <c r="BP2" s="1878"/>
      <c r="BQ2" s="2485"/>
      <c r="BR2" s="2526"/>
      <c r="BS2" s="2526"/>
      <c r="BT2" s="2526"/>
      <c r="BU2" s="2526"/>
      <c r="BV2" s="2526"/>
      <c r="BW2" s="2526"/>
      <c r="BX2" s="2526"/>
      <c r="BY2" s="2526"/>
      <c r="BZ2" s="2526"/>
      <c r="CA2" s="2486"/>
      <c r="CB2" s="1878"/>
      <c r="CH2" s="2825"/>
      <c r="CI2" s="2825"/>
      <c r="CJ2" s="2828"/>
      <c r="CK2" s="2828"/>
      <c r="CL2" s="2828"/>
      <c r="CM2" s="2826"/>
      <c r="CN2" s="2826"/>
      <c r="CO2" s="2830"/>
      <c r="CP2" s="2823"/>
      <c r="CS2" s="2073"/>
      <c r="CT2" s="2073"/>
      <c r="CU2" s="2073"/>
    </row>
    <row r="3" spans="1:99" ht="25.5" customHeight="1">
      <c r="A3" s="2835"/>
      <c r="B3" s="2786" t="str">
        <f>'DüV-N-Ackerbau'!C3</f>
        <v>12345 Auf dem Feld</v>
      </c>
      <c r="C3" s="2786"/>
      <c r="D3" s="2786"/>
      <c r="E3" s="1344"/>
      <c r="F3" s="1344"/>
      <c r="G3" s="1883"/>
      <c r="H3" s="1883"/>
      <c r="I3" s="1883"/>
      <c r="J3" s="1883"/>
      <c r="K3" s="1883"/>
      <c r="L3" s="1883"/>
      <c r="M3" s="1883"/>
      <c r="N3" s="1883"/>
      <c r="O3" s="1883"/>
      <c r="P3" s="1883"/>
      <c r="Q3" s="1883"/>
      <c r="R3" s="1749"/>
      <c r="S3" s="2832"/>
      <c r="T3" s="2832"/>
      <c r="U3" s="1886"/>
      <c r="V3" s="1886"/>
      <c r="W3" s="1886"/>
      <c r="X3" s="1886"/>
      <c r="Y3" s="1886"/>
      <c r="Z3" s="1886"/>
      <c r="AA3" s="2837"/>
      <c r="AB3" s="2837"/>
      <c r="AC3" s="2837"/>
      <c r="AE3" s="1878"/>
      <c r="AF3" s="2560"/>
      <c r="AG3" s="2560"/>
      <c r="AH3" s="2569"/>
      <c r="AI3" s="2569"/>
      <c r="AJ3" s="2569"/>
      <c r="AK3" s="2569"/>
      <c r="AL3" s="2569"/>
      <c r="AM3" s="2569"/>
      <c r="AN3" s="2570"/>
      <c r="AO3" s="2570"/>
      <c r="AP3" s="2570"/>
      <c r="AQ3" s="2570"/>
      <c r="AR3" s="2570"/>
      <c r="AS3" s="2570"/>
      <c r="AT3" s="2570"/>
      <c r="AU3" s="2571"/>
      <c r="AV3" s="2571"/>
      <c r="AW3" s="2571"/>
      <c r="AX3" s="2571"/>
      <c r="AY3" s="2571"/>
      <c r="AZ3" s="2571"/>
      <c r="BA3" s="2571"/>
      <c r="BB3" s="2571"/>
      <c r="BC3" s="2571"/>
      <c r="BD3" s="2571"/>
      <c r="BE3" s="2571"/>
      <c r="BF3" s="2571"/>
      <c r="BG3" s="2571"/>
      <c r="BH3" s="2571"/>
      <c r="BI3" s="2571"/>
      <c r="BJ3" s="2571"/>
      <c r="BK3" s="2571"/>
      <c r="BL3" s="2571"/>
      <c r="BM3" s="2571"/>
      <c r="BN3" s="2571"/>
      <c r="BO3" s="2571"/>
      <c r="BP3" s="1880"/>
      <c r="BQ3" s="2485"/>
      <c r="BR3" s="2526"/>
      <c r="BS3" s="2526"/>
      <c r="BT3" s="2526"/>
      <c r="BU3" s="2526"/>
      <c r="BV3" s="2526"/>
      <c r="BW3" s="2526"/>
      <c r="BX3" s="2526"/>
      <c r="BY3" s="2526"/>
      <c r="BZ3" s="2526"/>
      <c r="CA3" s="2486"/>
      <c r="CB3" s="1878"/>
      <c r="CH3" s="2825"/>
      <c r="CI3" s="2825"/>
      <c r="CJ3" s="2828"/>
      <c r="CK3" s="2828"/>
      <c r="CL3" s="2828"/>
      <c r="CM3" s="2826"/>
      <c r="CN3" s="2826"/>
      <c r="CO3" s="2831"/>
      <c r="CP3" s="2824"/>
      <c r="CS3" s="860"/>
      <c r="CT3" s="860"/>
      <c r="CU3" s="2073"/>
    </row>
    <row r="4" spans="1:99" ht="40.5" customHeight="1">
      <c r="A4" s="2813" t="s">
        <v>1401</v>
      </c>
      <c r="B4" s="2814"/>
      <c r="C4" s="2814"/>
      <c r="D4" s="2814"/>
      <c r="E4" s="2814"/>
      <c r="F4" s="2814"/>
      <c r="G4" s="2814"/>
      <c r="H4" s="2814"/>
      <c r="I4" s="2814"/>
      <c r="J4" s="2814"/>
      <c r="K4" s="2814"/>
      <c r="L4" s="2814"/>
      <c r="M4" s="2814"/>
      <c r="N4" s="2814"/>
      <c r="O4" s="2814"/>
      <c r="P4" s="2814"/>
      <c r="Q4" s="2814"/>
      <c r="R4" s="2814"/>
      <c r="S4" s="2814"/>
      <c r="T4" s="2814"/>
      <c r="U4" s="2814"/>
      <c r="V4" s="2814"/>
      <c r="W4" s="2814"/>
      <c r="X4" s="2814"/>
      <c r="Y4" s="2814"/>
      <c r="Z4" s="2814"/>
      <c r="AA4" s="2814"/>
      <c r="AB4" s="2814"/>
      <c r="AC4" s="2814"/>
      <c r="AD4" s="2815"/>
      <c r="AE4" s="1878"/>
      <c r="AF4" s="2511" t="s">
        <v>1150</v>
      </c>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c r="BP4" s="1878"/>
      <c r="BQ4" s="2487"/>
      <c r="BR4" s="2544"/>
      <c r="BS4" s="2544"/>
      <c r="BT4" s="2544"/>
      <c r="BU4" s="2544"/>
      <c r="BV4" s="2544"/>
      <c r="BW4" s="2544"/>
      <c r="BX4" s="2544"/>
      <c r="BY4" s="2544"/>
      <c r="BZ4" s="2544"/>
      <c r="CA4" s="2488"/>
      <c r="CB4" s="1878"/>
      <c r="CG4" s="2150" t="s">
        <v>31</v>
      </c>
      <c r="CH4" s="2151">
        <v>0</v>
      </c>
      <c r="CI4" s="2151">
        <v>0</v>
      </c>
      <c r="CJ4" s="2151">
        <v>0</v>
      </c>
      <c r="CK4" s="2151">
        <v>0</v>
      </c>
      <c r="CL4" s="2151">
        <v>0</v>
      </c>
      <c r="CM4" s="2150">
        <v>0</v>
      </c>
      <c r="CN4" s="2150">
        <v>0</v>
      </c>
      <c r="CO4" s="1909">
        <v>0</v>
      </c>
      <c r="CP4" s="1909">
        <v>0</v>
      </c>
      <c r="CQ4" s="969">
        <v>0</v>
      </c>
      <c r="CS4" s="1909"/>
      <c r="CT4" s="1909"/>
      <c r="CU4" s="1421"/>
    </row>
    <row r="5" spans="1:99" ht="37.5" customHeight="1" thickBot="1">
      <c r="A5" s="2816" t="s">
        <v>1402</v>
      </c>
      <c r="B5" s="2817"/>
      <c r="C5" s="2817"/>
      <c r="D5" s="2817"/>
      <c r="E5" s="2817"/>
      <c r="F5" s="2817"/>
      <c r="G5" s="2817"/>
      <c r="H5" s="2817"/>
      <c r="I5" s="2817"/>
      <c r="J5" s="2817"/>
      <c r="K5" s="2817"/>
      <c r="L5" s="2817"/>
      <c r="M5" s="2817"/>
      <c r="N5" s="2817"/>
      <c r="O5" s="2817"/>
      <c r="P5" s="2817"/>
      <c r="Q5" s="2817"/>
      <c r="R5" s="2817"/>
      <c r="S5" s="2817"/>
      <c r="T5" s="2817"/>
      <c r="U5" s="2817"/>
      <c r="V5" s="2817"/>
      <c r="W5" s="2817"/>
      <c r="X5" s="2817"/>
      <c r="Y5" s="2817"/>
      <c r="Z5" s="2817"/>
      <c r="AA5" s="2817"/>
      <c r="AB5" s="2817"/>
      <c r="AC5" s="2817"/>
      <c r="AD5" s="2818"/>
      <c r="AE5" s="1878"/>
      <c r="AF5" s="2516" t="s">
        <v>1018</v>
      </c>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c r="BP5" s="1878"/>
      <c r="BQ5" s="2546" t="s">
        <v>1065</v>
      </c>
      <c r="BR5" s="2546"/>
      <c r="BS5" s="2546"/>
      <c r="BT5" s="2546"/>
      <c r="BU5" s="2546"/>
      <c r="BV5" s="1136"/>
      <c r="BW5" s="2548" t="s">
        <v>1076</v>
      </c>
      <c r="BX5" s="2549"/>
      <c r="BY5" s="2549"/>
      <c r="BZ5" s="2549"/>
      <c r="CA5" s="2549"/>
      <c r="CB5" s="1137"/>
      <c r="CG5" s="2152" t="s">
        <v>1446</v>
      </c>
      <c r="CH5" s="33">
        <v>720</v>
      </c>
      <c r="CI5" s="33">
        <v>290</v>
      </c>
      <c r="CJ5" s="33">
        <v>10</v>
      </c>
      <c r="CK5" s="2153">
        <v>29</v>
      </c>
      <c r="CL5" s="2153">
        <v>29</v>
      </c>
      <c r="CM5" s="2152">
        <v>0</v>
      </c>
      <c r="CN5" s="2152">
        <v>0</v>
      </c>
      <c r="CO5" s="2154">
        <v>60</v>
      </c>
      <c r="CP5" s="2155">
        <v>0.11</v>
      </c>
      <c r="CQ5" s="31"/>
      <c r="CS5" s="1910"/>
      <c r="CT5" s="1911"/>
      <c r="CU5" s="186"/>
    </row>
    <row r="6" spans="1:99" ht="51" customHeight="1">
      <c r="A6" s="2433" t="s">
        <v>1075</v>
      </c>
      <c r="B6" s="2821" t="s">
        <v>562</v>
      </c>
      <c r="C6" s="2789" t="s">
        <v>1403</v>
      </c>
      <c r="D6" s="2791" t="s">
        <v>295</v>
      </c>
      <c r="E6" s="2792"/>
      <c r="F6" s="1952" t="s">
        <v>296</v>
      </c>
      <c r="G6" s="2798" t="s">
        <v>1315</v>
      </c>
      <c r="H6" s="2798" t="s">
        <v>1316</v>
      </c>
      <c r="I6" s="2798" t="s">
        <v>1317</v>
      </c>
      <c r="J6" s="2798" t="s">
        <v>1318</v>
      </c>
      <c r="K6" s="2798" t="s">
        <v>1319</v>
      </c>
      <c r="L6" s="2798" t="s">
        <v>1320</v>
      </c>
      <c r="M6" s="2838"/>
      <c r="N6" s="2679" t="s">
        <v>1334</v>
      </c>
      <c r="O6" s="2793" t="s">
        <v>163</v>
      </c>
      <c r="P6" s="2686" t="s">
        <v>8</v>
      </c>
      <c r="Q6" s="2793" t="s">
        <v>163</v>
      </c>
      <c r="R6" s="2796" t="s">
        <v>534</v>
      </c>
      <c r="S6" s="2819" t="s">
        <v>223</v>
      </c>
      <c r="T6" s="2679" t="s">
        <v>256</v>
      </c>
      <c r="U6" s="2793" t="s">
        <v>163</v>
      </c>
      <c r="V6" s="2692" t="s">
        <v>1055</v>
      </c>
      <c r="W6" s="2811" t="s">
        <v>1326</v>
      </c>
      <c r="X6" s="2793" t="s">
        <v>163</v>
      </c>
      <c r="Y6" s="2562" t="s">
        <v>1724</v>
      </c>
      <c r="Z6" s="2793" t="s">
        <v>163</v>
      </c>
      <c r="AA6" s="2781" t="s">
        <v>1013</v>
      </c>
      <c r="AB6" s="2782"/>
      <c r="AC6" s="2783" t="s">
        <v>1132</v>
      </c>
      <c r="AD6" s="2784"/>
      <c r="AE6" s="1878"/>
      <c r="AF6" s="2501" t="s">
        <v>1134</v>
      </c>
      <c r="AG6" s="2515" t="s">
        <v>623</v>
      </c>
      <c r="AH6" s="2612" t="s">
        <v>1425</v>
      </c>
      <c r="AI6" s="2504"/>
      <c r="AJ6" s="2504"/>
      <c r="AK6" s="2504"/>
      <c r="AL6" s="2504"/>
      <c r="AM6" s="2504"/>
      <c r="AN6" s="525"/>
      <c r="AO6" s="2612" t="s">
        <v>1426</v>
      </c>
      <c r="AP6" s="2504"/>
      <c r="AQ6" s="2504"/>
      <c r="AR6" s="2504"/>
      <c r="AS6" s="2504"/>
      <c r="AT6" s="2504"/>
      <c r="AU6" s="2099"/>
      <c r="AV6" s="2612" t="s">
        <v>1427</v>
      </c>
      <c r="AW6" s="2504"/>
      <c r="AX6" s="2504"/>
      <c r="AY6" s="2504"/>
      <c r="AZ6" s="2504"/>
      <c r="BA6" s="2504"/>
      <c r="BB6" s="897"/>
      <c r="BC6" s="2612" t="s">
        <v>1428</v>
      </c>
      <c r="BD6" s="2504"/>
      <c r="BE6" s="2504"/>
      <c r="BF6" s="2504"/>
      <c r="BG6" s="2504"/>
      <c r="BH6" s="2504"/>
      <c r="BI6" s="897"/>
      <c r="BJ6" s="2612" t="s">
        <v>1429</v>
      </c>
      <c r="BK6" s="2504"/>
      <c r="BL6" s="2504"/>
      <c r="BM6" s="2504"/>
      <c r="BN6" s="2504"/>
      <c r="BO6" s="2504"/>
      <c r="BP6" s="1421"/>
      <c r="BQ6" s="2547"/>
      <c r="BR6" s="2547"/>
      <c r="BS6" s="2547"/>
      <c r="BT6" s="2547"/>
      <c r="BU6" s="2547"/>
      <c r="BV6" s="1136"/>
      <c r="BW6" s="2550"/>
      <c r="BX6" s="2550"/>
      <c r="BY6" s="2550"/>
      <c r="BZ6" s="2550"/>
      <c r="CA6" s="2550"/>
      <c r="CB6" s="1137"/>
      <c r="CG6" s="2140" t="s">
        <v>1641</v>
      </c>
      <c r="CH6" s="33">
        <v>160</v>
      </c>
      <c r="CI6" s="33">
        <v>130</v>
      </c>
      <c r="CJ6" s="33">
        <v>20</v>
      </c>
      <c r="CK6" s="2156">
        <v>20</v>
      </c>
      <c r="CL6" s="2156">
        <v>20</v>
      </c>
      <c r="CM6" s="2156">
        <f>CL6*2/3</f>
        <v>13.333333333333334</v>
      </c>
      <c r="CN6" s="2156">
        <v>20</v>
      </c>
      <c r="CO6" s="2144">
        <v>60</v>
      </c>
      <c r="CP6" s="1914">
        <v>0.25</v>
      </c>
      <c r="CS6" s="1912"/>
      <c r="CT6" s="1912"/>
    </row>
    <row r="7" spans="1:99" ht="77.25" customHeight="1" thickBot="1">
      <c r="A7" s="2434"/>
      <c r="B7" s="2822"/>
      <c r="C7" s="2790"/>
      <c r="D7" s="2107" t="s">
        <v>33</v>
      </c>
      <c r="E7" s="1953" t="s">
        <v>297</v>
      </c>
      <c r="F7" s="559" t="s">
        <v>597</v>
      </c>
      <c r="G7" s="2799"/>
      <c r="H7" s="2799"/>
      <c r="I7" s="2799"/>
      <c r="J7" s="2799"/>
      <c r="K7" s="2799"/>
      <c r="L7" s="2799"/>
      <c r="M7" s="2839"/>
      <c r="N7" s="2680"/>
      <c r="O7" s="2794"/>
      <c r="P7" s="2795"/>
      <c r="Q7" s="2794"/>
      <c r="R7" s="2797"/>
      <c r="S7" s="2820"/>
      <c r="T7" s="2680"/>
      <c r="U7" s="2794"/>
      <c r="V7" s="2513"/>
      <c r="W7" s="2812"/>
      <c r="X7" s="2794"/>
      <c r="Y7" s="2563"/>
      <c r="Z7" s="2794"/>
      <c r="AA7" s="2175" t="s">
        <v>322</v>
      </c>
      <c r="AB7" s="641" t="s">
        <v>793</v>
      </c>
      <c r="AC7" s="644" t="s">
        <v>599</v>
      </c>
      <c r="AD7" s="641" t="s">
        <v>794</v>
      </c>
      <c r="AE7" s="1881"/>
      <c r="AF7" s="2502"/>
      <c r="AG7" s="2490"/>
      <c r="AH7" s="2092" t="s">
        <v>839</v>
      </c>
      <c r="AI7" s="2090" t="s">
        <v>819</v>
      </c>
      <c r="AJ7" s="2095" t="s">
        <v>33</v>
      </c>
      <c r="AK7" s="2091" t="s">
        <v>1062</v>
      </c>
      <c r="AL7" s="2095" t="s">
        <v>1063</v>
      </c>
      <c r="AM7" s="2091" t="s">
        <v>1064</v>
      </c>
      <c r="AN7" s="1421"/>
      <c r="AO7" s="2092" t="s">
        <v>839</v>
      </c>
      <c r="AP7" s="2090" t="s">
        <v>819</v>
      </c>
      <c r="AQ7" s="2095" t="s">
        <v>33</v>
      </c>
      <c r="AR7" s="2091" t="s">
        <v>1062</v>
      </c>
      <c r="AS7" s="2095" t="s">
        <v>1063</v>
      </c>
      <c r="AT7" s="2091" t="s">
        <v>1064</v>
      </c>
      <c r="AU7" s="279"/>
      <c r="AV7" s="2092" t="s">
        <v>839</v>
      </c>
      <c r="AW7" s="2090" t="s">
        <v>819</v>
      </c>
      <c r="AX7" s="2095" t="s">
        <v>33</v>
      </c>
      <c r="AY7" s="2091" t="s">
        <v>1062</v>
      </c>
      <c r="AZ7" s="2095" t="s">
        <v>1063</v>
      </c>
      <c r="BA7" s="2091" t="s">
        <v>1064</v>
      </c>
      <c r="BB7" s="279"/>
      <c r="BC7" s="2092" t="s">
        <v>839</v>
      </c>
      <c r="BD7" s="2090" t="s">
        <v>819</v>
      </c>
      <c r="BE7" s="2095" t="s">
        <v>33</v>
      </c>
      <c r="BF7" s="2091" t="s">
        <v>1062</v>
      </c>
      <c r="BG7" s="2095" t="s">
        <v>1063</v>
      </c>
      <c r="BH7" s="2091" t="s">
        <v>1064</v>
      </c>
      <c r="BI7" s="279"/>
      <c r="BJ7" s="2092" t="s">
        <v>839</v>
      </c>
      <c r="BK7" s="2090" t="s">
        <v>819</v>
      </c>
      <c r="BL7" s="2095" t="s">
        <v>33</v>
      </c>
      <c r="BM7" s="2091" t="s">
        <v>1062</v>
      </c>
      <c r="BN7" s="2095" t="s">
        <v>1063</v>
      </c>
      <c r="BO7" s="2091" t="s">
        <v>1064</v>
      </c>
      <c r="BP7" s="1908"/>
      <c r="BQ7" s="1809" t="s">
        <v>1080</v>
      </c>
      <c r="BR7" s="1879" t="s">
        <v>1066</v>
      </c>
      <c r="BS7" s="1307" t="s">
        <v>1309</v>
      </c>
      <c r="BT7" s="906" t="s">
        <v>1241</v>
      </c>
      <c r="BU7" s="1879" t="s">
        <v>284</v>
      </c>
      <c r="BV7" s="1874"/>
      <c r="BW7" s="1809" t="s">
        <v>1080</v>
      </c>
      <c r="BX7" s="1168" t="s">
        <v>1307</v>
      </c>
      <c r="BY7" s="1307" t="s">
        <v>1309</v>
      </c>
      <c r="BZ7" s="906" t="s">
        <v>1241</v>
      </c>
      <c r="CA7" s="1879" t="s">
        <v>284</v>
      </c>
      <c r="CB7" s="1874"/>
      <c r="CD7" s="1892" t="s">
        <v>225</v>
      </c>
      <c r="CE7" s="1892" t="s">
        <v>226</v>
      </c>
      <c r="CG7" s="2152" t="s">
        <v>1460</v>
      </c>
      <c r="CH7" s="33">
        <v>20</v>
      </c>
      <c r="CI7" s="33">
        <v>10</v>
      </c>
      <c r="CJ7" s="33">
        <v>10</v>
      </c>
      <c r="CK7" s="2153">
        <v>1</v>
      </c>
      <c r="CL7" s="2153">
        <v>1</v>
      </c>
      <c r="CM7" s="2152">
        <v>0</v>
      </c>
      <c r="CN7" s="2152">
        <v>0</v>
      </c>
      <c r="CO7" s="2152">
        <v>30</v>
      </c>
      <c r="CP7" s="2155">
        <v>0.75</v>
      </c>
      <c r="CS7" s="1910"/>
      <c r="CT7" s="1911"/>
    </row>
    <row r="8" spans="1:99" ht="32.25" customHeight="1">
      <c r="A8" s="1945" t="s">
        <v>829</v>
      </c>
      <c r="B8" s="2168">
        <v>0</v>
      </c>
      <c r="C8" s="2171" t="s">
        <v>31</v>
      </c>
      <c r="D8" s="1946">
        <f t="shared" ref="D8:D52" si="0">VLOOKUP(C8,CG$4:CP$137,2,FALSE)</f>
        <v>0</v>
      </c>
      <c r="E8" s="1947">
        <f t="shared" ref="E8:E52" si="1">VLOOKUP(C8,CG$4:CQ$137,3,FALSE)</f>
        <v>0</v>
      </c>
      <c r="F8" s="1948">
        <v>0</v>
      </c>
      <c r="G8" s="1949">
        <f>F8-D8</f>
        <v>0</v>
      </c>
      <c r="H8" s="1949">
        <f>IF(G8=0,0,G8*100/D8)</f>
        <v>0</v>
      </c>
      <c r="I8" s="1949">
        <f t="shared" ref="I8:I52" si="2">VLOOKUP(C8,CG$4:CQ$137,4,FALSE)</f>
        <v>0</v>
      </c>
      <c r="J8" s="1949">
        <f t="shared" ref="J8:J52" si="3">VLOOKUP(C8,CG$4:CQ$137,5,FALSE)</f>
        <v>0</v>
      </c>
      <c r="K8" s="1949">
        <f t="shared" ref="K8:K28" si="4">VLOOKUP(C8,CG$4:CR$158,6,FALSE)</f>
        <v>0</v>
      </c>
      <c r="L8" s="1928">
        <f>IF(D8=0,0,IF(H8&gt;0,ROUNDDOWN(H8/I8,0)*J8,IF(H8&lt;=0,ROUNDDOWN(H8/I8,0)*K8,IF(G8&gt;0,G8*J8/F8,K8*G8/0))))</f>
        <v>0</v>
      </c>
      <c r="M8" s="1950"/>
      <c r="N8" s="2174" t="s">
        <v>503</v>
      </c>
      <c r="O8" s="1905">
        <f t="shared" ref="O8:O52" si="5">VLOOKUP(N8,$CG$142:$CH$152,2,FALSE)</f>
        <v>0</v>
      </c>
      <c r="P8" s="2174" t="s">
        <v>25</v>
      </c>
      <c r="Q8" s="1905">
        <f t="shared" ref="Q8:Q52" si="6">VLOOKUP(P8,$CG$155:$CH$164,2,FALSE)</f>
        <v>0</v>
      </c>
      <c r="R8" s="1906">
        <f t="shared" ref="R8:R52" si="7">VLOOKUP(C8,CG$4:CP$137,9,FALSE)</f>
        <v>0</v>
      </c>
      <c r="S8" s="1957">
        <v>0</v>
      </c>
      <c r="T8" s="1958" t="s">
        <v>160</v>
      </c>
      <c r="U8" s="1905">
        <f t="shared" ref="U8:U52" si="8">VLOOKUP(T8,$CG$167:$CH$168,2,FALSE)</f>
        <v>0</v>
      </c>
      <c r="V8" s="1960">
        <v>0</v>
      </c>
      <c r="W8" s="1954" t="s">
        <v>1314</v>
      </c>
      <c r="X8" s="1931">
        <f t="shared" ref="X8:X52" si="9">IF(W8="nein",0,VLOOKUP(W8,$CG$172:$CH$173,2,FALSE))</f>
        <v>0</v>
      </c>
      <c r="Y8" s="1954" t="s">
        <v>1314</v>
      </c>
      <c r="Z8" s="1965">
        <f>IF(Y8="Nein",0,22.5)</f>
        <v>0</v>
      </c>
      <c r="AA8" s="1966">
        <f>IF(E8+L8+X8-S8-V8-U8-O8-Q8-Z8&lt;0,0,E8+L8+X8-S8-V8-U8-O8-Q8-Z8)</f>
        <v>0</v>
      </c>
      <c r="AB8" s="1951">
        <f>IF(AA8&lt;0,0,AA8*B8)</f>
        <v>0</v>
      </c>
      <c r="AC8" s="2097">
        <f t="shared" ref="AC8:AC52" si="10">F8*VLOOKUP(C8,CG$4:CQ$137,10,FALSE)</f>
        <v>0</v>
      </c>
      <c r="AD8" s="1951">
        <f t="shared" ref="AD8" si="11">IF(AC8&lt;0,0,AC8*B8)</f>
        <v>0</v>
      </c>
      <c r="AE8" s="1878"/>
      <c r="AF8" s="1281" t="str">
        <f t="shared" ref="AF8:AF52" si="12">A8</f>
        <v>Bewirtsch.einh. 1</v>
      </c>
      <c r="AG8" s="1281" t="str">
        <f t="shared" ref="AG8:AG52" si="13">C8</f>
        <v>keine</v>
      </c>
      <c r="AH8" s="1329"/>
      <c r="AI8" s="1330" t="s">
        <v>795</v>
      </c>
      <c r="AJ8" s="1424">
        <v>0</v>
      </c>
      <c r="AK8" s="1033">
        <f>VLOOKUP(AI8,Düngemittel!$B$6:$E$64,2,FALSE)*(VLOOKUP(AI8,Düngemittel!$B$6:$E$64,3,FALSE))/100*AJ8</f>
        <v>0</v>
      </c>
      <c r="AL8" s="1033">
        <f>VLOOKUP(AI8,Düngemittel!$B$6:$E$64,2,FALSE)*AJ8</f>
        <v>0</v>
      </c>
      <c r="AM8" s="1033">
        <f>VLOOKUP(AI8,Düngemittel!$B$6:$E$64,4,FALSE)*AJ8</f>
        <v>0</v>
      </c>
      <c r="AN8" s="92"/>
      <c r="AO8" s="1329"/>
      <c r="AP8" s="1330" t="s">
        <v>795</v>
      </c>
      <c r="AQ8" s="1424">
        <v>0</v>
      </c>
      <c r="AR8" s="1033">
        <f>VLOOKUP(AP8,Düngemittel!$B$6:$E$64,2,FALSE)*(VLOOKUP(AP8,Düngemittel!$B$6:$E$64,3,FALSE))/100*AQ8</f>
        <v>0</v>
      </c>
      <c r="AS8" s="1033">
        <f>VLOOKUP(AP8,Düngemittel!$B$6:$E$64,2,FALSE)*AQ8</f>
        <v>0</v>
      </c>
      <c r="AT8" s="1033">
        <f>VLOOKUP(AP8,Düngemittel!$B$6:$E$64,4,FALSE)*AQ8</f>
        <v>0</v>
      </c>
      <c r="AU8" s="92"/>
      <c r="AV8" s="1329"/>
      <c r="AW8" s="1330" t="s">
        <v>795</v>
      </c>
      <c r="AX8" s="1424">
        <v>0</v>
      </c>
      <c r="AY8" s="1033">
        <f>VLOOKUP(AW8,Düngemittel!$B$6:$E$64,2,FALSE)*(VLOOKUP(AW8,Düngemittel!$B$6:$E$64,3,FALSE))/100*AX8</f>
        <v>0</v>
      </c>
      <c r="AZ8" s="1033">
        <f>VLOOKUP(AW8,Düngemittel!$B$6:$E$64,2,FALSE)*AX8</f>
        <v>0</v>
      </c>
      <c r="BA8" s="1033">
        <f>VLOOKUP(AW8,Düngemittel!$B$6:$E$64,4,FALSE)*AX8</f>
        <v>0</v>
      </c>
      <c r="BB8" s="92"/>
      <c r="BC8" s="1329"/>
      <c r="BD8" s="1330" t="s">
        <v>795</v>
      </c>
      <c r="BE8" s="1424">
        <v>0</v>
      </c>
      <c r="BF8" s="1033">
        <f>VLOOKUP(BD8,Düngemittel!$B$6:$E$64,2,FALSE)*(VLOOKUP(BD8,Düngemittel!$B$6:$E$64,3,FALSE))/100*BE8</f>
        <v>0</v>
      </c>
      <c r="BG8" s="1033">
        <f>VLOOKUP(BD8,Düngemittel!$B$6:$E$64,2,FALSE)*BE8</f>
        <v>0</v>
      </c>
      <c r="BH8" s="1033">
        <f>VLOOKUP(BD8,Düngemittel!$B$6:$E$64,4,FALSE)*BE8</f>
        <v>0</v>
      </c>
      <c r="BI8" s="92"/>
      <c r="BJ8" s="1329"/>
      <c r="BK8" s="1330" t="s">
        <v>795</v>
      </c>
      <c r="BL8" s="1424">
        <v>0</v>
      </c>
      <c r="BM8" s="1033">
        <f>VLOOKUP(BK8,Düngemittel!$B$6:$E$64,2,FALSE)*(VLOOKUP(BK8,Düngemittel!$B$6:$E$64,3,FALSE))/100*BL8</f>
        <v>0</v>
      </c>
      <c r="BN8" s="1033">
        <f>VLOOKUP(BK8,Düngemittel!$B$6:$E$64,2,FALSE)*BL8</f>
        <v>0</v>
      </c>
      <c r="BO8" s="1033">
        <f>VLOOKUP(BK8,Düngemittel!$B$6:$E$64,4,FALSE)*BL8</f>
        <v>0</v>
      </c>
      <c r="BP8" s="1878"/>
      <c r="BQ8" s="1812">
        <f>IF(AK8&lt;AL8,0,AK8)+IF(AR8&lt;AS8,0,AR8)+IF(AY8&lt;AZ8,0,AY8)+IF(BF8&lt;BG8,0,BF8)+IF(BM8&lt;BN8,0,BM8)</f>
        <v>0</v>
      </c>
      <c r="BR8" s="1889">
        <f>(AK8+AR8+AY8+BF8+BM8)</f>
        <v>0</v>
      </c>
      <c r="BS8" s="1812">
        <f>(AL8+AS8+AZ8+BG8+BN8)</f>
        <v>0</v>
      </c>
      <c r="BT8" s="1138">
        <f>IF(AK8&lt;AL8,AL8,0)+IF(AR8&lt;AS8,AS8,0)+IF(AY8&lt;AZ8,AZ8,0)+IF(BF8&lt;BG8,BG8,0)+IF(BM8&lt;BN8,BN8,0)</f>
        <v>0</v>
      </c>
      <c r="BU8" s="1889">
        <f>(AM8+AT8+BA8+BH8+BO8)</f>
        <v>0</v>
      </c>
      <c r="BV8" s="95"/>
      <c r="BW8" s="1810">
        <f>BQ8*$B8</f>
        <v>0</v>
      </c>
      <c r="BX8" s="1135">
        <f t="shared" ref="BX8:CA23" si="14">BR8*$B8</f>
        <v>0</v>
      </c>
      <c r="BY8" s="1810">
        <f t="shared" si="14"/>
        <v>0</v>
      </c>
      <c r="BZ8" s="1807">
        <f t="shared" si="14"/>
        <v>0</v>
      </c>
      <c r="CA8" s="1135">
        <f t="shared" si="14"/>
        <v>0</v>
      </c>
      <c r="CB8" s="1878"/>
      <c r="CD8">
        <v>2</v>
      </c>
      <c r="CE8">
        <v>3</v>
      </c>
      <c r="CG8" s="2152" t="s">
        <v>1463</v>
      </c>
      <c r="CH8" s="33">
        <v>150</v>
      </c>
      <c r="CI8" s="33">
        <v>120</v>
      </c>
      <c r="CJ8" s="33">
        <v>10</v>
      </c>
      <c r="CK8" s="2153">
        <v>12</v>
      </c>
      <c r="CL8" s="2153">
        <v>12</v>
      </c>
      <c r="CM8" s="2152">
        <v>0</v>
      </c>
      <c r="CN8" s="2152">
        <v>0</v>
      </c>
      <c r="CO8" s="2152">
        <v>30</v>
      </c>
      <c r="CP8" s="2157">
        <v>0.08</v>
      </c>
      <c r="CS8" s="1912"/>
      <c r="CT8" s="1913"/>
    </row>
    <row r="9" spans="1:99" ht="32.25" customHeight="1">
      <c r="A9" s="1750" t="s">
        <v>568</v>
      </c>
      <c r="B9" s="2169">
        <v>0</v>
      </c>
      <c r="C9" s="2172" t="s">
        <v>31</v>
      </c>
      <c r="D9" s="1946">
        <f t="shared" si="0"/>
        <v>0</v>
      </c>
      <c r="E9" s="1947">
        <f t="shared" si="1"/>
        <v>0</v>
      </c>
      <c r="F9" s="1941">
        <v>0</v>
      </c>
      <c r="G9" s="1949">
        <f t="shared" ref="G9:G52" si="15">F9-D9</f>
        <v>0</v>
      </c>
      <c r="H9" s="1949">
        <f t="shared" ref="H9:H52" si="16">IF(G9=0,0,G9*100/D9)</f>
        <v>0</v>
      </c>
      <c r="I9" s="1949">
        <f t="shared" si="2"/>
        <v>0</v>
      </c>
      <c r="J9" s="1949">
        <f t="shared" si="3"/>
        <v>0</v>
      </c>
      <c r="K9" s="1949">
        <f t="shared" si="4"/>
        <v>0</v>
      </c>
      <c r="L9" s="1928">
        <f t="shared" ref="L9:L52" si="17">IF(D9=0,0,IF(H9&gt;0,ROUNDDOWN(H9/I9,0)*J9,IF(H9&lt;=0,ROUNDDOWN(H9/I9,0)*K9,IF(G9&gt;0,G9*J9/F9,K9*G9/0))))</f>
        <v>0</v>
      </c>
      <c r="M9" s="1943"/>
      <c r="N9" s="761" t="s">
        <v>503</v>
      </c>
      <c r="O9" s="1905">
        <f t="shared" si="5"/>
        <v>0</v>
      </c>
      <c r="P9" s="761" t="s">
        <v>25</v>
      </c>
      <c r="Q9" s="1905">
        <f t="shared" si="6"/>
        <v>0</v>
      </c>
      <c r="R9" s="1906">
        <f t="shared" si="7"/>
        <v>0</v>
      </c>
      <c r="S9" s="1957">
        <v>0</v>
      </c>
      <c r="T9" s="1907" t="s">
        <v>160</v>
      </c>
      <c r="U9" s="1752">
        <f t="shared" si="8"/>
        <v>0</v>
      </c>
      <c r="V9" s="1961">
        <v>0</v>
      </c>
      <c r="W9" s="1954" t="s">
        <v>1314</v>
      </c>
      <c r="X9" s="1931">
        <f t="shared" si="9"/>
        <v>0</v>
      </c>
      <c r="Y9" s="1954" t="s">
        <v>1314</v>
      </c>
      <c r="Z9" s="1965">
        <f t="shared" ref="Z9:Z52" si="18">IF(Y9="Nein",0,22.5)</f>
        <v>0</v>
      </c>
      <c r="AA9" s="1966">
        <f t="shared" ref="AA9:AA52" si="19">IF(E9+L9-X9-S9-V9-U9-O9-Q9-Z9&lt;0,0,E9+L9-X9-S9-V9-U9-O9-Q9-Z9)</f>
        <v>0</v>
      </c>
      <c r="AB9" s="1951">
        <f t="shared" ref="AB9:AB52" si="20">IF(AA9&lt;0,0,AA9*B9)</f>
        <v>0</v>
      </c>
      <c r="AC9" s="2097">
        <f t="shared" si="10"/>
        <v>0</v>
      </c>
      <c r="AD9" s="1951">
        <f t="shared" ref="AD9:AD52" si="21">IF(AC9&lt;0,0,AC9*B9)</f>
        <v>0</v>
      </c>
      <c r="AE9" s="1878"/>
      <c r="AF9" s="1281" t="str">
        <f t="shared" si="12"/>
        <v>Fläche 2</v>
      </c>
      <c r="AG9" s="1281" t="str">
        <f t="shared" si="13"/>
        <v>keine</v>
      </c>
      <c r="AH9" s="1329"/>
      <c r="AI9" s="1330" t="s">
        <v>795</v>
      </c>
      <c r="AJ9" s="1424">
        <v>0</v>
      </c>
      <c r="AK9" s="1033">
        <f>VLOOKUP(AI9,Düngemittel!$B$6:$E$64,2,FALSE)*(VLOOKUP(AI9,Düngemittel!$B$6:$E$64,3,FALSE))/100*AJ9</f>
        <v>0</v>
      </c>
      <c r="AL9" s="1033">
        <f>VLOOKUP(AI9,Düngemittel!$B$6:$E$64,2,FALSE)*AJ9</f>
        <v>0</v>
      </c>
      <c r="AM9" s="1033">
        <f>VLOOKUP(AI9,Düngemittel!$B$6:$E$64,4,FALSE)*AJ9</f>
        <v>0</v>
      </c>
      <c r="AN9" s="2089"/>
      <c r="AO9" s="1329"/>
      <c r="AP9" s="1330" t="s">
        <v>795</v>
      </c>
      <c r="AQ9" s="1424">
        <v>0</v>
      </c>
      <c r="AR9" s="1033">
        <f>VLOOKUP(AP9,Düngemittel!$B$6:$E$64,2,FALSE)*(VLOOKUP(AP9,Düngemittel!$B$6:$E$64,3,FALSE))/100*AQ9</f>
        <v>0</v>
      </c>
      <c r="AS9" s="1033">
        <f>VLOOKUP(AP9,Düngemittel!$B$6:$E$64,2,FALSE)*AQ9</f>
        <v>0</v>
      </c>
      <c r="AT9" s="1033">
        <f>VLOOKUP(AP9,Düngemittel!$B$6:$E$64,4,FALSE)*AQ9</f>
        <v>0</v>
      </c>
      <c r="AU9" s="2089"/>
      <c r="AV9" s="1329"/>
      <c r="AW9" s="1330" t="s">
        <v>795</v>
      </c>
      <c r="AX9" s="1424">
        <v>0</v>
      </c>
      <c r="AY9" s="1033">
        <f>VLOOKUP(AW9,Düngemittel!$B$6:$E$64,2,FALSE)*(VLOOKUP(AW9,Düngemittel!$B$6:$E$64,3,FALSE))/100*AX9</f>
        <v>0</v>
      </c>
      <c r="AZ9" s="1033">
        <f>VLOOKUP(AW9,Düngemittel!$B$6:$E$64,2,FALSE)*AX9</f>
        <v>0</v>
      </c>
      <c r="BA9" s="1033">
        <f>VLOOKUP(AW9,Düngemittel!$B$6:$E$64,4,FALSE)*AX9</f>
        <v>0</v>
      </c>
      <c r="BB9" s="2089"/>
      <c r="BC9" s="1329"/>
      <c r="BD9" s="1330" t="s">
        <v>795</v>
      </c>
      <c r="BE9" s="1424">
        <v>0</v>
      </c>
      <c r="BF9" s="1033">
        <f>VLOOKUP(BD9,Düngemittel!$B$6:$E$64,2,FALSE)*(VLOOKUP(BD9,Düngemittel!$B$6:$E$64,3,FALSE))/100*BE9</f>
        <v>0</v>
      </c>
      <c r="BG9" s="1033">
        <f>VLOOKUP(BD9,Düngemittel!$B$6:$E$64,2,FALSE)*BE9</f>
        <v>0</v>
      </c>
      <c r="BH9" s="1033">
        <f>VLOOKUP(BD9,Düngemittel!$B$6:$E$64,4,FALSE)*BE9</f>
        <v>0</v>
      </c>
      <c r="BI9" s="2089"/>
      <c r="BJ9" s="1329"/>
      <c r="BK9" s="1330" t="s">
        <v>795</v>
      </c>
      <c r="BL9" s="1424">
        <v>0</v>
      </c>
      <c r="BM9" s="1033">
        <f>VLOOKUP(BK9,Düngemittel!$B$6:$E$64,2,FALSE)*(VLOOKUP(BK9,Düngemittel!$B$6:$E$64,3,FALSE))/100*BL9</f>
        <v>0</v>
      </c>
      <c r="BN9" s="1033">
        <f>VLOOKUP(BK9,Düngemittel!$B$6:$E$64,2,FALSE)*BL9</f>
        <v>0</v>
      </c>
      <c r="BO9" s="1033">
        <f>VLOOKUP(BK9,Düngemittel!$B$6:$E$64,4,FALSE)*BL9</f>
        <v>0</v>
      </c>
      <c r="BP9" s="1878"/>
      <c r="BQ9" s="1812">
        <f t="shared" ref="BQ9:BQ52" si="22">IF(AK9&lt;AL9,0,AK9)+IF(AR9&lt;AS9,0,AR9)+IF(AY9&lt;AZ9,0,AY9)+IF(BF9&lt;BG9,0,BF9)+IF(BM9&lt;BN9,0,BM9)</f>
        <v>0</v>
      </c>
      <c r="BR9" s="1889">
        <f t="shared" ref="BR9:BS52" si="23">(AK9+AR9+AY9+BF9+BM9)</f>
        <v>0</v>
      </c>
      <c r="BS9" s="1812">
        <f t="shared" si="23"/>
        <v>0</v>
      </c>
      <c r="BT9" s="1138">
        <f t="shared" ref="BT9:BT52" si="24">IF(AK9&lt;AL9,AL9,0)+IF(AR9&lt;AS9,AS9,0)+IF(AY9&lt;AZ9,AZ9,0)+IF(BF9&lt;BG9,BG9,0)+IF(BM9&lt;BN9,BN9,0)</f>
        <v>0</v>
      </c>
      <c r="BU9" s="1889">
        <f t="shared" ref="BU9:BU52" si="25">(AM9+AT9+BA9+BH9+BO9)</f>
        <v>0</v>
      </c>
      <c r="BV9" s="95"/>
      <c r="BW9" s="1810">
        <f t="shared" ref="BW9:CA52" si="26">BQ9*$B9</f>
        <v>0</v>
      </c>
      <c r="BX9" s="1135">
        <f t="shared" si="14"/>
        <v>0</v>
      </c>
      <c r="BY9" s="1810">
        <f t="shared" si="14"/>
        <v>0</v>
      </c>
      <c r="BZ9" s="1807">
        <f t="shared" si="14"/>
        <v>0</v>
      </c>
      <c r="CA9" s="1135">
        <f t="shared" si="14"/>
        <v>0</v>
      </c>
      <c r="CB9" s="1878"/>
      <c r="CD9">
        <v>1</v>
      </c>
      <c r="CE9">
        <v>1.5</v>
      </c>
      <c r="CG9" s="2141" t="s">
        <v>1342</v>
      </c>
      <c r="CH9" s="33">
        <v>350</v>
      </c>
      <c r="CI9" s="33">
        <v>300</v>
      </c>
      <c r="CJ9" s="33">
        <v>20</v>
      </c>
      <c r="CK9" s="323">
        <v>20</v>
      </c>
      <c r="CL9" s="323">
        <v>20</v>
      </c>
      <c r="CM9" s="323">
        <f>CL9*2/3</f>
        <v>13.333333333333334</v>
      </c>
      <c r="CN9" s="323">
        <v>80</v>
      </c>
      <c r="CO9" s="323">
        <v>60</v>
      </c>
      <c r="CP9" s="1001">
        <v>0.10299999999999999</v>
      </c>
      <c r="CS9" s="1912"/>
      <c r="CT9" s="1913"/>
    </row>
    <row r="10" spans="1:99" ht="32.25" customHeight="1">
      <c r="A10" s="1750" t="s">
        <v>569</v>
      </c>
      <c r="B10" s="2169">
        <v>0</v>
      </c>
      <c r="C10" s="2172" t="s">
        <v>31</v>
      </c>
      <c r="D10" s="1946">
        <f t="shared" si="0"/>
        <v>0</v>
      </c>
      <c r="E10" s="1947">
        <f t="shared" si="1"/>
        <v>0</v>
      </c>
      <c r="F10" s="1941">
        <v>0</v>
      </c>
      <c r="G10" s="1949">
        <f t="shared" si="15"/>
        <v>0</v>
      </c>
      <c r="H10" s="1949">
        <f t="shared" si="16"/>
        <v>0</v>
      </c>
      <c r="I10" s="1949">
        <f t="shared" si="2"/>
        <v>0</v>
      </c>
      <c r="J10" s="1949">
        <f t="shared" si="3"/>
        <v>0</v>
      </c>
      <c r="K10" s="1949">
        <f t="shared" si="4"/>
        <v>0</v>
      </c>
      <c r="L10" s="1928">
        <f t="shared" si="17"/>
        <v>0</v>
      </c>
      <c r="M10" s="1943"/>
      <c r="N10" s="761" t="s">
        <v>503</v>
      </c>
      <c r="O10" s="1905">
        <f t="shared" si="5"/>
        <v>0</v>
      </c>
      <c r="P10" s="761" t="s">
        <v>25</v>
      </c>
      <c r="Q10" s="1905">
        <f t="shared" si="6"/>
        <v>0</v>
      </c>
      <c r="R10" s="1906">
        <f t="shared" si="7"/>
        <v>0</v>
      </c>
      <c r="S10" s="1957">
        <v>0</v>
      </c>
      <c r="T10" s="1907" t="s">
        <v>160</v>
      </c>
      <c r="U10" s="1752">
        <f t="shared" si="8"/>
        <v>0</v>
      </c>
      <c r="V10" s="1961">
        <v>0</v>
      </c>
      <c r="W10" s="1954" t="s">
        <v>1314</v>
      </c>
      <c r="X10" s="1931">
        <f t="shared" si="9"/>
        <v>0</v>
      </c>
      <c r="Y10" s="1954" t="s">
        <v>1314</v>
      </c>
      <c r="Z10" s="1965">
        <f t="shared" si="18"/>
        <v>0</v>
      </c>
      <c r="AA10" s="1966">
        <f t="shared" si="19"/>
        <v>0</v>
      </c>
      <c r="AB10" s="1951">
        <f t="shared" si="20"/>
        <v>0</v>
      </c>
      <c r="AC10" s="2097">
        <f t="shared" si="10"/>
        <v>0</v>
      </c>
      <c r="AD10" s="1951">
        <f t="shared" si="21"/>
        <v>0</v>
      </c>
      <c r="AE10" s="1878"/>
      <c r="AF10" s="1281" t="str">
        <f t="shared" si="12"/>
        <v>Acker 3</v>
      </c>
      <c r="AG10" s="1281" t="str">
        <f t="shared" si="13"/>
        <v>keine</v>
      </c>
      <c r="AH10" s="1329"/>
      <c r="AI10" s="1330" t="s">
        <v>795</v>
      </c>
      <c r="AJ10" s="1424">
        <v>0</v>
      </c>
      <c r="AK10" s="1033">
        <f>VLOOKUP(AI10,Düngemittel!$B$6:$E$64,2,FALSE)*(VLOOKUP(AI10,Düngemittel!$B$6:$E$64,3,FALSE))/100*AJ10</f>
        <v>0</v>
      </c>
      <c r="AL10" s="1033">
        <f>VLOOKUP(AI10,Düngemittel!$B$6:$E$64,2,FALSE)*AJ10</f>
        <v>0</v>
      </c>
      <c r="AM10" s="1033">
        <f>VLOOKUP(AI10,Düngemittel!$B$6:$E$64,4,FALSE)*AJ10</f>
        <v>0</v>
      </c>
      <c r="AN10" s="2089"/>
      <c r="AO10" s="1329"/>
      <c r="AP10" s="1330" t="s">
        <v>795</v>
      </c>
      <c r="AQ10" s="1424">
        <v>0</v>
      </c>
      <c r="AR10" s="1033">
        <f>VLOOKUP(AP10,Düngemittel!$B$6:$E$64,2,FALSE)*(VLOOKUP(AP10,Düngemittel!$B$6:$E$64,3,FALSE))/100*AQ10</f>
        <v>0</v>
      </c>
      <c r="AS10" s="1033">
        <f>VLOOKUP(AP10,Düngemittel!$B$6:$E$64,2,FALSE)*AQ10</f>
        <v>0</v>
      </c>
      <c r="AT10" s="1033">
        <f>VLOOKUP(AP10,Düngemittel!$B$6:$E$64,4,FALSE)*AQ10</f>
        <v>0</v>
      </c>
      <c r="AU10" s="2089"/>
      <c r="AV10" s="1329"/>
      <c r="AW10" s="1330" t="s">
        <v>795</v>
      </c>
      <c r="AX10" s="1424">
        <v>0</v>
      </c>
      <c r="AY10" s="1033">
        <f>VLOOKUP(AW10,Düngemittel!$B$6:$E$64,2,FALSE)*(VLOOKUP(AW10,Düngemittel!$B$6:$E$64,3,FALSE))/100*AX10</f>
        <v>0</v>
      </c>
      <c r="AZ10" s="1033">
        <f>VLOOKUP(AW10,Düngemittel!$B$6:$E$64,2,FALSE)*AX10</f>
        <v>0</v>
      </c>
      <c r="BA10" s="1033">
        <f>VLOOKUP(AW10,Düngemittel!$B$6:$E$64,4,FALSE)*AX10</f>
        <v>0</v>
      </c>
      <c r="BB10" s="2089"/>
      <c r="BC10" s="1329"/>
      <c r="BD10" s="1330" t="s">
        <v>795</v>
      </c>
      <c r="BE10" s="1424">
        <v>0</v>
      </c>
      <c r="BF10" s="1033">
        <f>VLOOKUP(BD10,Düngemittel!$B$6:$E$64,2,FALSE)*(VLOOKUP(BD10,Düngemittel!$B$6:$E$64,3,FALSE))/100*BE10</f>
        <v>0</v>
      </c>
      <c r="BG10" s="1033">
        <f>VLOOKUP(BD10,Düngemittel!$B$6:$E$64,2,FALSE)*BE10</f>
        <v>0</v>
      </c>
      <c r="BH10" s="1033">
        <f>VLOOKUP(BD10,Düngemittel!$B$6:$E$64,4,FALSE)*BE10</f>
        <v>0</v>
      </c>
      <c r="BI10" s="2089"/>
      <c r="BJ10" s="1329"/>
      <c r="BK10" s="1330" t="s">
        <v>795</v>
      </c>
      <c r="BL10" s="1424">
        <v>0</v>
      </c>
      <c r="BM10" s="1033">
        <f>VLOOKUP(BK10,Düngemittel!$B$6:$E$64,2,FALSE)*(VLOOKUP(BK10,Düngemittel!$B$6:$E$64,3,FALSE))/100*BL10</f>
        <v>0</v>
      </c>
      <c r="BN10" s="1033">
        <f>VLOOKUP(BK10,Düngemittel!$B$6:$E$64,2,FALSE)*BL10</f>
        <v>0</v>
      </c>
      <c r="BO10" s="1033">
        <f>VLOOKUP(BK10,Düngemittel!$B$6:$E$64,4,FALSE)*BL10</f>
        <v>0</v>
      </c>
      <c r="BP10" s="1878"/>
      <c r="BQ10" s="1812">
        <f t="shared" si="22"/>
        <v>0</v>
      </c>
      <c r="BR10" s="1889">
        <f t="shared" si="23"/>
        <v>0</v>
      </c>
      <c r="BS10" s="1812">
        <f t="shared" si="23"/>
        <v>0</v>
      </c>
      <c r="BT10" s="1138">
        <f t="shared" si="24"/>
        <v>0</v>
      </c>
      <c r="BU10" s="1889">
        <f t="shared" si="25"/>
        <v>0</v>
      </c>
      <c r="BV10" s="95"/>
      <c r="BW10" s="1810">
        <f t="shared" si="26"/>
        <v>0</v>
      </c>
      <c r="BX10" s="1135">
        <f t="shared" si="14"/>
        <v>0</v>
      </c>
      <c r="BY10" s="1810">
        <f t="shared" si="14"/>
        <v>0</v>
      </c>
      <c r="BZ10" s="1807">
        <f t="shared" si="14"/>
        <v>0</v>
      </c>
      <c r="CA10" s="1135">
        <f t="shared" si="14"/>
        <v>0</v>
      </c>
      <c r="CB10" s="1878"/>
      <c r="CD10">
        <v>0</v>
      </c>
      <c r="CE10">
        <v>0</v>
      </c>
      <c r="CG10" s="2152" t="s">
        <v>1478</v>
      </c>
      <c r="CH10" s="33">
        <v>450</v>
      </c>
      <c r="CI10" s="33">
        <v>185</v>
      </c>
      <c r="CJ10" s="33">
        <v>10</v>
      </c>
      <c r="CK10" s="2153">
        <v>18.5</v>
      </c>
      <c r="CL10" s="2153">
        <v>18.5</v>
      </c>
      <c r="CM10" s="2152">
        <v>0</v>
      </c>
      <c r="CN10" s="2152">
        <v>0</v>
      </c>
      <c r="CO10" s="2152">
        <v>30</v>
      </c>
      <c r="CP10" s="2155">
        <v>0.12</v>
      </c>
      <c r="CS10" s="1912"/>
      <c r="CT10" s="1913"/>
    </row>
    <row r="11" spans="1:99" ht="32.25" customHeight="1">
      <c r="A11" s="1750" t="s">
        <v>565</v>
      </c>
      <c r="B11" s="2169">
        <v>0</v>
      </c>
      <c r="C11" s="2172" t="s">
        <v>31</v>
      </c>
      <c r="D11" s="1946">
        <f t="shared" si="0"/>
        <v>0</v>
      </c>
      <c r="E11" s="1947">
        <f t="shared" si="1"/>
        <v>0</v>
      </c>
      <c r="F11" s="1941">
        <v>0</v>
      </c>
      <c r="G11" s="1949">
        <f t="shared" si="15"/>
        <v>0</v>
      </c>
      <c r="H11" s="1949">
        <f t="shared" si="16"/>
        <v>0</v>
      </c>
      <c r="I11" s="1949">
        <f t="shared" si="2"/>
        <v>0</v>
      </c>
      <c r="J11" s="1949">
        <f t="shared" si="3"/>
        <v>0</v>
      </c>
      <c r="K11" s="1949">
        <f t="shared" si="4"/>
        <v>0</v>
      </c>
      <c r="L11" s="1928">
        <f t="shared" si="17"/>
        <v>0</v>
      </c>
      <c r="M11" s="1943"/>
      <c r="N11" s="761" t="s">
        <v>503</v>
      </c>
      <c r="O11" s="1905">
        <f t="shared" si="5"/>
        <v>0</v>
      </c>
      <c r="P11" s="761" t="s">
        <v>25</v>
      </c>
      <c r="Q11" s="1905">
        <f t="shared" si="6"/>
        <v>0</v>
      </c>
      <c r="R11" s="1906">
        <f t="shared" si="7"/>
        <v>0</v>
      </c>
      <c r="S11" s="1957">
        <v>0</v>
      </c>
      <c r="T11" s="1907" t="s">
        <v>160</v>
      </c>
      <c r="U11" s="1752">
        <f t="shared" si="8"/>
        <v>0</v>
      </c>
      <c r="V11" s="1961">
        <v>0</v>
      </c>
      <c r="W11" s="1954" t="s">
        <v>1314</v>
      </c>
      <c r="X11" s="1931">
        <f t="shared" si="9"/>
        <v>0</v>
      </c>
      <c r="Y11" s="1954" t="s">
        <v>1314</v>
      </c>
      <c r="Z11" s="1965">
        <f t="shared" si="18"/>
        <v>0</v>
      </c>
      <c r="AA11" s="1966">
        <f t="shared" si="19"/>
        <v>0</v>
      </c>
      <c r="AB11" s="1951">
        <f t="shared" si="20"/>
        <v>0</v>
      </c>
      <c r="AC11" s="2097">
        <f t="shared" si="10"/>
        <v>0</v>
      </c>
      <c r="AD11" s="1951">
        <f t="shared" si="21"/>
        <v>0</v>
      </c>
      <c r="AE11" s="1878"/>
      <c r="AF11" s="1281" t="str">
        <f t="shared" si="12"/>
        <v>Schlag 4</v>
      </c>
      <c r="AG11" s="1281" t="str">
        <f t="shared" si="13"/>
        <v>keine</v>
      </c>
      <c r="AH11" s="1329"/>
      <c r="AI11" s="1330" t="s">
        <v>795</v>
      </c>
      <c r="AJ11" s="1424">
        <v>0</v>
      </c>
      <c r="AK11" s="1033">
        <f>VLOOKUP(AI11,Düngemittel!$B$6:$E$64,2,FALSE)*(VLOOKUP(AI11,Düngemittel!$B$6:$E$64,3,FALSE))/100*AJ11</f>
        <v>0</v>
      </c>
      <c r="AL11" s="1033">
        <f>VLOOKUP(AI11,Düngemittel!$B$6:$E$64,2,FALSE)*AJ11</f>
        <v>0</v>
      </c>
      <c r="AM11" s="1033">
        <f>VLOOKUP(AI11,Düngemittel!$B$6:$E$64,4,FALSE)*AJ11</f>
        <v>0</v>
      </c>
      <c r="AN11" s="2089"/>
      <c r="AO11" s="1329"/>
      <c r="AP11" s="1330" t="s">
        <v>795</v>
      </c>
      <c r="AQ11" s="1424">
        <v>0</v>
      </c>
      <c r="AR11" s="1033">
        <f>VLOOKUP(AP11,Düngemittel!$B$6:$E$64,2,FALSE)*(VLOOKUP(AP11,Düngemittel!$B$6:$E$64,3,FALSE))/100*AQ11</f>
        <v>0</v>
      </c>
      <c r="AS11" s="1033">
        <f>VLOOKUP(AP11,Düngemittel!$B$6:$E$64,2,FALSE)*AQ11</f>
        <v>0</v>
      </c>
      <c r="AT11" s="1033">
        <f>VLOOKUP(AP11,Düngemittel!$B$6:$E$64,4,FALSE)*AQ11</f>
        <v>0</v>
      </c>
      <c r="AU11" s="2089"/>
      <c r="AV11" s="1329"/>
      <c r="AW11" s="1330" t="s">
        <v>795</v>
      </c>
      <c r="AX11" s="1424">
        <v>0</v>
      </c>
      <c r="AY11" s="1033">
        <f>VLOOKUP(AW11,Düngemittel!$B$6:$E$64,2,FALSE)*(VLOOKUP(AW11,Düngemittel!$B$6:$E$64,3,FALSE))/100*AX11</f>
        <v>0</v>
      </c>
      <c r="AZ11" s="1033">
        <f>VLOOKUP(AW11,Düngemittel!$B$6:$E$64,2,FALSE)*AX11</f>
        <v>0</v>
      </c>
      <c r="BA11" s="1033">
        <f>VLOOKUP(AW11,Düngemittel!$B$6:$E$64,4,FALSE)*AX11</f>
        <v>0</v>
      </c>
      <c r="BB11" s="2089"/>
      <c r="BC11" s="1329"/>
      <c r="BD11" s="1330" t="s">
        <v>795</v>
      </c>
      <c r="BE11" s="1424">
        <v>0</v>
      </c>
      <c r="BF11" s="1033">
        <f>VLOOKUP(BD11,Düngemittel!$B$6:$E$64,2,FALSE)*(VLOOKUP(BD11,Düngemittel!$B$6:$E$64,3,FALSE))/100*BE11</f>
        <v>0</v>
      </c>
      <c r="BG11" s="1033">
        <f>VLOOKUP(BD11,Düngemittel!$B$6:$E$64,2,FALSE)*BE11</f>
        <v>0</v>
      </c>
      <c r="BH11" s="1033">
        <f>VLOOKUP(BD11,Düngemittel!$B$6:$E$64,4,FALSE)*BE11</f>
        <v>0</v>
      </c>
      <c r="BI11" s="2089"/>
      <c r="BJ11" s="1329"/>
      <c r="BK11" s="1330" t="s">
        <v>795</v>
      </c>
      <c r="BL11" s="1424">
        <v>0</v>
      </c>
      <c r="BM11" s="1033">
        <f>VLOOKUP(BK11,Düngemittel!$B$6:$E$64,2,FALSE)*(VLOOKUP(BK11,Düngemittel!$B$6:$E$64,3,FALSE))/100*BL11</f>
        <v>0</v>
      </c>
      <c r="BN11" s="1033">
        <f>VLOOKUP(BK11,Düngemittel!$B$6:$E$64,2,FALSE)*BL11</f>
        <v>0</v>
      </c>
      <c r="BO11" s="1033">
        <f>VLOOKUP(BK11,Düngemittel!$B$6:$E$64,4,FALSE)*BL11</f>
        <v>0</v>
      </c>
      <c r="BP11" s="1878"/>
      <c r="BQ11" s="1812">
        <f t="shared" si="22"/>
        <v>0</v>
      </c>
      <c r="BR11" s="1889">
        <f t="shared" si="23"/>
        <v>0</v>
      </c>
      <c r="BS11" s="1812">
        <f t="shared" si="23"/>
        <v>0</v>
      </c>
      <c r="BT11" s="1138">
        <f t="shared" si="24"/>
        <v>0</v>
      </c>
      <c r="BU11" s="1889">
        <f t="shared" si="25"/>
        <v>0</v>
      </c>
      <c r="BV11" s="95"/>
      <c r="BW11" s="1810">
        <f t="shared" si="26"/>
        <v>0</v>
      </c>
      <c r="BX11" s="1135">
        <f t="shared" si="14"/>
        <v>0</v>
      </c>
      <c r="BY11" s="1810">
        <f t="shared" si="14"/>
        <v>0</v>
      </c>
      <c r="BZ11" s="1807">
        <f t="shared" si="14"/>
        <v>0</v>
      </c>
      <c r="CA11" s="1135">
        <f t="shared" si="14"/>
        <v>0</v>
      </c>
      <c r="CB11" s="1878"/>
      <c r="CD11">
        <v>0</v>
      </c>
      <c r="CE11">
        <v>0</v>
      </c>
      <c r="CG11" s="2152" t="s">
        <v>1479</v>
      </c>
      <c r="CH11" s="33">
        <v>300</v>
      </c>
      <c r="CI11" s="33">
        <v>110</v>
      </c>
      <c r="CJ11" s="33">
        <v>10</v>
      </c>
      <c r="CK11" s="2158">
        <v>6</v>
      </c>
      <c r="CL11" s="2158">
        <v>6</v>
      </c>
      <c r="CM11" s="2152">
        <v>0</v>
      </c>
      <c r="CN11" s="2152">
        <v>0</v>
      </c>
      <c r="CO11" s="2152">
        <v>60</v>
      </c>
      <c r="CP11" s="2155">
        <v>0.05</v>
      </c>
      <c r="CS11" s="1912"/>
      <c r="CT11" s="1914"/>
    </row>
    <row r="12" spans="1:99" ht="32.25" customHeight="1">
      <c r="A12" s="1750" t="s">
        <v>1131</v>
      </c>
      <c r="B12" s="2169">
        <v>0</v>
      </c>
      <c r="C12" s="2172" t="s">
        <v>31</v>
      </c>
      <c r="D12" s="1946">
        <f t="shared" si="0"/>
        <v>0</v>
      </c>
      <c r="E12" s="1947">
        <f t="shared" si="1"/>
        <v>0</v>
      </c>
      <c r="F12" s="1941">
        <v>0</v>
      </c>
      <c r="G12" s="1949">
        <f t="shared" si="15"/>
        <v>0</v>
      </c>
      <c r="H12" s="1949">
        <f t="shared" si="16"/>
        <v>0</v>
      </c>
      <c r="I12" s="1949">
        <f t="shared" si="2"/>
        <v>0</v>
      </c>
      <c r="J12" s="1949">
        <f t="shared" si="3"/>
        <v>0</v>
      </c>
      <c r="K12" s="1949">
        <f t="shared" si="4"/>
        <v>0</v>
      </c>
      <c r="L12" s="1928">
        <f t="shared" si="17"/>
        <v>0</v>
      </c>
      <c r="M12" s="1943"/>
      <c r="N12" s="761" t="s">
        <v>503</v>
      </c>
      <c r="O12" s="1905">
        <f t="shared" si="5"/>
        <v>0</v>
      </c>
      <c r="P12" s="761" t="s">
        <v>25</v>
      </c>
      <c r="Q12" s="1905">
        <f t="shared" si="6"/>
        <v>0</v>
      </c>
      <c r="R12" s="1906">
        <f t="shared" si="7"/>
        <v>0</v>
      </c>
      <c r="S12" s="1957">
        <v>0</v>
      </c>
      <c r="T12" s="1907" t="s">
        <v>160</v>
      </c>
      <c r="U12" s="1752">
        <f t="shared" si="8"/>
        <v>0</v>
      </c>
      <c r="V12" s="1961">
        <v>0</v>
      </c>
      <c r="W12" s="1954" t="s">
        <v>1314</v>
      </c>
      <c r="X12" s="1931">
        <f t="shared" si="9"/>
        <v>0</v>
      </c>
      <c r="Y12" s="1954" t="s">
        <v>1314</v>
      </c>
      <c r="Z12" s="1965">
        <f t="shared" si="18"/>
        <v>0</v>
      </c>
      <c r="AA12" s="1966">
        <f t="shared" si="19"/>
        <v>0</v>
      </c>
      <c r="AB12" s="1951">
        <f t="shared" si="20"/>
        <v>0</v>
      </c>
      <c r="AC12" s="2097">
        <f t="shared" si="10"/>
        <v>0</v>
      </c>
      <c r="AD12" s="1951">
        <f t="shared" si="21"/>
        <v>0</v>
      </c>
      <c r="AE12" s="1878"/>
      <c r="AF12" s="1281" t="str">
        <f t="shared" si="12"/>
        <v>Flurstück 5</v>
      </c>
      <c r="AG12" s="1281" t="str">
        <f t="shared" si="13"/>
        <v>keine</v>
      </c>
      <c r="AH12" s="1329"/>
      <c r="AI12" s="1330" t="s">
        <v>795</v>
      </c>
      <c r="AJ12" s="1424">
        <v>0</v>
      </c>
      <c r="AK12" s="1033">
        <f>VLOOKUP(AI12,Düngemittel!$B$6:$E$64,2,FALSE)*(VLOOKUP(AI12,Düngemittel!$B$6:$E$64,3,FALSE))/100*AJ12</f>
        <v>0</v>
      </c>
      <c r="AL12" s="1033">
        <f>VLOOKUP(AI12,Düngemittel!$B$6:$E$64,2,FALSE)*AJ12</f>
        <v>0</v>
      </c>
      <c r="AM12" s="1033">
        <f>VLOOKUP(AI12,Düngemittel!$B$6:$E$64,4,FALSE)*AJ12</f>
        <v>0</v>
      </c>
      <c r="AN12" s="2089"/>
      <c r="AO12" s="1329"/>
      <c r="AP12" s="1330" t="s">
        <v>795</v>
      </c>
      <c r="AQ12" s="1424">
        <v>0</v>
      </c>
      <c r="AR12" s="1033">
        <f>VLOOKUP(AP12,Düngemittel!$B$6:$E$64,2,FALSE)*(VLOOKUP(AP12,Düngemittel!$B$6:$E$64,3,FALSE))/100*AQ12</f>
        <v>0</v>
      </c>
      <c r="AS12" s="1033">
        <f>VLOOKUP(AP12,Düngemittel!$B$6:$E$64,2,FALSE)*AQ12</f>
        <v>0</v>
      </c>
      <c r="AT12" s="1033">
        <f>VLOOKUP(AP12,Düngemittel!$B$6:$E$64,4,FALSE)*AQ12</f>
        <v>0</v>
      </c>
      <c r="AU12" s="2089"/>
      <c r="AV12" s="1329"/>
      <c r="AW12" s="1330" t="s">
        <v>795</v>
      </c>
      <c r="AX12" s="1424">
        <v>0</v>
      </c>
      <c r="AY12" s="1033">
        <f>VLOOKUP(AW12,Düngemittel!$B$6:$E$64,2,FALSE)*(VLOOKUP(AW12,Düngemittel!$B$6:$E$64,3,FALSE))/100*AX12</f>
        <v>0</v>
      </c>
      <c r="AZ12" s="1033">
        <f>VLOOKUP(AW12,Düngemittel!$B$6:$E$64,2,FALSE)*AX12</f>
        <v>0</v>
      </c>
      <c r="BA12" s="1033">
        <f>VLOOKUP(AW12,Düngemittel!$B$6:$E$64,4,FALSE)*AX12</f>
        <v>0</v>
      </c>
      <c r="BB12" s="2089"/>
      <c r="BC12" s="1329"/>
      <c r="BD12" s="1330" t="s">
        <v>795</v>
      </c>
      <c r="BE12" s="1424">
        <v>0</v>
      </c>
      <c r="BF12" s="1033">
        <f>VLOOKUP(BD12,Düngemittel!$B$6:$E$64,2,FALSE)*(VLOOKUP(BD12,Düngemittel!$B$6:$E$64,3,FALSE))/100*BE12</f>
        <v>0</v>
      </c>
      <c r="BG12" s="1033">
        <f>VLOOKUP(BD12,Düngemittel!$B$6:$E$64,2,FALSE)*BE12</f>
        <v>0</v>
      </c>
      <c r="BH12" s="1033">
        <f>VLOOKUP(BD12,Düngemittel!$B$6:$E$64,4,FALSE)*BE12</f>
        <v>0</v>
      </c>
      <c r="BI12" s="2089"/>
      <c r="BJ12" s="1329"/>
      <c r="BK12" s="1330" t="s">
        <v>795</v>
      </c>
      <c r="BL12" s="1424">
        <v>0</v>
      </c>
      <c r="BM12" s="1033">
        <f>VLOOKUP(BK12,Düngemittel!$B$6:$E$64,2,FALSE)*(VLOOKUP(BK12,Düngemittel!$B$6:$E$64,3,FALSE))/100*BL12</f>
        <v>0</v>
      </c>
      <c r="BN12" s="1033">
        <f>VLOOKUP(BK12,Düngemittel!$B$6:$E$64,2,FALSE)*BL12</f>
        <v>0</v>
      </c>
      <c r="BO12" s="1033">
        <f>VLOOKUP(BK12,Düngemittel!$B$6:$E$64,4,FALSE)*BL12</f>
        <v>0</v>
      </c>
      <c r="BP12" s="1878"/>
      <c r="BQ12" s="1812">
        <f t="shared" si="22"/>
        <v>0</v>
      </c>
      <c r="BR12" s="1889">
        <f t="shared" si="23"/>
        <v>0</v>
      </c>
      <c r="BS12" s="1812">
        <f t="shared" si="23"/>
        <v>0</v>
      </c>
      <c r="BT12" s="1138">
        <f t="shared" si="24"/>
        <v>0</v>
      </c>
      <c r="BU12" s="1889">
        <f t="shared" si="25"/>
        <v>0</v>
      </c>
      <c r="BV12" s="95"/>
      <c r="BW12" s="1810">
        <f t="shared" si="26"/>
        <v>0</v>
      </c>
      <c r="BX12" s="1135">
        <f t="shared" si="14"/>
        <v>0</v>
      </c>
      <c r="BY12" s="1810">
        <f t="shared" si="14"/>
        <v>0</v>
      </c>
      <c r="BZ12" s="1807">
        <f t="shared" si="14"/>
        <v>0</v>
      </c>
      <c r="CA12" s="1135">
        <f t="shared" si="14"/>
        <v>0</v>
      </c>
      <c r="CB12" s="1878"/>
      <c r="CD12">
        <v>0</v>
      </c>
      <c r="CE12">
        <v>0</v>
      </c>
      <c r="CG12" s="2152" t="s">
        <v>1484</v>
      </c>
      <c r="CH12" s="33">
        <v>120</v>
      </c>
      <c r="CI12" s="33">
        <v>125</v>
      </c>
      <c r="CJ12" s="33">
        <v>10</v>
      </c>
      <c r="CK12" s="2153">
        <v>12.5</v>
      </c>
      <c r="CL12" s="2153">
        <v>12.5</v>
      </c>
      <c r="CM12" s="2152">
        <v>0</v>
      </c>
      <c r="CN12" s="2152">
        <v>0</v>
      </c>
      <c r="CO12" s="2152">
        <v>30</v>
      </c>
      <c r="CP12" s="2155">
        <v>0.15</v>
      </c>
      <c r="CS12" s="1915"/>
      <c r="CT12" s="1916"/>
    </row>
    <row r="13" spans="1:99" ht="32.25" customHeight="1">
      <c r="A13" s="1750">
        <v>6</v>
      </c>
      <c r="B13" s="2169">
        <v>0</v>
      </c>
      <c r="C13" s="2172" t="s">
        <v>31</v>
      </c>
      <c r="D13" s="1946">
        <f t="shared" si="0"/>
        <v>0</v>
      </c>
      <c r="E13" s="1947">
        <f t="shared" si="1"/>
        <v>0</v>
      </c>
      <c r="F13" s="1941">
        <v>0</v>
      </c>
      <c r="G13" s="1949">
        <f t="shared" si="15"/>
        <v>0</v>
      </c>
      <c r="H13" s="1949">
        <f t="shared" si="16"/>
        <v>0</v>
      </c>
      <c r="I13" s="1949">
        <f t="shared" si="2"/>
        <v>0</v>
      </c>
      <c r="J13" s="1949">
        <f t="shared" si="3"/>
        <v>0</v>
      </c>
      <c r="K13" s="1949">
        <f t="shared" si="4"/>
        <v>0</v>
      </c>
      <c r="L13" s="1928">
        <f t="shared" si="17"/>
        <v>0</v>
      </c>
      <c r="M13" s="1943"/>
      <c r="N13" s="761" t="s">
        <v>503</v>
      </c>
      <c r="O13" s="1905">
        <f t="shared" si="5"/>
        <v>0</v>
      </c>
      <c r="P13" s="761" t="s">
        <v>25</v>
      </c>
      <c r="Q13" s="1905">
        <f t="shared" si="6"/>
        <v>0</v>
      </c>
      <c r="R13" s="1906">
        <f t="shared" si="7"/>
        <v>0</v>
      </c>
      <c r="S13" s="1957">
        <v>0</v>
      </c>
      <c r="T13" s="1907" t="s">
        <v>160</v>
      </c>
      <c r="U13" s="1752">
        <f t="shared" si="8"/>
        <v>0</v>
      </c>
      <c r="V13" s="1961">
        <v>0</v>
      </c>
      <c r="W13" s="1954" t="s">
        <v>1314</v>
      </c>
      <c r="X13" s="1931">
        <f t="shared" si="9"/>
        <v>0</v>
      </c>
      <c r="Y13" s="1954" t="s">
        <v>1314</v>
      </c>
      <c r="Z13" s="1965">
        <f t="shared" si="18"/>
        <v>0</v>
      </c>
      <c r="AA13" s="1966">
        <f t="shared" si="19"/>
        <v>0</v>
      </c>
      <c r="AB13" s="1951">
        <f t="shared" si="20"/>
        <v>0</v>
      </c>
      <c r="AC13" s="2097">
        <f t="shared" si="10"/>
        <v>0</v>
      </c>
      <c r="AD13" s="1951">
        <f t="shared" si="21"/>
        <v>0</v>
      </c>
      <c r="AE13" s="1878"/>
      <c r="AF13" s="1281">
        <f t="shared" si="12"/>
        <v>6</v>
      </c>
      <c r="AG13" s="1281" t="str">
        <f t="shared" si="13"/>
        <v>keine</v>
      </c>
      <c r="AH13" s="1329"/>
      <c r="AI13" s="1330" t="s">
        <v>795</v>
      </c>
      <c r="AJ13" s="1424">
        <v>0</v>
      </c>
      <c r="AK13" s="1033">
        <f>VLOOKUP(AI13,Düngemittel!$B$6:$E$64,2,FALSE)*(VLOOKUP(AI13,Düngemittel!$B$6:$E$64,3,FALSE))/100*AJ13</f>
        <v>0</v>
      </c>
      <c r="AL13" s="1033">
        <f>VLOOKUP(AI13,Düngemittel!$B$6:$E$64,2,FALSE)*AJ13</f>
        <v>0</v>
      </c>
      <c r="AM13" s="1033">
        <f>VLOOKUP(AI13,Düngemittel!$B$6:$E$64,4,FALSE)*AJ13</f>
        <v>0</v>
      </c>
      <c r="AN13" s="2089"/>
      <c r="AO13" s="1329"/>
      <c r="AP13" s="1330" t="s">
        <v>795</v>
      </c>
      <c r="AQ13" s="1424">
        <v>0</v>
      </c>
      <c r="AR13" s="1033">
        <f>VLOOKUP(AP13,Düngemittel!$B$6:$E$64,2,FALSE)*(VLOOKUP(AP13,Düngemittel!$B$6:$E$64,3,FALSE))/100*AQ13</f>
        <v>0</v>
      </c>
      <c r="AS13" s="1033">
        <f>VLOOKUP(AP13,Düngemittel!$B$6:$E$64,2,FALSE)*AQ13</f>
        <v>0</v>
      </c>
      <c r="AT13" s="1033">
        <f>VLOOKUP(AP13,Düngemittel!$B$6:$E$64,4,FALSE)*AQ13</f>
        <v>0</v>
      </c>
      <c r="AU13" s="2089"/>
      <c r="AV13" s="1329"/>
      <c r="AW13" s="1330" t="s">
        <v>795</v>
      </c>
      <c r="AX13" s="1424">
        <v>0</v>
      </c>
      <c r="AY13" s="1033">
        <f>VLOOKUP(AW13,Düngemittel!$B$6:$E$64,2,FALSE)*(VLOOKUP(AW13,Düngemittel!$B$6:$E$64,3,FALSE))/100*AX13</f>
        <v>0</v>
      </c>
      <c r="AZ13" s="1033">
        <f>VLOOKUP(AW13,Düngemittel!$B$6:$E$64,2,FALSE)*AX13</f>
        <v>0</v>
      </c>
      <c r="BA13" s="1033">
        <f>VLOOKUP(AW13,Düngemittel!$B$6:$E$64,4,FALSE)*AX13</f>
        <v>0</v>
      </c>
      <c r="BB13" s="2089"/>
      <c r="BC13" s="1329"/>
      <c r="BD13" s="1330" t="s">
        <v>795</v>
      </c>
      <c r="BE13" s="1424">
        <v>0</v>
      </c>
      <c r="BF13" s="1033">
        <f>VLOOKUP(BD13,Düngemittel!$B$6:$E$64,2,FALSE)*(VLOOKUP(BD13,Düngemittel!$B$6:$E$64,3,FALSE))/100*BE13</f>
        <v>0</v>
      </c>
      <c r="BG13" s="1033">
        <f>VLOOKUP(BD13,Düngemittel!$B$6:$E$64,2,FALSE)*BE13</f>
        <v>0</v>
      </c>
      <c r="BH13" s="1033">
        <f>VLOOKUP(BD13,Düngemittel!$B$6:$E$64,4,FALSE)*BE13</f>
        <v>0</v>
      </c>
      <c r="BI13" s="2089"/>
      <c r="BJ13" s="1329"/>
      <c r="BK13" s="1330" t="s">
        <v>795</v>
      </c>
      <c r="BL13" s="1424">
        <v>0</v>
      </c>
      <c r="BM13" s="1033">
        <f>VLOOKUP(BK13,Düngemittel!$B$6:$E$64,2,FALSE)*(VLOOKUP(BK13,Düngemittel!$B$6:$E$64,3,FALSE))/100*BL13</f>
        <v>0</v>
      </c>
      <c r="BN13" s="1033">
        <f>VLOOKUP(BK13,Düngemittel!$B$6:$E$64,2,FALSE)*BL13</f>
        <v>0</v>
      </c>
      <c r="BO13" s="1033">
        <f>VLOOKUP(BK13,Düngemittel!$B$6:$E$64,4,FALSE)*BL13</f>
        <v>0</v>
      </c>
      <c r="BP13" s="1878"/>
      <c r="BQ13" s="1812">
        <f t="shared" si="22"/>
        <v>0</v>
      </c>
      <c r="BR13" s="1889">
        <f t="shared" si="23"/>
        <v>0</v>
      </c>
      <c r="BS13" s="1812">
        <f t="shared" si="23"/>
        <v>0</v>
      </c>
      <c r="BT13" s="1138">
        <f t="shared" si="24"/>
        <v>0</v>
      </c>
      <c r="BU13" s="1889">
        <f t="shared" si="25"/>
        <v>0</v>
      </c>
      <c r="BV13" s="95"/>
      <c r="BW13" s="1810">
        <f t="shared" si="26"/>
        <v>0</v>
      </c>
      <c r="BX13" s="1135">
        <f t="shared" si="14"/>
        <v>0</v>
      </c>
      <c r="BY13" s="1810">
        <f t="shared" si="14"/>
        <v>0</v>
      </c>
      <c r="BZ13" s="1807">
        <f t="shared" si="14"/>
        <v>0</v>
      </c>
      <c r="CA13" s="1135">
        <f t="shared" si="14"/>
        <v>0</v>
      </c>
      <c r="CB13" s="1878"/>
      <c r="CD13">
        <v>0</v>
      </c>
      <c r="CE13">
        <v>0</v>
      </c>
      <c r="CG13" s="2141" t="s">
        <v>1343</v>
      </c>
      <c r="CH13" s="33">
        <v>150</v>
      </c>
      <c r="CI13" s="33">
        <v>310</v>
      </c>
      <c r="CJ13" s="33">
        <v>20</v>
      </c>
      <c r="CK13" s="323">
        <v>20</v>
      </c>
      <c r="CL13" s="323">
        <v>20</v>
      </c>
      <c r="CM13" s="323">
        <f>CL13*2/3</f>
        <v>13.333333333333334</v>
      </c>
      <c r="CN13" s="323">
        <v>100</v>
      </c>
      <c r="CO13" s="323">
        <v>60</v>
      </c>
      <c r="CP13" s="1001">
        <v>0.14899999999999999</v>
      </c>
      <c r="CS13" s="1915"/>
      <c r="CT13" s="1916"/>
    </row>
    <row r="14" spans="1:99" ht="32.25" customHeight="1">
      <c r="A14" s="1750">
        <v>7</v>
      </c>
      <c r="B14" s="2169">
        <v>0</v>
      </c>
      <c r="C14" s="2172" t="s">
        <v>31</v>
      </c>
      <c r="D14" s="1946">
        <f t="shared" si="0"/>
        <v>0</v>
      </c>
      <c r="E14" s="1947">
        <f t="shared" si="1"/>
        <v>0</v>
      </c>
      <c r="F14" s="1941">
        <v>0</v>
      </c>
      <c r="G14" s="1949">
        <f t="shared" si="15"/>
        <v>0</v>
      </c>
      <c r="H14" s="1949">
        <f t="shared" si="16"/>
        <v>0</v>
      </c>
      <c r="I14" s="1949">
        <f t="shared" si="2"/>
        <v>0</v>
      </c>
      <c r="J14" s="1949">
        <f t="shared" si="3"/>
        <v>0</v>
      </c>
      <c r="K14" s="1949">
        <f t="shared" si="4"/>
        <v>0</v>
      </c>
      <c r="L14" s="1928">
        <f t="shared" si="17"/>
        <v>0</v>
      </c>
      <c r="M14" s="1943"/>
      <c r="N14" s="761" t="s">
        <v>503</v>
      </c>
      <c r="O14" s="1905">
        <f t="shared" si="5"/>
        <v>0</v>
      </c>
      <c r="P14" s="761" t="s">
        <v>25</v>
      </c>
      <c r="Q14" s="1905">
        <f t="shared" si="6"/>
        <v>0</v>
      </c>
      <c r="R14" s="1906">
        <f t="shared" si="7"/>
        <v>0</v>
      </c>
      <c r="S14" s="1957">
        <v>0</v>
      </c>
      <c r="T14" s="1907" t="s">
        <v>160</v>
      </c>
      <c r="U14" s="1752">
        <f t="shared" si="8"/>
        <v>0</v>
      </c>
      <c r="V14" s="1961">
        <v>0</v>
      </c>
      <c r="W14" s="1954" t="s">
        <v>1314</v>
      </c>
      <c r="X14" s="1931">
        <f t="shared" si="9"/>
        <v>0</v>
      </c>
      <c r="Y14" s="1954" t="s">
        <v>1314</v>
      </c>
      <c r="Z14" s="1965">
        <f t="shared" si="18"/>
        <v>0</v>
      </c>
      <c r="AA14" s="1966">
        <f t="shared" si="19"/>
        <v>0</v>
      </c>
      <c r="AB14" s="1951">
        <f t="shared" si="20"/>
        <v>0</v>
      </c>
      <c r="AC14" s="2097">
        <f t="shared" si="10"/>
        <v>0</v>
      </c>
      <c r="AD14" s="1951">
        <f t="shared" si="21"/>
        <v>0</v>
      </c>
      <c r="AE14" s="1878"/>
      <c r="AF14" s="1281">
        <f t="shared" si="12"/>
        <v>7</v>
      </c>
      <c r="AG14" s="1281" t="str">
        <f t="shared" si="13"/>
        <v>keine</v>
      </c>
      <c r="AH14" s="1329"/>
      <c r="AI14" s="1330" t="s">
        <v>795</v>
      </c>
      <c r="AJ14" s="1424">
        <v>0</v>
      </c>
      <c r="AK14" s="1033">
        <f>VLOOKUP(AI14,Düngemittel!$B$6:$E$64,2,FALSE)*(VLOOKUP(AI14,Düngemittel!$B$6:$E$64,3,FALSE))/100*AJ14</f>
        <v>0</v>
      </c>
      <c r="AL14" s="1033">
        <f>VLOOKUP(AI14,Düngemittel!$B$6:$E$64,2,FALSE)*AJ14</f>
        <v>0</v>
      </c>
      <c r="AM14" s="1033">
        <f>VLOOKUP(AI14,Düngemittel!$B$6:$E$64,4,FALSE)*AJ14</f>
        <v>0</v>
      </c>
      <c r="AN14" s="2089"/>
      <c r="AO14" s="1329"/>
      <c r="AP14" s="1330" t="s">
        <v>795</v>
      </c>
      <c r="AQ14" s="1424">
        <v>0</v>
      </c>
      <c r="AR14" s="1033">
        <f>VLOOKUP(AP14,Düngemittel!$B$6:$E$64,2,FALSE)*(VLOOKUP(AP14,Düngemittel!$B$6:$E$64,3,FALSE))/100*AQ14</f>
        <v>0</v>
      </c>
      <c r="AS14" s="1033">
        <f>VLOOKUP(AP14,Düngemittel!$B$6:$E$64,2,FALSE)*AQ14</f>
        <v>0</v>
      </c>
      <c r="AT14" s="1033">
        <f>VLOOKUP(AP14,Düngemittel!$B$6:$E$64,4,FALSE)*AQ14</f>
        <v>0</v>
      </c>
      <c r="AU14" s="2089"/>
      <c r="AV14" s="1329"/>
      <c r="AW14" s="1330" t="s">
        <v>795</v>
      </c>
      <c r="AX14" s="1424">
        <v>0</v>
      </c>
      <c r="AY14" s="1033">
        <f>VLOOKUP(AW14,Düngemittel!$B$6:$E$64,2,FALSE)*(VLOOKUP(AW14,Düngemittel!$B$6:$E$64,3,FALSE))/100*AX14</f>
        <v>0</v>
      </c>
      <c r="AZ14" s="1033">
        <f>VLOOKUP(AW14,Düngemittel!$B$6:$E$64,2,FALSE)*AX14</f>
        <v>0</v>
      </c>
      <c r="BA14" s="1033">
        <f>VLOOKUP(AW14,Düngemittel!$B$6:$E$64,4,FALSE)*AX14</f>
        <v>0</v>
      </c>
      <c r="BB14" s="2089"/>
      <c r="BC14" s="1329"/>
      <c r="BD14" s="1330" t="s">
        <v>795</v>
      </c>
      <c r="BE14" s="1424">
        <v>0</v>
      </c>
      <c r="BF14" s="1033">
        <f>VLOOKUP(BD14,Düngemittel!$B$6:$E$64,2,FALSE)*(VLOOKUP(BD14,Düngemittel!$B$6:$E$64,3,FALSE))/100*BE14</f>
        <v>0</v>
      </c>
      <c r="BG14" s="1033">
        <f>VLOOKUP(BD14,Düngemittel!$B$6:$E$64,2,FALSE)*BE14</f>
        <v>0</v>
      </c>
      <c r="BH14" s="1033">
        <f>VLOOKUP(BD14,Düngemittel!$B$6:$E$64,4,FALSE)*BE14</f>
        <v>0</v>
      </c>
      <c r="BI14" s="2089"/>
      <c r="BJ14" s="1329"/>
      <c r="BK14" s="1330" t="s">
        <v>795</v>
      </c>
      <c r="BL14" s="1424">
        <v>0</v>
      </c>
      <c r="BM14" s="1033">
        <f>VLOOKUP(BK14,Düngemittel!$B$6:$E$64,2,FALSE)*(VLOOKUP(BK14,Düngemittel!$B$6:$E$64,3,FALSE))/100*BL14</f>
        <v>0</v>
      </c>
      <c r="BN14" s="1033">
        <f>VLOOKUP(BK14,Düngemittel!$B$6:$E$64,2,FALSE)*BL14</f>
        <v>0</v>
      </c>
      <c r="BO14" s="1033">
        <f>VLOOKUP(BK14,Düngemittel!$B$6:$E$64,4,FALSE)*BL14</f>
        <v>0</v>
      </c>
      <c r="BP14" s="1878"/>
      <c r="BQ14" s="1812">
        <f t="shared" si="22"/>
        <v>0</v>
      </c>
      <c r="BR14" s="1889">
        <f t="shared" si="23"/>
        <v>0</v>
      </c>
      <c r="BS14" s="1812">
        <f t="shared" si="23"/>
        <v>0</v>
      </c>
      <c r="BT14" s="1138">
        <f t="shared" si="24"/>
        <v>0</v>
      </c>
      <c r="BU14" s="1889">
        <f t="shared" si="25"/>
        <v>0</v>
      </c>
      <c r="BV14" s="95"/>
      <c r="BW14" s="1810">
        <f t="shared" si="26"/>
        <v>0</v>
      </c>
      <c r="BX14" s="1135">
        <f t="shared" si="14"/>
        <v>0</v>
      </c>
      <c r="BY14" s="1810">
        <f t="shared" si="14"/>
        <v>0</v>
      </c>
      <c r="BZ14" s="1807">
        <f t="shared" si="14"/>
        <v>0</v>
      </c>
      <c r="CA14" s="1135">
        <f t="shared" si="14"/>
        <v>0</v>
      </c>
      <c r="CB14" s="1878"/>
      <c r="CD14">
        <v>0</v>
      </c>
      <c r="CE14">
        <v>0</v>
      </c>
      <c r="CG14" s="2159" t="s">
        <v>1642</v>
      </c>
      <c r="CH14" s="33">
        <v>150</v>
      </c>
      <c r="CI14" s="33">
        <v>65</v>
      </c>
      <c r="CJ14" s="33">
        <v>10</v>
      </c>
      <c r="CK14" s="2160">
        <v>7</v>
      </c>
      <c r="CL14" s="2160">
        <v>7</v>
      </c>
      <c r="CM14" s="2160">
        <v>0</v>
      </c>
      <c r="CN14" s="2160">
        <v>0</v>
      </c>
      <c r="CO14" s="2160">
        <v>30</v>
      </c>
      <c r="CP14" s="1914">
        <v>9.1999999999999998E-2</v>
      </c>
      <c r="CS14" s="1912"/>
      <c r="CT14" s="1913"/>
    </row>
    <row r="15" spans="1:99" ht="32.25" customHeight="1">
      <c r="A15" s="1750">
        <v>8</v>
      </c>
      <c r="B15" s="2169">
        <v>0</v>
      </c>
      <c r="C15" s="2172" t="s">
        <v>31</v>
      </c>
      <c r="D15" s="1946">
        <f t="shared" si="0"/>
        <v>0</v>
      </c>
      <c r="E15" s="1947">
        <f t="shared" si="1"/>
        <v>0</v>
      </c>
      <c r="F15" s="1941">
        <v>0</v>
      </c>
      <c r="G15" s="1949">
        <f t="shared" si="15"/>
        <v>0</v>
      </c>
      <c r="H15" s="1949">
        <f t="shared" si="16"/>
        <v>0</v>
      </c>
      <c r="I15" s="1949">
        <f t="shared" si="2"/>
        <v>0</v>
      </c>
      <c r="J15" s="1949">
        <f t="shared" si="3"/>
        <v>0</v>
      </c>
      <c r="K15" s="1949">
        <f t="shared" si="4"/>
        <v>0</v>
      </c>
      <c r="L15" s="1928">
        <f t="shared" si="17"/>
        <v>0</v>
      </c>
      <c r="M15" s="1943"/>
      <c r="N15" s="761" t="s">
        <v>503</v>
      </c>
      <c r="O15" s="1905">
        <f t="shared" si="5"/>
        <v>0</v>
      </c>
      <c r="P15" s="761" t="s">
        <v>25</v>
      </c>
      <c r="Q15" s="1905">
        <f t="shared" si="6"/>
        <v>0</v>
      </c>
      <c r="R15" s="1906">
        <f t="shared" si="7"/>
        <v>0</v>
      </c>
      <c r="S15" s="1957">
        <v>0</v>
      </c>
      <c r="T15" s="1907" t="s">
        <v>160</v>
      </c>
      <c r="U15" s="1752">
        <f t="shared" si="8"/>
        <v>0</v>
      </c>
      <c r="V15" s="1961">
        <v>0</v>
      </c>
      <c r="W15" s="1954" t="s">
        <v>1314</v>
      </c>
      <c r="X15" s="1931">
        <f t="shared" si="9"/>
        <v>0</v>
      </c>
      <c r="Y15" s="1954" t="s">
        <v>1314</v>
      </c>
      <c r="Z15" s="1965">
        <f t="shared" si="18"/>
        <v>0</v>
      </c>
      <c r="AA15" s="1966">
        <f t="shared" si="19"/>
        <v>0</v>
      </c>
      <c r="AB15" s="1951">
        <f t="shared" si="20"/>
        <v>0</v>
      </c>
      <c r="AC15" s="2097">
        <f t="shared" si="10"/>
        <v>0</v>
      </c>
      <c r="AD15" s="1951">
        <f t="shared" si="21"/>
        <v>0</v>
      </c>
      <c r="AE15" s="1878"/>
      <c r="AF15" s="1281">
        <f t="shared" si="12"/>
        <v>8</v>
      </c>
      <c r="AG15" s="1281" t="str">
        <f t="shared" si="13"/>
        <v>keine</v>
      </c>
      <c r="AH15" s="1329"/>
      <c r="AI15" s="1330" t="s">
        <v>795</v>
      </c>
      <c r="AJ15" s="1424">
        <v>0</v>
      </c>
      <c r="AK15" s="1033">
        <f>VLOOKUP(AI15,Düngemittel!$B$6:$E$64,2,FALSE)*(VLOOKUP(AI15,Düngemittel!$B$6:$E$64,3,FALSE))/100*AJ15</f>
        <v>0</v>
      </c>
      <c r="AL15" s="1033">
        <f>VLOOKUP(AI15,Düngemittel!$B$6:$E$64,2,FALSE)*AJ15</f>
        <v>0</v>
      </c>
      <c r="AM15" s="1033">
        <f>VLOOKUP(AI15,Düngemittel!$B$6:$E$64,4,FALSE)*AJ15</f>
        <v>0</v>
      </c>
      <c r="AN15" s="2089"/>
      <c r="AO15" s="1329"/>
      <c r="AP15" s="1330" t="s">
        <v>795</v>
      </c>
      <c r="AQ15" s="1424">
        <v>0</v>
      </c>
      <c r="AR15" s="1033">
        <f>VLOOKUP(AP15,Düngemittel!$B$6:$E$64,2,FALSE)*(VLOOKUP(AP15,Düngemittel!$B$6:$E$64,3,FALSE))/100*AQ15</f>
        <v>0</v>
      </c>
      <c r="AS15" s="1033">
        <f>VLOOKUP(AP15,Düngemittel!$B$6:$E$64,2,FALSE)*AQ15</f>
        <v>0</v>
      </c>
      <c r="AT15" s="1033">
        <f>VLOOKUP(AP15,Düngemittel!$B$6:$E$64,4,FALSE)*AQ15</f>
        <v>0</v>
      </c>
      <c r="AU15" s="2089"/>
      <c r="AV15" s="1329"/>
      <c r="AW15" s="1330" t="s">
        <v>795</v>
      </c>
      <c r="AX15" s="1424">
        <v>0</v>
      </c>
      <c r="AY15" s="1033">
        <f>VLOOKUP(AW15,Düngemittel!$B$6:$E$64,2,FALSE)*(VLOOKUP(AW15,Düngemittel!$B$6:$E$64,3,FALSE))/100*AX15</f>
        <v>0</v>
      </c>
      <c r="AZ15" s="1033">
        <f>VLOOKUP(AW15,Düngemittel!$B$6:$E$64,2,FALSE)*AX15</f>
        <v>0</v>
      </c>
      <c r="BA15" s="1033">
        <f>VLOOKUP(AW15,Düngemittel!$B$6:$E$64,4,FALSE)*AX15</f>
        <v>0</v>
      </c>
      <c r="BB15" s="2089"/>
      <c r="BC15" s="1329"/>
      <c r="BD15" s="1330" t="s">
        <v>795</v>
      </c>
      <c r="BE15" s="1424">
        <v>0</v>
      </c>
      <c r="BF15" s="1033">
        <f>VLOOKUP(BD15,Düngemittel!$B$6:$E$64,2,FALSE)*(VLOOKUP(BD15,Düngemittel!$B$6:$E$64,3,FALSE))/100*BE15</f>
        <v>0</v>
      </c>
      <c r="BG15" s="1033">
        <f>VLOOKUP(BD15,Düngemittel!$B$6:$E$64,2,FALSE)*BE15</f>
        <v>0</v>
      </c>
      <c r="BH15" s="1033">
        <f>VLOOKUP(BD15,Düngemittel!$B$6:$E$64,4,FALSE)*BE15</f>
        <v>0</v>
      </c>
      <c r="BI15" s="2089"/>
      <c r="BJ15" s="1329"/>
      <c r="BK15" s="1330" t="s">
        <v>795</v>
      </c>
      <c r="BL15" s="1424">
        <v>0</v>
      </c>
      <c r="BM15" s="1033">
        <f>VLOOKUP(BK15,Düngemittel!$B$6:$E$64,2,FALSE)*(VLOOKUP(BK15,Düngemittel!$B$6:$E$64,3,FALSE))/100*BL15</f>
        <v>0</v>
      </c>
      <c r="BN15" s="1033">
        <f>VLOOKUP(BK15,Düngemittel!$B$6:$E$64,2,FALSE)*BL15</f>
        <v>0</v>
      </c>
      <c r="BO15" s="1033">
        <f>VLOOKUP(BK15,Düngemittel!$B$6:$E$64,4,FALSE)*BL15</f>
        <v>0</v>
      </c>
      <c r="BP15" s="1878"/>
      <c r="BQ15" s="1812">
        <f t="shared" si="22"/>
        <v>0</v>
      </c>
      <c r="BR15" s="1889">
        <f t="shared" si="23"/>
        <v>0</v>
      </c>
      <c r="BS15" s="1812">
        <f t="shared" si="23"/>
        <v>0</v>
      </c>
      <c r="BT15" s="1138">
        <f t="shared" si="24"/>
        <v>0</v>
      </c>
      <c r="BU15" s="1889">
        <f t="shared" si="25"/>
        <v>0</v>
      </c>
      <c r="BV15" s="95"/>
      <c r="BW15" s="1810">
        <f t="shared" si="26"/>
        <v>0</v>
      </c>
      <c r="BX15" s="1135">
        <f t="shared" si="14"/>
        <v>0</v>
      </c>
      <c r="BY15" s="1810">
        <f t="shared" si="14"/>
        <v>0</v>
      </c>
      <c r="BZ15" s="1807">
        <f t="shared" si="14"/>
        <v>0</v>
      </c>
      <c r="CA15" s="1135">
        <f t="shared" si="14"/>
        <v>0</v>
      </c>
      <c r="CB15" s="1878"/>
      <c r="CD15">
        <v>0</v>
      </c>
      <c r="CE15">
        <v>0</v>
      </c>
      <c r="CG15" s="2141" t="s">
        <v>1344</v>
      </c>
      <c r="CH15" s="33">
        <v>120</v>
      </c>
      <c r="CI15" s="33">
        <v>110</v>
      </c>
      <c r="CJ15" s="33">
        <v>20</v>
      </c>
      <c r="CK15" s="323">
        <v>20</v>
      </c>
      <c r="CL15" s="323">
        <v>20</v>
      </c>
      <c r="CM15" s="323">
        <f t="shared" ref="CM15:CM24" si="27">CL15*2/3</f>
        <v>13.333333333333334</v>
      </c>
      <c r="CN15" s="323">
        <v>45</v>
      </c>
      <c r="CO15" s="323">
        <v>60</v>
      </c>
      <c r="CP15" s="1001">
        <v>9.1999999999999998E-2</v>
      </c>
      <c r="CS15" s="1912"/>
      <c r="CT15" s="1913"/>
    </row>
    <row r="16" spans="1:99" ht="32.25" customHeight="1">
      <c r="A16" s="1750">
        <v>9</v>
      </c>
      <c r="B16" s="2169">
        <v>0</v>
      </c>
      <c r="C16" s="2172" t="s">
        <v>31</v>
      </c>
      <c r="D16" s="1946">
        <f t="shared" si="0"/>
        <v>0</v>
      </c>
      <c r="E16" s="1947">
        <f t="shared" si="1"/>
        <v>0</v>
      </c>
      <c r="F16" s="1941">
        <v>0</v>
      </c>
      <c r="G16" s="1949">
        <f t="shared" si="15"/>
        <v>0</v>
      </c>
      <c r="H16" s="1949">
        <f t="shared" si="16"/>
        <v>0</v>
      </c>
      <c r="I16" s="1949">
        <f t="shared" si="2"/>
        <v>0</v>
      </c>
      <c r="J16" s="1949">
        <f t="shared" si="3"/>
        <v>0</v>
      </c>
      <c r="K16" s="1949">
        <f t="shared" si="4"/>
        <v>0</v>
      </c>
      <c r="L16" s="1928">
        <f t="shared" si="17"/>
        <v>0</v>
      </c>
      <c r="M16" s="1943"/>
      <c r="N16" s="761" t="s">
        <v>503</v>
      </c>
      <c r="O16" s="1905">
        <f t="shared" si="5"/>
        <v>0</v>
      </c>
      <c r="P16" s="761" t="s">
        <v>25</v>
      </c>
      <c r="Q16" s="1905">
        <f t="shared" si="6"/>
        <v>0</v>
      </c>
      <c r="R16" s="1906">
        <f t="shared" si="7"/>
        <v>0</v>
      </c>
      <c r="S16" s="1957">
        <v>0</v>
      </c>
      <c r="T16" s="1907" t="s">
        <v>160</v>
      </c>
      <c r="U16" s="1752">
        <f t="shared" si="8"/>
        <v>0</v>
      </c>
      <c r="V16" s="1961">
        <v>0</v>
      </c>
      <c r="W16" s="1954" t="s">
        <v>1314</v>
      </c>
      <c r="X16" s="1931">
        <f t="shared" si="9"/>
        <v>0</v>
      </c>
      <c r="Y16" s="1954" t="s">
        <v>1314</v>
      </c>
      <c r="Z16" s="1965">
        <f t="shared" si="18"/>
        <v>0</v>
      </c>
      <c r="AA16" s="1966">
        <f t="shared" si="19"/>
        <v>0</v>
      </c>
      <c r="AB16" s="1951">
        <f t="shared" si="20"/>
        <v>0</v>
      </c>
      <c r="AC16" s="2097">
        <f t="shared" si="10"/>
        <v>0</v>
      </c>
      <c r="AD16" s="1951">
        <f t="shared" si="21"/>
        <v>0</v>
      </c>
      <c r="AE16" s="1878"/>
      <c r="AF16" s="1281">
        <f t="shared" si="12"/>
        <v>9</v>
      </c>
      <c r="AG16" s="1281" t="str">
        <f t="shared" si="13"/>
        <v>keine</v>
      </c>
      <c r="AH16" s="1329"/>
      <c r="AI16" s="1330" t="s">
        <v>795</v>
      </c>
      <c r="AJ16" s="1424">
        <v>0</v>
      </c>
      <c r="AK16" s="1033">
        <f>VLOOKUP(AI16,Düngemittel!$B$6:$E$64,2,FALSE)*(VLOOKUP(AI16,Düngemittel!$B$6:$E$64,3,FALSE))/100*AJ16</f>
        <v>0</v>
      </c>
      <c r="AL16" s="1033">
        <f>VLOOKUP(AI16,Düngemittel!$B$6:$E$64,2,FALSE)*AJ16</f>
        <v>0</v>
      </c>
      <c r="AM16" s="1033">
        <f>VLOOKUP(AI16,Düngemittel!$B$6:$E$64,4,FALSE)*AJ16</f>
        <v>0</v>
      </c>
      <c r="AN16" s="2089"/>
      <c r="AO16" s="1329"/>
      <c r="AP16" s="1330" t="s">
        <v>795</v>
      </c>
      <c r="AQ16" s="1424">
        <v>0</v>
      </c>
      <c r="AR16" s="1033">
        <f>VLOOKUP(AP16,Düngemittel!$B$6:$E$64,2,FALSE)*(VLOOKUP(AP16,Düngemittel!$B$6:$E$64,3,FALSE))/100*AQ16</f>
        <v>0</v>
      </c>
      <c r="AS16" s="1033">
        <f>VLOOKUP(AP16,Düngemittel!$B$6:$E$64,2,FALSE)*AQ16</f>
        <v>0</v>
      </c>
      <c r="AT16" s="1033">
        <f>VLOOKUP(AP16,Düngemittel!$B$6:$E$64,4,FALSE)*AQ16</f>
        <v>0</v>
      </c>
      <c r="AU16" s="2089"/>
      <c r="AV16" s="1329"/>
      <c r="AW16" s="1330" t="s">
        <v>795</v>
      </c>
      <c r="AX16" s="1424">
        <v>0</v>
      </c>
      <c r="AY16" s="1033">
        <f>VLOOKUP(AW16,Düngemittel!$B$6:$E$64,2,FALSE)*(VLOOKUP(AW16,Düngemittel!$B$6:$E$64,3,FALSE))/100*AX16</f>
        <v>0</v>
      </c>
      <c r="AZ16" s="1033">
        <f>VLOOKUP(AW16,Düngemittel!$B$6:$E$64,2,FALSE)*AX16</f>
        <v>0</v>
      </c>
      <c r="BA16" s="1033">
        <f>VLOOKUP(AW16,Düngemittel!$B$6:$E$64,4,FALSE)*AX16</f>
        <v>0</v>
      </c>
      <c r="BB16" s="2089"/>
      <c r="BC16" s="1329"/>
      <c r="BD16" s="1330" t="s">
        <v>795</v>
      </c>
      <c r="BE16" s="1424">
        <v>0</v>
      </c>
      <c r="BF16" s="1033">
        <f>VLOOKUP(BD16,Düngemittel!$B$6:$E$64,2,FALSE)*(VLOOKUP(BD16,Düngemittel!$B$6:$E$64,3,FALSE))/100*BE16</f>
        <v>0</v>
      </c>
      <c r="BG16" s="1033">
        <f>VLOOKUP(BD16,Düngemittel!$B$6:$E$64,2,FALSE)*BE16</f>
        <v>0</v>
      </c>
      <c r="BH16" s="1033">
        <f>VLOOKUP(BD16,Düngemittel!$B$6:$E$64,4,FALSE)*BE16</f>
        <v>0</v>
      </c>
      <c r="BI16" s="2089"/>
      <c r="BJ16" s="1329"/>
      <c r="BK16" s="1330" t="s">
        <v>795</v>
      </c>
      <c r="BL16" s="1424">
        <v>0</v>
      </c>
      <c r="BM16" s="1033">
        <f>VLOOKUP(BK16,Düngemittel!$B$6:$E$64,2,FALSE)*(VLOOKUP(BK16,Düngemittel!$B$6:$E$64,3,FALSE))/100*BL16</f>
        <v>0</v>
      </c>
      <c r="BN16" s="1033">
        <f>VLOOKUP(BK16,Düngemittel!$B$6:$E$64,2,FALSE)*BL16</f>
        <v>0</v>
      </c>
      <c r="BO16" s="1033">
        <f>VLOOKUP(BK16,Düngemittel!$B$6:$E$64,4,FALSE)*BL16</f>
        <v>0</v>
      </c>
      <c r="BP16" s="1878"/>
      <c r="BQ16" s="1812">
        <f t="shared" si="22"/>
        <v>0</v>
      </c>
      <c r="BR16" s="1889">
        <f t="shared" si="23"/>
        <v>0</v>
      </c>
      <c r="BS16" s="1812">
        <f t="shared" si="23"/>
        <v>0</v>
      </c>
      <c r="BT16" s="1138">
        <f t="shared" si="24"/>
        <v>0</v>
      </c>
      <c r="BU16" s="1889">
        <f t="shared" si="25"/>
        <v>0</v>
      </c>
      <c r="BV16" s="95"/>
      <c r="BW16" s="1810">
        <f t="shared" si="26"/>
        <v>0</v>
      </c>
      <c r="BX16" s="1135">
        <f t="shared" si="14"/>
        <v>0</v>
      </c>
      <c r="BY16" s="1810">
        <f t="shared" si="14"/>
        <v>0</v>
      </c>
      <c r="BZ16" s="1807">
        <f t="shared" si="14"/>
        <v>0</v>
      </c>
      <c r="CA16" s="1135">
        <f t="shared" si="14"/>
        <v>0</v>
      </c>
      <c r="CB16" s="1878"/>
      <c r="CD16">
        <v>0</v>
      </c>
      <c r="CE16">
        <v>0</v>
      </c>
      <c r="CG16" s="2141" t="s">
        <v>1345</v>
      </c>
      <c r="CH16" s="33">
        <v>450</v>
      </c>
      <c r="CI16" s="33">
        <v>135</v>
      </c>
      <c r="CJ16" s="33">
        <v>20</v>
      </c>
      <c r="CK16" s="323">
        <v>20</v>
      </c>
      <c r="CL16" s="323">
        <v>20</v>
      </c>
      <c r="CM16" s="323">
        <f t="shared" si="27"/>
        <v>13.333333333333334</v>
      </c>
      <c r="CN16" s="323">
        <v>40</v>
      </c>
      <c r="CO16" s="323">
        <v>90</v>
      </c>
      <c r="CP16" s="1001">
        <v>0.121</v>
      </c>
      <c r="CS16" s="1912"/>
      <c r="CT16" s="1913"/>
    </row>
    <row r="17" spans="1:98" ht="32.25" customHeight="1">
      <c r="A17" s="1750">
        <v>10</v>
      </c>
      <c r="B17" s="2169">
        <v>0</v>
      </c>
      <c r="C17" s="2172" t="s">
        <v>31</v>
      </c>
      <c r="D17" s="1946">
        <f t="shared" si="0"/>
        <v>0</v>
      </c>
      <c r="E17" s="1947">
        <f t="shared" si="1"/>
        <v>0</v>
      </c>
      <c r="F17" s="1941">
        <v>0</v>
      </c>
      <c r="G17" s="1949">
        <f t="shared" si="15"/>
        <v>0</v>
      </c>
      <c r="H17" s="1949">
        <f t="shared" si="16"/>
        <v>0</v>
      </c>
      <c r="I17" s="1949">
        <f t="shared" si="2"/>
        <v>0</v>
      </c>
      <c r="J17" s="1949">
        <f t="shared" si="3"/>
        <v>0</v>
      </c>
      <c r="K17" s="1949">
        <f t="shared" si="4"/>
        <v>0</v>
      </c>
      <c r="L17" s="1928">
        <f t="shared" si="17"/>
        <v>0</v>
      </c>
      <c r="M17" s="1943"/>
      <c r="N17" s="761" t="s">
        <v>503</v>
      </c>
      <c r="O17" s="1905">
        <f t="shared" si="5"/>
        <v>0</v>
      </c>
      <c r="P17" s="761" t="s">
        <v>25</v>
      </c>
      <c r="Q17" s="1905">
        <f t="shared" si="6"/>
        <v>0</v>
      </c>
      <c r="R17" s="1906">
        <f t="shared" si="7"/>
        <v>0</v>
      </c>
      <c r="S17" s="1957">
        <v>0</v>
      </c>
      <c r="T17" s="1907" t="s">
        <v>160</v>
      </c>
      <c r="U17" s="1752">
        <f t="shared" si="8"/>
        <v>0</v>
      </c>
      <c r="V17" s="1961">
        <v>0</v>
      </c>
      <c r="W17" s="1954" t="s">
        <v>1314</v>
      </c>
      <c r="X17" s="1931">
        <f t="shared" si="9"/>
        <v>0</v>
      </c>
      <c r="Y17" s="1954" t="s">
        <v>1314</v>
      </c>
      <c r="Z17" s="1965">
        <f t="shared" si="18"/>
        <v>0</v>
      </c>
      <c r="AA17" s="1966">
        <f t="shared" si="19"/>
        <v>0</v>
      </c>
      <c r="AB17" s="1951">
        <f t="shared" si="20"/>
        <v>0</v>
      </c>
      <c r="AC17" s="2097">
        <f t="shared" si="10"/>
        <v>0</v>
      </c>
      <c r="AD17" s="1951">
        <f t="shared" si="21"/>
        <v>0</v>
      </c>
      <c r="AE17" s="1878"/>
      <c r="AF17" s="1281">
        <f t="shared" si="12"/>
        <v>10</v>
      </c>
      <c r="AG17" s="1281" t="str">
        <f t="shared" si="13"/>
        <v>keine</v>
      </c>
      <c r="AH17" s="1329"/>
      <c r="AI17" s="1330" t="s">
        <v>795</v>
      </c>
      <c r="AJ17" s="1424">
        <v>0</v>
      </c>
      <c r="AK17" s="1033">
        <f>VLOOKUP(AI17,Düngemittel!$B$6:$E$64,2,FALSE)*(VLOOKUP(AI17,Düngemittel!$B$6:$E$64,3,FALSE))/100*AJ17</f>
        <v>0</v>
      </c>
      <c r="AL17" s="1033">
        <f>VLOOKUP(AI17,Düngemittel!$B$6:$E$64,2,FALSE)*AJ17</f>
        <v>0</v>
      </c>
      <c r="AM17" s="1033">
        <f>VLOOKUP(AI17,Düngemittel!$B$6:$E$64,4,FALSE)*AJ17</f>
        <v>0</v>
      </c>
      <c r="AN17" s="2089"/>
      <c r="AO17" s="1329"/>
      <c r="AP17" s="1330" t="s">
        <v>795</v>
      </c>
      <c r="AQ17" s="1424">
        <v>0</v>
      </c>
      <c r="AR17" s="1033">
        <f>VLOOKUP(AP17,Düngemittel!$B$6:$E$64,2,FALSE)*(VLOOKUP(AP17,Düngemittel!$B$6:$E$64,3,FALSE))/100*AQ17</f>
        <v>0</v>
      </c>
      <c r="AS17" s="1033">
        <f>VLOOKUP(AP17,Düngemittel!$B$6:$E$64,2,FALSE)*AQ17</f>
        <v>0</v>
      </c>
      <c r="AT17" s="1033">
        <f>VLOOKUP(AP17,Düngemittel!$B$6:$E$64,4,FALSE)*AQ17</f>
        <v>0</v>
      </c>
      <c r="AU17" s="2089"/>
      <c r="AV17" s="1329"/>
      <c r="AW17" s="1330" t="s">
        <v>795</v>
      </c>
      <c r="AX17" s="1424">
        <v>0</v>
      </c>
      <c r="AY17" s="1033">
        <f>VLOOKUP(AW17,Düngemittel!$B$6:$E$64,2,FALSE)*(VLOOKUP(AW17,Düngemittel!$B$6:$E$64,3,FALSE))/100*AX17</f>
        <v>0</v>
      </c>
      <c r="AZ17" s="1033">
        <f>VLOOKUP(AW17,Düngemittel!$B$6:$E$64,2,FALSE)*AX17</f>
        <v>0</v>
      </c>
      <c r="BA17" s="1033">
        <f>VLOOKUP(AW17,Düngemittel!$B$6:$E$64,4,FALSE)*AX17</f>
        <v>0</v>
      </c>
      <c r="BB17" s="2089"/>
      <c r="BC17" s="1329"/>
      <c r="BD17" s="1330" t="s">
        <v>795</v>
      </c>
      <c r="BE17" s="1424">
        <v>0</v>
      </c>
      <c r="BF17" s="1033">
        <f>VLOOKUP(BD17,Düngemittel!$B$6:$E$64,2,FALSE)*(VLOOKUP(BD17,Düngemittel!$B$6:$E$64,3,FALSE))/100*BE17</f>
        <v>0</v>
      </c>
      <c r="BG17" s="1033">
        <f>VLOOKUP(BD17,Düngemittel!$B$6:$E$64,2,FALSE)*BE17</f>
        <v>0</v>
      </c>
      <c r="BH17" s="1033">
        <f>VLOOKUP(BD17,Düngemittel!$B$6:$E$64,4,FALSE)*BE17</f>
        <v>0</v>
      </c>
      <c r="BI17" s="2089"/>
      <c r="BJ17" s="1329"/>
      <c r="BK17" s="1330" t="s">
        <v>795</v>
      </c>
      <c r="BL17" s="1424">
        <v>0</v>
      </c>
      <c r="BM17" s="1033">
        <f>VLOOKUP(BK17,Düngemittel!$B$6:$E$64,2,FALSE)*(VLOOKUP(BK17,Düngemittel!$B$6:$E$64,3,FALSE))/100*BL17</f>
        <v>0</v>
      </c>
      <c r="BN17" s="1033">
        <f>VLOOKUP(BK17,Düngemittel!$B$6:$E$64,2,FALSE)*BL17</f>
        <v>0</v>
      </c>
      <c r="BO17" s="1033">
        <f>VLOOKUP(BK17,Düngemittel!$B$6:$E$64,4,FALSE)*BL17</f>
        <v>0</v>
      </c>
      <c r="BP17" s="1878"/>
      <c r="BQ17" s="1812">
        <f t="shared" si="22"/>
        <v>0</v>
      </c>
      <c r="BR17" s="1889">
        <f t="shared" si="23"/>
        <v>0</v>
      </c>
      <c r="BS17" s="1812">
        <f t="shared" si="23"/>
        <v>0</v>
      </c>
      <c r="BT17" s="1138">
        <f t="shared" si="24"/>
        <v>0</v>
      </c>
      <c r="BU17" s="1889">
        <f t="shared" si="25"/>
        <v>0</v>
      </c>
      <c r="BV17" s="95"/>
      <c r="BW17" s="1810">
        <f t="shared" si="26"/>
        <v>0</v>
      </c>
      <c r="BX17" s="1135">
        <f t="shared" si="14"/>
        <v>0</v>
      </c>
      <c r="BY17" s="1810">
        <f t="shared" si="14"/>
        <v>0</v>
      </c>
      <c r="BZ17" s="1807">
        <f t="shared" si="14"/>
        <v>0</v>
      </c>
      <c r="CA17" s="1135">
        <f t="shared" si="14"/>
        <v>0</v>
      </c>
      <c r="CB17" s="1878"/>
      <c r="CD17">
        <v>0</v>
      </c>
      <c r="CE17">
        <v>0</v>
      </c>
      <c r="CG17" s="2141" t="s">
        <v>1277</v>
      </c>
      <c r="CH17" s="33">
        <v>700</v>
      </c>
      <c r="CI17" s="33">
        <v>210</v>
      </c>
      <c r="CJ17" s="33">
        <v>20</v>
      </c>
      <c r="CK17" s="323">
        <v>20</v>
      </c>
      <c r="CL17" s="323">
        <v>20</v>
      </c>
      <c r="CM17" s="323">
        <f t="shared" si="27"/>
        <v>13.333333333333334</v>
      </c>
      <c r="CN17" s="323">
        <v>45</v>
      </c>
      <c r="CO17" s="323">
        <v>60</v>
      </c>
      <c r="CP17" s="1001">
        <v>9.1999999999999998E-2</v>
      </c>
      <c r="CS17" s="1910"/>
      <c r="CT17" s="1911"/>
    </row>
    <row r="18" spans="1:98" ht="32.25" customHeight="1">
      <c r="A18" s="1750">
        <v>11</v>
      </c>
      <c r="B18" s="2169">
        <v>0</v>
      </c>
      <c r="C18" s="2172" t="s">
        <v>31</v>
      </c>
      <c r="D18" s="1946">
        <f t="shared" si="0"/>
        <v>0</v>
      </c>
      <c r="E18" s="1947">
        <f t="shared" si="1"/>
        <v>0</v>
      </c>
      <c r="F18" s="1941">
        <v>0</v>
      </c>
      <c r="G18" s="1949">
        <f t="shared" si="15"/>
        <v>0</v>
      </c>
      <c r="H18" s="1949">
        <f t="shared" si="16"/>
        <v>0</v>
      </c>
      <c r="I18" s="1949">
        <f t="shared" si="2"/>
        <v>0</v>
      </c>
      <c r="J18" s="1949">
        <f t="shared" si="3"/>
        <v>0</v>
      </c>
      <c r="K18" s="1949">
        <f t="shared" si="4"/>
        <v>0</v>
      </c>
      <c r="L18" s="1928">
        <f t="shared" si="17"/>
        <v>0</v>
      </c>
      <c r="M18" s="1943"/>
      <c r="N18" s="761" t="s">
        <v>503</v>
      </c>
      <c r="O18" s="1905">
        <f t="shared" si="5"/>
        <v>0</v>
      </c>
      <c r="P18" s="761" t="s">
        <v>25</v>
      </c>
      <c r="Q18" s="1905">
        <f t="shared" si="6"/>
        <v>0</v>
      </c>
      <c r="R18" s="1906">
        <f t="shared" si="7"/>
        <v>0</v>
      </c>
      <c r="S18" s="1957">
        <v>0</v>
      </c>
      <c r="T18" s="1907" t="s">
        <v>160</v>
      </c>
      <c r="U18" s="1752">
        <f t="shared" si="8"/>
        <v>0</v>
      </c>
      <c r="V18" s="1961">
        <v>0</v>
      </c>
      <c r="W18" s="1954" t="s">
        <v>1314</v>
      </c>
      <c r="X18" s="1931">
        <f t="shared" si="9"/>
        <v>0</v>
      </c>
      <c r="Y18" s="1954" t="s">
        <v>1314</v>
      </c>
      <c r="Z18" s="1965">
        <f t="shared" si="18"/>
        <v>0</v>
      </c>
      <c r="AA18" s="1966">
        <f t="shared" si="19"/>
        <v>0</v>
      </c>
      <c r="AB18" s="1951">
        <f t="shared" si="20"/>
        <v>0</v>
      </c>
      <c r="AC18" s="2097">
        <f t="shared" si="10"/>
        <v>0</v>
      </c>
      <c r="AD18" s="1951">
        <f t="shared" si="21"/>
        <v>0</v>
      </c>
      <c r="AE18" s="1878"/>
      <c r="AF18" s="1281">
        <f t="shared" si="12"/>
        <v>11</v>
      </c>
      <c r="AG18" s="1281" t="str">
        <f t="shared" si="13"/>
        <v>keine</v>
      </c>
      <c r="AH18" s="1329"/>
      <c r="AI18" s="1330" t="s">
        <v>795</v>
      </c>
      <c r="AJ18" s="1424">
        <v>0</v>
      </c>
      <c r="AK18" s="1033">
        <f>VLOOKUP(AI18,Düngemittel!$B$6:$E$64,2,FALSE)*(VLOOKUP(AI18,Düngemittel!$B$6:$E$64,3,FALSE))/100*AJ18</f>
        <v>0</v>
      </c>
      <c r="AL18" s="1033">
        <f>VLOOKUP(AI18,Düngemittel!$B$6:$E$64,2,FALSE)*AJ18</f>
        <v>0</v>
      </c>
      <c r="AM18" s="1033">
        <f>VLOOKUP(AI18,Düngemittel!$B$6:$E$64,4,FALSE)*AJ18</f>
        <v>0</v>
      </c>
      <c r="AN18" s="2089"/>
      <c r="AO18" s="1329"/>
      <c r="AP18" s="1330" t="s">
        <v>795</v>
      </c>
      <c r="AQ18" s="1424">
        <v>0</v>
      </c>
      <c r="AR18" s="1033">
        <f>VLOOKUP(AP18,Düngemittel!$B$6:$E$64,2,FALSE)*(VLOOKUP(AP18,Düngemittel!$B$6:$E$64,3,FALSE))/100*AQ18</f>
        <v>0</v>
      </c>
      <c r="AS18" s="1033">
        <f>VLOOKUP(AP18,Düngemittel!$B$6:$E$64,2,FALSE)*AQ18</f>
        <v>0</v>
      </c>
      <c r="AT18" s="1033">
        <f>VLOOKUP(AP18,Düngemittel!$B$6:$E$64,4,FALSE)*AQ18</f>
        <v>0</v>
      </c>
      <c r="AU18" s="2089"/>
      <c r="AV18" s="1329"/>
      <c r="AW18" s="1330" t="s">
        <v>795</v>
      </c>
      <c r="AX18" s="1424">
        <v>0</v>
      </c>
      <c r="AY18" s="1033">
        <f>VLOOKUP(AW18,Düngemittel!$B$6:$E$64,2,FALSE)*(VLOOKUP(AW18,Düngemittel!$B$6:$E$64,3,FALSE))/100*AX18</f>
        <v>0</v>
      </c>
      <c r="AZ18" s="1033">
        <f>VLOOKUP(AW18,Düngemittel!$B$6:$E$64,2,FALSE)*AX18</f>
        <v>0</v>
      </c>
      <c r="BA18" s="1033">
        <f>VLOOKUP(AW18,Düngemittel!$B$6:$E$64,4,FALSE)*AX18</f>
        <v>0</v>
      </c>
      <c r="BB18" s="2089"/>
      <c r="BC18" s="1329"/>
      <c r="BD18" s="1330" t="s">
        <v>795</v>
      </c>
      <c r="BE18" s="1424">
        <v>0</v>
      </c>
      <c r="BF18" s="1033">
        <f>VLOOKUP(BD18,Düngemittel!$B$6:$E$64,2,FALSE)*(VLOOKUP(BD18,Düngemittel!$B$6:$E$64,3,FALSE))/100*BE18</f>
        <v>0</v>
      </c>
      <c r="BG18" s="1033">
        <f>VLOOKUP(BD18,Düngemittel!$B$6:$E$64,2,FALSE)*BE18</f>
        <v>0</v>
      </c>
      <c r="BH18" s="1033">
        <f>VLOOKUP(BD18,Düngemittel!$B$6:$E$64,4,FALSE)*BE18</f>
        <v>0</v>
      </c>
      <c r="BI18" s="2089"/>
      <c r="BJ18" s="1329"/>
      <c r="BK18" s="1330" t="s">
        <v>795</v>
      </c>
      <c r="BL18" s="1424">
        <v>0</v>
      </c>
      <c r="BM18" s="1033">
        <f>VLOOKUP(BK18,Düngemittel!$B$6:$E$64,2,FALSE)*(VLOOKUP(BK18,Düngemittel!$B$6:$E$64,3,FALSE))/100*BL18</f>
        <v>0</v>
      </c>
      <c r="BN18" s="1033">
        <f>VLOOKUP(BK18,Düngemittel!$B$6:$E$64,2,FALSE)*BL18</f>
        <v>0</v>
      </c>
      <c r="BO18" s="1033">
        <f>VLOOKUP(BK18,Düngemittel!$B$6:$E$64,4,FALSE)*BL18</f>
        <v>0</v>
      </c>
      <c r="BP18" s="1878"/>
      <c r="BQ18" s="1812">
        <f t="shared" si="22"/>
        <v>0</v>
      </c>
      <c r="BR18" s="1889">
        <f t="shared" si="23"/>
        <v>0</v>
      </c>
      <c r="BS18" s="1812">
        <f t="shared" si="23"/>
        <v>0</v>
      </c>
      <c r="BT18" s="1138">
        <f t="shared" si="24"/>
        <v>0</v>
      </c>
      <c r="BU18" s="1889">
        <f t="shared" si="25"/>
        <v>0</v>
      </c>
      <c r="BV18" s="95"/>
      <c r="BW18" s="1810">
        <f t="shared" si="26"/>
        <v>0</v>
      </c>
      <c r="BX18" s="1135">
        <f t="shared" si="14"/>
        <v>0</v>
      </c>
      <c r="BY18" s="1810">
        <f t="shared" si="14"/>
        <v>0</v>
      </c>
      <c r="BZ18" s="1807">
        <f t="shared" si="14"/>
        <v>0</v>
      </c>
      <c r="CA18" s="1135">
        <f t="shared" si="14"/>
        <v>0</v>
      </c>
      <c r="CB18" s="1878"/>
      <c r="CD18">
        <v>0</v>
      </c>
      <c r="CE18">
        <v>0</v>
      </c>
      <c r="CG18" s="2140" t="s">
        <v>1643</v>
      </c>
      <c r="CH18" s="33">
        <v>65</v>
      </c>
      <c r="CI18" s="33">
        <v>60</v>
      </c>
      <c r="CJ18" s="33">
        <v>20</v>
      </c>
      <c r="CK18" s="2156">
        <v>20</v>
      </c>
      <c r="CL18" s="2156">
        <v>20</v>
      </c>
      <c r="CM18" s="323">
        <f t="shared" si="27"/>
        <v>13.333333333333334</v>
      </c>
      <c r="CN18" s="2156">
        <v>45</v>
      </c>
      <c r="CO18" s="323">
        <v>60</v>
      </c>
      <c r="CP18" s="1914">
        <v>0.25</v>
      </c>
      <c r="CS18" s="1912"/>
      <c r="CT18" s="1913"/>
    </row>
    <row r="19" spans="1:98" ht="32.25" customHeight="1">
      <c r="A19" s="1750">
        <v>12</v>
      </c>
      <c r="B19" s="2169">
        <v>0</v>
      </c>
      <c r="C19" s="2172" t="s">
        <v>31</v>
      </c>
      <c r="D19" s="1946">
        <f t="shared" si="0"/>
        <v>0</v>
      </c>
      <c r="E19" s="1947">
        <f t="shared" si="1"/>
        <v>0</v>
      </c>
      <c r="F19" s="1941">
        <v>0</v>
      </c>
      <c r="G19" s="1949">
        <f t="shared" si="15"/>
        <v>0</v>
      </c>
      <c r="H19" s="1949">
        <f t="shared" si="16"/>
        <v>0</v>
      </c>
      <c r="I19" s="1949">
        <f t="shared" si="2"/>
        <v>0</v>
      </c>
      <c r="J19" s="1949">
        <f t="shared" si="3"/>
        <v>0</v>
      </c>
      <c r="K19" s="1949">
        <f t="shared" si="4"/>
        <v>0</v>
      </c>
      <c r="L19" s="1928">
        <f t="shared" si="17"/>
        <v>0</v>
      </c>
      <c r="M19" s="1943"/>
      <c r="N19" s="761" t="s">
        <v>503</v>
      </c>
      <c r="O19" s="1905">
        <f t="shared" si="5"/>
        <v>0</v>
      </c>
      <c r="P19" s="761" t="s">
        <v>25</v>
      </c>
      <c r="Q19" s="1905">
        <f t="shared" si="6"/>
        <v>0</v>
      </c>
      <c r="R19" s="1906">
        <f t="shared" si="7"/>
        <v>0</v>
      </c>
      <c r="S19" s="1957">
        <v>0</v>
      </c>
      <c r="T19" s="1907" t="s">
        <v>160</v>
      </c>
      <c r="U19" s="1752">
        <f t="shared" si="8"/>
        <v>0</v>
      </c>
      <c r="V19" s="1961">
        <v>0</v>
      </c>
      <c r="W19" s="1954" t="s">
        <v>1314</v>
      </c>
      <c r="X19" s="1931">
        <f t="shared" si="9"/>
        <v>0</v>
      </c>
      <c r="Y19" s="1954" t="s">
        <v>1314</v>
      </c>
      <c r="Z19" s="1965">
        <f t="shared" si="18"/>
        <v>0</v>
      </c>
      <c r="AA19" s="1966">
        <f t="shared" si="19"/>
        <v>0</v>
      </c>
      <c r="AB19" s="1951">
        <f t="shared" si="20"/>
        <v>0</v>
      </c>
      <c r="AC19" s="2097">
        <f t="shared" si="10"/>
        <v>0</v>
      </c>
      <c r="AD19" s="1951">
        <f t="shared" si="21"/>
        <v>0</v>
      </c>
      <c r="AE19" s="1878"/>
      <c r="AF19" s="1281">
        <f t="shared" si="12"/>
        <v>12</v>
      </c>
      <c r="AG19" s="1281" t="str">
        <f t="shared" si="13"/>
        <v>keine</v>
      </c>
      <c r="AH19" s="1329"/>
      <c r="AI19" s="1330" t="s">
        <v>795</v>
      </c>
      <c r="AJ19" s="1424">
        <v>0</v>
      </c>
      <c r="AK19" s="1033">
        <f>VLOOKUP(AI19,Düngemittel!$B$6:$E$64,2,FALSE)*(VLOOKUP(AI19,Düngemittel!$B$6:$E$64,3,FALSE))/100*AJ19</f>
        <v>0</v>
      </c>
      <c r="AL19" s="1033">
        <f>VLOOKUP(AI19,Düngemittel!$B$6:$E$64,2,FALSE)*AJ19</f>
        <v>0</v>
      </c>
      <c r="AM19" s="1033">
        <f>VLOOKUP(AI19,Düngemittel!$B$6:$E$64,4,FALSE)*AJ19</f>
        <v>0</v>
      </c>
      <c r="AN19" s="2089"/>
      <c r="AO19" s="1329"/>
      <c r="AP19" s="1330" t="s">
        <v>795</v>
      </c>
      <c r="AQ19" s="1424">
        <v>0</v>
      </c>
      <c r="AR19" s="1033">
        <f>VLOOKUP(AP19,Düngemittel!$B$6:$E$64,2,FALSE)*(VLOOKUP(AP19,Düngemittel!$B$6:$E$64,3,FALSE))/100*AQ19</f>
        <v>0</v>
      </c>
      <c r="AS19" s="1033">
        <f>VLOOKUP(AP19,Düngemittel!$B$6:$E$64,2,FALSE)*AQ19</f>
        <v>0</v>
      </c>
      <c r="AT19" s="1033">
        <f>VLOOKUP(AP19,Düngemittel!$B$6:$E$64,4,FALSE)*AQ19</f>
        <v>0</v>
      </c>
      <c r="AU19" s="2089"/>
      <c r="AV19" s="1329"/>
      <c r="AW19" s="1330" t="s">
        <v>795</v>
      </c>
      <c r="AX19" s="1424">
        <v>0</v>
      </c>
      <c r="AY19" s="1033">
        <f>VLOOKUP(AW19,Düngemittel!$B$6:$E$64,2,FALSE)*(VLOOKUP(AW19,Düngemittel!$B$6:$E$64,3,FALSE))/100*AX19</f>
        <v>0</v>
      </c>
      <c r="AZ19" s="1033">
        <f>VLOOKUP(AW19,Düngemittel!$B$6:$E$64,2,FALSE)*AX19</f>
        <v>0</v>
      </c>
      <c r="BA19" s="1033">
        <f>VLOOKUP(AW19,Düngemittel!$B$6:$E$64,4,FALSE)*AX19</f>
        <v>0</v>
      </c>
      <c r="BB19" s="2089"/>
      <c r="BC19" s="1329"/>
      <c r="BD19" s="1330" t="s">
        <v>795</v>
      </c>
      <c r="BE19" s="1424">
        <v>0</v>
      </c>
      <c r="BF19" s="1033">
        <f>VLOOKUP(BD19,Düngemittel!$B$6:$E$64,2,FALSE)*(VLOOKUP(BD19,Düngemittel!$B$6:$E$64,3,FALSE))/100*BE19</f>
        <v>0</v>
      </c>
      <c r="BG19" s="1033">
        <f>VLOOKUP(BD19,Düngemittel!$B$6:$E$64,2,FALSE)*BE19</f>
        <v>0</v>
      </c>
      <c r="BH19" s="1033">
        <f>VLOOKUP(BD19,Düngemittel!$B$6:$E$64,4,FALSE)*BE19</f>
        <v>0</v>
      </c>
      <c r="BI19" s="2089"/>
      <c r="BJ19" s="1329"/>
      <c r="BK19" s="1330" t="s">
        <v>795</v>
      </c>
      <c r="BL19" s="1424">
        <v>0</v>
      </c>
      <c r="BM19" s="1033">
        <f>VLOOKUP(BK19,Düngemittel!$B$6:$E$64,2,FALSE)*(VLOOKUP(BK19,Düngemittel!$B$6:$E$64,3,FALSE))/100*BL19</f>
        <v>0</v>
      </c>
      <c r="BN19" s="1033">
        <f>VLOOKUP(BK19,Düngemittel!$B$6:$E$64,2,FALSE)*BL19</f>
        <v>0</v>
      </c>
      <c r="BO19" s="1033">
        <f>VLOOKUP(BK19,Düngemittel!$B$6:$E$64,4,FALSE)*BL19</f>
        <v>0</v>
      </c>
      <c r="BP19" s="1878"/>
      <c r="BQ19" s="1812">
        <f t="shared" si="22"/>
        <v>0</v>
      </c>
      <c r="BR19" s="1889">
        <f t="shared" si="23"/>
        <v>0</v>
      </c>
      <c r="BS19" s="1812">
        <f t="shared" si="23"/>
        <v>0</v>
      </c>
      <c r="BT19" s="1138">
        <f t="shared" si="24"/>
        <v>0</v>
      </c>
      <c r="BU19" s="1889">
        <f t="shared" si="25"/>
        <v>0</v>
      </c>
      <c r="BV19" s="95"/>
      <c r="BW19" s="1810">
        <f t="shared" si="26"/>
        <v>0</v>
      </c>
      <c r="BX19" s="1135">
        <f t="shared" si="14"/>
        <v>0</v>
      </c>
      <c r="BY19" s="1810">
        <f t="shared" si="14"/>
        <v>0</v>
      </c>
      <c r="BZ19" s="1807">
        <f t="shared" si="14"/>
        <v>0</v>
      </c>
      <c r="CA19" s="1135">
        <f t="shared" si="14"/>
        <v>0</v>
      </c>
      <c r="CB19" s="1878"/>
      <c r="CD19">
        <v>0</v>
      </c>
      <c r="CE19">
        <v>0</v>
      </c>
      <c r="CG19" s="2141" t="s">
        <v>1346</v>
      </c>
      <c r="CH19" s="33">
        <v>200</v>
      </c>
      <c r="CI19" s="33">
        <v>85</v>
      </c>
      <c r="CJ19" s="33">
        <v>20</v>
      </c>
      <c r="CK19" s="323">
        <v>20</v>
      </c>
      <c r="CL19" s="323">
        <v>20</v>
      </c>
      <c r="CM19" s="323">
        <f t="shared" si="27"/>
        <v>13.333333333333334</v>
      </c>
      <c r="CN19" s="323">
        <v>5</v>
      </c>
      <c r="CO19" s="323">
        <v>30</v>
      </c>
      <c r="CP19" s="1001">
        <v>9.1999999999999998E-2</v>
      </c>
      <c r="CS19" s="1910"/>
      <c r="CT19" s="1911"/>
    </row>
    <row r="20" spans="1:98" ht="32.25" customHeight="1">
      <c r="A20" s="1750">
        <v>13</v>
      </c>
      <c r="B20" s="2169">
        <v>0</v>
      </c>
      <c r="C20" s="2172" t="s">
        <v>31</v>
      </c>
      <c r="D20" s="1946">
        <f t="shared" si="0"/>
        <v>0</v>
      </c>
      <c r="E20" s="1947">
        <f t="shared" si="1"/>
        <v>0</v>
      </c>
      <c r="F20" s="1941">
        <v>0</v>
      </c>
      <c r="G20" s="1949">
        <f t="shared" si="15"/>
        <v>0</v>
      </c>
      <c r="H20" s="1949">
        <f t="shared" si="16"/>
        <v>0</v>
      </c>
      <c r="I20" s="1949">
        <f t="shared" si="2"/>
        <v>0</v>
      </c>
      <c r="J20" s="1949">
        <f t="shared" si="3"/>
        <v>0</v>
      </c>
      <c r="K20" s="1949">
        <f t="shared" si="4"/>
        <v>0</v>
      </c>
      <c r="L20" s="1928">
        <f t="shared" si="17"/>
        <v>0</v>
      </c>
      <c r="M20" s="1943"/>
      <c r="N20" s="761" t="s">
        <v>503</v>
      </c>
      <c r="O20" s="1905">
        <f t="shared" si="5"/>
        <v>0</v>
      </c>
      <c r="P20" s="761" t="s">
        <v>25</v>
      </c>
      <c r="Q20" s="1905">
        <f t="shared" si="6"/>
        <v>0</v>
      </c>
      <c r="R20" s="1906">
        <f t="shared" si="7"/>
        <v>0</v>
      </c>
      <c r="S20" s="1957">
        <v>0</v>
      </c>
      <c r="T20" s="1907" t="s">
        <v>160</v>
      </c>
      <c r="U20" s="1752">
        <f t="shared" si="8"/>
        <v>0</v>
      </c>
      <c r="V20" s="1961">
        <v>0</v>
      </c>
      <c r="W20" s="1954" t="s">
        <v>1314</v>
      </c>
      <c r="X20" s="1931">
        <f t="shared" si="9"/>
        <v>0</v>
      </c>
      <c r="Y20" s="1954" t="s">
        <v>1314</v>
      </c>
      <c r="Z20" s="1965">
        <f t="shared" si="18"/>
        <v>0</v>
      </c>
      <c r="AA20" s="1966">
        <f t="shared" si="19"/>
        <v>0</v>
      </c>
      <c r="AB20" s="1951">
        <f t="shared" si="20"/>
        <v>0</v>
      </c>
      <c r="AC20" s="2097">
        <f t="shared" si="10"/>
        <v>0</v>
      </c>
      <c r="AD20" s="1951">
        <f t="shared" si="21"/>
        <v>0</v>
      </c>
      <c r="AE20" s="1878"/>
      <c r="AF20" s="1281">
        <f t="shared" si="12"/>
        <v>13</v>
      </c>
      <c r="AG20" s="1281" t="str">
        <f t="shared" si="13"/>
        <v>keine</v>
      </c>
      <c r="AH20" s="1329"/>
      <c r="AI20" s="1330" t="s">
        <v>795</v>
      </c>
      <c r="AJ20" s="1424">
        <v>0</v>
      </c>
      <c r="AK20" s="1033">
        <f>VLOOKUP(AI20,Düngemittel!$B$6:$E$64,2,FALSE)*(VLOOKUP(AI20,Düngemittel!$B$6:$E$64,3,FALSE))/100*AJ20</f>
        <v>0</v>
      </c>
      <c r="AL20" s="1033">
        <f>VLOOKUP(AI20,Düngemittel!$B$6:$E$64,2,FALSE)*AJ20</f>
        <v>0</v>
      </c>
      <c r="AM20" s="1033">
        <f>VLOOKUP(AI20,Düngemittel!$B$6:$E$64,4,FALSE)*AJ20</f>
        <v>0</v>
      </c>
      <c r="AN20" s="2089"/>
      <c r="AO20" s="1329"/>
      <c r="AP20" s="1330" t="s">
        <v>795</v>
      </c>
      <c r="AQ20" s="1424">
        <v>0</v>
      </c>
      <c r="AR20" s="1033">
        <f>VLOOKUP(AP20,Düngemittel!$B$6:$E$64,2,FALSE)*(VLOOKUP(AP20,Düngemittel!$B$6:$E$64,3,FALSE))/100*AQ20</f>
        <v>0</v>
      </c>
      <c r="AS20" s="1033">
        <f>VLOOKUP(AP20,Düngemittel!$B$6:$E$64,2,FALSE)*AQ20</f>
        <v>0</v>
      </c>
      <c r="AT20" s="1033">
        <f>VLOOKUP(AP20,Düngemittel!$B$6:$E$64,4,FALSE)*AQ20</f>
        <v>0</v>
      </c>
      <c r="AU20" s="2089"/>
      <c r="AV20" s="1329"/>
      <c r="AW20" s="1330" t="s">
        <v>795</v>
      </c>
      <c r="AX20" s="1424">
        <v>0</v>
      </c>
      <c r="AY20" s="1033">
        <f>VLOOKUP(AW20,Düngemittel!$B$6:$E$64,2,FALSE)*(VLOOKUP(AW20,Düngemittel!$B$6:$E$64,3,FALSE))/100*AX20</f>
        <v>0</v>
      </c>
      <c r="AZ20" s="1033">
        <f>VLOOKUP(AW20,Düngemittel!$B$6:$E$64,2,FALSE)*AX20</f>
        <v>0</v>
      </c>
      <c r="BA20" s="1033">
        <f>VLOOKUP(AW20,Düngemittel!$B$6:$E$64,4,FALSE)*AX20</f>
        <v>0</v>
      </c>
      <c r="BB20" s="2089"/>
      <c r="BC20" s="1329"/>
      <c r="BD20" s="1330" t="s">
        <v>795</v>
      </c>
      <c r="BE20" s="1424">
        <v>0</v>
      </c>
      <c r="BF20" s="1033">
        <f>VLOOKUP(BD20,Düngemittel!$B$6:$E$64,2,FALSE)*(VLOOKUP(BD20,Düngemittel!$B$6:$E$64,3,FALSE))/100*BE20</f>
        <v>0</v>
      </c>
      <c r="BG20" s="1033">
        <f>VLOOKUP(BD20,Düngemittel!$B$6:$E$64,2,FALSE)*BE20</f>
        <v>0</v>
      </c>
      <c r="BH20" s="1033">
        <f>VLOOKUP(BD20,Düngemittel!$B$6:$E$64,4,FALSE)*BE20</f>
        <v>0</v>
      </c>
      <c r="BI20" s="2089"/>
      <c r="BJ20" s="1329"/>
      <c r="BK20" s="1330" t="s">
        <v>795</v>
      </c>
      <c r="BL20" s="1424">
        <v>0</v>
      </c>
      <c r="BM20" s="1033">
        <f>VLOOKUP(BK20,Düngemittel!$B$6:$E$64,2,FALSE)*(VLOOKUP(BK20,Düngemittel!$B$6:$E$64,3,FALSE))/100*BL20</f>
        <v>0</v>
      </c>
      <c r="BN20" s="1033">
        <f>VLOOKUP(BK20,Düngemittel!$B$6:$E$64,2,FALSE)*BL20</f>
        <v>0</v>
      </c>
      <c r="BO20" s="1033">
        <f>VLOOKUP(BK20,Düngemittel!$B$6:$E$64,4,FALSE)*BL20</f>
        <v>0</v>
      </c>
      <c r="BP20" s="1878"/>
      <c r="BQ20" s="1812">
        <f t="shared" si="22"/>
        <v>0</v>
      </c>
      <c r="BR20" s="1889">
        <f t="shared" si="23"/>
        <v>0</v>
      </c>
      <c r="BS20" s="1812">
        <f t="shared" si="23"/>
        <v>0</v>
      </c>
      <c r="BT20" s="1138">
        <f t="shared" si="24"/>
        <v>0</v>
      </c>
      <c r="BU20" s="1889">
        <f t="shared" si="25"/>
        <v>0</v>
      </c>
      <c r="BV20" s="95"/>
      <c r="BW20" s="1810">
        <f t="shared" si="26"/>
        <v>0</v>
      </c>
      <c r="BX20" s="1135">
        <f t="shared" si="14"/>
        <v>0</v>
      </c>
      <c r="BY20" s="1810">
        <f t="shared" si="14"/>
        <v>0</v>
      </c>
      <c r="BZ20" s="1807">
        <f t="shared" si="14"/>
        <v>0</v>
      </c>
      <c r="CA20" s="1135">
        <f t="shared" si="14"/>
        <v>0</v>
      </c>
      <c r="CB20" s="1878"/>
      <c r="CD20">
        <v>0</v>
      </c>
      <c r="CE20">
        <v>0</v>
      </c>
      <c r="CG20" s="2141" t="s">
        <v>1347</v>
      </c>
      <c r="CH20" s="33">
        <v>250</v>
      </c>
      <c r="CI20" s="33">
        <v>105</v>
      </c>
      <c r="CJ20" s="33">
        <v>20</v>
      </c>
      <c r="CK20" s="323">
        <v>20</v>
      </c>
      <c r="CL20" s="323">
        <v>20</v>
      </c>
      <c r="CM20" s="323">
        <f t="shared" si="27"/>
        <v>13.333333333333334</v>
      </c>
      <c r="CN20" s="323">
        <v>25</v>
      </c>
      <c r="CO20" s="323">
        <v>30</v>
      </c>
      <c r="CP20" s="1001">
        <v>9.1999999999999998E-2</v>
      </c>
      <c r="CS20" s="1912"/>
      <c r="CT20" s="1913"/>
    </row>
    <row r="21" spans="1:98" ht="32.25" customHeight="1">
      <c r="A21" s="1750">
        <v>14</v>
      </c>
      <c r="B21" s="2169">
        <v>0</v>
      </c>
      <c r="C21" s="2172" t="s">
        <v>31</v>
      </c>
      <c r="D21" s="1946">
        <f t="shared" si="0"/>
        <v>0</v>
      </c>
      <c r="E21" s="1947">
        <f t="shared" si="1"/>
        <v>0</v>
      </c>
      <c r="F21" s="1941">
        <v>0</v>
      </c>
      <c r="G21" s="1949">
        <f t="shared" si="15"/>
        <v>0</v>
      </c>
      <c r="H21" s="1949">
        <f t="shared" si="16"/>
        <v>0</v>
      </c>
      <c r="I21" s="1949">
        <f t="shared" si="2"/>
        <v>0</v>
      </c>
      <c r="J21" s="1949">
        <f t="shared" si="3"/>
        <v>0</v>
      </c>
      <c r="K21" s="1949">
        <f t="shared" si="4"/>
        <v>0</v>
      </c>
      <c r="L21" s="1928">
        <f t="shared" si="17"/>
        <v>0</v>
      </c>
      <c r="M21" s="1943"/>
      <c r="N21" s="761" t="s">
        <v>503</v>
      </c>
      <c r="O21" s="1905">
        <f t="shared" si="5"/>
        <v>0</v>
      </c>
      <c r="P21" s="761" t="s">
        <v>25</v>
      </c>
      <c r="Q21" s="1905">
        <f t="shared" si="6"/>
        <v>0</v>
      </c>
      <c r="R21" s="1906">
        <f t="shared" si="7"/>
        <v>0</v>
      </c>
      <c r="S21" s="1957">
        <v>0</v>
      </c>
      <c r="T21" s="1907" t="s">
        <v>160</v>
      </c>
      <c r="U21" s="1752">
        <f t="shared" si="8"/>
        <v>0</v>
      </c>
      <c r="V21" s="1961">
        <v>0</v>
      </c>
      <c r="W21" s="1954" t="s">
        <v>1314</v>
      </c>
      <c r="X21" s="1931">
        <f t="shared" si="9"/>
        <v>0</v>
      </c>
      <c r="Y21" s="1954" t="s">
        <v>1314</v>
      </c>
      <c r="Z21" s="1965">
        <f t="shared" si="18"/>
        <v>0</v>
      </c>
      <c r="AA21" s="1966">
        <f t="shared" si="19"/>
        <v>0</v>
      </c>
      <c r="AB21" s="1951">
        <f t="shared" si="20"/>
        <v>0</v>
      </c>
      <c r="AC21" s="2097">
        <f t="shared" si="10"/>
        <v>0</v>
      </c>
      <c r="AD21" s="1951">
        <f t="shared" si="21"/>
        <v>0</v>
      </c>
      <c r="AE21" s="1878"/>
      <c r="AF21" s="1281">
        <f t="shared" si="12"/>
        <v>14</v>
      </c>
      <c r="AG21" s="1281" t="str">
        <f t="shared" si="13"/>
        <v>keine</v>
      </c>
      <c r="AH21" s="1329"/>
      <c r="AI21" s="1330" t="s">
        <v>795</v>
      </c>
      <c r="AJ21" s="1424">
        <v>0</v>
      </c>
      <c r="AK21" s="1033">
        <f>VLOOKUP(AI21,Düngemittel!$B$6:$E$64,2,FALSE)*(VLOOKUP(AI21,Düngemittel!$B$6:$E$64,3,FALSE))/100*AJ21</f>
        <v>0</v>
      </c>
      <c r="AL21" s="1033">
        <f>VLOOKUP(AI21,Düngemittel!$B$6:$E$64,2,FALSE)*AJ21</f>
        <v>0</v>
      </c>
      <c r="AM21" s="1033">
        <f>VLOOKUP(AI21,Düngemittel!$B$6:$E$64,4,FALSE)*AJ21</f>
        <v>0</v>
      </c>
      <c r="AN21" s="2089"/>
      <c r="AO21" s="1329"/>
      <c r="AP21" s="1330" t="s">
        <v>795</v>
      </c>
      <c r="AQ21" s="1424">
        <v>0</v>
      </c>
      <c r="AR21" s="1033">
        <f>VLOOKUP(AP21,Düngemittel!$B$6:$E$64,2,FALSE)*(VLOOKUP(AP21,Düngemittel!$B$6:$E$64,3,FALSE))/100*AQ21</f>
        <v>0</v>
      </c>
      <c r="AS21" s="1033">
        <f>VLOOKUP(AP21,Düngemittel!$B$6:$E$64,2,FALSE)*AQ21</f>
        <v>0</v>
      </c>
      <c r="AT21" s="1033">
        <f>VLOOKUP(AP21,Düngemittel!$B$6:$E$64,4,FALSE)*AQ21</f>
        <v>0</v>
      </c>
      <c r="AU21" s="2089"/>
      <c r="AV21" s="1329"/>
      <c r="AW21" s="1330" t="s">
        <v>795</v>
      </c>
      <c r="AX21" s="1424">
        <v>0</v>
      </c>
      <c r="AY21" s="1033">
        <f>VLOOKUP(AW21,Düngemittel!$B$6:$E$64,2,FALSE)*(VLOOKUP(AW21,Düngemittel!$B$6:$E$64,3,FALSE))/100*AX21</f>
        <v>0</v>
      </c>
      <c r="AZ21" s="1033">
        <f>VLOOKUP(AW21,Düngemittel!$B$6:$E$64,2,FALSE)*AX21</f>
        <v>0</v>
      </c>
      <c r="BA21" s="1033">
        <f>VLOOKUP(AW21,Düngemittel!$B$6:$E$64,4,FALSE)*AX21</f>
        <v>0</v>
      </c>
      <c r="BB21" s="2089"/>
      <c r="BC21" s="1329"/>
      <c r="BD21" s="1330" t="s">
        <v>795</v>
      </c>
      <c r="BE21" s="1424">
        <v>0</v>
      </c>
      <c r="BF21" s="1033">
        <f>VLOOKUP(BD21,Düngemittel!$B$6:$E$64,2,FALSE)*(VLOOKUP(BD21,Düngemittel!$B$6:$E$64,3,FALSE))/100*BE21</f>
        <v>0</v>
      </c>
      <c r="BG21" s="1033">
        <f>VLOOKUP(BD21,Düngemittel!$B$6:$E$64,2,FALSE)*BE21</f>
        <v>0</v>
      </c>
      <c r="BH21" s="1033">
        <f>VLOOKUP(BD21,Düngemittel!$B$6:$E$64,4,FALSE)*BE21</f>
        <v>0</v>
      </c>
      <c r="BI21" s="2089"/>
      <c r="BJ21" s="1329"/>
      <c r="BK21" s="1330" t="s">
        <v>795</v>
      </c>
      <c r="BL21" s="1424">
        <v>0</v>
      </c>
      <c r="BM21" s="1033">
        <f>VLOOKUP(BK21,Düngemittel!$B$6:$E$64,2,FALSE)*(VLOOKUP(BK21,Düngemittel!$B$6:$E$64,3,FALSE))/100*BL21</f>
        <v>0</v>
      </c>
      <c r="BN21" s="1033">
        <f>VLOOKUP(BK21,Düngemittel!$B$6:$E$64,2,FALSE)*BL21</f>
        <v>0</v>
      </c>
      <c r="BO21" s="1033">
        <f>VLOOKUP(BK21,Düngemittel!$B$6:$E$64,4,FALSE)*BL21</f>
        <v>0</v>
      </c>
      <c r="BP21" s="1878"/>
      <c r="BQ21" s="1812">
        <f t="shared" si="22"/>
        <v>0</v>
      </c>
      <c r="BR21" s="1889">
        <f t="shared" si="23"/>
        <v>0</v>
      </c>
      <c r="BS21" s="1812">
        <f t="shared" si="23"/>
        <v>0</v>
      </c>
      <c r="BT21" s="1138">
        <f t="shared" si="24"/>
        <v>0</v>
      </c>
      <c r="BU21" s="1889">
        <f t="shared" si="25"/>
        <v>0</v>
      </c>
      <c r="BV21" s="95"/>
      <c r="BW21" s="1810">
        <f t="shared" si="26"/>
        <v>0</v>
      </c>
      <c r="BX21" s="1135">
        <f t="shared" si="14"/>
        <v>0</v>
      </c>
      <c r="BY21" s="1810">
        <f t="shared" si="14"/>
        <v>0</v>
      </c>
      <c r="BZ21" s="1807">
        <f t="shared" si="14"/>
        <v>0</v>
      </c>
      <c r="CA21" s="1135">
        <f t="shared" si="14"/>
        <v>0</v>
      </c>
      <c r="CB21" s="1878"/>
      <c r="CD21">
        <v>0</v>
      </c>
      <c r="CE21">
        <v>0</v>
      </c>
      <c r="CG21" s="2154" t="s">
        <v>1487</v>
      </c>
      <c r="CH21" s="33">
        <v>50</v>
      </c>
      <c r="CI21" s="33">
        <v>85</v>
      </c>
      <c r="CJ21" s="33">
        <v>10</v>
      </c>
      <c r="CK21" s="2153">
        <v>4</v>
      </c>
      <c r="CL21" s="2153">
        <v>4</v>
      </c>
      <c r="CM21" s="2161">
        <v>0</v>
      </c>
      <c r="CN21" s="2161">
        <v>0</v>
      </c>
      <c r="CO21" s="2161">
        <v>30</v>
      </c>
      <c r="CP21" s="2157">
        <v>0.17</v>
      </c>
      <c r="CS21" s="1910"/>
      <c r="CT21" s="1911"/>
    </row>
    <row r="22" spans="1:98" ht="32.25" customHeight="1">
      <c r="A22" s="1750">
        <v>15</v>
      </c>
      <c r="B22" s="2169">
        <v>0</v>
      </c>
      <c r="C22" s="2172" t="s">
        <v>31</v>
      </c>
      <c r="D22" s="1946">
        <f t="shared" si="0"/>
        <v>0</v>
      </c>
      <c r="E22" s="1947">
        <f t="shared" si="1"/>
        <v>0</v>
      </c>
      <c r="F22" s="1941">
        <v>0</v>
      </c>
      <c r="G22" s="1949">
        <f t="shared" si="15"/>
        <v>0</v>
      </c>
      <c r="H22" s="1949">
        <f t="shared" si="16"/>
        <v>0</v>
      </c>
      <c r="I22" s="1949">
        <f t="shared" si="2"/>
        <v>0</v>
      </c>
      <c r="J22" s="1949">
        <f t="shared" si="3"/>
        <v>0</v>
      </c>
      <c r="K22" s="1949">
        <f t="shared" si="4"/>
        <v>0</v>
      </c>
      <c r="L22" s="1928">
        <f t="shared" si="17"/>
        <v>0</v>
      </c>
      <c r="M22" s="1943"/>
      <c r="N22" s="761" t="s">
        <v>503</v>
      </c>
      <c r="O22" s="1905">
        <f t="shared" si="5"/>
        <v>0</v>
      </c>
      <c r="P22" s="761" t="s">
        <v>25</v>
      </c>
      <c r="Q22" s="1905">
        <f t="shared" si="6"/>
        <v>0</v>
      </c>
      <c r="R22" s="1906">
        <f t="shared" si="7"/>
        <v>0</v>
      </c>
      <c r="S22" s="1957">
        <v>0</v>
      </c>
      <c r="T22" s="1907" t="s">
        <v>160</v>
      </c>
      <c r="U22" s="1752">
        <f t="shared" si="8"/>
        <v>0</v>
      </c>
      <c r="V22" s="1961">
        <v>0</v>
      </c>
      <c r="W22" s="1954" t="s">
        <v>1314</v>
      </c>
      <c r="X22" s="1931">
        <f t="shared" si="9"/>
        <v>0</v>
      </c>
      <c r="Y22" s="1954" t="s">
        <v>1314</v>
      </c>
      <c r="Z22" s="1965">
        <f t="shared" si="18"/>
        <v>0</v>
      </c>
      <c r="AA22" s="1966">
        <f t="shared" si="19"/>
        <v>0</v>
      </c>
      <c r="AB22" s="1951">
        <f t="shared" si="20"/>
        <v>0</v>
      </c>
      <c r="AC22" s="2097">
        <f t="shared" si="10"/>
        <v>0</v>
      </c>
      <c r="AD22" s="1951">
        <f t="shared" si="21"/>
        <v>0</v>
      </c>
      <c r="AE22" s="1878"/>
      <c r="AF22" s="1281">
        <f t="shared" si="12"/>
        <v>15</v>
      </c>
      <c r="AG22" s="1281" t="str">
        <f t="shared" si="13"/>
        <v>keine</v>
      </c>
      <c r="AH22" s="1329"/>
      <c r="AI22" s="1330" t="s">
        <v>795</v>
      </c>
      <c r="AJ22" s="1424">
        <v>0</v>
      </c>
      <c r="AK22" s="1033">
        <f>VLOOKUP(AI22,Düngemittel!$B$6:$E$64,2,FALSE)*(VLOOKUP(AI22,Düngemittel!$B$6:$E$64,3,FALSE))/100*AJ22</f>
        <v>0</v>
      </c>
      <c r="AL22" s="1033">
        <f>VLOOKUP(AI22,Düngemittel!$B$6:$E$64,2,FALSE)*AJ22</f>
        <v>0</v>
      </c>
      <c r="AM22" s="1033">
        <f>VLOOKUP(AI22,Düngemittel!$B$6:$E$64,4,FALSE)*AJ22</f>
        <v>0</v>
      </c>
      <c r="AN22" s="2089"/>
      <c r="AO22" s="1329"/>
      <c r="AP22" s="1330" t="s">
        <v>795</v>
      </c>
      <c r="AQ22" s="1424">
        <v>0</v>
      </c>
      <c r="AR22" s="1033">
        <f>VLOOKUP(AP22,Düngemittel!$B$6:$E$64,2,FALSE)*(VLOOKUP(AP22,Düngemittel!$B$6:$E$64,3,FALSE))/100*AQ22</f>
        <v>0</v>
      </c>
      <c r="AS22" s="1033">
        <f>VLOOKUP(AP22,Düngemittel!$B$6:$E$64,2,FALSE)*AQ22</f>
        <v>0</v>
      </c>
      <c r="AT22" s="1033">
        <f>VLOOKUP(AP22,Düngemittel!$B$6:$E$64,4,FALSE)*AQ22</f>
        <v>0</v>
      </c>
      <c r="AU22" s="2089"/>
      <c r="AV22" s="1329"/>
      <c r="AW22" s="1330" t="s">
        <v>795</v>
      </c>
      <c r="AX22" s="1424">
        <v>0</v>
      </c>
      <c r="AY22" s="1033">
        <f>VLOOKUP(AW22,Düngemittel!$B$6:$E$64,2,FALSE)*(VLOOKUP(AW22,Düngemittel!$B$6:$E$64,3,FALSE))/100*AX22</f>
        <v>0</v>
      </c>
      <c r="AZ22" s="1033">
        <f>VLOOKUP(AW22,Düngemittel!$B$6:$E$64,2,FALSE)*AX22</f>
        <v>0</v>
      </c>
      <c r="BA22" s="1033">
        <f>VLOOKUP(AW22,Düngemittel!$B$6:$E$64,4,FALSE)*AX22</f>
        <v>0</v>
      </c>
      <c r="BB22" s="2089"/>
      <c r="BC22" s="1329"/>
      <c r="BD22" s="1330" t="s">
        <v>795</v>
      </c>
      <c r="BE22" s="1424">
        <v>0</v>
      </c>
      <c r="BF22" s="1033">
        <f>VLOOKUP(BD22,Düngemittel!$B$6:$E$64,2,FALSE)*(VLOOKUP(BD22,Düngemittel!$B$6:$E$64,3,FALSE))/100*BE22</f>
        <v>0</v>
      </c>
      <c r="BG22" s="1033">
        <f>VLOOKUP(BD22,Düngemittel!$B$6:$E$64,2,FALSE)*BE22</f>
        <v>0</v>
      </c>
      <c r="BH22" s="1033">
        <f>VLOOKUP(BD22,Düngemittel!$B$6:$E$64,4,FALSE)*BE22</f>
        <v>0</v>
      </c>
      <c r="BI22" s="2089"/>
      <c r="BJ22" s="1329"/>
      <c r="BK22" s="1330" t="s">
        <v>795</v>
      </c>
      <c r="BL22" s="1424">
        <v>0</v>
      </c>
      <c r="BM22" s="1033">
        <f>VLOOKUP(BK22,Düngemittel!$B$6:$E$64,2,FALSE)*(VLOOKUP(BK22,Düngemittel!$B$6:$E$64,3,FALSE))/100*BL22</f>
        <v>0</v>
      </c>
      <c r="BN22" s="1033">
        <f>VLOOKUP(BK22,Düngemittel!$B$6:$E$64,2,FALSE)*BL22</f>
        <v>0</v>
      </c>
      <c r="BO22" s="1033">
        <f>VLOOKUP(BK22,Düngemittel!$B$6:$E$64,4,FALSE)*BL22</f>
        <v>0</v>
      </c>
      <c r="BP22" s="1878"/>
      <c r="BQ22" s="1812">
        <f t="shared" si="22"/>
        <v>0</v>
      </c>
      <c r="BR22" s="1889">
        <f t="shared" si="23"/>
        <v>0</v>
      </c>
      <c r="BS22" s="1812">
        <f t="shared" si="23"/>
        <v>0</v>
      </c>
      <c r="BT22" s="1138">
        <f t="shared" si="24"/>
        <v>0</v>
      </c>
      <c r="BU22" s="1889">
        <f t="shared" si="25"/>
        <v>0</v>
      </c>
      <c r="BV22" s="95"/>
      <c r="BW22" s="1810">
        <f t="shared" si="26"/>
        <v>0</v>
      </c>
      <c r="BX22" s="1135">
        <f t="shared" si="14"/>
        <v>0</v>
      </c>
      <c r="BY22" s="1810">
        <f t="shared" si="14"/>
        <v>0</v>
      </c>
      <c r="BZ22" s="1807">
        <f t="shared" si="14"/>
        <v>0</v>
      </c>
      <c r="CA22" s="1135">
        <f t="shared" si="14"/>
        <v>0</v>
      </c>
      <c r="CB22" s="1878"/>
      <c r="CD22">
        <v>0</v>
      </c>
      <c r="CE22">
        <v>0</v>
      </c>
      <c r="CG22" s="2141" t="s">
        <v>1348</v>
      </c>
      <c r="CH22" s="33">
        <v>140</v>
      </c>
      <c r="CI22" s="33">
        <v>60</v>
      </c>
      <c r="CJ22" s="33">
        <v>20</v>
      </c>
      <c r="CK22" s="323">
        <v>20</v>
      </c>
      <c r="CL22" s="323">
        <v>20</v>
      </c>
      <c r="CM22" s="323">
        <f t="shared" si="27"/>
        <v>13.333333333333334</v>
      </c>
      <c r="CN22" s="323">
        <v>0</v>
      </c>
      <c r="CO22" s="323">
        <v>30</v>
      </c>
      <c r="CP22" s="1001">
        <v>0.05</v>
      </c>
      <c r="CS22" s="1912"/>
      <c r="CT22" s="1913"/>
    </row>
    <row r="23" spans="1:98" ht="32.25" customHeight="1">
      <c r="A23" s="1750">
        <v>16</v>
      </c>
      <c r="B23" s="2169">
        <v>0</v>
      </c>
      <c r="C23" s="2172" t="s">
        <v>31</v>
      </c>
      <c r="D23" s="1946">
        <f t="shared" si="0"/>
        <v>0</v>
      </c>
      <c r="E23" s="1947">
        <f t="shared" si="1"/>
        <v>0</v>
      </c>
      <c r="F23" s="1941">
        <v>0</v>
      </c>
      <c r="G23" s="1949">
        <f t="shared" si="15"/>
        <v>0</v>
      </c>
      <c r="H23" s="1949">
        <f t="shared" si="16"/>
        <v>0</v>
      </c>
      <c r="I23" s="1949">
        <f t="shared" si="2"/>
        <v>0</v>
      </c>
      <c r="J23" s="1949">
        <f t="shared" si="3"/>
        <v>0</v>
      </c>
      <c r="K23" s="1949">
        <f t="shared" si="4"/>
        <v>0</v>
      </c>
      <c r="L23" s="1928">
        <f t="shared" si="17"/>
        <v>0</v>
      </c>
      <c r="M23" s="1943"/>
      <c r="N23" s="761" t="s">
        <v>503</v>
      </c>
      <c r="O23" s="1905">
        <f t="shared" si="5"/>
        <v>0</v>
      </c>
      <c r="P23" s="761" t="s">
        <v>25</v>
      </c>
      <c r="Q23" s="1905">
        <f t="shared" si="6"/>
        <v>0</v>
      </c>
      <c r="R23" s="1906">
        <f t="shared" si="7"/>
        <v>0</v>
      </c>
      <c r="S23" s="1957">
        <v>0</v>
      </c>
      <c r="T23" s="1907" t="s">
        <v>160</v>
      </c>
      <c r="U23" s="1752">
        <f t="shared" si="8"/>
        <v>0</v>
      </c>
      <c r="V23" s="1961">
        <v>0</v>
      </c>
      <c r="W23" s="1954" t="s">
        <v>1314</v>
      </c>
      <c r="X23" s="1931">
        <f t="shared" si="9"/>
        <v>0</v>
      </c>
      <c r="Y23" s="1954" t="s">
        <v>1314</v>
      </c>
      <c r="Z23" s="1965">
        <f t="shared" si="18"/>
        <v>0</v>
      </c>
      <c r="AA23" s="1966">
        <f t="shared" si="19"/>
        <v>0</v>
      </c>
      <c r="AB23" s="1951">
        <f t="shared" si="20"/>
        <v>0</v>
      </c>
      <c r="AC23" s="2097">
        <f t="shared" si="10"/>
        <v>0</v>
      </c>
      <c r="AD23" s="1951">
        <f t="shared" si="21"/>
        <v>0</v>
      </c>
      <c r="AE23" s="1878"/>
      <c r="AF23" s="1281">
        <f t="shared" si="12"/>
        <v>16</v>
      </c>
      <c r="AG23" s="1281" t="str">
        <f t="shared" si="13"/>
        <v>keine</v>
      </c>
      <c r="AH23" s="1329"/>
      <c r="AI23" s="1330" t="s">
        <v>795</v>
      </c>
      <c r="AJ23" s="1424">
        <v>0</v>
      </c>
      <c r="AK23" s="1033">
        <f>VLOOKUP(AI23,Düngemittel!$B$6:$E$64,2,FALSE)*(VLOOKUP(AI23,Düngemittel!$B$6:$E$64,3,FALSE))/100*AJ23</f>
        <v>0</v>
      </c>
      <c r="AL23" s="1033">
        <f>VLOOKUP(AI23,Düngemittel!$B$6:$E$64,2,FALSE)*AJ23</f>
        <v>0</v>
      </c>
      <c r="AM23" s="1033">
        <f>VLOOKUP(AI23,Düngemittel!$B$6:$E$64,4,FALSE)*AJ23</f>
        <v>0</v>
      </c>
      <c r="AN23" s="2089"/>
      <c r="AO23" s="1329"/>
      <c r="AP23" s="1330" t="s">
        <v>795</v>
      </c>
      <c r="AQ23" s="1424">
        <v>0</v>
      </c>
      <c r="AR23" s="1033">
        <f>VLOOKUP(AP23,Düngemittel!$B$6:$E$64,2,FALSE)*(VLOOKUP(AP23,Düngemittel!$B$6:$E$64,3,FALSE))/100*AQ23</f>
        <v>0</v>
      </c>
      <c r="AS23" s="1033">
        <f>VLOOKUP(AP23,Düngemittel!$B$6:$E$64,2,FALSE)*AQ23</f>
        <v>0</v>
      </c>
      <c r="AT23" s="1033">
        <f>VLOOKUP(AP23,Düngemittel!$B$6:$E$64,4,FALSE)*AQ23</f>
        <v>0</v>
      </c>
      <c r="AU23" s="2089"/>
      <c r="AV23" s="1329"/>
      <c r="AW23" s="1330" t="s">
        <v>795</v>
      </c>
      <c r="AX23" s="1424">
        <v>0</v>
      </c>
      <c r="AY23" s="1033">
        <f>VLOOKUP(AW23,Düngemittel!$B$6:$E$64,2,FALSE)*(VLOOKUP(AW23,Düngemittel!$B$6:$E$64,3,FALSE))/100*AX23</f>
        <v>0</v>
      </c>
      <c r="AZ23" s="1033">
        <f>VLOOKUP(AW23,Düngemittel!$B$6:$E$64,2,FALSE)*AX23</f>
        <v>0</v>
      </c>
      <c r="BA23" s="1033">
        <f>VLOOKUP(AW23,Düngemittel!$B$6:$E$64,4,FALSE)*AX23</f>
        <v>0</v>
      </c>
      <c r="BB23" s="2089"/>
      <c r="BC23" s="1329"/>
      <c r="BD23" s="1330" t="s">
        <v>795</v>
      </c>
      <c r="BE23" s="1424">
        <v>0</v>
      </c>
      <c r="BF23" s="1033">
        <f>VLOOKUP(BD23,Düngemittel!$B$6:$E$64,2,FALSE)*(VLOOKUP(BD23,Düngemittel!$B$6:$E$64,3,FALSE))/100*BE23</f>
        <v>0</v>
      </c>
      <c r="BG23" s="1033">
        <f>VLOOKUP(BD23,Düngemittel!$B$6:$E$64,2,FALSE)*BE23</f>
        <v>0</v>
      </c>
      <c r="BH23" s="1033">
        <f>VLOOKUP(BD23,Düngemittel!$B$6:$E$64,4,FALSE)*BE23</f>
        <v>0</v>
      </c>
      <c r="BI23" s="2089"/>
      <c r="BJ23" s="1329"/>
      <c r="BK23" s="1330" t="s">
        <v>795</v>
      </c>
      <c r="BL23" s="1424">
        <v>0</v>
      </c>
      <c r="BM23" s="1033">
        <f>VLOOKUP(BK23,Düngemittel!$B$6:$E$64,2,FALSE)*(VLOOKUP(BK23,Düngemittel!$B$6:$E$64,3,FALSE))/100*BL23</f>
        <v>0</v>
      </c>
      <c r="BN23" s="1033">
        <f>VLOOKUP(BK23,Düngemittel!$B$6:$E$64,2,FALSE)*BL23</f>
        <v>0</v>
      </c>
      <c r="BO23" s="1033">
        <f>VLOOKUP(BK23,Düngemittel!$B$6:$E$64,4,FALSE)*BL23</f>
        <v>0</v>
      </c>
      <c r="BP23" s="1878"/>
      <c r="BQ23" s="1812">
        <f t="shared" si="22"/>
        <v>0</v>
      </c>
      <c r="BR23" s="1889">
        <f t="shared" si="23"/>
        <v>0</v>
      </c>
      <c r="BS23" s="1812">
        <f t="shared" si="23"/>
        <v>0</v>
      </c>
      <c r="BT23" s="1138">
        <f t="shared" si="24"/>
        <v>0</v>
      </c>
      <c r="BU23" s="1889">
        <f t="shared" si="25"/>
        <v>0</v>
      </c>
      <c r="BV23" s="95"/>
      <c r="BW23" s="1810">
        <f t="shared" si="26"/>
        <v>0</v>
      </c>
      <c r="BX23" s="1135">
        <f t="shared" si="14"/>
        <v>0</v>
      </c>
      <c r="BY23" s="1810">
        <f t="shared" si="14"/>
        <v>0</v>
      </c>
      <c r="BZ23" s="1807">
        <f t="shared" si="14"/>
        <v>0</v>
      </c>
      <c r="CA23" s="1135">
        <f t="shared" si="14"/>
        <v>0</v>
      </c>
      <c r="CB23" s="1878"/>
      <c r="CD23">
        <v>0</v>
      </c>
      <c r="CE23">
        <v>0</v>
      </c>
      <c r="CG23" s="2141" t="s">
        <v>1278</v>
      </c>
      <c r="CH23" s="33">
        <v>140</v>
      </c>
      <c r="CI23" s="33">
        <v>60</v>
      </c>
      <c r="CJ23" s="33">
        <v>20</v>
      </c>
      <c r="CK23" s="323">
        <v>20</v>
      </c>
      <c r="CL23" s="323">
        <v>20</v>
      </c>
      <c r="CM23" s="323">
        <f t="shared" si="27"/>
        <v>13.333333333333334</v>
      </c>
      <c r="CN23" s="323">
        <v>0</v>
      </c>
      <c r="CO23" s="323">
        <v>30</v>
      </c>
      <c r="CP23" s="1001"/>
      <c r="CS23" s="1912"/>
      <c r="CT23" s="1913"/>
    </row>
    <row r="24" spans="1:98" ht="32.25" customHeight="1">
      <c r="A24" s="1750">
        <v>17</v>
      </c>
      <c r="B24" s="2169">
        <v>0</v>
      </c>
      <c r="C24" s="2172" t="s">
        <v>31</v>
      </c>
      <c r="D24" s="1946">
        <f t="shared" si="0"/>
        <v>0</v>
      </c>
      <c r="E24" s="1947">
        <f t="shared" si="1"/>
        <v>0</v>
      </c>
      <c r="F24" s="1941">
        <v>0</v>
      </c>
      <c r="G24" s="1949">
        <f t="shared" si="15"/>
        <v>0</v>
      </c>
      <c r="H24" s="1949">
        <f t="shared" si="16"/>
        <v>0</v>
      </c>
      <c r="I24" s="1949">
        <f t="shared" si="2"/>
        <v>0</v>
      </c>
      <c r="J24" s="1949">
        <f t="shared" si="3"/>
        <v>0</v>
      </c>
      <c r="K24" s="1949">
        <f t="shared" si="4"/>
        <v>0</v>
      </c>
      <c r="L24" s="1928">
        <f t="shared" si="17"/>
        <v>0</v>
      </c>
      <c r="M24" s="1943"/>
      <c r="N24" s="761" t="s">
        <v>503</v>
      </c>
      <c r="O24" s="1905">
        <f t="shared" si="5"/>
        <v>0</v>
      </c>
      <c r="P24" s="761" t="s">
        <v>25</v>
      </c>
      <c r="Q24" s="1905">
        <f t="shared" si="6"/>
        <v>0</v>
      </c>
      <c r="R24" s="1906">
        <f t="shared" si="7"/>
        <v>0</v>
      </c>
      <c r="S24" s="1957">
        <v>0</v>
      </c>
      <c r="T24" s="1907" t="s">
        <v>160</v>
      </c>
      <c r="U24" s="1752">
        <f t="shared" si="8"/>
        <v>0</v>
      </c>
      <c r="V24" s="1961">
        <v>0</v>
      </c>
      <c r="W24" s="1954" t="s">
        <v>1314</v>
      </c>
      <c r="X24" s="1931">
        <f t="shared" si="9"/>
        <v>0</v>
      </c>
      <c r="Y24" s="1954" t="s">
        <v>1314</v>
      </c>
      <c r="Z24" s="1965">
        <f t="shared" si="18"/>
        <v>0</v>
      </c>
      <c r="AA24" s="1966">
        <f t="shared" si="19"/>
        <v>0</v>
      </c>
      <c r="AB24" s="1951">
        <f t="shared" si="20"/>
        <v>0</v>
      </c>
      <c r="AC24" s="2097">
        <f t="shared" si="10"/>
        <v>0</v>
      </c>
      <c r="AD24" s="1951">
        <f t="shared" si="21"/>
        <v>0</v>
      </c>
      <c r="AE24" s="1878"/>
      <c r="AF24" s="1281">
        <f t="shared" si="12"/>
        <v>17</v>
      </c>
      <c r="AG24" s="1281" t="str">
        <f t="shared" si="13"/>
        <v>keine</v>
      </c>
      <c r="AH24" s="1329"/>
      <c r="AI24" s="1330" t="s">
        <v>795</v>
      </c>
      <c r="AJ24" s="1424">
        <v>0</v>
      </c>
      <c r="AK24" s="1033">
        <f>VLOOKUP(AI24,Düngemittel!$B$6:$E$64,2,FALSE)*(VLOOKUP(AI24,Düngemittel!$B$6:$E$64,3,FALSE))/100*AJ24</f>
        <v>0</v>
      </c>
      <c r="AL24" s="1033">
        <f>VLOOKUP(AI24,Düngemittel!$B$6:$E$64,2,FALSE)*AJ24</f>
        <v>0</v>
      </c>
      <c r="AM24" s="1033">
        <f>VLOOKUP(AI24,Düngemittel!$B$6:$E$64,4,FALSE)*AJ24</f>
        <v>0</v>
      </c>
      <c r="AN24" s="2089"/>
      <c r="AO24" s="1329"/>
      <c r="AP24" s="1330" t="s">
        <v>795</v>
      </c>
      <c r="AQ24" s="1424">
        <v>0</v>
      </c>
      <c r="AR24" s="1033">
        <f>VLOOKUP(AP24,Düngemittel!$B$6:$E$64,2,FALSE)*(VLOOKUP(AP24,Düngemittel!$B$6:$E$64,3,FALSE))/100*AQ24</f>
        <v>0</v>
      </c>
      <c r="AS24" s="1033">
        <f>VLOOKUP(AP24,Düngemittel!$B$6:$E$64,2,FALSE)*AQ24</f>
        <v>0</v>
      </c>
      <c r="AT24" s="1033">
        <f>VLOOKUP(AP24,Düngemittel!$B$6:$E$64,4,FALSE)*AQ24</f>
        <v>0</v>
      </c>
      <c r="AU24" s="2089"/>
      <c r="AV24" s="1329"/>
      <c r="AW24" s="1330" t="s">
        <v>795</v>
      </c>
      <c r="AX24" s="1424">
        <v>0</v>
      </c>
      <c r="AY24" s="1033">
        <f>VLOOKUP(AW24,Düngemittel!$B$6:$E$64,2,FALSE)*(VLOOKUP(AW24,Düngemittel!$B$6:$E$64,3,FALSE))/100*AX24</f>
        <v>0</v>
      </c>
      <c r="AZ24" s="1033">
        <f>VLOOKUP(AW24,Düngemittel!$B$6:$E$64,2,FALSE)*AX24</f>
        <v>0</v>
      </c>
      <c r="BA24" s="1033">
        <f>VLOOKUP(AW24,Düngemittel!$B$6:$E$64,4,FALSE)*AX24</f>
        <v>0</v>
      </c>
      <c r="BB24" s="2089"/>
      <c r="BC24" s="1329"/>
      <c r="BD24" s="1330" t="s">
        <v>795</v>
      </c>
      <c r="BE24" s="1424">
        <v>0</v>
      </c>
      <c r="BF24" s="1033">
        <f>VLOOKUP(BD24,Düngemittel!$B$6:$E$64,2,FALSE)*(VLOOKUP(BD24,Düngemittel!$B$6:$E$64,3,FALSE))/100*BE24</f>
        <v>0</v>
      </c>
      <c r="BG24" s="1033">
        <f>VLOOKUP(BD24,Düngemittel!$B$6:$E$64,2,FALSE)*BE24</f>
        <v>0</v>
      </c>
      <c r="BH24" s="1033">
        <f>VLOOKUP(BD24,Düngemittel!$B$6:$E$64,4,FALSE)*BE24</f>
        <v>0</v>
      </c>
      <c r="BI24" s="2089"/>
      <c r="BJ24" s="1329"/>
      <c r="BK24" s="1330" t="s">
        <v>795</v>
      </c>
      <c r="BL24" s="1424">
        <v>0</v>
      </c>
      <c r="BM24" s="1033">
        <f>VLOOKUP(BK24,Düngemittel!$B$6:$E$64,2,FALSE)*(VLOOKUP(BK24,Düngemittel!$B$6:$E$64,3,FALSE))/100*BL24</f>
        <v>0</v>
      </c>
      <c r="BN24" s="1033">
        <f>VLOOKUP(BK24,Düngemittel!$B$6:$E$64,2,FALSE)*BL24</f>
        <v>0</v>
      </c>
      <c r="BO24" s="1033">
        <f>VLOOKUP(BK24,Düngemittel!$B$6:$E$64,4,FALSE)*BL24</f>
        <v>0</v>
      </c>
      <c r="BP24" s="1878"/>
      <c r="BQ24" s="1812">
        <f t="shared" si="22"/>
        <v>0</v>
      </c>
      <c r="BR24" s="1889">
        <f t="shared" si="23"/>
        <v>0</v>
      </c>
      <c r="BS24" s="1812">
        <f t="shared" si="23"/>
        <v>0</v>
      </c>
      <c r="BT24" s="1138">
        <f t="shared" si="24"/>
        <v>0</v>
      </c>
      <c r="BU24" s="1889">
        <f t="shared" si="25"/>
        <v>0</v>
      </c>
      <c r="BV24" s="95"/>
      <c r="BW24" s="1810">
        <f t="shared" si="26"/>
        <v>0</v>
      </c>
      <c r="BX24" s="1135">
        <f t="shared" si="26"/>
        <v>0</v>
      </c>
      <c r="BY24" s="1810">
        <f t="shared" si="26"/>
        <v>0</v>
      </c>
      <c r="BZ24" s="1807">
        <f t="shared" si="26"/>
        <v>0</v>
      </c>
      <c r="CA24" s="1135">
        <f t="shared" si="26"/>
        <v>0</v>
      </c>
      <c r="CB24" s="1878"/>
      <c r="CD24">
        <v>0</v>
      </c>
      <c r="CE24">
        <v>0</v>
      </c>
      <c r="CG24" s="2141" t="s">
        <v>1279</v>
      </c>
      <c r="CH24" s="33">
        <v>0</v>
      </c>
      <c r="CI24" s="33">
        <v>60</v>
      </c>
      <c r="CJ24" s="33">
        <v>20</v>
      </c>
      <c r="CK24" s="323">
        <v>20</v>
      </c>
      <c r="CL24" s="323">
        <v>20</v>
      </c>
      <c r="CM24" s="323">
        <f t="shared" si="27"/>
        <v>13.333333333333334</v>
      </c>
      <c r="CN24" s="323">
        <v>0</v>
      </c>
      <c r="CO24" s="323">
        <v>30</v>
      </c>
      <c r="CP24" s="1001">
        <v>0.05</v>
      </c>
      <c r="CS24" s="1917"/>
      <c r="CT24" s="1911"/>
    </row>
    <row r="25" spans="1:98" ht="32.25" customHeight="1">
      <c r="A25" s="1750">
        <v>18</v>
      </c>
      <c r="B25" s="2169">
        <v>0</v>
      </c>
      <c r="C25" s="2172" t="s">
        <v>31</v>
      </c>
      <c r="D25" s="1946">
        <f t="shared" si="0"/>
        <v>0</v>
      </c>
      <c r="E25" s="1947">
        <f t="shared" si="1"/>
        <v>0</v>
      </c>
      <c r="F25" s="1941">
        <v>0</v>
      </c>
      <c r="G25" s="1949">
        <f t="shared" si="15"/>
        <v>0</v>
      </c>
      <c r="H25" s="1949">
        <f t="shared" si="16"/>
        <v>0</v>
      </c>
      <c r="I25" s="1949">
        <f t="shared" si="2"/>
        <v>0</v>
      </c>
      <c r="J25" s="1949">
        <f t="shared" si="3"/>
        <v>0</v>
      </c>
      <c r="K25" s="1949">
        <f t="shared" si="4"/>
        <v>0</v>
      </c>
      <c r="L25" s="1928">
        <f t="shared" si="17"/>
        <v>0</v>
      </c>
      <c r="M25" s="1943"/>
      <c r="N25" s="761" t="s">
        <v>503</v>
      </c>
      <c r="O25" s="1905">
        <f t="shared" si="5"/>
        <v>0</v>
      </c>
      <c r="P25" s="761" t="s">
        <v>25</v>
      </c>
      <c r="Q25" s="1905">
        <f t="shared" si="6"/>
        <v>0</v>
      </c>
      <c r="R25" s="1906">
        <f t="shared" si="7"/>
        <v>0</v>
      </c>
      <c r="S25" s="1957">
        <v>0</v>
      </c>
      <c r="T25" s="1907" t="s">
        <v>160</v>
      </c>
      <c r="U25" s="1752">
        <f t="shared" si="8"/>
        <v>0</v>
      </c>
      <c r="V25" s="1961">
        <v>0</v>
      </c>
      <c r="W25" s="1954" t="s">
        <v>1314</v>
      </c>
      <c r="X25" s="1931">
        <f t="shared" si="9"/>
        <v>0</v>
      </c>
      <c r="Y25" s="1954" t="s">
        <v>1314</v>
      </c>
      <c r="Z25" s="1965">
        <f t="shared" si="18"/>
        <v>0</v>
      </c>
      <c r="AA25" s="1966">
        <f t="shared" si="19"/>
        <v>0</v>
      </c>
      <c r="AB25" s="1951">
        <f t="shared" si="20"/>
        <v>0</v>
      </c>
      <c r="AC25" s="2097">
        <f t="shared" si="10"/>
        <v>0</v>
      </c>
      <c r="AD25" s="1951">
        <f t="shared" si="21"/>
        <v>0</v>
      </c>
      <c r="AE25" s="1878"/>
      <c r="AF25" s="1281">
        <f t="shared" si="12"/>
        <v>18</v>
      </c>
      <c r="AG25" s="1281" t="str">
        <f t="shared" si="13"/>
        <v>keine</v>
      </c>
      <c r="AH25" s="1329"/>
      <c r="AI25" s="1330" t="s">
        <v>795</v>
      </c>
      <c r="AJ25" s="1424">
        <v>0</v>
      </c>
      <c r="AK25" s="1033">
        <f>VLOOKUP(AI25,Düngemittel!$B$6:$E$64,2,FALSE)*(VLOOKUP(AI25,Düngemittel!$B$6:$E$64,3,FALSE))/100*AJ25</f>
        <v>0</v>
      </c>
      <c r="AL25" s="1033">
        <f>VLOOKUP(AI25,Düngemittel!$B$6:$E$64,2,FALSE)*AJ25</f>
        <v>0</v>
      </c>
      <c r="AM25" s="1033">
        <f>VLOOKUP(AI25,Düngemittel!$B$6:$E$64,4,FALSE)*AJ25</f>
        <v>0</v>
      </c>
      <c r="AN25" s="2089"/>
      <c r="AO25" s="1329"/>
      <c r="AP25" s="1330" t="s">
        <v>795</v>
      </c>
      <c r="AQ25" s="1424">
        <v>0</v>
      </c>
      <c r="AR25" s="1033">
        <f>VLOOKUP(AP25,Düngemittel!$B$6:$E$64,2,FALSE)*(VLOOKUP(AP25,Düngemittel!$B$6:$E$64,3,FALSE))/100*AQ25</f>
        <v>0</v>
      </c>
      <c r="AS25" s="1033">
        <f>VLOOKUP(AP25,Düngemittel!$B$6:$E$64,2,FALSE)*AQ25</f>
        <v>0</v>
      </c>
      <c r="AT25" s="1033">
        <f>VLOOKUP(AP25,Düngemittel!$B$6:$E$64,4,FALSE)*AQ25</f>
        <v>0</v>
      </c>
      <c r="AU25" s="2089"/>
      <c r="AV25" s="1329"/>
      <c r="AW25" s="1330" t="s">
        <v>795</v>
      </c>
      <c r="AX25" s="1424">
        <v>0</v>
      </c>
      <c r="AY25" s="1033">
        <f>VLOOKUP(AW25,Düngemittel!$B$6:$E$64,2,FALSE)*(VLOOKUP(AW25,Düngemittel!$B$6:$E$64,3,FALSE))/100*AX25</f>
        <v>0</v>
      </c>
      <c r="AZ25" s="1033">
        <f>VLOOKUP(AW25,Düngemittel!$B$6:$E$64,2,FALSE)*AX25</f>
        <v>0</v>
      </c>
      <c r="BA25" s="1033">
        <f>VLOOKUP(AW25,Düngemittel!$B$6:$E$64,4,FALSE)*AX25</f>
        <v>0</v>
      </c>
      <c r="BB25" s="2089"/>
      <c r="BC25" s="1329"/>
      <c r="BD25" s="1330" t="s">
        <v>795</v>
      </c>
      <c r="BE25" s="1424">
        <v>0</v>
      </c>
      <c r="BF25" s="1033">
        <f>VLOOKUP(BD25,Düngemittel!$B$6:$E$64,2,FALSE)*(VLOOKUP(BD25,Düngemittel!$B$6:$E$64,3,FALSE))/100*BE25</f>
        <v>0</v>
      </c>
      <c r="BG25" s="1033">
        <f>VLOOKUP(BD25,Düngemittel!$B$6:$E$64,2,FALSE)*BE25</f>
        <v>0</v>
      </c>
      <c r="BH25" s="1033">
        <f>VLOOKUP(BD25,Düngemittel!$B$6:$E$64,4,FALSE)*BE25</f>
        <v>0</v>
      </c>
      <c r="BI25" s="2089"/>
      <c r="BJ25" s="1329"/>
      <c r="BK25" s="1330" t="s">
        <v>795</v>
      </c>
      <c r="BL25" s="1424">
        <v>0</v>
      </c>
      <c r="BM25" s="1033">
        <f>VLOOKUP(BK25,Düngemittel!$B$6:$E$64,2,FALSE)*(VLOOKUP(BK25,Düngemittel!$B$6:$E$64,3,FALSE))/100*BL25</f>
        <v>0</v>
      </c>
      <c r="BN25" s="1033">
        <f>VLOOKUP(BK25,Düngemittel!$B$6:$E$64,2,FALSE)*BL25</f>
        <v>0</v>
      </c>
      <c r="BO25" s="1033">
        <f>VLOOKUP(BK25,Düngemittel!$B$6:$E$64,4,FALSE)*BL25</f>
        <v>0</v>
      </c>
      <c r="BP25" s="1878"/>
      <c r="BQ25" s="1812">
        <f t="shared" si="22"/>
        <v>0</v>
      </c>
      <c r="BR25" s="1889">
        <f t="shared" si="23"/>
        <v>0</v>
      </c>
      <c r="BS25" s="1812">
        <f t="shared" si="23"/>
        <v>0</v>
      </c>
      <c r="BT25" s="1138">
        <f t="shared" si="24"/>
        <v>0</v>
      </c>
      <c r="BU25" s="1889">
        <f t="shared" si="25"/>
        <v>0</v>
      </c>
      <c r="BV25" s="95"/>
      <c r="BW25" s="1810">
        <f t="shared" si="26"/>
        <v>0</v>
      </c>
      <c r="BX25" s="1135">
        <f t="shared" si="26"/>
        <v>0</v>
      </c>
      <c r="BY25" s="1810">
        <f t="shared" si="26"/>
        <v>0</v>
      </c>
      <c r="BZ25" s="1807">
        <f t="shared" si="26"/>
        <v>0</v>
      </c>
      <c r="CA25" s="1135">
        <f t="shared" si="26"/>
        <v>0</v>
      </c>
      <c r="CB25" s="1878"/>
      <c r="CD25">
        <v>0</v>
      </c>
      <c r="CE25">
        <v>0</v>
      </c>
      <c r="CG25" s="2152" t="s">
        <v>1501</v>
      </c>
      <c r="CH25" s="33">
        <v>150</v>
      </c>
      <c r="CI25" s="33">
        <v>125</v>
      </c>
      <c r="CJ25" s="33">
        <v>10</v>
      </c>
      <c r="CK25" s="2153">
        <v>12.5</v>
      </c>
      <c r="CL25" s="2153">
        <v>12.5</v>
      </c>
      <c r="CM25" s="2152">
        <v>0</v>
      </c>
      <c r="CN25" s="2152">
        <v>0</v>
      </c>
      <c r="CO25" s="2152">
        <v>30</v>
      </c>
      <c r="CP25" s="2155">
        <v>0.16</v>
      </c>
      <c r="CS25" s="1910"/>
      <c r="CT25" s="1911"/>
    </row>
    <row r="26" spans="1:98" ht="32.25" customHeight="1">
      <c r="A26" s="1750">
        <v>19</v>
      </c>
      <c r="B26" s="2169">
        <v>0</v>
      </c>
      <c r="C26" s="2172" t="s">
        <v>31</v>
      </c>
      <c r="D26" s="1946">
        <f t="shared" si="0"/>
        <v>0</v>
      </c>
      <c r="E26" s="1947">
        <f t="shared" si="1"/>
        <v>0</v>
      </c>
      <c r="F26" s="1941">
        <v>0</v>
      </c>
      <c r="G26" s="1949">
        <f t="shared" si="15"/>
        <v>0</v>
      </c>
      <c r="H26" s="1949">
        <f t="shared" si="16"/>
        <v>0</v>
      </c>
      <c r="I26" s="1949">
        <f t="shared" si="2"/>
        <v>0</v>
      </c>
      <c r="J26" s="1949">
        <f t="shared" si="3"/>
        <v>0</v>
      </c>
      <c r="K26" s="1949">
        <f t="shared" si="4"/>
        <v>0</v>
      </c>
      <c r="L26" s="1928">
        <f t="shared" si="17"/>
        <v>0</v>
      </c>
      <c r="M26" s="1943"/>
      <c r="N26" s="761" t="s">
        <v>503</v>
      </c>
      <c r="O26" s="1905">
        <f t="shared" si="5"/>
        <v>0</v>
      </c>
      <c r="P26" s="761" t="s">
        <v>25</v>
      </c>
      <c r="Q26" s="1905">
        <f t="shared" si="6"/>
        <v>0</v>
      </c>
      <c r="R26" s="1906">
        <f t="shared" si="7"/>
        <v>0</v>
      </c>
      <c r="S26" s="1957">
        <v>0</v>
      </c>
      <c r="T26" s="1907" t="s">
        <v>160</v>
      </c>
      <c r="U26" s="1752">
        <f t="shared" si="8"/>
        <v>0</v>
      </c>
      <c r="V26" s="1961">
        <v>0</v>
      </c>
      <c r="W26" s="1954" t="s">
        <v>1314</v>
      </c>
      <c r="X26" s="1931">
        <f t="shared" si="9"/>
        <v>0</v>
      </c>
      <c r="Y26" s="1954" t="s">
        <v>1314</v>
      </c>
      <c r="Z26" s="1965">
        <f t="shared" si="18"/>
        <v>0</v>
      </c>
      <c r="AA26" s="1966">
        <f t="shared" si="19"/>
        <v>0</v>
      </c>
      <c r="AB26" s="1951">
        <f t="shared" si="20"/>
        <v>0</v>
      </c>
      <c r="AC26" s="2097">
        <f t="shared" si="10"/>
        <v>0</v>
      </c>
      <c r="AD26" s="1951">
        <f t="shared" si="21"/>
        <v>0</v>
      </c>
      <c r="AE26" s="1878"/>
      <c r="AF26" s="1281">
        <f t="shared" si="12"/>
        <v>19</v>
      </c>
      <c r="AG26" s="1281" t="str">
        <f t="shared" si="13"/>
        <v>keine</v>
      </c>
      <c r="AH26" s="1329"/>
      <c r="AI26" s="1330" t="s">
        <v>795</v>
      </c>
      <c r="AJ26" s="1424">
        <v>0</v>
      </c>
      <c r="AK26" s="1033">
        <f>VLOOKUP(AI26,Düngemittel!$B$6:$E$64,2,FALSE)*(VLOOKUP(AI26,Düngemittel!$B$6:$E$64,3,FALSE))/100*AJ26</f>
        <v>0</v>
      </c>
      <c r="AL26" s="1033">
        <f>VLOOKUP(AI26,Düngemittel!$B$6:$E$64,2,FALSE)*AJ26</f>
        <v>0</v>
      </c>
      <c r="AM26" s="1033">
        <f>VLOOKUP(AI26,Düngemittel!$B$6:$E$64,4,FALSE)*AJ26</f>
        <v>0</v>
      </c>
      <c r="AN26" s="2089"/>
      <c r="AO26" s="1329"/>
      <c r="AP26" s="1330" t="s">
        <v>795</v>
      </c>
      <c r="AQ26" s="1424">
        <v>0</v>
      </c>
      <c r="AR26" s="1033">
        <f>VLOOKUP(AP26,Düngemittel!$B$6:$E$64,2,FALSE)*(VLOOKUP(AP26,Düngemittel!$B$6:$E$64,3,FALSE))/100*AQ26</f>
        <v>0</v>
      </c>
      <c r="AS26" s="1033">
        <f>VLOOKUP(AP26,Düngemittel!$B$6:$E$64,2,FALSE)*AQ26</f>
        <v>0</v>
      </c>
      <c r="AT26" s="1033">
        <f>VLOOKUP(AP26,Düngemittel!$B$6:$E$64,4,FALSE)*AQ26</f>
        <v>0</v>
      </c>
      <c r="AU26" s="2089"/>
      <c r="AV26" s="1329"/>
      <c r="AW26" s="1330" t="s">
        <v>795</v>
      </c>
      <c r="AX26" s="1424">
        <v>0</v>
      </c>
      <c r="AY26" s="1033">
        <f>VLOOKUP(AW26,Düngemittel!$B$6:$E$64,2,FALSE)*(VLOOKUP(AW26,Düngemittel!$B$6:$E$64,3,FALSE))/100*AX26</f>
        <v>0</v>
      </c>
      <c r="AZ26" s="1033">
        <f>VLOOKUP(AW26,Düngemittel!$B$6:$E$64,2,FALSE)*AX26</f>
        <v>0</v>
      </c>
      <c r="BA26" s="1033">
        <f>VLOOKUP(AW26,Düngemittel!$B$6:$E$64,4,FALSE)*AX26</f>
        <v>0</v>
      </c>
      <c r="BB26" s="2089"/>
      <c r="BC26" s="1329"/>
      <c r="BD26" s="1330" t="s">
        <v>795</v>
      </c>
      <c r="BE26" s="1424">
        <v>0</v>
      </c>
      <c r="BF26" s="1033">
        <f>VLOOKUP(BD26,Düngemittel!$B$6:$E$64,2,FALSE)*(VLOOKUP(BD26,Düngemittel!$B$6:$E$64,3,FALSE))/100*BE26</f>
        <v>0</v>
      </c>
      <c r="BG26" s="1033">
        <f>VLOOKUP(BD26,Düngemittel!$B$6:$E$64,2,FALSE)*BE26</f>
        <v>0</v>
      </c>
      <c r="BH26" s="1033">
        <f>VLOOKUP(BD26,Düngemittel!$B$6:$E$64,4,FALSE)*BE26</f>
        <v>0</v>
      </c>
      <c r="BI26" s="2089"/>
      <c r="BJ26" s="1329"/>
      <c r="BK26" s="1330" t="s">
        <v>795</v>
      </c>
      <c r="BL26" s="1424">
        <v>0</v>
      </c>
      <c r="BM26" s="1033">
        <f>VLOOKUP(BK26,Düngemittel!$B$6:$E$64,2,FALSE)*(VLOOKUP(BK26,Düngemittel!$B$6:$E$64,3,FALSE))/100*BL26</f>
        <v>0</v>
      </c>
      <c r="BN26" s="1033">
        <f>VLOOKUP(BK26,Düngemittel!$B$6:$E$64,2,FALSE)*BL26</f>
        <v>0</v>
      </c>
      <c r="BO26" s="1033">
        <f>VLOOKUP(BK26,Düngemittel!$B$6:$E$64,4,FALSE)*BL26</f>
        <v>0</v>
      </c>
      <c r="BP26" s="1878"/>
      <c r="BQ26" s="1812">
        <f t="shared" si="22"/>
        <v>0</v>
      </c>
      <c r="BR26" s="1889">
        <f t="shared" si="23"/>
        <v>0</v>
      </c>
      <c r="BS26" s="1812">
        <f t="shared" si="23"/>
        <v>0</v>
      </c>
      <c r="BT26" s="1138">
        <f t="shared" si="24"/>
        <v>0</v>
      </c>
      <c r="BU26" s="1889">
        <f t="shared" si="25"/>
        <v>0</v>
      </c>
      <c r="BV26" s="95"/>
      <c r="BW26" s="1810">
        <f t="shared" si="26"/>
        <v>0</v>
      </c>
      <c r="BX26" s="1135">
        <f t="shared" si="26"/>
        <v>0</v>
      </c>
      <c r="BY26" s="1810">
        <f t="shared" si="26"/>
        <v>0</v>
      </c>
      <c r="BZ26" s="1807">
        <f t="shared" si="26"/>
        <v>0</v>
      </c>
      <c r="CA26" s="1135">
        <f t="shared" si="26"/>
        <v>0</v>
      </c>
      <c r="CB26" s="1878"/>
      <c r="CD26">
        <v>0</v>
      </c>
      <c r="CE26">
        <v>0</v>
      </c>
      <c r="CG26" s="2141" t="s">
        <v>1280</v>
      </c>
      <c r="CH26" s="33">
        <v>80</v>
      </c>
      <c r="CI26" s="33">
        <v>85</v>
      </c>
      <c r="CJ26" s="33">
        <v>20</v>
      </c>
      <c r="CK26" s="323">
        <v>20</v>
      </c>
      <c r="CL26" s="323">
        <v>20</v>
      </c>
      <c r="CM26" s="323">
        <f>CL26*2/3</f>
        <v>13.333333333333334</v>
      </c>
      <c r="CN26" s="323">
        <v>5</v>
      </c>
      <c r="CO26" s="323">
        <v>15</v>
      </c>
      <c r="CP26" s="1001">
        <v>9.9000000000000005E-2</v>
      </c>
      <c r="CS26" s="1917"/>
      <c r="CT26" s="1913"/>
    </row>
    <row r="27" spans="1:98" ht="32.25" customHeight="1">
      <c r="A27" s="1750">
        <v>20</v>
      </c>
      <c r="B27" s="2169">
        <v>0</v>
      </c>
      <c r="C27" s="2172" t="s">
        <v>31</v>
      </c>
      <c r="D27" s="1946">
        <f t="shared" si="0"/>
        <v>0</v>
      </c>
      <c r="E27" s="1947">
        <f t="shared" si="1"/>
        <v>0</v>
      </c>
      <c r="F27" s="1941">
        <v>0</v>
      </c>
      <c r="G27" s="1949">
        <f t="shared" si="15"/>
        <v>0</v>
      </c>
      <c r="H27" s="1949">
        <f t="shared" si="16"/>
        <v>0</v>
      </c>
      <c r="I27" s="1949">
        <f t="shared" si="2"/>
        <v>0</v>
      </c>
      <c r="J27" s="1949">
        <f t="shared" si="3"/>
        <v>0</v>
      </c>
      <c r="K27" s="1949">
        <f t="shared" si="4"/>
        <v>0</v>
      </c>
      <c r="L27" s="1928">
        <f t="shared" si="17"/>
        <v>0</v>
      </c>
      <c r="M27" s="1943"/>
      <c r="N27" s="761" t="s">
        <v>503</v>
      </c>
      <c r="O27" s="1905">
        <f t="shared" si="5"/>
        <v>0</v>
      </c>
      <c r="P27" s="761" t="s">
        <v>25</v>
      </c>
      <c r="Q27" s="1905">
        <f t="shared" si="6"/>
        <v>0</v>
      </c>
      <c r="R27" s="1906">
        <f t="shared" si="7"/>
        <v>0</v>
      </c>
      <c r="S27" s="1957">
        <v>0</v>
      </c>
      <c r="T27" s="1907" t="s">
        <v>160</v>
      </c>
      <c r="U27" s="1752">
        <f t="shared" si="8"/>
        <v>0</v>
      </c>
      <c r="V27" s="1961">
        <v>0</v>
      </c>
      <c r="W27" s="1954" t="s">
        <v>1314</v>
      </c>
      <c r="X27" s="1931">
        <f t="shared" si="9"/>
        <v>0</v>
      </c>
      <c r="Y27" s="1954" t="s">
        <v>1314</v>
      </c>
      <c r="Z27" s="1965">
        <f t="shared" si="18"/>
        <v>0</v>
      </c>
      <c r="AA27" s="1966">
        <f t="shared" si="19"/>
        <v>0</v>
      </c>
      <c r="AB27" s="1951">
        <f t="shared" si="20"/>
        <v>0</v>
      </c>
      <c r="AC27" s="2097">
        <f t="shared" si="10"/>
        <v>0</v>
      </c>
      <c r="AD27" s="1951">
        <f t="shared" si="21"/>
        <v>0</v>
      </c>
      <c r="AE27" s="1878"/>
      <c r="AF27" s="1281">
        <f t="shared" si="12"/>
        <v>20</v>
      </c>
      <c r="AG27" s="1281" t="str">
        <f t="shared" si="13"/>
        <v>keine</v>
      </c>
      <c r="AH27" s="1329"/>
      <c r="AI27" s="1330" t="s">
        <v>795</v>
      </c>
      <c r="AJ27" s="1424">
        <v>0</v>
      </c>
      <c r="AK27" s="1033">
        <f>VLOOKUP(AI27,Düngemittel!$B$6:$E$64,2,FALSE)*(VLOOKUP(AI27,Düngemittel!$B$6:$E$64,3,FALSE))/100*AJ27</f>
        <v>0</v>
      </c>
      <c r="AL27" s="1033">
        <f>VLOOKUP(AI27,Düngemittel!$B$6:$E$64,2,FALSE)*AJ27</f>
        <v>0</v>
      </c>
      <c r="AM27" s="1033">
        <f>VLOOKUP(AI27,Düngemittel!$B$6:$E$64,4,FALSE)*AJ27</f>
        <v>0</v>
      </c>
      <c r="AN27" s="2089"/>
      <c r="AO27" s="1329"/>
      <c r="AP27" s="1330" t="s">
        <v>795</v>
      </c>
      <c r="AQ27" s="1424">
        <v>0</v>
      </c>
      <c r="AR27" s="1033">
        <f>VLOOKUP(AP27,Düngemittel!$B$6:$E$64,2,FALSE)*(VLOOKUP(AP27,Düngemittel!$B$6:$E$64,3,FALSE))/100*AQ27</f>
        <v>0</v>
      </c>
      <c r="AS27" s="1033">
        <f>VLOOKUP(AP27,Düngemittel!$B$6:$E$64,2,FALSE)*AQ27</f>
        <v>0</v>
      </c>
      <c r="AT27" s="1033">
        <f>VLOOKUP(AP27,Düngemittel!$B$6:$E$64,4,FALSE)*AQ27</f>
        <v>0</v>
      </c>
      <c r="AU27" s="2089"/>
      <c r="AV27" s="1329"/>
      <c r="AW27" s="1330" t="s">
        <v>795</v>
      </c>
      <c r="AX27" s="1424">
        <v>0</v>
      </c>
      <c r="AY27" s="1033">
        <f>VLOOKUP(AW27,Düngemittel!$B$6:$E$64,2,FALSE)*(VLOOKUP(AW27,Düngemittel!$B$6:$E$64,3,FALSE))/100*AX27</f>
        <v>0</v>
      </c>
      <c r="AZ27" s="1033">
        <f>VLOOKUP(AW27,Düngemittel!$B$6:$E$64,2,FALSE)*AX27</f>
        <v>0</v>
      </c>
      <c r="BA27" s="1033">
        <f>VLOOKUP(AW27,Düngemittel!$B$6:$E$64,4,FALSE)*AX27</f>
        <v>0</v>
      </c>
      <c r="BB27" s="2089"/>
      <c r="BC27" s="1329"/>
      <c r="BD27" s="1330" t="s">
        <v>795</v>
      </c>
      <c r="BE27" s="1424">
        <v>0</v>
      </c>
      <c r="BF27" s="1033">
        <f>VLOOKUP(BD27,Düngemittel!$B$6:$E$64,2,FALSE)*(VLOOKUP(BD27,Düngemittel!$B$6:$E$64,3,FALSE))/100*BE27</f>
        <v>0</v>
      </c>
      <c r="BG27" s="1033">
        <f>VLOOKUP(BD27,Düngemittel!$B$6:$E$64,2,FALSE)*BE27</f>
        <v>0</v>
      </c>
      <c r="BH27" s="1033">
        <f>VLOOKUP(BD27,Düngemittel!$B$6:$E$64,4,FALSE)*BE27</f>
        <v>0</v>
      </c>
      <c r="BI27" s="2089"/>
      <c r="BJ27" s="1329"/>
      <c r="BK27" s="1330" t="s">
        <v>795</v>
      </c>
      <c r="BL27" s="1424">
        <v>0</v>
      </c>
      <c r="BM27" s="1033">
        <f>VLOOKUP(BK27,Düngemittel!$B$6:$E$64,2,FALSE)*(VLOOKUP(BK27,Düngemittel!$B$6:$E$64,3,FALSE))/100*BL27</f>
        <v>0</v>
      </c>
      <c r="BN27" s="1033">
        <f>VLOOKUP(BK27,Düngemittel!$B$6:$E$64,2,FALSE)*BL27</f>
        <v>0</v>
      </c>
      <c r="BO27" s="1033">
        <f>VLOOKUP(BK27,Düngemittel!$B$6:$E$64,4,FALSE)*BL27</f>
        <v>0</v>
      </c>
      <c r="BP27" s="1878"/>
      <c r="BQ27" s="1812">
        <f t="shared" si="22"/>
        <v>0</v>
      </c>
      <c r="BR27" s="1889">
        <f t="shared" si="23"/>
        <v>0</v>
      </c>
      <c r="BS27" s="1812">
        <f t="shared" si="23"/>
        <v>0</v>
      </c>
      <c r="BT27" s="1138">
        <f t="shared" si="24"/>
        <v>0</v>
      </c>
      <c r="BU27" s="1889">
        <f t="shared" si="25"/>
        <v>0</v>
      </c>
      <c r="BV27" s="95"/>
      <c r="BW27" s="1810">
        <f t="shared" si="26"/>
        <v>0</v>
      </c>
      <c r="BX27" s="1135">
        <f t="shared" si="26"/>
        <v>0</v>
      </c>
      <c r="BY27" s="1810">
        <f t="shared" si="26"/>
        <v>0</v>
      </c>
      <c r="BZ27" s="1807">
        <f t="shared" si="26"/>
        <v>0</v>
      </c>
      <c r="CA27" s="1135">
        <f t="shared" si="26"/>
        <v>0</v>
      </c>
      <c r="CB27" s="1878"/>
      <c r="CD27">
        <v>0</v>
      </c>
      <c r="CE27">
        <v>0</v>
      </c>
      <c r="CG27" s="2141" t="s">
        <v>1281</v>
      </c>
      <c r="CH27" s="33">
        <v>130</v>
      </c>
      <c r="CI27" s="33">
        <v>110</v>
      </c>
      <c r="CJ27" s="33">
        <v>20</v>
      </c>
      <c r="CK27" s="323">
        <v>20</v>
      </c>
      <c r="CL27" s="323">
        <v>20</v>
      </c>
      <c r="CM27" s="323">
        <f>CL27*2/3</f>
        <v>13.333333333333334</v>
      </c>
      <c r="CN27" s="323">
        <v>5</v>
      </c>
      <c r="CO27" s="323">
        <v>15</v>
      </c>
      <c r="CP27" s="1001">
        <v>9.9000000000000005E-2</v>
      </c>
      <c r="CS27" s="1910"/>
      <c r="CT27" s="1911"/>
    </row>
    <row r="28" spans="1:98" ht="32.25" customHeight="1">
      <c r="A28" s="1750">
        <v>21</v>
      </c>
      <c r="B28" s="2169">
        <v>0</v>
      </c>
      <c r="C28" s="2172" t="s">
        <v>31</v>
      </c>
      <c r="D28" s="1946">
        <f t="shared" si="0"/>
        <v>0</v>
      </c>
      <c r="E28" s="1947">
        <f t="shared" si="1"/>
        <v>0</v>
      </c>
      <c r="F28" s="1941">
        <v>0</v>
      </c>
      <c r="G28" s="1949">
        <f t="shared" si="15"/>
        <v>0</v>
      </c>
      <c r="H28" s="1949">
        <f t="shared" si="16"/>
        <v>0</v>
      </c>
      <c r="I28" s="1949">
        <f t="shared" si="2"/>
        <v>0</v>
      </c>
      <c r="J28" s="1949">
        <f t="shared" si="3"/>
        <v>0</v>
      </c>
      <c r="K28" s="1949">
        <f t="shared" si="4"/>
        <v>0</v>
      </c>
      <c r="L28" s="1928">
        <f t="shared" si="17"/>
        <v>0</v>
      </c>
      <c r="M28" s="1943"/>
      <c r="N28" s="761" t="s">
        <v>503</v>
      </c>
      <c r="O28" s="1905">
        <f t="shared" si="5"/>
        <v>0</v>
      </c>
      <c r="P28" s="761" t="s">
        <v>25</v>
      </c>
      <c r="Q28" s="1905">
        <f t="shared" si="6"/>
        <v>0</v>
      </c>
      <c r="R28" s="1906">
        <f t="shared" si="7"/>
        <v>0</v>
      </c>
      <c r="S28" s="1957">
        <v>0</v>
      </c>
      <c r="T28" s="1907" t="s">
        <v>160</v>
      </c>
      <c r="U28" s="1752">
        <f t="shared" si="8"/>
        <v>0</v>
      </c>
      <c r="V28" s="1961">
        <v>0</v>
      </c>
      <c r="W28" s="1954" t="s">
        <v>1314</v>
      </c>
      <c r="X28" s="1931">
        <f t="shared" si="9"/>
        <v>0</v>
      </c>
      <c r="Y28" s="1954" t="s">
        <v>1314</v>
      </c>
      <c r="Z28" s="1965">
        <f t="shared" si="18"/>
        <v>0</v>
      </c>
      <c r="AA28" s="1966">
        <f t="shared" si="19"/>
        <v>0</v>
      </c>
      <c r="AB28" s="1951">
        <f t="shared" si="20"/>
        <v>0</v>
      </c>
      <c r="AC28" s="2097">
        <f t="shared" si="10"/>
        <v>0</v>
      </c>
      <c r="AD28" s="1951">
        <f t="shared" si="21"/>
        <v>0</v>
      </c>
      <c r="AE28" s="142"/>
      <c r="AF28" s="1281">
        <f t="shared" si="12"/>
        <v>21</v>
      </c>
      <c r="AG28" s="1281" t="str">
        <f t="shared" si="13"/>
        <v>keine</v>
      </c>
      <c r="AH28" s="1329"/>
      <c r="AI28" s="1330" t="s">
        <v>795</v>
      </c>
      <c r="AJ28" s="1424">
        <v>0</v>
      </c>
      <c r="AK28" s="1033">
        <f>VLOOKUP(AI28,Düngemittel!$B$6:$E$64,2,FALSE)*(VLOOKUP(AI28,Düngemittel!$B$6:$E$64,3,FALSE))/100*AJ28</f>
        <v>0</v>
      </c>
      <c r="AL28" s="1033">
        <f>VLOOKUP(AI28,Düngemittel!$B$6:$E$64,2,FALSE)*AJ28</f>
        <v>0</v>
      </c>
      <c r="AM28" s="1033">
        <f>VLOOKUP(AI28,Düngemittel!$B$6:$E$64,4,FALSE)*AJ28</f>
        <v>0</v>
      </c>
      <c r="AN28" s="142"/>
      <c r="AO28" s="1329"/>
      <c r="AP28" s="1330" t="s">
        <v>795</v>
      </c>
      <c r="AQ28" s="1424">
        <v>0</v>
      </c>
      <c r="AR28" s="1033">
        <f>VLOOKUP(AP28,Düngemittel!$B$6:$E$64,2,FALSE)*(VLOOKUP(AP28,Düngemittel!$B$6:$E$64,3,FALSE))/100*AQ28</f>
        <v>0</v>
      </c>
      <c r="AS28" s="1033">
        <f>VLOOKUP(AP28,Düngemittel!$B$6:$E$64,2,FALSE)*AQ28</f>
        <v>0</v>
      </c>
      <c r="AT28" s="1033">
        <f>VLOOKUP(AP28,Düngemittel!$B$6:$E$64,4,FALSE)*AQ28</f>
        <v>0</v>
      </c>
      <c r="AU28" s="142"/>
      <c r="AV28" s="1329"/>
      <c r="AW28" s="1330" t="s">
        <v>795</v>
      </c>
      <c r="AX28" s="1424">
        <v>0</v>
      </c>
      <c r="AY28" s="1033">
        <f>VLOOKUP(AW28,Düngemittel!$B$6:$E$64,2,FALSE)*(VLOOKUP(AW28,Düngemittel!$B$6:$E$64,3,FALSE))/100*AX28</f>
        <v>0</v>
      </c>
      <c r="AZ28" s="1033">
        <f>VLOOKUP(AW28,Düngemittel!$B$6:$E$64,2,FALSE)*AX28</f>
        <v>0</v>
      </c>
      <c r="BA28" s="1033">
        <f>VLOOKUP(AW28,Düngemittel!$B$6:$E$64,4,FALSE)*AX28</f>
        <v>0</v>
      </c>
      <c r="BB28" s="142"/>
      <c r="BC28" s="1329"/>
      <c r="BD28" s="1330" t="s">
        <v>795</v>
      </c>
      <c r="BE28" s="1424">
        <v>0</v>
      </c>
      <c r="BF28" s="1033">
        <f>VLOOKUP(BD28,Düngemittel!$B$6:$E$64,2,FALSE)*(VLOOKUP(BD28,Düngemittel!$B$6:$E$64,3,FALSE))/100*BE28</f>
        <v>0</v>
      </c>
      <c r="BG28" s="1033">
        <f>VLOOKUP(BD28,Düngemittel!$B$6:$E$64,2,FALSE)*BE28</f>
        <v>0</v>
      </c>
      <c r="BH28" s="1033">
        <f>VLOOKUP(BD28,Düngemittel!$B$6:$E$64,4,FALSE)*BE28</f>
        <v>0</v>
      </c>
      <c r="BI28" s="142"/>
      <c r="BJ28" s="1329"/>
      <c r="BK28" s="1330" t="s">
        <v>795</v>
      </c>
      <c r="BL28" s="1424">
        <v>0</v>
      </c>
      <c r="BM28" s="1033">
        <f>VLOOKUP(BK28,Düngemittel!$B$6:$E$64,2,FALSE)*(VLOOKUP(BK28,Düngemittel!$B$6:$E$64,3,FALSE))/100*BL28</f>
        <v>0</v>
      </c>
      <c r="BN28" s="1033">
        <f>VLOOKUP(BK28,Düngemittel!$B$6:$E$64,2,FALSE)*BL28</f>
        <v>0</v>
      </c>
      <c r="BO28" s="1033">
        <f>VLOOKUP(BK28,Düngemittel!$B$6:$E$64,4,FALSE)*BL28</f>
        <v>0</v>
      </c>
      <c r="BP28" s="142"/>
      <c r="BQ28" s="1812">
        <f t="shared" si="22"/>
        <v>0</v>
      </c>
      <c r="BR28" s="1889">
        <f t="shared" si="23"/>
        <v>0</v>
      </c>
      <c r="BS28" s="1812">
        <f t="shared" si="23"/>
        <v>0</v>
      </c>
      <c r="BT28" s="1138">
        <f t="shared" si="24"/>
        <v>0</v>
      </c>
      <c r="BU28" s="1889">
        <f t="shared" si="25"/>
        <v>0</v>
      </c>
      <c r="BV28" s="95"/>
      <c r="BW28" s="1810">
        <f t="shared" si="26"/>
        <v>0</v>
      </c>
      <c r="BX28" s="1135">
        <f t="shared" si="26"/>
        <v>0</v>
      </c>
      <c r="BY28" s="1810">
        <f t="shared" si="26"/>
        <v>0</v>
      </c>
      <c r="BZ28" s="1807">
        <f t="shared" si="26"/>
        <v>0</v>
      </c>
      <c r="CA28" s="1135">
        <f t="shared" si="26"/>
        <v>0</v>
      </c>
      <c r="CB28" s="1878"/>
      <c r="CD28">
        <v>0</v>
      </c>
      <c r="CE28">
        <v>0</v>
      </c>
      <c r="CG28" s="2152" t="s">
        <v>1509</v>
      </c>
      <c r="CH28" s="33">
        <v>150</v>
      </c>
      <c r="CI28" s="33">
        <v>120</v>
      </c>
      <c r="CJ28" s="33">
        <v>10</v>
      </c>
      <c r="CK28" s="2153">
        <v>12</v>
      </c>
      <c r="CL28" s="2153">
        <v>12</v>
      </c>
      <c r="CM28" s="2152">
        <v>0</v>
      </c>
      <c r="CN28" s="2152">
        <v>0</v>
      </c>
      <c r="CO28" s="2152">
        <v>30</v>
      </c>
      <c r="CP28" s="2157">
        <v>0.26</v>
      </c>
      <c r="CS28" s="1910"/>
      <c r="CT28" s="1911"/>
    </row>
    <row r="29" spans="1:98" ht="32.25" customHeight="1">
      <c r="A29" s="1750">
        <v>22</v>
      </c>
      <c r="B29" s="2169">
        <v>0</v>
      </c>
      <c r="C29" s="2172" t="s">
        <v>31</v>
      </c>
      <c r="D29" s="1946">
        <f t="shared" si="0"/>
        <v>0</v>
      </c>
      <c r="E29" s="1947">
        <f t="shared" si="1"/>
        <v>0</v>
      </c>
      <c r="F29" s="1941">
        <v>0</v>
      </c>
      <c r="G29" s="1949">
        <f t="shared" ref="G29:G49" si="28">F29-D29</f>
        <v>0</v>
      </c>
      <c r="H29" s="1949">
        <f t="shared" ref="H29:H49" si="29">IF(G29=0,0,G29*100/D29)</f>
        <v>0</v>
      </c>
      <c r="I29" s="1949">
        <f t="shared" si="2"/>
        <v>0</v>
      </c>
      <c r="J29" s="1949">
        <f t="shared" si="3"/>
        <v>0</v>
      </c>
      <c r="K29" s="1949">
        <f t="shared" ref="K29:K49" si="30">VLOOKUP(C29,CG$4:CR$158,6,FALSE)</f>
        <v>0</v>
      </c>
      <c r="L29" s="1928">
        <f t="shared" ref="L29:L49" si="31">IF(D29=0,0,IF(H29&gt;0,ROUNDDOWN(H29/I29,0)*J29,IF(H29&lt;=0,ROUNDDOWN(H29/I29,0)*K29,IF(G29&gt;0,G29*J29/F29,K29*G29/0))))</f>
        <v>0</v>
      </c>
      <c r="M29" s="1943"/>
      <c r="N29" s="761" t="s">
        <v>503</v>
      </c>
      <c r="O29" s="1905">
        <f t="shared" si="5"/>
        <v>0</v>
      </c>
      <c r="P29" s="761" t="s">
        <v>25</v>
      </c>
      <c r="Q29" s="1905">
        <f t="shared" si="6"/>
        <v>0</v>
      </c>
      <c r="R29" s="1906">
        <f t="shared" si="7"/>
        <v>0</v>
      </c>
      <c r="S29" s="1957">
        <v>0</v>
      </c>
      <c r="T29" s="1907" t="s">
        <v>160</v>
      </c>
      <c r="U29" s="1752">
        <f t="shared" si="8"/>
        <v>0</v>
      </c>
      <c r="V29" s="1961">
        <v>0</v>
      </c>
      <c r="W29" s="1954" t="s">
        <v>1314</v>
      </c>
      <c r="X29" s="1931">
        <f t="shared" si="9"/>
        <v>0</v>
      </c>
      <c r="Y29" s="1954" t="s">
        <v>1314</v>
      </c>
      <c r="Z29" s="1965">
        <f t="shared" ref="Z29:Z49" si="32">IF(Y29="Nein",0,22.5)</f>
        <v>0</v>
      </c>
      <c r="AA29" s="1966">
        <f t="shared" ref="AA29:AA49" si="33">IF(E29+L29-X29-S29-V29-U29-O29-Q29-Z29&lt;0,0,E29+L29-X29-S29-V29-U29-O29-Q29-Z29)</f>
        <v>0</v>
      </c>
      <c r="AB29" s="1951">
        <f t="shared" ref="AB29:AB49" si="34">IF(AA29&lt;0,0,AA29*B29)</f>
        <v>0</v>
      </c>
      <c r="AC29" s="2097">
        <f t="shared" si="10"/>
        <v>0</v>
      </c>
      <c r="AD29" s="1951">
        <f t="shared" ref="AD29:AD49" si="35">IF(AC29&lt;0,0,AC29*B29)</f>
        <v>0</v>
      </c>
      <c r="AE29" s="142"/>
      <c r="AF29" s="1281">
        <f t="shared" ref="AF29:AF49" si="36">A29</f>
        <v>22</v>
      </c>
      <c r="AG29" s="1281" t="str">
        <f t="shared" ref="AG29:AG49" si="37">C29</f>
        <v>keine</v>
      </c>
      <c r="AH29" s="1329"/>
      <c r="AI29" s="1330" t="s">
        <v>795</v>
      </c>
      <c r="AJ29" s="1424">
        <v>0</v>
      </c>
      <c r="AK29" s="1033">
        <f>VLOOKUP(AI29,Düngemittel!$B$6:$E$64,2,FALSE)*(VLOOKUP(AI29,Düngemittel!$B$6:$E$64,3,FALSE))/100*AJ29</f>
        <v>0</v>
      </c>
      <c r="AL29" s="1033">
        <f>VLOOKUP(AI29,Düngemittel!$B$6:$E$64,2,FALSE)*AJ29</f>
        <v>0</v>
      </c>
      <c r="AM29" s="1033">
        <f>VLOOKUP(AI29,Düngemittel!$B$6:$E$64,4,FALSE)*AJ29</f>
        <v>0</v>
      </c>
      <c r="AN29" s="142"/>
      <c r="AO29" s="1329"/>
      <c r="AP29" s="1330" t="s">
        <v>795</v>
      </c>
      <c r="AQ29" s="1424">
        <v>0</v>
      </c>
      <c r="AR29" s="1033">
        <f>VLOOKUP(AP29,Düngemittel!$B$6:$E$64,2,FALSE)*(VLOOKUP(AP29,Düngemittel!$B$6:$E$64,3,FALSE))/100*AQ29</f>
        <v>0</v>
      </c>
      <c r="AS29" s="1033">
        <f>VLOOKUP(AP29,Düngemittel!$B$6:$E$64,2,FALSE)*AQ29</f>
        <v>0</v>
      </c>
      <c r="AT29" s="1033">
        <f>VLOOKUP(AP29,Düngemittel!$B$6:$E$64,4,FALSE)*AQ29</f>
        <v>0</v>
      </c>
      <c r="AU29" s="142"/>
      <c r="AV29" s="1329"/>
      <c r="AW29" s="1330" t="s">
        <v>795</v>
      </c>
      <c r="AX29" s="1424">
        <v>0</v>
      </c>
      <c r="AY29" s="1033">
        <f>VLOOKUP(AW29,Düngemittel!$B$6:$E$64,2,FALSE)*(VLOOKUP(AW29,Düngemittel!$B$6:$E$64,3,FALSE))/100*AX29</f>
        <v>0</v>
      </c>
      <c r="AZ29" s="1033">
        <f>VLOOKUP(AW29,Düngemittel!$B$6:$E$64,2,FALSE)*AX29</f>
        <v>0</v>
      </c>
      <c r="BA29" s="1033">
        <f>VLOOKUP(AW29,Düngemittel!$B$6:$E$64,4,FALSE)*AX29</f>
        <v>0</v>
      </c>
      <c r="BB29" s="142"/>
      <c r="BC29" s="1329"/>
      <c r="BD29" s="1330" t="s">
        <v>795</v>
      </c>
      <c r="BE29" s="1424">
        <v>0</v>
      </c>
      <c r="BF29" s="1033">
        <f>VLOOKUP(BD29,Düngemittel!$B$6:$E$64,2,FALSE)*(VLOOKUP(BD29,Düngemittel!$B$6:$E$64,3,FALSE))/100*BE29</f>
        <v>0</v>
      </c>
      <c r="BG29" s="1033">
        <f>VLOOKUP(BD29,Düngemittel!$B$6:$E$64,2,FALSE)*BE29</f>
        <v>0</v>
      </c>
      <c r="BH29" s="1033">
        <f>VLOOKUP(BD29,Düngemittel!$B$6:$E$64,4,FALSE)*BE29</f>
        <v>0</v>
      </c>
      <c r="BI29" s="142"/>
      <c r="BJ29" s="1329"/>
      <c r="BK29" s="1330" t="s">
        <v>795</v>
      </c>
      <c r="BL29" s="1424">
        <v>0</v>
      </c>
      <c r="BM29" s="1033">
        <f>VLOOKUP(BK29,Düngemittel!$B$6:$E$64,2,FALSE)*(VLOOKUP(BK29,Düngemittel!$B$6:$E$64,3,FALSE))/100*BL29</f>
        <v>0</v>
      </c>
      <c r="BN29" s="1033">
        <f>VLOOKUP(BK29,Düngemittel!$B$6:$E$64,2,FALSE)*BL29</f>
        <v>0</v>
      </c>
      <c r="BO29" s="1033">
        <f>VLOOKUP(BK29,Düngemittel!$B$6:$E$64,4,FALSE)*BL29</f>
        <v>0</v>
      </c>
      <c r="BP29" s="142"/>
      <c r="BQ29" s="1812">
        <f t="shared" ref="BQ29:BQ49" si="38">IF(AK29&lt;AL29,0,AK29)+IF(AR29&lt;AS29,0,AR29)+IF(AY29&lt;AZ29,0,AY29)+IF(BF29&lt;BG29,0,BF29)+IF(BM29&lt;BN29,0,BM29)</f>
        <v>0</v>
      </c>
      <c r="BR29" s="2328">
        <f t="shared" ref="BR29:BR49" si="39">(AK29+AR29+AY29+BF29+BM29)</f>
        <v>0</v>
      </c>
      <c r="BS29" s="1812">
        <f t="shared" ref="BS29:BS49" si="40">(AL29+AS29+AZ29+BG29+BN29)</f>
        <v>0</v>
      </c>
      <c r="BT29" s="1138">
        <f t="shared" ref="BT29:BT49" si="41">IF(AK29&lt;AL29,AL29,0)+IF(AR29&lt;AS29,AS29,0)+IF(AY29&lt;AZ29,AZ29,0)+IF(BF29&lt;BG29,BG29,0)+IF(BM29&lt;BN29,BN29,0)</f>
        <v>0</v>
      </c>
      <c r="BU29" s="2328">
        <f t="shared" ref="BU29:BU49" si="42">(AM29+AT29+BA29+BH29+BO29)</f>
        <v>0</v>
      </c>
      <c r="BV29" s="95"/>
      <c r="BW29" s="1810">
        <f t="shared" ref="BW29:BW49" si="43">BQ29*$B29</f>
        <v>0</v>
      </c>
      <c r="BX29" s="1135">
        <f t="shared" ref="BX29:BX49" si="44">BR29*$B29</f>
        <v>0</v>
      </c>
      <c r="BY29" s="1810">
        <f t="shared" ref="BY29:BY49" si="45">BS29*$B29</f>
        <v>0</v>
      </c>
      <c r="BZ29" s="1807">
        <f t="shared" ref="BZ29:BZ49" si="46">BT29*$B29</f>
        <v>0</v>
      </c>
      <c r="CA29" s="1135">
        <f t="shared" ref="CA29:CA49" si="47">BU29*$B29</f>
        <v>0</v>
      </c>
      <c r="CB29" s="2324"/>
      <c r="CD29">
        <v>0</v>
      </c>
      <c r="CE29">
        <v>0</v>
      </c>
      <c r="CG29" s="2141" t="s">
        <v>1349</v>
      </c>
      <c r="CH29" s="33">
        <v>80</v>
      </c>
      <c r="CI29" s="33">
        <v>85</v>
      </c>
      <c r="CJ29" s="33">
        <v>20</v>
      </c>
      <c r="CK29" s="323">
        <v>20</v>
      </c>
      <c r="CL29" s="323">
        <v>20</v>
      </c>
      <c r="CM29" s="323">
        <f>CL29*2/3</f>
        <v>13.333333333333334</v>
      </c>
      <c r="CN29" s="323">
        <v>65</v>
      </c>
      <c r="CO29" s="323">
        <v>60</v>
      </c>
      <c r="CP29" s="1001">
        <v>0.22900000000000001</v>
      </c>
      <c r="CS29" s="1910"/>
      <c r="CT29" s="1911"/>
    </row>
    <row r="30" spans="1:98" ht="32.25" customHeight="1">
      <c r="A30" s="1750">
        <v>23</v>
      </c>
      <c r="B30" s="2169">
        <v>0</v>
      </c>
      <c r="C30" s="2172" t="s">
        <v>31</v>
      </c>
      <c r="D30" s="1946">
        <f t="shared" si="0"/>
        <v>0</v>
      </c>
      <c r="E30" s="1947">
        <f t="shared" si="1"/>
        <v>0</v>
      </c>
      <c r="F30" s="1941">
        <v>0</v>
      </c>
      <c r="G30" s="1949">
        <f t="shared" si="28"/>
        <v>0</v>
      </c>
      <c r="H30" s="1949">
        <f t="shared" si="29"/>
        <v>0</v>
      </c>
      <c r="I30" s="1949">
        <f t="shared" si="2"/>
        <v>0</v>
      </c>
      <c r="J30" s="1949">
        <f t="shared" si="3"/>
        <v>0</v>
      </c>
      <c r="K30" s="1949">
        <f t="shared" si="30"/>
        <v>0</v>
      </c>
      <c r="L30" s="1928">
        <f t="shared" si="31"/>
        <v>0</v>
      </c>
      <c r="M30" s="1943"/>
      <c r="N30" s="761" t="s">
        <v>503</v>
      </c>
      <c r="O30" s="1905">
        <f t="shared" si="5"/>
        <v>0</v>
      </c>
      <c r="P30" s="761" t="s">
        <v>25</v>
      </c>
      <c r="Q30" s="1905">
        <f t="shared" si="6"/>
        <v>0</v>
      </c>
      <c r="R30" s="1906">
        <f t="shared" si="7"/>
        <v>0</v>
      </c>
      <c r="S30" s="1957">
        <v>0</v>
      </c>
      <c r="T30" s="1907" t="s">
        <v>160</v>
      </c>
      <c r="U30" s="1752">
        <f t="shared" si="8"/>
        <v>0</v>
      </c>
      <c r="V30" s="1961">
        <v>0</v>
      </c>
      <c r="W30" s="1954" t="s">
        <v>1314</v>
      </c>
      <c r="X30" s="1931">
        <f t="shared" si="9"/>
        <v>0</v>
      </c>
      <c r="Y30" s="1954" t="s">
        <v>1314</v>
      </c>
      <c r="Z30" s="1965">
        <f t="shared" si="32"/>
        <v>0</v>
      </c>
      <c r="AA30" s="1966">
        <f t="shared" si="33"/>
        <v>0</v>
      </c>
      <c r="AB30" s="1951">
        <f t="shared" si="34"/>
        <v>0</v>
      </c>
      <c r="AC30" s="2097">
        <f t="shared" si="10"/>
        <v>0</v>
      </c>
      <c r="AD30" s="1951">
        <f t="shared" si="35"/>
        <v>0</v>
      </c>
      <c r="AE30" s="142"/>
      <c r="AF30" s="1281">
        <f t="shared" si="36"/>
        <v>23</v>
      </c>
      <c r="AG30" s="1281" t="str">
        <f t="shared" si="37"/>
        <v>keine</v>
      </c>
      <c r="AH30" s="1329"/>
      <c r="AI30" s="1330" t="s">
        <v>795</v>
      </c>
      <c r="AJ30" s="1424">
        <v>0</v>
      </c>
      <c r="AK30" s="1033">
        <f>VLOOKUP(AI30,Düngemittel!$B$6:$E$64,2,FALSE)*(VLOOKUP(AI30,Düngemittel!$B$6:$E$64,3,FALSE))/100*AJ30</f>
        <v>0</v>
      </c>
      <c r="AL30" s="1033">
        <f>VLOOKUP(AI30,Düngemittel!$B$6:$E$64,2,FALSE)*AJ30</f>
        <v>0</v>
      </c>
      <c r="AM30" s="1033">
        <f>VLOOKUP(AI30,Düngemittel!$B$6:$E$64,4,FALSE)*AJ30</f>
        <v>0</v>
      </c>
      <c r="AN30" s="142"/>
      <c r="AO30" s="1329"/>
      <c r="AP30" s="1330" t="s">
        <v>795</v>
      </c>
      <c r="AQ30" s="1424">
        <v>0</v>
      </c>
      <c r="AR30" s="1033">
        <f>VLOOKUP(AP30,Düngemittel!$B$6:$E$64,2,FALSE)*(VLOOKUP(AP30,Düngemittel!$B$6:$E$64,3,FALSE))/100*AQ30</f>
        <v>0</v>
      </c>
      <c r="AS30" s="1033">
        <f>VLOOKUP(AP30,Düngemittel!$B$6:$E$64,2,FALSE)*AQ30</f>
        <v>0</v>
      </c>
      <c r="AT30" s="1033">
        <f>VLOOKUP(AP30,Düngemittel!$B$6:$E$64,4,FALSE)*AQ30</f>
        <v>0</v>
      </c>
      <c r="AU30" s="142"/>
      <c r="AV30" s="1329"/>
      <c r="AW30" s="1330" t="s">
        <v>795</v>
      </c>
      <c r="AX30" s="1424">
        <v>0</v>
      </c>
      <c r="AY30" s="1033">
        <f>VLOOKUP(AW30,Düngemittel!$B$6:$E$64,2,FALSE)*(VLOOKUP(AW30,Düngemittel!$B$6:$E$64,3,FALSE))/100*AX30</f>
        <v>0</v>
      </c>
      <c r="AZ30" s="1033">
        <f>VLOOKUP(AW30,Düngemittel!$B$6:$E$64,2,FALSE)*AX30</f>
        <v>0</v>
      </c>
      <c r="BA30" s="1033">
        <f>VLOOKUP(AW30,Düngemittel!$B$6:$E$64,4,FALSE)*AX30</f>
        <v>0</v>
      </c>
      <c r="BB30" s="142"/>
      <c r="BC30" s="1329"/>
      <c r="BD30" s="1330" t="s">
        <v>795</v>
      </c>
      <c r="BE30" s="1424">
        <v>0</v>
      </c>
      <c r="BF30" s="1033">
        <f>VLOOKUP(BD30,Düngemittel!$B$6:$E$64,2,FALSE)*(VLOOKUP(BD30,Düngemittel!$B$6:$E$64,3,FALSE))/100*BE30</f>
        <v>0</v>
      </c>
      <c r="BG30" s="1033">
        <f>VLOOKUP(BD30,Düngemittel!$B$6:$E$64,2,FALSE)*BE30</f>
        <v>0</v>
      </c>
      <c r="BH30" s="1033">
        <f>VLOOKUP(BD30,Düngemittel!$B$6:$E$64,4,FALSE)*BE30</f>
        <v>0</v>
      </c>
      <c r="BI30" s="142"/>
      <c r="BJ30" s="1329"/>
      <c r="BK30" s="1330" t="s">
        <v>795</v>
      </c>
      <c r="BL30" s="1424">
        <v>0</v>
      </c>
      <c r="BM30" s="1033">
        <f>VLOOKUP(BK30,Düngemittel!$B$6:$E$64,2,FALSE)*(VLOOKUP(BK30,Düngemittel!$B$6:$E$64,3,FALSE))/100*BL30</f>
        <v>0</v>
      </c>
      <c r="BN30" s="1033">
        <f>VLOOKUP(BK30,Düngemittel!$B$6:$E$64,2,FALSE)*BL30</f>
        <v>0</v>
      </c>
      <c r="BO30" s="1033">
        <f>VLOOKUP(BK30,Düngemittel!$B$6:$E$64,4,FALSE)*BL30</f>
        <v>0</v>
      </c>
      <c r="BP30" s="142"/>
      <c r="BQ30" s="1812">
        <f t="shared" si="38"/>
        <v>0</v>
      </c>
      <c r="BR30" s="2328">
        <f t="shared" si="39"/>
        <v>0</v>
      </c>
      <c r="BS30" s="1812">
        <f t="shared" si="40"/>
        <v>0</v>
      </c>
      <c r="BT30" s="1138">
        <f t="shared" si="41"/>
        <v>0</v>
      </c>
      <c r="BU30" s="2328">
        <f t="shared" si="42"/>
        <v>0</v>
      </c>
      <c r="BV30" s="95"/>
      <c r="BW30" s="1810">
        <f t="shared" si="43"/>
        <v>0</v>
      </c>
      <c r="BX30" s="1135">
        <f t="shared" si="44"/>
        <v>0</v>
      </c>
      <c r="BY30" s="1810">
        <f t="shared" si="45"/>
        <v>0</v>
      </c>
      <c r="BZ30" s="1807">
        <f t="shared" si="46"/>
        <v>0</v>
      </c>
      <c r="CA30" s="1135">
        <f t="shared" si="47"/>
        <v>0</v>
      </c>
      <c r="CB30" s="2324"/>
      <c r="CD30">
        <v>0</v>
      </c>
      <c r="CE30">
        <v>0</v>
      </c>
      <c r="CG30" s="2141" t="s">
        <v>1282</v>
      </c>
      <c r="CH30" s="33">
        <v>400</v>
      </c>
      <c r="CI30" s="33">
        <v>200</v>
      </c>
      <c r="CJ30" s="33">
        <v>20</v>
      </c>
      <c r="CK30" s="323">
        <v>20</v>
      </c>
      <c r="CL30" s="323">
        <v>20</v>
      </c>
      <c r="CM30" s="323">
        <f>CL30*2/3</f>
        <v>13.333333333333334</v>
      </c>
      <c r="CN30" s="323">
        <v>35</v>
      </c>
      <c r="CO30" s="323">
        <v>60</v>
      </c>
      <c r="CP30" s="1001">
        <v>0.16300000000000001</v>
      </c>
      <c r="CS30" s="1910"/>
      <c r="CT30" s="1911"/>
    </row>
    <row r="31" spans="1:98" ht="32.25" customHeight="1">
      <c r="A31" s="1750">
        <v>24</v>
      </c>
      <c r="B31" s="2169">
        <v>0</v>
      </c>
      <c r="C31" s="2172" t="s">
        <v>31</v>
      </c>
      <c r="D31" s="1946">
        <f t="shared" si="0"/>
        <v>0</v>
      </c>
      <c r="E31" s="1947">
        <f t="shared" si="1"/>
        <v>0</v>
      </c>
      <c r="F31" s="1941">
        <v>0</v>
      </c>
      <c r="G31" s="1949">
        <f t="shared" si="28"/>
        <v>0</v>
      </c>
      <c r="H31" s="1949">
        <f t="shared" si="29"/>
        <v>0</v>
      </c>
      <c r="I31" s="1949">
        <f t="shared" si="2"/>
        <v>0</v>
      </c>
      <c r="J31" s="1949">
        <f t="shared" si="3"/>
        <v>0</v>
      </c>
      <c r="K31" s="1949">
        <f t="shared" si="30"/>
        <v>0</v>
      </c>
      <c r="L31" s="1928">
        <f t="shared" si="31"/>
        <v>0</v>
      </c>
      <c r="M31" s="1943"/>
      <c r="N31" s="761" t="s">
        <v>503</v>
      </c>
      <c r="O31" s="1905">
        <f t="shared" si="5"/>
        <v>0</v>
      </c>
      <c r="P31" s="761" t="s">
        <v>25</v>
      </c>
      <c r="Q31" s="1905">
        <f t="shared" si="6"/>
        <v>0</v>
      </c>
      <c r="R31" s="1906">
        <f t="shared" si="7"/>
        <v>0</v>
      </c>
      <c r="S31" s="1957">
        <v>0</v>
      </c>
      <c r="T31" s="1907" t="s">
        <v>160</v>
      </c>
      <c r="U31" s="1752">
        <f t="shared" si="8"/>
        <v>0</v>
      </c>
      <c r="V31" s="1961">
        <v>0</v>
      </c>
      <c r="W31" s="1954" t="s">
        <v>1314</v>
      </c>
      <c r="X31" s="1931">
        <f t="shared" si="9"/>
        <v>0</v>
      </c>
      <c r="Y31" s="1954" t="s">
        <v>1314</v>
      </c>
      <c r="Z31" s="1965">
        <f t="shared" si="32"/>
        <v>0</v>
      </c>
      <c r="AA31" s="1966">
        <f t="shared" si="33"/>
        <v>0</v>
      </c>
      <c r="AB31" s="1951">
        <f t="shared" si="34"/>
        <v>0</v>
      </c>
      <c r="AC31" s="2097">
        <f t="shared" si="10"/>
        <v>0</v>
      </c>
      <c r="AD31" s="1951">
        <f t="shared" si="35"/>
        <v>0</v>
      </c>
      <c r="AE31" s="142"/>
      <c r="AF31" s="1281">
        <f t="shared" si="36"/>
        <v>24</v>
      </c>
      <c r="AG31" s="1281" t="str">
        <f t="shared" si="37"/>
        <v>keine</v>
      </c>
      <c r="AH31" s="1329"/>
      <c r="AI31" s="1330" t="s">
        <v>795</v>
      </c>
      <c r="AJ31" s="1424">
        <v>0</v>
      </c>
      <c r="AK31" s="1033">
        <f>VLOOKUP(AI31,Düngemittel!$B$6:$E$64,2,FALSE)*(VLOOKUP(AI31,Düngemittel!$B$6:$E$64,3,FALSE))/100*AJ31</f>
        <v>0</v>
      </c>
      <c r="AL31" s="1033">
        <f>VLOOKUP(AI31,Düngemittel!$B$6:$E$64,2,FALSE)*AJ31</f>
        <v>0</v>
      </c>
      <c r="AM31" s="1033">
        <f>VLOOKUP(AI31,Düngemittel!$B$6:$E$64,4,FALSE)*AJ31</f>
        <v>0</v>
      </c>
      <c r="AN31" s="142"/>
      <c r="AO31" s="1329"/>
      <c r="AP31" s="1330" t="s">
        <v>795</v>
      </c>
      <c r="AQ31" s="1424">
        <v>0</v>
      </c>
      <c r="AR31" s="1033">
        <f>VLOOKUP(AP31,Düngemittel!$B$6:$E$64,2,FALSE)*(VLOOKUP(AP31,Düngemittel!$B$6:$E$64,3,FALSE))/100*AQ31</f>
        <v>0</v>
      </c>
      <c r="AS31" s="1033">
        <f>VLOOKUP(AP31,Düngemittel!$B$6:$E$64,2,FALSE)*AQ31</f>
        <v>0</v>
      </c>
      <c r="AT31" s="1033">
        <f>VLOOKUP(AP31,Düngemittel!$B$6:$E$64,4,FALSE)*AQ31</f>
        <v>0</v>
      </c>
      <c r="AU31" s="142"/>
      <c r="AV31" s="1329"/>
      <c r="AW31" s="1330" t="s">
        <v>795</v>
      </c>
      <c r="AX31" s="1424">
        <v>0</v>
      </c>
      <c r="AY31" s="1033">
        <f>VLOOKUP(AW31,Düngemittel!$B$6:$E$64,2,FALSE)*(VLOOKUP(AW31,Düngemittel!$B$6:$E$64,3,FALSE))/100*AX31</f>
        <v>0</v>
      </c>
      <c r="AZ31" s="1033">
        <f>VLOOKUP(AW31,Düngemittel!$B$6:$E$64,2,FALSE)*AX31</f>
        <v>0</v>
      </c>
      <c r="BA31" s="1033">
        <f>VLOOKUP(AW31,Düngemittel!$B$6:$E$64,4,FALSE)*AX31</f>
        <v>0</v>
      </c>
      <c r="BB31" s="142"/>
      <c r="BC31" s="1329"/>
      <c r="BD31" s="1330" t="s">
        <v>795</v>
      </c>
      <c r="BE31" s="1424">
        <v>0</v>
      </c>
      <c r="BF31" s="1033">
        <f>VLOOKUP(BD31,Düngemittel!$B$6:$E$64,2,FALSE)*(VLOOKUP(BD31,Düngemittel!$B$6:$E$64,3,FALSE))/100*BE31</f>
        <v>0</v>
      </c>
      <c r="BG31" s="1033">
        <f>VLOOKUP(BD31,Düngemittel!$B$6:$E$64,2,FALSE)*BE31</f>
        <v>0</v>
      </c>
      <c r="BH31" s="1033">
        <f>VLOOKUP(BD31,Düngemittel!$B$6:$E$64,4,FALSE)*BE31</f>
        <v>0</v>
      </c>
      <c r="BI31" s="142"/>
      <c r="BJ31" s="1329"/>
      <c r="BK31" s="1330" t="s">
        <v>795</v>
      </c>
      <c r="BL31" s="1424">
        <v>0</v>
      </c>
      <c r="BM31" s="1033">
        <f>VLOOKUP(BK31,Düngemittel!$B$6:$E$64,2,FALSE)*(VLOOKUP(BK31,Düngemittel!$B$6:$E$64,3,FALSE))/100*BL31</f>
        <v>0</v>
      </c>
      <c r="BN31" s="1033">
        <f>VLOOKUP(BK31,Düngemittel!$B$6:$E$64,2,FALSE)*BL31</f>
        <v>0</v>
      </c>
      <c r="BO31" s="1033">
        <f>VLOOKUP(BK31,Düngemittel!$B$6:$E$64,4,FALSE)*BL31</f>
        <v>0</v>
      </c>
      <c r="BP31" s="142"/>
      <c r="BQ31" s="1812">
        <f t="shared" si="38"/>
        <v>0</v>
      </c>
      <c r="BR31" s="2328">
        <f t="shared" si="39"/>
        <v>0</v>
      </c>
      <c r="BS31" s="1812">
        <f t="shared" si="40"/>
        <v>0</v>
      </c>
      <c r="BT31" s="1138">
        <f t="shared" si="41"/>
        <v>0</v>
      </c>
      <c r="BU31" s="2328">
        <f t="shared" si="42"/>
        <v>0</v>
      </c>
      <c r="BV31" s="95"/>
      <c r="BW31" s="1810">
        <f t="shared" si="43"/>
        <v>0</v>
      </c>
      <c r="BX31" s="1135">
        <f t="shared" si="44"/>
        <v>0</v>
      </c>
      <c r="BY31" s="1810">
        <f t="shared" si="45"/>
        <v>0</v>
      </c>
      <c r="BZ31" s="1807">
        <f t="shared" si="46"/>
        <v>0</v>
      </c>
      <c r="CA31" s="1135">
        <f t="shared" si="47"/>
        <v>0</v>
      </c>
      <c r="CB31" s="2324"/>
      <c r="CD31">
        <v>0</v>
      </c>
      <c r="CE31">
        <v>0</v>
      </c>
      <c r="CG31" s="2141" t="s">
        <v>1350</v>
      </c>
      <c r="CH31" s="33">
        <v>800</v>
      </c>
      <c r="CI31" s="33">
        <v>210</v>
      </c>
      <c r="CJ31" s="33">
        <v>20</v>
      </c>
      <c r="CK31" s="323">
        <v>40</v>
      </c>
      <c r="CL31" s="323">
        <v>40</v>
      </c>
      <c r="CM31" s="323">
        <f>CL31*2/3</f>
        <v>26.666666666666668</v>
      </c>
      <c r="CN31" s="323">
        <v>50</v>
      </c>
      <c r="CO31" s="323">
        <v>30</v>
      </c>
      <c r="CP31" s="1001">
        <v>6.9000000000000006E-2</v>
      </c>
      <c r="CS31" s="1910"/>
      <c r="CT31" s="1911"/>
    </row>
    <row r="32" spans="1:98" ht="32.25" customHeight="1">
      <c r="A32" s="1750">
        <v>25</v>
      </c>
      <c r="B32" s="2169">
        <v>0</v>
      </c>
      <c r="C32" s="2172" t="s">
        <v>31</v>
      </c>
      <c r="D32" s="1946">
        <f t="shared" si="0"/>
        <v>0</v>
      </c>
      <c r="E32" s="1947">
        <f t="shared" si="1"/>
        <v>0</v>
      </c>
      <c r="F32" s="1941">
        <v>0</v>
      </c>
      <c r="G32" s="1949">
        <f t="shared" si="28"/>
        <v>0</v>
      </c>
      <c r="H32" s="1949">
        <f t="shared" si="29"/>
        <v>0</v>
      </c>
      <c r="I32" s="1949">
        <f t="shared" si="2"/>
        <v>0</v>
      </c>
      <c r="J32" s="1949">
        <f t="shared" si="3"/>
        <v>0</v>
      </c>
      <c r="K32" s="1949">
        <f t="shared" si="30"/>
        <v>0</v>
      </c>
      <c r="L32" s="1928">
        <f t="shared" si="31"/>
        <v>0</v>
      </c>
      <c r="M32" s="1943"/>
      <c r="N32" s="761" t="s">
        <v>503</v>
      </c>
      <c r="O32" s="1905">
        <f t="shared" si="5"/>
        <v>0</v>
      </c>
      <c r="P32" s="761" t="s">
        <v>25</v>
      </c>
      <c r="Q32" s="1905">
        <f t="shared" si="6"/>
        <v>0</v>
      </c>
      <c r="R32" s="1906">
        <f t="shared" si="7"/>
        <v>0</v>
      </c>
      <c r="S32" s="1957">
        <v>0</v>
      </c>
      <c r="T32" s="1907" t="s">
        <v>160</v>
      </c>
      <c r="U32" s="1752">
        <f t="shared" si="8"/>
        <v>0</v>
      </c>
      <c r="V32" s="1961">
        <v>0</v>
      </c>
      <c r="W32" s="1954" t="s">
        <v>1314</v>
      </c>
      <c r="X32" s="1931">
        <f t="shared" si="9"/>
        <v>0</v>
      </c>
      <c r="Y32" s="1954" t="s">
        <v>1314</v>
      </c>
      <c r="Z32" s="1965">
        <f t="shared" si="32"/>
        <v>0</v>
      </c>
      <c r="AA32" s="1966">
        <f t="shared" si="33"/>
        <v>0</v>
      </c>
      <c r="AB32" s="1951">
        <f t="shared" si="34"/>
        <v>0</v>
      </c>
      <c r="AC32" s="2097">
        <f t="shared" si="10"/>
        <v>0</v>
      </c>
      <c r="AD32" s="1951">
        <f t="shared" si="35"/>
        <v>0</v>
      </c>
      <c r="AE32" s="142"/>
      <c r="AF32" s="1281">
        <f t="shared" si="36"/>
        <v>25</v>
      </c>
      <c r="AG32" s="1281" t="str">
        <f t="shared" si="37"/>
        <v>keine</v>
      </c>
      <c r="AH32" s="1329"/>
      <c r="AI32" s="1330" t="s">
        <v>795</v>
      </c>
      <c r="AJ32" s="1424">
        <v>0</v>
      </c>
      <c r="AK32" s="1033">
        <f>VLOOKUP(AI32,Düngemittel!$B$6:$E$64,2,FALSE)*(VLOOKUP(AI32,Düngemittel!$B$6:$E$64,3,FALSE))/100*AJ32</f>
        <v>0</v>
      </c>
      <c r="AL32" s="1033">
        <f>VLOOKUP(AI32,Düngemittel!$B$6:$E$64,2,FALSE)*AJ32</f>
        <v>0</v>
      </c>
      <c r="AM32" s="1033">
        <f>VLOOKUP(AI32,Düngemittel!$B$6:$E$64,4,FALSE)*AJ32</f>
        <v>0</v>
      </c>
      <c r="AN32" s="142"/>
      <c r="AO32" s="1329"/>
      <c r="AP32" s="1330" t="s">
        <v>795</v>
      </c>
      <c r="AQ32" s="1424">
        <v>0</v>
      </c>
      <c r="AR32" s="1033">
        <f>VLOOKUP(AP32,Düngemittel!$B$6:$E$64,2,FALSE)*(VLOOKUP(AP32,Düngemittel!$B$6:$E$64,3,FALSE))/100*AQ32</f>
        <v>0</v>
      </c>
      <c r="AS32" s="1033">
        <f>VLOOKUP(AP32,Düngemittel!$B$6:$E$64,2,FALSE)*AQ32</f>
        <v>0</v>
      </c>
      <c r="AT32" s="1033">
        <f>VLOOKUP(AP32,Düngemittel!$B$6:$E$64,4,FALSE)*AQ32</f>
        <v>0</v>
      </c>
      <c r="AU32" s="142"/>
      <c r="AV32" s="1329"/>
      <c r="AW32" s="1330" t="s">
        <v>795</v>
      </c>
      <c r="AX32" s="1424">
        <v>0</v>
      </c>
      <c r="AY32" s="1033">
        <f>VLOOKUP(AW32,Düngemittel!$B$6:$E$64,2,FALSE)*(VLOOKUP(AW32,Düngemittel!$B$6:$E$64,3,FALSE))/100*AX32</f>
        <v>0</v>
      </c>
      <c r="AZ32" s="1033">
        <f>VLOOKUP(AW32,Düngemittel!$B$6:$E$64,2,FALSE)*AX32</f>
        <v>0</v>
      </c>
      <c r="BA32" s="1033">
        <f>VLOOKUP(AW32,Düngemittel!$B$6:$E$64,4,FALSE)*AX32</f>
        <v>0</v>
      </c>
      <c r="BB32" s="142"/>
      <c r="BC32" s="1329"/>
      <c r="BD32" s="1330" t="s">
        <v>795</v>
      </c>
      <c r="BE32" s="1424">
        <v>0</v>
      </c>
      <c r="BF32" s="1033">
        <f>VLOOKUP(BD32,Düngemittel!$B$6:$E$64,2,FALSE)*(VLOOKUP(BD32,Düngemittel!$B$6:$E$64,3,FALSE))/100*BE32</f>
        <v>0</v>
      </c>
      <c r="BG32" s="1033">
        <f>VLOOKUP(BD32,Düngemittel!$B$6:$E$64,2,FALSE)*BE32</f>
        <v>0</v>
      </c>
      <c r="BH32" s="1033">
        <f>VLOOKUP(BD32,Düngemittel!$B$6:$E$64,4,FALSE)*BE32</f>
        <v>0</v>
      </c>
      <c r="BI32" s="142"/>
      <c r="BJ32" s="1329"/>
      <c r="BK32" s="1330" t="s">
        <v>795</v>
      </c>
      <c r="BL32" s="1424">
        <v>0</v>
      </c>
      <c r="BM32" s="1033">
        <f>VLOOKUP(BK32,Düngemittel!$B$6:$E$64,2,FALSE)*(VLOOKUP(BK32,Düngemittel!$B$6:$E$64,3,FALSE))/100*BL32</f>
        <v>0</v>
      </c>
      <c r="BN32" s="1033">
        <f>VLOOKUP(BK32,Düngemittel!$B$6:$E$64,2,FALSE)*BL32</f>
        <v>0</v>
      </c>
      <c r="BO32" s="1033">
        <f>VLOOKUP(BK32,Düngemittel!$B$6:$E$64,4,FALSE)*BL32</f>
        <v>0</v>
      </c>
      <c r="BP32" s="142"/>
      <c r="BQ32" s="1812">
        <f t="shared" si="38"/>
        <v>0</v>
      </c>
      <c r="BR32" s="2328">
        <f t="shared" si="39"/>
        <v>0</v>
      </c>
      <c r="BS32" s="1812">
        <f t="shared" si="40"/>
        <v>0</v>
      </c>
      <c r="BT32" s="1138">
        <f t="shared" si="41"/>
        <v>0</v>
      </c>
      <c r="BU32" s="2328">
        <f t="shared" si="42"/>
        <v>0</v>
      </c>
      <c r="BV32" s="95"/>
      <c r="BW32" s="1810">
        <f t="shared" si="43"/>
        <v>0</v>
      </c>
      <c r="BX32" s="1135">
        <f t="shared" si="44"/>
        <v>0</v>
      </c>
      <c r="BY32" s="1810">
        <f t="shared" si="45"/>
        <v>0</v>
      </c>
      <c r="BZ32" s="1807">
        <f t="shared" si="46"/>
        <v>0</v>
      </c>
      <c r="CA32" s="1135">
        <f t="shared" si="47"/>
        <v>0</v>
      </c>
      <c r="CB32" s="2324"/>
      <c r="CD32">
        <v>0</v>
      </c>
      <c r="CE32">
        <v>0</v>
      </c>
      <c r="CG32" s="2152" t="s">
        <v>1520</v>
      </c>
      <c r="CH32" s="33">
        <v>185</v>
      </c>
      <c r="CI32" s="33">
        <v>135</v>
      </c>
      <c r="CJ32" s="33">
        <v>10</v>
      </c>
      <c r="CK32" s="2153">
        <v>13.5</v>
      </c>
      <c r="CL32" s="2153">
        <v>13.5</v>
      </c>
      <c r="CM32" s="2152">
        <v>0</v>
      </c>
      <c r="CN32" s="2152">
        <v>0</v>
      </c>
      <c r="CO32" s="2152">
        <v>30</v>
      </c>
      <c r="CP32" s="2157">
        <v>0.16</v>
      </c>
      <c r="CS32" s="1910"/>
      <c r="CT32" s="1911"/>
    </row>
    <row r="33" spans="1:98" ht="32.25" customHeight="1">
      <c r="A33" s="1750">
        <v>26</v>
      </c>
      <c r="B33" s="2169">
        <v>0</v>
      </c>
      <c r="C33" s="2172" t="s">
        <v>31</v>
      </c>
      <c r="D33" s="1946">
        <f t="shared" si="0"/>
        <v>0</v>
      </c>
      <c r="E33" s="1947">
        <f t="shared" si="1"/>
        <v>0</v>
      </c>
      <c r="F33" s="1941">
        <v>0</v>
      </c>
      <c r="G33" s="1949">
        <f t="shared" si="28"/>
        <v>0</v>
      </c>
      <c r="H33" s="1949">
        <f t="shared" si="29"/>
        <v>0</v>
      </c>
      <c r="I33" s="1949">
        <f t="shared" si="2"/>
        <v>0</v>
      </c>
      <c r="J33" s="1949">
        <f t="shared" si="3"/>
        <v>0</v>
      </c>
      <c r="K33" s="1949">
        <f t="shared" si="30"/>
        <v>0</v>
      </c>
      <c r="L33" s="1928">
        <f t="shared" si="31"/>
        <v>0</v>
      </c>
      <c r="M33" s="1943"/>
      <c r="N33" s="761" t="s">
        <v>503</v>
      </c>
      <c r="O33" s="1905">
        <f t="shared" si="5"/>
        <v>0</v>
      </c>
      <c r="P33" s="761" t="s">
        <v>25</v>
      </c>
      <c r="Q33" s="1905">
        <f t="shared" si="6"/>
        <v>0</v>
      </c>
      <c r="R33" s="1906">
        <f t="shared" si="7"/>
        <v>0</v>
      </c>
      <c r="S33" s="1957">
        <v>0</v>
      </c>
      <c r="T33" s="1907" t="s">
        <v>160</v>
      </c>
      <c r="U33" s="1752">
        <f t="shared" si="8"/>
        <v>0</v>
      </c>
      <c r="V33" s="1961">
        <v>0</v>
      </c>
      <c r="W33" s="1954" t="s">
        <v>1314</v>
      </c>
      <c r="X33" s="1931">
        <f t="shared" si="9"/>
        <v>0</v>
      </c>
      <c r="Y33" s="1954" t="s">
        <v>1314</v>
      </c>
      <c r="Z33" s="1965">
        <f t="shared" si="32"/>
        <v>0</v>
      </c>
      <c r="AA33" s="1966">
        <f t="shared" si="33"/>
        <v>0</v>
      </c>
      <c r="AB33" s="1951">
        <f t="shared" si="34"/>
        <v>0</v>
      </c>
      <c r="AC33" s="2097">
        <f t="shared" si="10"/>
        <v>0</v>
      </c>
      <c r="AD33" s="1951">
        <f t="shared" si="35"/>
        <v>0</v>
      </c>
      <c r="AE33" s="142"/>
      <c r="AF33" s="1281">
        <f t="shared" si="36"/>
        <v>26</v>
      </c>
      <c r="AG33" s="1281" t="str">
        <f t="shared" si="37"/>
        <v>keine</v>
      </c>
      <c r="AH33" s="1329"/>
      <c r="AI33" s="1330" t="s">
        <v>795</v>
      </c>
      <c r="AJ33" s="1424">
        <v>0</v>
      </c>
      <c r="AK33" s="1033">
        <f>VLOOKUP(AI33,Düngemittel!$B$6:$E$64,2,FALSE)*(VLOOKUP(AI33,Düngemittel!$B$6:$E$64,3,FALSE))/100*AJ33</f>
        <v>0</v>
      </c>
      <c r="AL33" s="1033">
        <f>VLOOKUP(AI33,Düngemittel!$B$6:$E$64,2,FALSE)*AJ33</f>
        <v>0</v>
      </c>
      <c r="AM33" s="1033">
        <f>VLOOKUP(AI33,Düngemittel!$B$6:$E$64,4,FALSE)*AJ33</f>
        <v>0</v>
      </c>
      <c r="AN33" s="142"/>
      <c r="AO33" s="1329"/>
      <c r="AP33" s="1330" t="s">
        <v>795</v>
      </c>
      <c r="AQ33" s="1424">
        <v>0</v>
      </c>
      <c r="AR33" s="1033">
        <f>VLOOKUP(AP33,Düngemittel!$B$6:$E$64,2,FALSE)*(VLOOKUP(AP33,Düngemittel!$B$6:$E$64,3,FALSE))/100*AQ33</f>
        <v>0</v>
      </c>
      <c r="AS33" s="1033">
        <f>VLOOKUP(AP33,Düngemittel!$B$6:$E$64,2,FALSE)*AQ33</f>
        <v>0</v>
      </c>
      <c r="AT33" s="1033">
        <f>VLOOKUP(AP33,Düngemittel!$B$6:$E$64,4,FALSE)*AQ33</f>
        <v>0</v>
      </c>
      <c r="AU33" s="142"/>
      <c r="AV33" s="1329"/>
      <c r="AW33" s="1330" t="s">
        <v>795</v>
      </c>
      <c r="AX33" s="1424">
        <v>0</v>
      </c>
      <c r="AY33" s="1033">
        <f>VLOOKUP(AW33,Düngemittel!$B$6:$E$64,2,FALSE)*(VLOOKUP(AW33,Düngemittel!$B$6:$E$64,3,FALSE))/100*AX33</f>
        <v>0</v>
      </c>
      <c r="AZ33" s="1033">
        <f>VLOOKUP(AW33,Düngemittel!$B$6:$E$64,2,FALSE)*AX33</f>
        <v>0</v>
      </c>
      <c r="BA33" s="1033">
        <f>VLOOKUP(AW33,Düngemittel!$B$6:$E$64,4,FALSE)*AX33</f>
        <v>0</v>
      </c>
      <c r="BB33" s="142"/>
      <c r="BC33" s="1329"/>
      <c r="BD33" s="1330" t="s">
        <v>795</v>
      </c>
      <c r="BE33" s="1424">
        <v>0</v>
      </c>
      <c r="BF33" s="1033">
        <f>VLOOKUP(BD33,Düngemittel!$B$6:$E$64,2,FALSE)*(VLOOKUP(BD33,Düngemittel!$B$6:$E$64,3,FALSE))/100*BE33</f>
        <v>0</v>
      </c>
      <c r="BG33" s="1033">
        <f>VLOOKUP(BD33,Düngemittel!$B$6:$E$64,2,FALSE)*BE33</f>
        <v>0</v>
      </c>
      <c r="BH33" s="1033">
        <f>VLOOKUP(BD33,Düngemittel!$B$6:$E$64,4,FALSE)*BE33</f>
        <v>0</v>
      </c>
      <c r="BI33" s="142"/>
      <c r="BJ33" s="1329"/>
      <c r="BK33" s="1330" t="s">
        <v>795</v>
      </c>
      <c r="BL33" s="1424">
        <v>0</v>
      </c>
      <c r="BM33" s="1033">
        <f>VLOOKUP(BK33,Düngemittel!$B$6:$E$64,2,FALSE)*(VLOOKUP(BK33,Düngemittel!$B$6:$E$64,3,FALSE))/100*BL33</f>
        <v>0</v>
      </c>
      <c r="BN33" s="1033">
        <f>VLOOKUP(BK33,Düngemittel!$B$6:$E$64,2,FALSE)*BL33</f>
        <v>0</v>
      </c>
      <c r="BO33" s="1033">
        <f>VLOOKUP(BK33,Düngemittel!$B$6:$E$64,4,FALSE)*BL33</f>
        <v>0</v>
      </c>
      <c r="BP33" s="142"/>
      <c r="BQ33" s="1812">
        <f t="shared" si="38"/>
        <v>0</v>
      </c>
      <c r="BR33" s="2328">
        <f t="shared" si="39"/>
        <v>0</v>
      </c>
      <c r="BS33" s="1812">
        <f t="shared" si="40"/>
        <v>0</v>
      </c>
      <c r="BT33" s="1138">
        <f t="shared" si="41"/>
        <v>0</v>
      </c>
      <c r="BU33" s="2328">
        <f t="shared" si="42"/>
        <v>0</v>
      </c>
      <c r="BV33" s="95"/>
      <c r="BW33" s="1810">
        <f t="shared" si="43"/>
        <v>0</v>
      </c>
      <c r="BX33" s="1135">
        <f t="shared" si="44"/>
        <v>0</v>
      </c>
      <c r="BY33" s="1810">
        <f t="shared" si="45"/>
        <v>0</v>
      </c>
      <c r="BZ33" s="1807">
        <f t="shared" si="46"/>
        <v>0</v>
      </c>
      <c r="CA33" s="1135">
        <f t="shared" si="47"/>
        <v>0</v>
      </c>
      <c r="CB33" s="2324"/>
      <c r="CD33">
        <v>0</v>
      </c>
      <c r="CE33">
        <v>0</v>
      </c>
      <c r="CG33" s="2152" t="s">
        <v>1522</v>
      </c>
      <c r="CH33" s="33">
        <v>190</v>
      </c>
      <c r="CI33" s="33">
        <v>120</v>
      </c>
      <c r="CJ33" s="33">
        <v>10</v>
      </c>
      <c r="CK33" s="2153">
        <v>12</v>
      </c>
      <c r="CL33" s="2153">
        <v>12</v>
      </c>
      <c r="CM33" s="2152">
        <v>0</v>
      </c>
      <c r="CN33" s="2152">
        <v>0</v>
      </c>
      <c r="CO33" s="2152">
        <v>30</v>
      </c>
      <c r="CP33" s="2155">
        <v>0.1</v>
      </c>
      <c r="CS33" s="1910"/>
      <c r="CT33" s="1911"/>
    </row>
    <row r="34" spans="1:98" ht="32.25" customHeight="1">
      <c r="A34" s="1750">
        <v>27</v>
      </c>
      <c r="B34" s="2169">
        <v>0</v>
      </c>
      <c r="C34" s="2172" t="s">
        <v>31</v>
      </c>
      <c r="D34" s="1946">
        <f t="shared" si="0"/>
        <v>0</v>
      </c>
      <c r="E34" s="1947">
        <f t="shared" si="1"/>
        <v>0</v>
      </c>
      <c r="F34" s="1941">
        <v>0</v>
      </c>
      <c r="G34" s="1949">
        <f t="shared" si="28"/>
        <v>0</v>
      </c>
      <c r="H34" s="1949">
        <f t="shared" si="29"/>
        <v>0</v>
      </c>
      <c r="I34" s="1949">
        <f t="shared" si="2"/>
        <v>0</v>
      </c>
      <c r="J34" s="1949">
        <f t="shared" si="3"/>
        <v>0</v>
      </c>
      <c r="K34" s="1949">
        <f t="shared" si="30"/>
        <v>0</v>
      </c>
      <c r="L34" s="1928">
        <f t="shared" si="31"/>
        <v>0</v>
      </c>
      <c r="M34" s="1943"/>
      <c r="N34" s="761" t="s">
        <v>503</v>
      </c>
      <c r="O34" s="1905">
        <f t="shared" si="5"/>
        <v>0</v>
      </c>
      <c r="P34" s="761" t="s">
        <v>25</v>
      </c>
      <c r="Q34" s="1905">
        <f t="shared" si="6"/>
        <v>0</v>
      </c>
      <c r="R34" s="1906">
        <f t="shared" si="7"/>
        <v>0</v>
      </c>
      <c r="S34" s="1957">
        <v>0</v>
      </c>
      <c r="T34" s="1907" t="s">
        <v>160</v>
      </c>
      <c r="U34" s="1752">
        <f t="shared" si="8"/>
        <v>0</v>
      </c>
      <c r="V34" s="1961">
        <v>0</v>
      </c>
      <c r="W34" s="1954" t="s">
        <v>1314</v>
      </c>
      <c r="X34" s="1931">
        <f t="shared" si="9"/>
        <v>0</v>
      </c>
      <c r="Y34" s="1954" t="s">
        <v>1314</v>
      </c>
      <c r="Z34" s="1965">
        <f t="shared" si="32"/>
        <v>0</v>
      </c>
      <c r="AA34" s="1966">
        <f t="shared" si="33"/>
        <v>0</v>
      </c>
      <c r="AB34" s="1951">
        <f t="shared" si="34"/>
        <v>0</v>
      </c>
      <c r="AC34" s="2097">
        <f t="shared" si="10"/>
        <v>0</v>
      </c>
      <c r="AD34" s="1951">
        <f t="shared" si="35"/>
        <v>0</v>
      </c>
      <c r="AE34" s="142"/>
      <c r="AF34" s="1281">
        <f t="shared" si="36"/>
        <v>27</v>
      </c>
      <c r="AG34" s="1281" t="str">
        <f t="shared" si="37"/>
        <v>keine</v>
      </c>
      <c r="AH34" s="1329"/>
      <c r="AI34" s="1330" t="s">
        <v>795</v>
      </c>
      <c r="AJ34" s="1424">
        <v>0</v>
      </c>
      <c r="AK34" s="1033">
        <f>VLOOKUP(AI34,Düngemittel!$B$6:$E$64,2,FALSE)*(VLOOKUP(AI34,Düngemittel!$B$6:$E$64,3,FALSE))/100*AJ34</f>
        <v>0</v>
      </c>
      <c r="AL34" s="1033">
        <f>VLOOKUP(AI34,Düngemittel!$B$6:$E$64,2,FALSE)*AJ34</f>
        <v>0</v>
      </c>
      <c r="AM34" s="1033">
        <f>VLOOKUP(AI34,Düngemittel!$B$6:$E$64,4,FALSE)*AJ34</f>
        <v>0</v>
      </c>
      <c r="AN34" s="142"/>
      <c r="AO34" s="1329"/>
      <c r="AP34" s="1330" t="s">
        <v>795</v>
      </c>
      <c r="AQ34" s="1424">
        <v>0</v>
      </c>
      <c r="AR34" s="1033">
        <f>VLOOKUP(AP34,Düngemittel!$B$6:$E$64,2,FALSE)*(VLOOKUP(AP34,Düngemittel!$B$6:$E$64,3,FALSE))/100*AQ34</f>
        <v>0</v>
      </c>
      <c r="AS34" s="1033">
        <f>VLOOKUP(AP34,Düngemittel!$B$6:$E$64,2,FALSE)*AQ34</f>
        <v>0</v>
      </c>
      <c r="AT34" s="1033">
        <f>VLOOKUP(AP34,Düngemittel!$B$6:$E$64,4,FALSE)*AQ34</f>
        <v>0</v>
      </c>
      <c r="AU34" s="142"/>
      <c r="AV34" s="1329"/>
      <c r="AW34" s="1330" t="s">
        <v>795</v>
      </c>
      <c r="AX34" s="1424">
        <v>0</v>
      </c>
      <c r="AY34" s="1033">
        <f>VLOOKUP(AW34,Düngemittel!$B$6:$E$64,2,FALSE)*(VLOOKUP(AW34,Düngemittel!$B$6:$E$64,3,FALSE))/100*AX34</f>
        <v>0</v>
      </c>
      <c r="AZ34" s="1033">
        <f>VLOOKUP(AW34,Düngemittel!$B$6:$E$64,2,FALSE)*AX34</f>
        <v>0</v>
      </c>
      <c r="BA34" s="1033">
        <f>VLOOKUP(AW34,Düngemittel!$B$6:$E$64,4,FALSE)*AX34</f>
        <v>0</v>
      </c>
      <c r="BB34" s="142"/>
      <c r="BC34" s="1329"/>
      <c r="BD34" s="1330" t="s">
        <v>795</v>
      </c>
      <c r="BE34" s="1424">
        <v>0</v>
      </c>
      <c r="BF34" s="1033">
        <f>VLOOKUP(BD34,Düngemittel!$B$6:$E$64,2,FALSE)*(VLOOKUP(BD34,Düngemittel!$B$6:$E$64,3,FALSE))/100*BE34</f>
        <v>0</v>
      </c>
      <c r="BG34" s="1033">
        <f>VLOOKUP(BD34,Düngemittel!$B$6:$E$64,2,FALSE)*BE34</f>
        <v>0</v>
      </c>
      <c r="BH34" s="1033">
        <f>VLOOKUP(BD34,Düngemittel!$B$6:$E$64,4,FALSE)*BE34</f>
        <v>0</v>
      </c>
      <c r="BI34" s="142"/>
      <c r="BJ34" s="1329"/>
      <c r="BK34" s="1330" t="s">
        <v>795</v>
      </c>
      <c r="BL34" s="1424">
        <v>0</v>
      </c>
      <c r="BM34" s="1033">
        <f>VLOOKUP(BK34,Düngemittel!$B$6:$E$64,2,FALSE)*(VLOOKUP(BK34,Düngemittel!$B$6:$E$64,3,FALSE))/100*BL34</f>
        <v>0</v>
      </c>
      <c r="BN34" s="1033">
        <f>VLOOKUP(BK34,Düngemittel!$B$6:$E$64,2,FALSE)*BL34</f>
        <v>0</v>
      </c>
      <c r="BO34" s="1033">
        <f>VLOOKUP(BK34,Düngemittel!$B$6:$E$64,4,FALSE)*BL34</f>
        <v>0</v>
      </c>
      <c r="BP34" s="142"/>
      <c r="BQ34" s="1812">
        <f t="shared" si="38"/>
        <v>0</v>
      </c>
      <c r="BR34" s="2328">
        <f t="shared" si="39"/>
        <v>0</v>
      </c>
      <c r="BS34" s="1812">
        <f t="shared" si="40"/>
        <v>0</v>
      </c>
      <c r="BT34" s="1138">
        <f t="shared" si="41"/>
        <v>0</v>
      </c>
      <c r="BU34" s="2328">
        <f t="shared" si="42"/>
        <v>0</v>
      </c>
      <c r="BV34" s="95"/>
      <c r="BW34" s="1810">
        <f t="shared" si="43"/>
        <v>0</v>
      </c>
      <c r="BX34" s="1135">
        <f t="shared" si="44"/>
        <v>0</v>
      </c>
      <c r="BY34" s="1810">
        <f t="shared" si="45"/>
        <v>0</v>
      </c>
      <c r="BZ34" s="1807">
        <f t="shared" si="46"/>
        <v>0</v>
      </c>
      <c r="CA34" s="1135">
        <f t="shared" si="47"/>
        <v>0</v>
      </c>
      <c r="CB34" s="2324"/>
      <c r="CD34">
        <v>0</v>
      </c>
      <c r="CE34">
        <v>0</v>
      </c>
      <c r="CG34" s="2140" t="s">
        <v>1644</v>
      </c>
      <c r="CH34" s="33">
        <v>100</v>
      </c>
      <c r="CI34" s="33">
        <v>120</v>
      </c>
      <c r="CJ34" s="33">
        <v>10</v>
      </c>
      <c r="CK34" s="2153">
        <v>8.5</v>
      </c>
      <c r="CL34" s="2153">
        <v>8.5</v>
      </c>
      <c r="CM34" s="2160">
        <v>0</v>
      </c>
      <c r="CN34" s="2160">
        <v>0</v>
      </c>
      <c r="CO34" s="2160">
        <v>30</v>
      </c>
      <c r="CP34" s="2157">
        <v>0.17</v>
      </c>
      <c r="CS34" s="1910"/>
      <c r="CT34" s="1911"/>
    </row>
    <row r="35" spans="1:98" ht="32.25" customHeight="1">
      <c r="A35" s="1750">
        <v>28</v>
      </c>
      <c r="B35" s="2169">
        <v>0</v>
      </c>
      <c r="C35" s="2172" t="s">
        <v>31</v>
      </c>
      <c r="D35" s="1946">
        <f t="shared" si="0"/>
        <v>0</v>
      </c>
      <c r="E35" s="1947">
        <f t="shared" si="1"/>
        <v>0</v>
      </c>
      <c r="F35" s="1941">
        <v>0</v>
      </c>
      <c r="G35" s="1949">
        <f t="shared" si="28"/>
        <v>0</v>
      </c>
      <c r="H35" s="1949">
        <f t="shared" si="29"/>
        <v>0</v>
      </c>
      <c r="I35" s="1949">
        <f t="shared" si="2"/>
        <v>0</v>
      </c>
      <c r="J35" s="1949">
        <f t="shared" si="3"/>
        <v>0</v>
      </c>
      <c r="K35" s="1949">
        <f t="shared" si="30"/>
        <v>0</v>
      </c>
      <c r="L35" s="1928">
        <f t="shared" si="31"/>
        <v>0</v>
      </c>
      <c r="M35" s="1943"/>
      <c r="N35" s="761" t="s">
        <v>503</v>
      </c>
      <c r="O35" s="1905">
        <f t="shared" si="5"/>
        <v>0</v>
      </c>
      <c r="P35" s="761" t="s">
        <v>25</v>
      </c>
      <c r="Q35" s="1905">
        <f t="shared" si="6"/>
        <v>0</v>
      </c>
      <c r="R35" s="1906">
        <f t="shared" si="7"/>
        <v>0</v>
      </c>
      <c r="S35" s="1957">
        <v>0</v>
      </c>
      <c r="T35" s="1907" t="s">
        <v>160</v>
      </c>
      <c r="U35" s="1752">
        <f t="shared" si="8"/>
        <v>0</v>
      </c>
      <c r="V35" s="1961">
        <v>0</v>
      </c>
      <c r="W35" s="1954" t="s">
        <v>1314</v>
      </c>
      <c r="X35" s="1931">
        <f t="shared" si="9"/>
        <v>0</v>
      </c>
      <c r="Y35" s="1954" t="s">
        <v>1314</v>
      </c>
      <c r="Z35" s="1965">
        <f t="shared" si="32"/>
        <v>0</v>
      </c>
      <c r="AA35" s="1966">
        <f t="shared" si="33"/>
        <v>0</v>
      </c>
      <c r="AB35" s="1951">
        <f t="shared" si="34"/>
        <v>0</v>
      </c>
      <c r="AC35" s="2097">
        <f t="shared" si="10"/>
        <v>0</v>
      </c>
      <c r="AD35" s="1951">
        <f t="shared" si="35"/>
        <v>0</v>
      </c>
      <c r="AE35" s="142"/>
      <c r="AF35" s="1281">
        <f t="shared" si="36"/>
        <v>28</v>
      </c>
      <c r="AG35" s="1281" t="str">
        <f t="shared" si="37"/>
        <v>keine</v>
      </c>
      <c r="AH35" s="1329"/>
      <c r="AI35" s="1330" t="s">
        <v>795</v>
      </c>
      <c r="AJ35" s="1424">
        <v>0</v>
      </c>
      <c r="AK35" s="1033">
        <f>VLOOKUP(AI35,Düngemittel!$B$6:$E$64,2,FALSE)*(VLOOKUP(AI35,Düngemittel!$B$6:$E$64,3,FALSE))/100*AJ35</f>
        <v>0</v>
      </c>
      <c r="AL35" s="1033">
        <f>VLOOKUP(AI35,Düngemittel!$B$6:$E$64,2,FALSE)*AJ35</f>
        <v>0</v>
      </c>
      <c r="AM35" s="1033">
        <f>VLOOKUP(AI35,Düngemittel!$B$6:$E$64,4,FALSE)*AJ35</f>
        <v>0</v>
      </c>
      <c r="AN35" s="142"/>
      <c r="AO35" s="1329"/>
      <c r="AP35" s="1330" t="s">
        <v>795</v>
      </c>
      <c r="AQ35" s="1424">
        <v>0</v>
      </c>
      <c r="AR35" s="1033">
        <f>VLOOKUP(AP35,Düngemittel!$B$6:$E$64,2,FALSE)*(VLOOKUP(AP35,Düngemittel!$B$6:$E$64,3,FALSE))/100*AQ35</f>
        <v>0</v>
      </c>
      <c r="AS35" s="1033">
        <f>VLOOKUP(AP35,Düngemittel!$B$6:$E$64,2,FALSE)*AQ35</f>
        <v>0</v>
      </c>
      <c r="AT35" s="1033">
        <f>VLOOKUP(AP35,Düngemittel!$B$6:$E$64,4,FALSE)*AQ35</f>
        <v>0</v>
      </c>
      <c r="AU35" s="142"/>
      <c r="AV35" s="1329"/>
      <c r="AW35" s="1330" t="s">
        <v>795</v>
      </c>
      <c r="AX35" s="1424">
        <v>0</v>
      </c>
      <c r="AY35" s="1033">
        <f>VLOOKUP(AW35,Düngemittel!$B$6:$E$64,2,FALSE)*(VLOOKUP(AW35,Düngemittel!$B$6:$E$64,3,FALSE))/100*AX35</f>
        <v>0</v>
      </c>
      <c r="AZ35" s="1033">
        <f>VLOOKUP(AW35,Düngemittel!$B$6:$E$64,2,FALSE)*AX35</f>
        <v>0</v>
      </c>
      <c r="BA35" s="1033">
        <f>VLOOKUP(AW35,Düngemittel!$B$6:$E$64,4,FALSE)*AX35</f>
        <v>0</v>
      </c>
      <c r="BB35" s="142"/>
      <c r="BC35" s="1329"/>
      <c r="BD35" s="1330" t="s">
        <v>795</v>
      </c>
      <c r="BE35" s="1424">
        <v>0</v>
      </c>
      <c r="BF35" s="1033">
        <f>VLOOKUP(BD35,Düngemittel!$B$6:$E$64,2,FALSE)*(VLOOKUP(BD35,Düngemittel!$B$6:$E$64,3,FALSE))/100*BE35</f>
        <v>0</v>
      </c>
      <c r="BG35" s="1033">
        <f>VLOOKUP(BD35,Düngemittel!$B$6:$E$64,2,FALSE)*BE35</f>
        <v>0</v>
      </c>
      <c r="BH35" s="1033">
        <f>VLOOKUP(BD35,Düngemittel!$B$6:$E$64,4,FALSE)*BE35</f>
        <v>0</v>
      </c>
      <c r="BI35" s="142"/>
      <c r="BJ35" s="1329"/>
      <c r="BK35" s="1330" t="s">
        <v>795</v>
      </c>
      <c r="BL35" s="1424">
        <v>0</v>
      </c>
      <c r="BM35" s="1033">
        <f>VLOOKUP(BK35,Düngemittel!$B$6:$E$64,2,FALSE)*(VLOOKUP(BK35,Düngemittel!$B$6:$E$64,3,FALSE))/100*BL35</f>
        <v>0</v>
      </c>
      <c r="BN35" s="1033">
        <f>VLOOKUP(BK35,Düngemittel!$B$6:$E$64,2,FALSE)*BL35</f>
        <v>0</v>
      </c>
      <c r="BO35" s="1033">
        <f>VLOOKUP(BK35,Düngemittel!$B$6:$E$64,4,FALSE)*BL35</f>
        <v>0</v>
      </c>
      <c r="BP35" s="142"/>
      <c r="BQ35" s="1812">
        <f t="shared" si="38"/>
        <v>0</v>
      </c>
      <c r="BR35" s="2328">
        <f t="shared" si="39"/>
        <v>0</v>
      </c>
      <c r="BS35" s="1812">
        <f t="shared" si="40"/>
        <v>0</v>
      </c>
      <c r="BT35" s="1138">
        <f t="shared" si="41"/>
        <v>0</v>
      </c>
      <c r="BU35" s="2328">
        <f t="shared" si="42"/>
        <v>0</v>
      </c>
      <c r="BV35" s="95"/>
      <c r="BW35" s="1810">
        <f t="shared" si="43"/>
        <v>0</v>
      </c>
      <c r="BX35" s="1135">
        <f t="shared" si="44"/>
        <v>0</v>
      </c>
      <c r="BY35" s="1810">
        <f t="shared" si="45"/>
        <v>0</v>
      </c>
      <c r="BZ35" s="1807">
        <f t="shared" si="46"/>
        <v>0</v>
      </c>
      <c r="CA35" s="1135">
        <f t="shared" si="47"/>
        <v>0</v>
      </c>
      <c r="CB35" s="2324"/>
      <c r="CD35">
        <v>0</v>
      </c>
      <c r="CE35">
        <v>0</v>
      </c>
      <c r="CG35" s="2141" t="s">
        <v>1283</v>
      </c>
      <c r="CH35" s="33">
        <v>400</v>
      </c>
      <c r="CI35" s="33">
        <v>200</v>
      </c>
      <c r="CJ35" s="33">
        <v>20</v>
      </c>
      <c r="CK35" s="323">
        <v>20</v>
      </c>
      <c r="CL35" s="323">
        <v>20</v>
      </c>
      <c r="CM35" s="323">
        <f>CL35*2/3</f>
        <v>13.333333333333334</v>
      </c>
      <c r="CN35" s="323">
        <v>45</v>
      </c>
      <c r="CO35" s="323">
        <v>60</v>
      </c>
      <c r="CP35" s="1001">
        <v>6.9000000000000006E-2</v>
      </c>
      <c r="CS35" s="1910"/>
      <c r="CT35" s="1911"/>
    </row>
    <row r="36" spans="1:98" ht="32.25" customHeight="1">
      <c r="A36" s="1750">
        <v>29</v>
      </c>
      <c r="B36" s="2169">
        <v>0</v>
      </c>
      <c r="C36" s="2172" t="s">
        <v>31</v>
      </c>
      <c r="D36" s="1946">
        <f t="shared" si="0"/>
        <v>0</v>
      </c>
      <c r="E36" s="1947">
        <f t="shared" si="1"/>
        <v>0</v>
      </c>
      <c r="F36" s="1941">
        <v>0</v>
      </c>
      <c r="G36" s="1949">
        <f t="shared" si="28"/>
        <v>0</v>
      </c>
      <c r="H36" s="1949">
        <f t="shared" si="29"/>
        <v>0</v>
      </c>
      <c r="I36" s="1949">
        <f t="shared" si="2"/>
        <v>0</v>
      </c>
      <c r="J36" s="1949">
        <f t="shared" si="3"/>
        <v>0</v>
      </c>
      <c r="K36" s="1949">
        <f t="shared" si="30"/>
        <v>0</v>
      </c>
      <c r="L36" s="1928">
        <f t="shared" si="31"/>
        <v>0</v>
      </c>
      <c r="M36" s="1943"/>
      <c r="N36" s="761" t="s">
        <v>503</v>
      </c>
      <c r="O36" s="1905">
        <f t="shared" si="5"/>
        <v>0</v>
      </c>
      <c r="P36" s="761" t="s">
        <v>25</v>
      </c>
      <c r="Q36" s="1905">
        <f t="shared" si="6"/>
        <v>0</v>
      </c>
      <c r="R36" s="1906">
        <f t="shared" si="7"/>
        <v>0</v>
      </c>
      <c r="S36" s="1957">
        <v>0</v>
      </c>
      <c r="T36" s="1907" t="s">
        <v>160</v>
      </c>
      <c r="U36" s="1752">
        <f t="shared" si="8"/>
        <v>0</v>
      </c>
      <c r="V36" s="1961">
        <v>0</v>
      </c>
      <c r="W36" s="1954" t="s">
        <v>1314</v>
      </c>
      <c r="X36" s="1931">
        <f t="shared" si="9"/>
        <v>0</v>
      </c>
      <c r="Y36" s="1954" t="s">
        <v>1314</v>
      </c>
      <c r="Z36" s="1965">
        <f t="shared" si="32"/>
        <v>0</v>
      </c>
      <c r="AA36" s="1966">
        <f t="shared" si="33"/>
        <v>0</v>
      </c>
      <c r="AB36" s="1951">
        <f t="shared" si="34"/>
        <v>0</v>
      </c>
      <c r="AC36" s="2097">
        <f t="shared" si="10"/>
        <v>0</v>
      </c>
      <c r="AD36" s="1951">
        <f t="shared" si="35"/>
        <v>0</v>
      </c>
      <c r="AE36" s="142"/>
      <c r="AF36" s="1281">
        <f t="shared" si="36"/>
        <v>29</v>
      </c>
      <c r="AG36" s="1281" t="str">
        <f t="shared" si="37"/>
        <v>keine</v>
      </c>
      <c r="AH36" s="1329"/>
      <c r="AI36" s="1330" t="s">
        <v>795</v>
      </c>
      <c r="AJ36" s="1424">
        <v>0</v>
      </c>
      <c r="AK36" s="1033">
        <f>VLOOKUP(AI36,Düngemittel!$B$6:$E$64,2,FALSE)*(VLOOKUP(AI36,Düngemittel!$B$6:$E$64,3,FALSE))/100*AJ36</f>
        <v>0</v>
      </c>
      <c r="AL36" s="1033">
        <f>VLOOKUP(AI36,Düngemittel!$B$6:$E$64,2,FALSE)*AJ36</f>
        <v>0</v>
      </c>
      <c r="AM36" s="1033">
        <f>VLOOKUP(AI36,Düngemittel!$B$6:$E$64,4,FALSE)*AJ36</f>
        <v>0</v>
      </c>
      <c r="AN36" s="142"/>
      <c r="AO36" s="1329"/>
      <c r="AP36" s="1330" t="s">
        <v>795</v>
      </c>
      <c r="AQ36" s="1424">
        <v>0</v>
      </c>
      <c r="AR36" s="1033">
        <f>VLOOKUP(AP36,Düngemittel!$B$6:$E$64,2,FALSE)*(VLOOKUP(AP36,Düngemittel!$B$6:$E$64,3,FALSE))/100*AQ36</f>
        <v>0</v>
      </c>
      <c r="AS36" s="1033">
        <f>VLOOKUP(AP36,Düngemittel!$B$6:$E$64,2,FALSE)*AQ36</f>
        <v>0</v>
      </c>
      <c r="AT36" s="1033">
        <f>VLOOKUP(AP36,Düngemittel!$B$6:$E$64,4,FALSE)*AQ36</f>
        <v>0</v>
      </c>
      <c r="AU36" s="142"/>
      <c r="AV36" s="1329"/>
      <c r="AW36" s="1330" t="s">
        <v>795</v>
      </c>
      <c r="AX36" s="1424">
        <v>0</v>
      </c>
      <c r="AY36" s="1033">
        <f>VLOOKUP(AW36,Düngemittel!$B$6:$E$64,2,FALSE)*(VLOOKUP(AW36,Düngemittel!$B$6:$E$64,3,FALSE))/100*AX36</f>
        <v>0</v>
      </c>
      <c r="AZ36" s="1033">
        <f>VLOOKUP(AW36,Düngemittel!$B$6:$E$64,2,FALSE)*AX36</f>
        <v>0</v>
      </c>
      <c r="BA36" s="1033">
        <f>VLOOKUP(AW36,Düngemittel!$B$6:$E$64,4,FALSE)*AX36</f>
        <v>0</v>
      </c>
      <c r="BB36" s="142"/>
      <c r="BC36" s="1329"/>
      <c r="BD36" s="1330" t="s">
        <v>795</v>
      </c>
      <c r="BE36" s="1424">
        <v>0</v>
      </c>
      <c r="BF36" s="1033">
        <f>VLOOKUP(BD36,Düngemittel!$B$6:$E$64,2,FALSE)*(VLOOKUP(BD36,Düngemittel!$B$6:$E$64,3,FALSE))/100*BE36</f>
        <v>0</v>
      </c>
      <c r="BG36" s="1033">
        <f>VLOOKUP(BD36,Düngemittel!$B$6:$E$64,2,FALSE)*BE36</f>
        <v>0</v>
      </c>
      <c r="BH36" s="1033">
        <f>VLOOKUP(BD36,Düngemittel!$B$6:$E$64,4,FALSE)*BE36</f>
        <v>0</v>
      </c>
      <c r="BI36" s="142"/>
      <c r="BJ36" s="1329"/>
      <c r="BK36" s="1330" t="s">
        <v>795</v>
      </c>
      <c r="BL36" s="1424">
        <v>0</v>
      </c>
      <c r="BM36" s="1033">
        <f>VLOOKUP(BK36,Düngemittel!$B$6:$E$64,2,FALSE)*(VLOOKUP(BK36,Düngemittel!$B$6:$E$64,3,FALSE))/100*BL36</f>
        <v>0</v>
      </c>
      <c r="BN36" s="1033">
        <f>VLOOKUP(BK36,Düngemittel!$B$6:$E$64,2,FALSE)*BL36</f>
        <v>0</v>
      </c>
      <c r="BO36" s="1033">
        <f>VLOOKUP(BK36,Düngemittel!$B$6:$E$64,4,FALSE)*BL36</f>
        <v>0</v>
      </c>
      <c r="BP36" s="142"/>
      <c r="BQ36" s="1812">
        <f t="shared" si="38"/>
        <v>0</v>
      </c>
      <c r="BR36" s="2328">
        <f t="shared" si="39"/>
        <v>0</v>
      </c>
      <c r="BS36" s="1812">
        <f t="shared" si="40"/>
        <v>0</v>
      </c>
      <c r="BT36" s="1138">
        <f t="shared" si="41"/>
        <v>0</v>
      </c>
      <c r="BU36" s="2328">
        <f t="shared" si="42"/>
        <v>0</v>
      </c>
      <c r="BV36" s="95"/>
      <c r="BW36" s="1810">
        <f t="shared" si="43"/>
        <v>0</v>
      </c>
      <c r="BX36" s="1135">
        <f t="shared" si="44"/>
        <v>0</v>
      </c>
      <c r="BY36" s="1810">
        <f t="shared" si="45"/>
        <v>0</v>
      </c>
      <c r="BZ36" s="1807">
        <f t="shared" si="46"/>
        <v>0</v>
      </c>
      <c r="CA36" s="1135">
        <f t="shared" si="47"/>
        <v>0</v>
      </c>
      <c r="CB36" s="2324"/>
      <c r="CD36">
        <v>0</v>
      </c>
      <c r="CE36">
        <v>0</v>
      </c>
      <c r="CG36" s="2141" t="s">
        <v>1284</v>
      </c>
      <c r="CH36" s="33">
        <v>450</v>
      </c>
      <c r="CI36" s="33">
        <v>230</v>
      </c>
      <c r="CJ36" s="33">
        <v>20</v>
      </c>
      <c r="CK36" s="323">
        <v>20</v>
      </c>
      <c r="CL36" s="323">
        <v>20</v>
      </c>
      <c r="CM36" s="323">
        <f>CL36*2/3</f>
        <v>13.333333333333334</v>
      </c>
      <c r="CN36" s="323">
        <v>30</v>
      </c>
      <c r="CO36" s="323">
        <v>30</v>
      </c>
      <c r="CP36" s="1001">
        <v>0.10299999999999999</v>
      </c>
      <c r="CS36" s="1910"/>
      <c r="CT36" s="1911"/>
    </row>
    <row r="37" spans="1:98" ht="32.25" customHeight="1">
      <c r="A37" s="1750">
        <v>30</v>
      </c>
      <c r="B37" s="2169">
        <v>0</v>
      </c>
      <c r="C37" s="2172" t="s">
        <v>31</v>
      </c>
      <c r="D37" s="1946">
        <f t="shared" si="0"/>
        <v>0</v>
      </c>
      <c r="E37" s="1947">
        <f t="shared" si="1"/>
        <v>0</v>
      </c>
      <c r="F37" s="1941">
        <v>0</v>
      </c>
      <c r="G37" s="1949">
        <f t="shared" si="28"/>
        <v>0</v>
      </c>
      <c r="H37" s="1949">
        <f t="shared" si="29"/>
        <v>0</v>
      </c>
      <c r="I37" s="1949">
        <f t="shared" si="2"/>
        <v>0</v>
      </c>
      <c r="J37" s="1949">
        <f t="shared" si="3"/>
        <v>0</v>
      </c>
      <c r="K37" s="1949">
        <f t="shared" si="30"/>
        <v>0</v>
      </c>
      <c r="L37" s="1928">
        <f t="shared" si="31"/>
        <v>0</v>
      </c>
      <c r="M37" s="1943"/>
      <c r="N37" s="761" t="s">
        <v>503</v>
      </c>
      <c r="O37" s="1905">
        <f t="shared" si="5"/>
        <v>0</v>
      </c>
      <c r="P37" s="761" t="s">
        <v>25</v>
      </c>
      <c r="Q37" s="1905">
        <f t="shared" si="6"/>
        <v>0</v>
      </c>
      <c r="R37" s="1906">
        <f t="shared" si="7"/>
        <v>0</v>
      </c>
      <c r="S37" s="1957">
        <v>0</v>
      </c>
      <c r="T37" s="1907" t="s">
        <v>160</v>
      </c>
      <c r="U37" s="1752">
        <f t="shared" si="8"/>
        <v>0</v>
      </c>
      <c r="V37" s="1961">
        <v>0</v>
      </c>
      <c r="W37" s="1954" t="s">
        <v>1314</v>
      </c>
      <c r="X37" s="1931">
        <f t="shared" si="9"/>
        <v>0</v>
      </c>
      <c r="Y37" s="1954" t="s">
        <v>1314</v>
      </c>
      <c r="Z37" s="1965">
        <f t="shared" si="32"/>
        <v>0</v>
      </c>
      <c r="AA37" s="1966">
        <f t="shared" si="33"/>
        <v>0</v>
      </c>
      <c r="AB37" s="1951">
        <f t="shared" si="34"/>
        <v>0</v>
      </c>
      <c r="AC37" s="2097">
        <f t="shared" si="10"/>
        <v>0</v>
      </c>
      <c r="AD37" s="1951">
        <f t="shared" si="35"/>
        <v>0</v>
      </c>
      <c r="AE37" s="142"/>
      <c r="AF37" s="1281">
        <f t="shared" si="36"/>
        <v>30</v>
      </c>
      <c r="AG37" s="1281" t="str">
        <f t="shared" si="37"/>
        <v>keine</v>
      </c>
      <c r="AH37" s="1329"/>
      <c r="AI37" s="1330" t="s">
        <v>795</v>
      </c>
      <c r="AJ37" s="1424">
        <v>0</v>
      </c>
      <c r="AK37" s="1033">
        <f>VLOOKUP(AI37,Düngemittel!$B$6:$E$64,2,FALSE)*(VLOOKUP(AI37,Düngemittel!$B$6:$E$64,3,FALSE))/100*AJ37</f>
        <v>0</v>
      </c>
      <c r="AL37" s="1033">
        <f>VLOOKUP(AI37,Düngemittel!$B$6:$E$64,2,FALSE)*AJ37</f>
        <v>0</v>
      </c>
      <c r="AM37" s="1033">
        <f>VLOOKUP(AI37,Düngemittel!$B$6:$E$64,4,FALSE)*AJ37</f>
        <v>0</v>
      </c>
      <c r="AN37" s="142"/>
      <c r="AO37" s="1329"/>
      <c r="AP37" s="1330" t="s">
        <v>795</v>
      </c>
      <c r="AQ37" s="1424">
        <v>0</v>
      </c>
      <c r="AR37" s="1033">
        <f>VLOOKUP(AP37,Düngemittel!$B$6:$E$64,2,FALSE)*(VLOOKUP(AP37,Düngemittel!$B$6:$E$64,3,FALSE))/100*AQ37</f>
        <v>0</v>
      </c>
      <c r="AS37" s="1033">
        <f>VLOOKUP(AP37,Düngemittel!$B$6:$E$64,2,FALSE)*AQ37</f>
        <v>0</v>
      </c>
      <c r="AT37" s="1033">
        <f>VLOOKUP(AP37,Düngemittel!$B$6:$E$64,4,FALSE)*AQ37</f>
        <v>0</v>
      </c>
      <c r="AU37" s="142"/>
      <c r="AV37" s="1329"/>
      <c r="AW37" s="1330" t="s">
        <v>795</v>
      </c>
      <c r="AX37" s="1424">
        <v>0</v>
      </c>
      <c r="AY37" s="1033">
        <f>VLOOKUP(AW37,Düngemittel!$B$6:$E$64,2,FALSE)*(VLOOKUP(AW37,Düngemittel!$B$6:$E$64,3,FALSE))/100*AX37</f>
        <v>0</v>
      </c>
      <c r="AZ37" s="1033">
        <f>VLOOKUP(AW37,Düngemittel!$B$6:$E$64,2,FALSE)*AX37</f>
        <v>0</v>
      </c>
      <c r="BA37" s="1033">
        <f>VLOOKUP(AW37,Düngemittel!$B$6:$E$64,4,FALSE)*AX37</f>
        <v>0</v>
      </c>
      <c r="BB37" s="142"/>
      <c r="BC37" s="1329"/>
      <c r="BD37" s="1330" t="s">
        <v>795</v>
      </c>
      <c r="BE37" s="1424">
        <v>0</v>
      </c>
      <c r="BF37" s="1033">
        <f>VLOOKUP(BD37,Düngemittel!$B$6:$E$64,2,FALSE)*(VLOOKUP(BD37,Düngemittel!$B$6:$E$64,3,FALSE))/100*BE37</f>
        <v>0</v>
      </c>
      <c r="BG37" s="1033">
        <f>VLOOKUP(BD37,Düngemittel!$B$6:$E$64,2,FALSE)*BE37</f>
        <v>0</v>
      </c>
      <c r="BH37" s="1033">
        <f>VLOOKUP(BD37,Düngemittel!$B$6:$E$64,4,FALSE)*BE37</f>
        <v>0</v>
      </c>
      <c r="BI37" s="142"/>
      <c r="BJ37" s="1329"/>
      <c r="BK37" s="1330" t="s">
        <v>795</v>
      </c>
      <c r="BL37" s="1424">
        <v>0</v>
      </c>
      <c r="BM37" s="1033">
        <f>VLOOKUP(BK37,Düngemittel!$B$6:$E$64,2,FALSE)*(VLOOKUP(BK37,Düngemittel!$B$6:$E$64,3,FALSE))/100*BL37</f>
        <v>0</v>
      </c>
      <c r="BN37" s="1033">
        <f>VLOOKUP(BK37,Düngemittel!$B$6:$E$64,2,FALSE)*BL37</f>
        <v>0</v>
      </c>
      <c r="BO37" s="1033">
        <f>VLOOKUP(BK37,Düngemittel!$B$6:$E$64,4,FALSE)*BL37</f>
        <v>0</v>
      </c>
      <c r="BP37" s="142"/>
      <c r="BQ37" s="1812">
        <f t="shared" si="38"/>
        <v>0</v>
      </c>
      <c r="BR37" s="2328">
        <f t="shared" si="39"/>
        <v>0</v>
      </c>
      <c r="BS37" s="1812">
        <f t="shared" si="40"/>
        <v>0</v>
      </c>
      <c r="BT37" s="1138">
        <f t="shared" si="41"/>
        <v>0</v>
      </c>
      <c r="BU37" s="2328">
        <f t="shared" si="42"/>
        <v>0</v>
      </c>
      <c r="BV37" s="95"/>
      <c r="BW37" s="1810">
        <f t="shared" si="43"/>
        <v>0</v>
      </c>
      <c r="BX37" s="1135">
        <f t="shared" si="44"/>
        <v>0</v>
      </c>
      <c r="BY37" s="1810">
        <f t="shared" si="45"/>
        <v>0</v>
      </c>
      <c r="BZ37" s="1807">
        <f t="shared" si="46"/>
        <v>0</v>
      </c>
      <c r="CA37" s="1135">
        <f t="shared" si="47"/>
        <v>0</v>
      </c>
      <c r="CB37" s="2324"/>
      <c r="CD37">
        <v>0</v>
      </c>
      <c r="CE37">
        <v>0</v>
      </c>
      <c r="CG37" s="2140" t="s">
        <v>1645</v>
      </c>
      <c r="CH37" s="33">
        <v>600</v>
      </c>
      <c r="CI37" s="33">
        <v>100</v>
      </c>
      <c r="CJ37" s="33">
        <v>20</v>
      </c>
      <c r="CK37" s="2156">
        <v>20</v>
      </c>
      <c r="CL37" s="2156">
        <v>20</v>
      </c>
      <c r="CM37" s="2156">
        <f>CL37*2/3</f>
        <v>13.333333333333334</v>
      </c>
      <c r="CN37" s="2156">
        <v>35</v>
      </c>
      <c r="CO37" s="2156">
        <v>60</v>
      </c>
      <c r="CP37" s="1914">
        <v>0.115</v>
      </c>
      <c r="CS37" s="1910"/>
      <c r="CT37" s="1911"/>
    </row>
    <row r="38" spans="1:98" ht="32.25" customHeight="1">
      <c r="A38" s="1750">
        <v>31</v>
      </c>
      <c r="B38" s="2169">
        <v>0</v>
      </c>
      <c r="C38" s="2172" t="s">
        <v>31</v>
      </c>
      <c r="D38" s="1946">
        <f t="shared" si="0"/>
        <v>0</v>
      </c>
      <c r="E38" s="1947">
        <f t="shared" si="1"/>
        <v>0</v>
      </c>
      <c r="F38" s="1941">
        <v>0</v>
      </c>
      <c r="G38" s="1949">
        <f t="shared" si="28"/>
        <v>0</v>
      </c>
      <c r="H38" s="1949">
        <f t="shared" si="29"/>
        <v>0</v>
      </c>
      <c r="I38" s="1949">
        <f t="shared" si="2"/>
        <v>0</v>
      </c>
      <c r="J38" s="1949">
        <f t="shared" si="3"/>
        <v>0</v>
      </c>
      <c r="K38" s="1949">
        <f t="shared" si="30"/>
        <v>0</v>
      </c>
      <c r="L38" s="1928">
        <f t="shared" si="31"/>
        <v>0</v>
      </c>
      <c r="M38" s="1943"/>
      <c r="N38" s="761" t="s">
        <v>503</v>
      </c>
      <c r="O38" s="1905">
        <f t="shared" si="5"/>
        <v>0</v>
      </c>
      <c r="P38" s="761" t="s">
        <v>25</v>
      </c>
      <c r="Q38" s="1905">
        <f t="shared" si="6"/>
        <v>0</v>
      </c>
      <c r="R38" s="1906">
        <f t="shared" si="7"/>
        <v>0</v>
      </c>
      <c r="S38" s="1957">
        <v>0</v>
      </c>
      <c r="T38" s="1907" t="s">
        <v>160</v>
      </c>
      <c r="U38" s="1752">
        <f t="shared" si="8"/>
        <v>0</v>
      </c>
      <c r="V38" s="1961">
        <v>0</v>
      </c>
      <c r="W38" s="1954" t="s">
        <v>1314</v>
      </c>
      <c r="X38" s="1931">
        <f t="shared" si="9"/>
        <v>0</v>
      </c>
      <c r="Y38" s="1954" t="s">
        <v>1314</v>
      </c>
      <c r="Z38" s="1965">
        <f t="shared" si="32"/>
        <v>0</v>
      </c>
      <c r="AA38" s="1966">
        <f t="shared" si="33"/>
        <v>0</v>
      </c>
      <c r="AB38" s="1951">
        <f t="shared" si="34"/>
        <v>0</v>
      </c>
      <c r="AC38" s="2097">
        <f t="shared" si="10"/>
        <v>0</v>
      </c>
      <c r="AD38" s="1951">
        <f t="shared" si="35"/>
        <v>0</v>
      </c>
      <c r="AE38" s="142"/>
      <c r="AF38" s="1281">
        <f t="shared" si="36"/>
        <v>31</v>
      </c>
      <c r="AG38" s="1281" t="str">
        <f t="shared" si="37"/>
        <v>keine</v>
      </c>
      <c r="AH38" s="1329"/>
      <c r="AI38" s="1330" t="s">
        <v>795</v>
      </c>
      <c r="AJ38" s="1424">
        <v>0</v>
      </c>
      <c r="AK38" s="1033">
        <f>VLOOKUP(AI38,Düngemittel!$B$6:$E$64,2,FALSE)*(VLOOKUP(AI38,Düngemittel!$B$6:$E$64,3,FALSE))/100*AJ38</f>
        <v>0</v>
      </c>
      <c r="AL38" s="1033">
        <f>VLOOKUP(AI38,Düngemittel!$B$6:$E$64,2,FALSE)*AJ38</f>
        <v>0</v>
      </c>
      <c r="AM38" s="1033">
        <f>VLOOKUP(AI38,Düngemittel!$B$6:$E$64,4,FALSE)*AJ38</f>
        <v>0</v>
      </c>
      <c r="AN38" s="142"/>
      <c r="AO38" s="1329"/>
      <c r="AP38" s="1330" t="s">
        <v>795</v>
      </c>
      <c r="AQ38" s="1424">
        <v>0</v>
      </c>
      <c r="AR38" s="1033">
        <f>VLOOKUP(AP38,Düngemittel!$B$6:$E$64,2,FALSE)*(VLOOKUP(AP38,Düngemittel!$B$6:$E$64,3,FALSE))/100*AQ38</f>
        <v>0</v>
      </c>
      <c r="AS38" s="1033">
        <f>VLOOKUP(AP38,Düngemittel!$B$6:$E$64,2,FALSE)*AQ38</f>
        <v>0</v>
      </c>
      <c r="AT38" s="1033">
        <f>VLOOKUP(AP38,Düngemittel!$B$6:$E$64,4,FALSE)*AQ38</f>
        <v>0</v>
      </c>
      <c r="AU38" s="142"/>
      <c r="AV38" s="1329"/>
      <c r="AW38" s="1330" t="s">
        <v>795</v>
      </c>
      <c r="AX38" s="1424">
        <v>0</v>
      </c>
      <c r="AY38" s="1033">
        <f>VLOOKUP(AW38,Düngemittel!$B$6:$E$64,2,FALSE)*(VLOOKUP(AW38,Düngemittel!$B$6:$E$64,3,FALSE))/100*AX38</f>
        <v>0</v>
      </c>
      <c r="AZ38" s="1033">
        <f>VLOOKUP(AW38,Düngemittel!$B$6:$E$64,2,FALSE)*AX38</f>
        <v>0</v>
      </c>
      <c r="BA38" s="1033">
        <f>VLOOKUP(AW38,Düngemittel!$B$6:$E$64,4,FALSE)*AX38</f>
        <v>0</v>
      </c>
      <c r="BB38" s="142"/>
      <c r="BC38" s="1329"/>
      <c r="BD38" s="1330" t="s">
        <v>795</v>
      </c>
      <c r="BE38" s="1424">
        <v>0</v>
      </c>
      <c r="BF38" s="1033">
        <f>VLOOKUP(BD38,Düngemittel!$B$6:$E$64,2,FALSE)*(VLOOKUP(BD38,Düngemittel!$B$6:$E$64,3,FALSE))/100*BE38</f>
        <v>0</v>
      </c>
      <c r="BG38" s="1033">
        <f>VLOOKUP(BD38,Düngemittel!$B$6:$E$64,2,FALSE)*BE38</f>
        <v>0</v>
      </c>
      <c r="BH38" s="1033">
        <f>VLOOKUP(BD38,Düngemittel!$B$6:$E$64,4,FALSE)*BE38</f>
        <v>0</v>
      </c>
      <c r="BI38" s="142"/>
      <c r="BJ38" s="1329"/>
      <c r="BK38" s="1330" t="s">
        <v>795</v>
      </c>
      <c r="BL38" s="1424">
        <v>0</v>
      </c>
      <c r="BM38" s="1033">
        <f>VLOOKUP(BK38,Düngemittel!$B$6:$E$64,2,FALSE)*(VLOOKUP(BK38,Düngemittel!$B$6:$E$64,3,FALSE))/100*BL38</f>
        <v>0</v>
      </c>
      <c r="BN38" s="1033">
        <f>VLOOKUP(BK38,Düngemittel!$B$6:$E$64,2,FALSE)*BL38</f>
        <v>0</v>
      </c>
      <c r="BO38" s="1033">
        <f>VLOOKUP(BK38,Düngemittel!$B$6:$E$64,4,FALSE)*BL38</f>
        <v>0</v>
      </c>
      <c r="BP38" s="142"/>
      <c r="BQ38" s="1812">
        <f t="shared" si="38"/>
        <v>0</v>
      </c>
      <c r="BR38" s="2328">
        <f t="shared" si="39"/>
        <v>0</v>
      </c>
      <c r="BS38" s="1812">
        <f t="shared" si="40"/>
        <v>0</v>
      </c>
      <c r="BT38" s="1138">
        <f t="shared" si="41"/>
        <v>0</v>
      </c>
      <c r="BU38" s="2328">
        <f t="shared" si="42"/>
        <v>0</v>
      </c>
      <c r="BV38" s="95"/>
      <c r="BW38" s="1810">
        <f t="shared" si="43"/>
        <v>0</v>
      </c>
      <c r="BX38" s="1135">
        <f t="shared" si="44"/>
        <v>0</v>
      </c>
      <c r="BY38" s="1810">
        <f t="shared" si="45"/>
        <v>0</v>
      </c>
      <c r="BZ38" s="1807">
        <f t="shared" si="46"/>
        <v>0</v>
      </c>
      <c r="CA38" s="1135">
        <f t="shared" si="47"/>
        <v>0</v>
      </c>
      <c r="CB38" s="2324"/>
      <c r="CD38">
        <v>0</v>
      </c>
      <c r="CE38">
        <v>0</v>
      </c>
      <c r="CG38" s="2159" t="s">
        <v>1646</v>
      </c>
      <c r="CH38" s="33">
        <v>120</v>
      </c>
      <c r="CI38" s="33">
        <v>100</v>
      </c>
      <c r="CJ38" s="33">
        <v>10</v>
      </c>
      <c r="CK38" s="2153">
        <v>5</v>
      </c>
      <c r="CL38" s="2153">
        <v>5</v>
      </c>
      <c r="CM38" s="2152">
        <v>0</v>
      </c>
      <c r="CN38" s="2152">
        <v>0</v>
      </c>
      <c r="CO38" s="2152">
        <v>30</v>
      </c>
      <c r="CP38" s="2157">
        <v>0.14000000000000001</v>
      </c>
      <c r="CS38" s="1910"/>
      <c r="CT38" s="1911"/>
    </row>
    <row r="39" spans="1:98" ht="32.25" customHeight="1">
      <c r="A39" s="1750">
        <v>32</v>
      </c>
      <c r="B39" s="2169">
        <v>0</v>
      </c>
      <c r="C39" s="2172" t="s">
        <v>31</v>
      </c>
      <c r="D39" s="1946">
        <f t="shared" si="0"/>
        <v>0</v>
      </c>
      <c r="E39" s="1947">
        <f t="shared" si="1"/>
        <v>0</v>
      </c>
      <c r="F39" s="1941">
        <v>0</v>
      </c>
      <c r="G39" s="1949">
        <f t="shared" si="28"/>
        <v>0</v>
      </c>
      <c r="H39" s="1949">
        <f t="shared" si="29"/>
        <v>0</v>
      </c>
      <c r="I39" s="1949">
        <f t="shared" si="2"/>
        <v>0</v>
      </c>
      <c r="J39" s="1949">
        <f t="shared" si="3"/>
        <v>0</v>
      </c>
      <c r="K39" s="1949">
        <f t="shared" si="30"/>
        <v>0</v>
      </c>
      <c r="L39" s="1928">
        <f t="shared" si="31"/>
        <v>0</v>
      </c>
      <c r="M39" s="1943"/>
      <c r="N39" s="761" t="s">
        <v>503</v>
      </c>
      <c r="O39" s="1905">
        <f t="shared" si="5"/>
        <v>0</v>
      </c>
      <c r="P39" s="761" t="s">
        <v>25</v>
      </c>
      <c r="Q39" s="1905">
        <f t="shared" si="6"/>
        <v>0</v>
      </c>
      <c r="R39" s="1906">
        <f t="shared" si="7"/>
        <v>0</v>
      </c>
      <c r="S39" s="1957">
        <v>0</v>
      </c>
      <c r="T39" s="1907" t="s">
        <v>160</v>
      </c>
      <c r="U39" s="1752">
        <f t="shared" si="8"/>
        <v>0</v>
      </c>
      <c r="V39" s="1961">
        <v>0</v>
      </c>
      <c r="W39" s="1954" t="s">
        <v>1314</v>
      </c>
      <c r="X39" s="1931">
        <f t="shared" si="9"/>
        <v>0</v>
      </c>
      <c r="Y39" s="1954" t="s">
        <v>1314</v>
      </c>
      <c r="Z39" s="1965">
        <f t="shared" si="32"/>
        <v>0</v>
      </c>
      <c r="AA39" s="1966">
        <f t="shared" si="33"/>
        <v>0</v>
      </c>
      <c r="AB39" s="1951">
        <f t="shared" si="34"/>
        <v>0</v>
      </c>
      <c r="AC39" s="2097">
        <f t="shared" si="10"/>
        <v>0</v>
      </c>
      <c r="AD39" s="1951">
        <f t="shared" si="35"/>
        <v>0</v>
      </c>
      <c r="AE39" s="142"/>
      <c r="AF39" s="1281">
        <f t="shared" si="36"/>
        <v>32</v>
      </c>
      <c r="AG39" s="1281" t="str">
        <f t="shared" si="37"/>
        <v>keine</v>
      </c>
      <c r="AH39" s="1329"/>
      <c r="AI39" s="1330" t="s">
        <v>795</v>
      </c>
      <c r="AJ39" s="1424">
        <v>0</v>
      </c>
      <c r="AK39" s="1033">
        <f>VLOOKUP(AI39,Düngemittel!$B$6:$E$64,2,FALSE)*(VLOOKUP(AI39,Düngemittel!$B$6:$E$64,3,FALSE))/100*AJ39</f>
        <v>0</v>
      </c>
      <c r="AL39" s="1033">
        <f>VLOOKUP(AI39,Düngemittel!$B$6:$E$64,2,FALSE)*AJ39</f>
        <v>0</v>
      </c>
      <c r="AM39" s="1033">
        <f>VLOOKUP(AI39,Düngemittel!$B$6:$E$64,4,FALSE)*AJ39</f>
        <v>0</v>
      </c>
      <c r="AN39" s="142"/>
      <c r="AO39" s="1329"/>
      <c r="AP39" s="1330" t="s">
        <v>795</v>
      </c>
      <c r="AQ39" s="1424">
        <v>0</v>
      </c>
      <c r="AR39" s="1033">
        <f>VLOOKUP(AP39,Düngemittel!$B$6:$E$64,2,FALSE)*(VLOOKUP(AP39,Düngemittel!$B$6:$E$64,3,FALSE))/100*AQ39</f>
        <v>0</v>
      </c>
      <c r="AS39" s="1033">
        <f>VLOOKUP(AP39,Düngemittel!$B$6:$E$64,2,FALSE)*AQ39</f>
        <v>0</v>
      </c>
      <c r="AT39" s="1033">
        <f>VLOOKUP(AP39,Düngemittel!$B$6:$E$64,4,FALSE)*AQ39</f>
        <v>0</v>
      </c>
      <c r="AU39" s="142"/>
      <c r="AV39" s="1329"/>
      <c r="AW39" s="1330" t="s">
        <v>795</v>
      </c>
      <c r="AX39" s="1424">
        <v>0</v>
      </c>
      <c r="AY39" s="1033">
        <f>VLOOKUP(AW39,Düngemittel!$B$6:$E$64,2,FALSE)*(VLOOKUP(AW39,Düngemittel!$B$6:$E$64,3,FALSE))/100*AX39</f>
        <v>0</v>
      </c>
      <c r="AZ39" s="1033">
        <f>VLOOKUP(AW39,Düngemittel!$B$6:$E$64,2,FALSE)*AX39</f>
        <v>0</v>
      </c>
      <c r="BA39" s="1033">
        <f>VLOOKUP(AW39,Düngemittel!$B$6:$E$64,4,FALSE)*AX39</f>
        <v>0</v>
      </c>
      <c r="BB39" s="142"/>
      <c r="BC39" s="1329"/>
      <c r="BD39" s="1330" t="s">
        <v>795</v>
      </c>
      <c r="BE39" s="1424">
        <v>0</v>
      </c>
      <c r="BF39" s="1033">
        <f>VLOOKUP(BD39,Düngemittel!$B$6:$E$64,2,FALSE)*(VLOOKUP(BD39,Düngemittel!$B$6:$E$64,3,FALSE))/100*BE39</f>
        <v>0</v>
      </c>
      <c r="BG39" s="1033">
        <f>VLOOKUP(BD39,Düngemittel!$B$6:$E$64,2,FALSE)*BE39</f>
        <v>0</v>
      </c>
      <c r="BH39" s="1033">
        <f>VLOOKUP(BD39,Düngemittel!$B$6:$E$64,4,FALSE)*BE39</f>
        <v>0</v>
      </c>
      <c r="BI39" s="142"/>
      <c r="BJ39" s="1329"/>
      <c r="BK39" s="1330" t="s">
        <v>795</v>
      </c>
      <c r="BL39" s="1424">
        <v>0</v>
      </c>
      <c r="BM39" s="1033">
        <f>VLOOKUP(BK39,Düngemittel!$B$6:$E$64,2,FALSE)*(VLOOKUP(BK39,Düngemittel!$B$6:$E$64,3,FALSE))/100*BL39</f>
        <v>0</v>
      </c>
      <c r="BN39" s="1033">
        <f>VLOOKUP(BK39,Düngemittel!$B$6:$E$64,2,FALSE)*BL39</f>
        <v>0</v>
      </c>
      <c r="BO39" s="1033">
        <f>VLOOKUP(BK39,Düngemittel!$B$6:$E$64,4,FALSE)*BL39</f>
        <v>0</v>
      </c>
      <c r="BP39" s="142"/>
      <c r="BQ39" s="1812">
        <f t="shared" si="38"/>
        <v>0</v>
      </c>
      <c r="BR39" s="2328">
        <f t="shared" si="39"/>
        <v>0</v>
      </c>
      <c r="BS39" s="1812">
        <f t="shared" si="40"/>
        <v>0</v>
      </c>
      <c r="BT39" s="1138">
        <f t="shared" si="41"/>
        <v>0</v>
      </c>
      <c r="BU39" s="2328">
        <f t="shared" si="42"/>
        <v>0</v>
      </c>
      <c r="BV39" s="95"/>
      <c r="BW39" s="1810">
        <f t="shared" si="43"/>
        <v>0</v>
      </c>
      <c r="BX39" s="1135">
        <f t="shared" si="44"/>
        <v>0</v>
      </c>
      <c r="BY39" s="1810">
        <f t="shared" si="45"/>
        <v>0</v>
      </c>
      <c r="BZ39" s="1807">
        <f t="shared" si="46"/>
        <v>0</v>
      </c>
      <c r="CA39" s="1135">
        <f t="shared" si="47"/>
        <v>0</v>
      </c>
      <c r="CB39" s="2324"/>
      <c r="CD39">
        <v>0</v>
      </c>
      <c r="CE39">
        <v>0</v>
      </c>
      <c r="CG39" s="2141" t="s">
        <v>472</v>
      </c>
      <c r="CH39" s="33">
        <v>400</v>
      </c>
      <c r="CI39" s="33">
        <v>140</v>
      </c>
      <c r="CJ39" s="33">
        <v>20</v>
      </c>
      <c r="CK39" s="323">
        <v>20</v>
      </c>
      <c r="CL39" s="323">
        <v>20</v>
      </c>
      <c r="CM39" s="323">
        <f>CL39*2/3</f>
        <v>13.333333333333334</v>
      </c>
      <c r="CN39" s="323">
        <v>50</v>
      </c>
      <c r="CO39" s="323">
        <v>60</v>
      </c>
      <c r="CP39" s="1001">
        <v>0.20599999999999999</v>
      </c>
      <c r="CS39" s="1910"/>
      <c r="CT39" s="1911"/>
    </row>
    <row r="40" spans="1:98" ht="32.25" customHeight="1">
      <c r="A40" s="1750">
        <v>33</v>
      </c>
      <c r="B40" s="2169">
        <v>0</v>
      </c>
      <c r="C40" s="2172" t="s">
        <v>31</v>
      </c>
      <c r="D40" s="1946">
        <f t="shared" si="0"/>
        <v>0</v>
      </c>
      <c r="E40" s="1947">
        <f t="shared" si="1"/>
        <v>0</v>
      </c>
      <c r="F40" s="1941">
        <v>0</v>
      </c>
      <c r="G40" s="1949">
        <f t="shared" si="28"/>
        <v>0</v>
      </c>
      <c r="H40" s="1949">
        <f t="shared" si="29"/>
        <v>0</v>
      </c>
      <c r="I40" s="1949">
        <f t="shared" si="2"/>
        <v>0</v>
      </c>
      <c r="J40" s="1949">
        <f t="shared" si="3"/>
        <v>0</v>
      </c>
      <c r="K40" s="1949">
        <f t="shared" si="30"/>
        <v>0</v>
      </c>
      <c r="L40" s="1928">
        <f t="shared" si="31"/>
        <v>0</v>
      </c>
      <c r="M40" s="1943"/>
      <c r="N40" s="761" t="s">
        <v>503</v>
      </c>
      <c r="O40" s="1905">
        <f t="shared" si="5"/>
        <v>0</v>
      </c>
      <c r="P40" s="761" t="s">
        <v>25</v>
      </c>
      <c r="Q40" s="1905">
        <f t="shared" si="6"/>
        <v>0</v>
      </c>
      <c r="R40" s="1906">
        <f t="shared" si="7"/>
        <v>0</v>
      </c>
      <c r="S40" s="1957">
        <v>0</v>
      </c>
      <c r="T40" s="1907" t="s">
        <v>160</v>
      </c>
      <c r="U40" s="1752">
        <f t="shared" si="8"/>
        <v>0</v>
      </c>
      <c r="V40" s="1961">
        <v>0</v>
      </c>
      <c r="W40" s="1954" t="s">
        <v>1314</v>
      </c>
      <c r="X40" s="1931">
        <f t="shared" si="9"/>
        <v>0</v>
      </c>
      <c r="Y40" s="1954" t="s">
        <v>1314</v>
      </c>
      <c r="Z40" s="1965">
        <f t="shared" si="32"/>
        <v>0</v>
      </c>
      <c r="AA40" s="1966">
        <f t="shared" si="33"/>
        <v>0</v>
      </c>
      <c r="AB40" s="1951">
        <f t="shared" si="34"/>
        <v>0</v>
      </c>
      <c r="AC40" s="2097">
        <f t="shared" si="10"/>
        <v>0</v>
      </c>
      <c r="AD40" s="1951">
        <f t="shared" si="35"/>
        <v>0</v>
      </c>
      <c r="AE40" s="142"/>
      <c r="AF40" s="1281">
        <f t="shared" si="36"/>
        <v>33</v>
      </c>
      <c r="AG40" s="1281" t="str">
        <f t="shared" si="37"/>
        <v>keine</v>
      </c>
      <c r="AH40" s="1329"/>
      <c r="AI40" s="1330" t="s">
        <v>795</v>
      </c>
      <c r="AJ40" s="1424">
        <v>0</v>
      </c>
      <c r="AK40" s="1033">
        <f>VLOOKUP(AI40,Düngemittel!$B$6:$E$64,2,FALSE)*(VLOOKUP(AI40,Düngemittel!$B$6:$E$64,3,FALSE))/100*AJ40</f>
        <v>0</v>
      </c>
      <c r="AL40" s="1033">
        <f>VLOOKUP(AI40,Düngemittel!$B$6:$E$64,2,FALSE)*AJ40</f>
        <v>0</v>
      </c>
      <c r="AM40" s="1033">
        <f>VLOOKUP(AI40,Düngemittel!$B$6:$E$64,4,FALSE)*AJ40</f>
        <v>0</v>
      </c>
      <c r="AN40" s="142"/>
      <c r="AO40" s="1329"/>
      <c r="AP40" s="1330" t="s">
        <v>795</v>
      </c>
      <c r="AQ40" s="1424">
        <v>0</v>
      </c>
      <c r="AR40" s="1033">
        <f>VLOOKUP(AP40,Düngemittel!$B$6:$E$64,2,FALSE)*(VLOOKUP(AP40,Düngemittel!$B$6:$E$64,3,FALSE))/100*AQ40</f>
        <v>0</v>
      </c>
      <c r="AS40" s="1033">
        <f>VLOOKUP(AP40,Düngemittel!$B$6:$E$64,2,FALSE)*AQ40</f>
        <v>0</v>
      </c>
      <c r="AT40" s="1033">
        <f>VLOOKUP(AP40,Düngemittel!$B$6:$E$64,4,FALSE)*AQ40</f>
        <v>0</v>
      </c>
      <c r="AU40" s="142"/>
      <c r="AV40" s="1329"/>
      <c r="AW40" s="1330" t="s">
        <v>795</v>
      </c>
      <c r="AX40" s="1424">
        <v>0</v>
      </c>
      <c r="AY40" s="1033">
        <f>VLOOKUP(AW40,Düngemittel!$B$6:$E$64,2,FALSE)*(VLOOKUP(AW40,Düngemittel!$B$6:$E$64,3,FALSE))/100*AX40</f>
        <v>0</v>
      </c>
      <c r="AZ40" s="1033">
        <f>VLOOKUP(AW40,Düngemittel!$B$6:$E$64,2,FALSE)*AX40</f>
        <v>0</v>
      </c>
      <c r="BA40" s="1033">
        <f>VLOOKUP(AW40,Düngemittel!$B$6:$E$64,4,FALSE)*AX40</f>
        <v>0</v>
      </c>
      <c r="BB40" s="142"/>
      <c r="BC40" s="1329"/>
      <c r="BD40" s="1330" t="s">
        <v>795</v>
      </c>
      <c r="BE40" s="1424">
        <v>0</v>
      </c>
      <c r="BF40" s="1033">
        <f>VLOOKUP(BD40,Düngemittel!$B$6:$E$64,2,FALSE)*(VLOOKUP(BD40,Düngemittel!$B$6:$E$64,3,FALSE))/100*BE40</f>
        <v>0</v>
      </c>
      <c r="BG40" s="1033">
        <f>VLOOKUP(BD40,Düngemittel!$B$6:$E$64,2,FALSE)*BE40</f>
        <v>0</v>
      </c>
      <c r="BH40" s="1033">
        <f>VLOOKUP(BD40,Düngemittel!$B$6:$E$64,4,FALSE)*BE40</f>
        <v>0</v>
      </c>
      <c r="BI40" s="142"/>
      <c r="BJ40" s="1329"/>
      <c r="BK40" s="1330" t="s">
        <v>795</v>
      </c>
      <c r="BL40" s="1424">
        <v>0</v>
      </c>
      <c r="BM40" s="1033">
        <f>VLOOKUP(BK40,Düngemittel!$B$6:$E$64,2,FALSE)*(VLOOKUP(BK40,Düngemittel!$B$6:$E$64,3,FALSE))/100*BL40</f>
        <v>0</v>
      </c>
      <c r="BN40" s="1033">
        <f>VLOOKUP(BK40,Düngemittel!$B$6:$E$64,2,FALSE)*BL40</f>
        <v>0</v>
      </c>
      <c r="BO40" s="1033">
        <f>VLOOKUP(BK40,Düngemittel!$B$6:$E$64,4,FALSE)*BL40</f>
        <v>0</v>
      </c>
      <c r="BP40" s="142"/>
      <c r="BQ40" s="1812">
        <f t="shared" si="38"/>
        <v>0</v>
      </c>
      <c r="BR40" s="2328">
        <f t="shared" si="39"/>
        <v>0</v>
      </c>
      <c r="BS40" s="1812">
        <f t="shared" si="40"/>
        <v>0</v>
      </c>
      <c r="BT40" s="1138">
        <f t="shared" si="41"/>
        <v>0</v>
      </c>
      <c r="BU40" s="2328">
        <f t="shared" si="42"/>
        <v>0</v>
      </c>
      <c r="BV40" s="95"/>
      <c r="BW40" s="1810">
        <f t="shared" si="43"/>
        <v>0</v>
      </c>
      <c r="BX40" s="1135">
        <f t="shared" si="44"/>
        <v>0</v>
      </c>
      <c r="BY40" s="1810">
        <f t="shared" si="45"/>
        <v>0</v>
      </c>
      <c r="BZ40" s="1807">
        <f t="shared" si="46"/>
        <v>0</v>
      </c>
      <c r="CA40" s="1135">
        <f t="shared" si="47"/>
        <v>0</v>
      </c>
      <c r="CB40" s="2324"/>
      <c r="CD40">
        <v>0</v>
      </c>
      <c r="CE40">
        <v>0</v>
      </c>
      <c r="CG40" s="2140" t="s">
        <v>1647</v>
      </c>
      <c r="CH40" s="33">
        <v>300</v>
      </c>
      <c r="CI40" s="33">
        <v>140</v>
      </c>
      <c r="CJ40" s="33">
        <v>20</v>
      </c>
      <c r="CK40" s="323">
        <v>20</v>
      </c>
      <c r="CL40" s="323">
        <v>20</v>
      </c>
      <c r="CM40" s="323">
        <f>CL40*2/3</f>
        <v>13.333333333333334</v>
      </c>
      <c r="CN40" s="323">
        <v>50</v>
      </c>
      <c r="CO40" s="2156">
        <v>60</v>
      </c>
      <c r="CP40" s="1001">
        <v>0.20599999999999999</v>
      </c>
      <c r="CS40" s="1910"/>
      <c r="CT40" s="1911"/>
    </row>
    <row r="41" spans="1:98" ht="32.25" customHeight="1">
      <c r="A41" s="1750">
        <v>34</v>
      </c>
      <c r="B41" s="2169">
        <v>0</v>
      </c>
      <c r="C41" s="2172" t="s">
        <v>31</v>
      </c>
      <c r="D41" s="1946">
        <f t="shared" si="0"/>
        <v>0</v>
      </c>
      <c r="E41" s="1947">
        <f t="shared" si="1"/>
        <v>0</v>
      </c>
      <c r="F41" s="1941">
        <v>0</v>
      </c>
      <c r="G41" s="1949">
        <f t="shared" si="28"/>
        <v>0</v>
      </c>
      <c r="H41" s="1949">
        <f t="shared" si="29"/>
        <v>0</v>
      </c>
      <c r="I41" s="1949">
        <f t="shared" si="2"/>
        <v>0</v>
      </c>
      <c r="J41" s="1949">
        <f t="shared" si="3"/>
        <v>0</v>
      </c>
      <c r="K41" s="1949">
        <f t="shared" si="30"/>
        <v>0</v>
      </c>
      <c r="L41" s="1928">
        <f t="shared" si="31"/>
        <v>0</v>
      </c>
      <c r="M41" s="1943"/>
      <c r="N41" s="761" t="s">
        <v>503</v>
      </c>
      <c r="O41" s="1905">
        <f t="shared" si="5"/>
        <v>0</v>
      </c>
      <c r="P41" s="761" t="s">
        <v>25</v>
      </c>
      <c r="Q41" s="1905">
        <f t="shared" si="6"/>
        <v>0</v>
      </c>
      <c r="R41" s="1906">
        <f t="shared" si="7"/>
        <v>0</v>
      </c>
      <c r="S41" s="1957">
        <v>0</v>
      </c>
      <c r="T41" s="1907" t="s">
        <v>160</v>
      </c>
      <c r="U41" s="1752">
        <f t="shared" si="8"/>
        <v>0</v>
      </c>
      <c r="V41" s="1961">
        <v>0</v>
      </c>
      <c r="W41" s="1954" t="s">
        <v>1314</v>
      </c>
      <c r="X41" s="1931">
        <f t="shared" si="9"/>
        <v>0</v>
      </c>
      <c r="Y41" s="1954" t="s">
        <v>1314</v>
      </c>
      <c r="Z41" s="1965">
        <f t="shared" si="32"/>
        <v>0</v>
      </c>
      <c r="AA41" s="1966">
        <f t="shared" si="33"/>
        <v>0</v>
      </c>
      <c r="AB41" s="1951">
        <f t="shared" si="34"/>
        <v>0</v>
      </c>
      <c r="AC41" s="2097">
        <f t="shared" si="10"/>
        <v>0</v>
      </c>
      <c r="AD41" s="1951">
        <f t="shared" si="35"/>
        <v>0</v>
      </c>
      <c r="AE41" s="142"/>
      <c r="AF41" s="1281">
        <f t="shared" si="36"/>
        <v>34</v>
      </c>
      <c r="AG41" s="1281" t="str">
        <f t="shared" si="37"/>
        <v>keine</v>
      </c>
      <c r="AH41" s="1329"/>
      <c r="AI41" s="1330" t="s">
        <v>795</v>
      </c>
      <c r="AJ41" s="1424">
        <v>0</v>
      </c>
      <c r="AK41" s="1033">
        <f>VLOOKUP(AI41,Düngemittel!$B$6:$E$64,2,FALSE)*(VLOOKUP(AI41,Düngemittel!$B$6:$E$64,3,FALSE))/100*AJ41</f>
        <v>0</v>
      </c>
      <c r="AL41" s="1033">
        <f>VLOOKUP(AI41,Düngemittel!$B$6:$E$64,2,FALSE)*AJ41</f>
        <v>0</v>
      </c>
      <c r="AM41" s="1033">
        <f>VLOOKUP(AI41,Düngemittel!$B$6:$E$64,4,FALSE)*AJ41</f>
        <v>0</v>
      </c>
      <c r="AN41" s="142"/>
      <c r="AO41" s="1329"/>
      <c r="AP41" s="1330" t="s">
        <v>795</v>
      </c>
      <c r="AQ41" s="1424">
        <v>0</v>
      </c>
      <c r="AR41" s="1033">
        <f>VLOOKUP(AP41,Düngemittel!$B$6:$E$64,2,FALSE)*(VLOOKUP(AP41,Düngemittel!$B$6:$E$64,3,FALSE))/100*AQ41</f>
        <v>0</v>
      </c>
      <c r="AS41" s="1033">
        <f>VLOOKUP(AP41,Düngemittel!$B$6:$E$64,2,FALSE)*AQ41</f>
        <v>0</v>
      </c>
      <c r="AT41" s="1033">
        <f>VLOOKUP(AP41,Düngemittel!$B$6:$E$64,4,FALSE)*AQ41</f>
        <v>0</v>
      </c>
      <c r="AU41" s="142"/>
      <c r="AV41" s="1329"/>
      <c r="AW41" s="1330" t="s">
        <v>795</v>
      </c>
      <c r="AX41" s="1424">
        <v>0</v>
      </c>
      <c r="AY41" s="1033">
        <f>VLOOKUP(AW41,Düngemittel!$B$6:$E$64,2,FALSE)*(VLOOKUP(AW41,Düngemittel!$B$6:$E$64,3,FALSE))/100*AX41</f>
        <v>0</v>
      </c>
      <c r="AZ41" s="1033">
        <f>VLOOKUP(AW41,Düngemittel!$B$6:$E$64,2,FALSE)*AX41</f>
        <v>0</v>
      </c>
      <c r="BA41" s="1033">
        <f>VLOOKUP(AW41,Düngemittel!$B$6:$E$64,4,FALSE)*AX41</f>
        <v>0</v>
      </c>
      <c r="BB41" s="142"/>
      <c r="BC41" s="1329"/>
      <c r="BD41" s="1330" t="s">
        <v>795</v>
      </c>
      <c r="BE41" s="1424">
        <v>0</v>
      </c>
      <c r="BF41" s="1033">
        <f>VLOOKUP(BD41,Düngemittel!$B$6:$E$64,2,FALSE)*(VLOOKUP(BD41,Düngemittel!$B$6:$E$64,3,FALSE))/100*BE41</f>
        <v>0</v>
      </c>
      <c r="BG41" s="1033">
        <f>VLOOKUP(BD41,Düngemittel!$B$6:$E$64,2,FALSE)*BE41</f>
        <v>0</v>
      </c>
      <c r="BH41" s="1033">
        <f>VLOOKUP(BD41,Düngemittel!$B$6:$E$64,4,FALSE)*BE41</f>
        <v>0</v>
      </c>
      <c r="BI41" s="142"/>
      <c r="BJ41" s="1329"/>
      <c r="BK41" s="1330" t="s">
        <v>795</v>
      </c>
      <c r="BL41" s="1424">
        <v>0</v>
      </c>
      <c r="BM41" s="1033">
        <f>VLOOKUP(BK41,Düngemittel!$B$6:$E$64,2,FALSE)*(VLOOKUP(BK41,Düngemittel!$B$6:$E$64,3,FALSE))/100*BL41</f>
        <v>0</v>
      </c>
      <c r="BN41" s="1033">
        <f>VLOOKUP(BK41,Düngemittel!$B$6:$E$64,2,FALSE)*BL41</f>
        <v>0</v>
      </c>
      <c r="BO41" s="1033">
        <f>VLOOKUP(BK41,Düngemittel!$B$6:$E$64,4,FALSE)*BL41</f>
        <v>0</v>
      </c>
      <c r="BP41" s="142"/>
      <c r="BQ41" s="1812">
        <f t="shared" si="38"/>
        <v>0</v>
      </c>
      <c r="BR41" s="2328">
        <f t="shared" si="39"/>
        <v>0</v>
      </c>
      <c r="BS41" s="1812">
        <f t="shared" si="40"/>
        <v>0</v>
      </c>
      <c r="BT41" s="1138">
        <f t="shared" si="41"/>
        <v>0</v>
      </c>
      <c r="BU41" s="2328">
        <f t="shared" si="42"/>
        <v>0</v>
      </c>
      <c r="BV41" s="95"/>
      <c r="BW41" s="1810">
        <f t="shared" si="43"/>
        <v>0</v>
      </c>
      <c r="BX41" s="1135">
        <f t="shared" si="44"/>
        <v>0</v>
      </c>
      <c r="BY41" s="1810">
        <f t="shared" si="45"/>
        <v>0</v>
      </c>
      <c r="BZ41" s="1807">
        <f t="shared" si="46"/>
        <v>0</v>
      </c>
      <c r="CA41" s="1135">
        <f t="shared" si="47"/>
        <v>0</v>
      </c>
      <c r="CB41" s="2324"/>
      <c r="CD41">
        <v>0</v>
      </c>
      <c r="CE41">
        <v>0</v>
      </c>
      <c r="CG41" s="2159" t="s">
        <v>1538</v>
      </c>
      <c r="CH41" s="33">
        <v>25</v>
      </c>
      <c r="CI41" s="33">
        <v>90</v>
      </c>
      <c r="CJ41" s="33">
        <v>10</v>
      </c>
      <c r="CK41" s="2158">
        <v>9</v>
      </c>
      <c r="CL41" s="2158">
        <v>9</v>
      </c>
      <c r="CM41" s="2152">
        <v>0</v>
      </c>
      <c r="CN41" s="2152">
        <v>0</v>
      </c>
      <c r="CO41" s="2154">
        <v>60</v>
      </c>
      <c r="CP41" s="2155">
        <v>0.13</v>
      </c>
      <c r="CS41" s="1910"/>
      <c r="CT41" s="1911"/>
    </row>
    <row r="42" spans="1:98" ht="32.25" customHeight="1">
      <c r="A42" s="1750">
        <v>35</v>
      </c>
      <c r="B42" s="2169">
        <v>0</v>
      </c>
      <c r="C42" s="2172" t="s">
        <v>31</v>
      </c>
      <c r="D42" s="1946">
        <f t="shared" si="0"/>
        <v>0</v>
      </c>
      <c r="E42" s="1947">
        <f t="shared" si="1"/>
        <v>0</v>
      </c>
      <c r="F42" s="1941">
        <v>0</v>
      </c>
      <c r="G42" s="1949">
        <f t="shared" si="28"/>
        <v>0</v>
      </c>
      <c r="H42" s="1949">
        <f t="shared" si="29"/>
        <v>0</v>
      </c>
      <c r="I42" s="1949">
        <f t="shared" si="2"/>
        <v>0</v>
      </c>
      <c r="J42" s="1949">
        <f t="shared" si="3"/>
        <v>0</v>
      </c>
      <c r="K42" s="1949">
        <f t="shared" si="30"/>
        <v>0</v>
      </c>
      <c r="L42" s="1928">
        <f t="shared" si="31"/>
        <v>0</v>
      </c>
      <c r="M42" s="1943"/>
      <c r="N42" s="761" t="s">
        <v>503</v>
      </c>
      <c r="O42" s="1905">
        <f t="shared" si="5"/>
        <v>0</v>
      </c>
      <c r="P42" s="761" t="s">
        <v>25</v>
      </c>
      <c r="Q42" s="1905">
        <f t="shared" si="6"/>
        <v>0</v>
      </c>
      <c r="R42" s="1906">
        <f t="shared" si="7"/>
        <v>0</v>
      </c>
      <c r="S42" s="1957">
        <v>0</v>
      </c>
      <c r="T42" s="1907" t="s">
        <v>160</v>
      </c>
      <c r="U42" s="1752">
        <f t="shared" si="8"/>
        <v>0</v>
      </c>
      <c r="V42" s="1961">
        <v>0</v>
      </c>
      <c r="W42" s="1954" t="s">
        <v>1314</v>
      </c>
      <c r="X42" s="1931">
        <f t="shared" si="9"/>
        <v>0</v>
      </c>
      <c r="Y42" s="1954" t="s">
        <v>1314</v>
      </c>
      <c r="Z42" s="1965">
        <f t="shared" si="32"/>
        <v>0</v>
      </c>
      <c r="AA42" s="1966">
        <f t="shared" si="33"/>
        <v>0</v>
      </c>
      <c r="AB42" s="1951">
        <f t="shared" si="34"/>
        <v>0</v>
      </c>
      <c r="AC42" s="2097">
        <f t="shared" si="10"/>
        <v>0</v>
      </c>
      <c r="AD42" s="1951">
        <f t="shared" si="35"/>
        <v>0</v>
      </c>
      <c r="AE42" s="142"/>
      <c r="AF42" s="1281">
        <f t="shared" si="36"/>
        <v>35</v>
      </c>
      <c r="AG42" s="1281" t="str">
        <f t="shared" si="37"/>
        <v>keine</v>
      </c>
      <c r="AH42" s="1329"/>
      <c r="AI42" s="1330" t="s">
        <v>795</v>
      </c>
      <c r="AJ42" s="1424">
        <v>0</v>
      </c>
      <c r="AK42" s="1033">
        <f>VLOOKUP(AI42,Düngemittel!$B$6:$E$64,2,FALSE)*(VLOOKUP(AI42,Düngemittel!$B$6:$E$64,3,FALSE))/100*AJ42</f>
        <v>0</v>
      </c>
      <c r="AL42" s="1033">
        <f>VLOOKUP(AI42,Düngemittel!$B$6:$E$64,2,FALSE)*AJ42</f>
        <v>0</v>
      </c>
      <c r="AM42" s="1033">
        <f>VLOOKUP(AI42,Düngemittel!$B$6:$E$64,4,FALSE)*AJ42</f>
        <v>0</v>
      </c>
      <c r="AN42" s="142"/>
      <c r="AO42" s="1329"/>
      <c r="AP42" s="1330" t="s">
        <v>795</v>
      </c>
      <c r="AQ42" s="1424">
        <v>0</v>
      </c>
      <c r="AR42" s="1033">
        <f>VLOOKUP(AP42,Düngemittel!$B$6:$E$64,2,FALSE)*(VLOOKUP(AP42,Düngemittel!$B$6:$E$64,3,FALSE))/100*AQ42</f>
        <v>0</v>
      </c>
      <c r="AS42" s="1033">
        <f>VLOOKUP(AP42,Düngemittel!$B$6:$E$64,2,FALSE)*AQ42</f>
        <v>0</v>
      </c>
      <c r="AT42" s="1033">
        <f>VLOOKUP(AP42,Düngemittel!$B$6:$E$64,4,FALSE)*AQ42</f>
        <v>0</v>
      </c>
      <c r="AU42" s="142"/>
      <c r="AV42" s="1329"/>
      <c r="AW42" s="1330" t="s">
        <v>795</v>
      </c>
      <c r="AX42" s="1424">
        <v>0</v>
      </c>
      <c r="AY42" s="1033">
        <f>VLOOKUP(AW42,Düngemittel!$B$6:$E$64,2,FALSE)*(VLOOKUP(AW42,Düngemittel!$B$6:$E$64,3,FALSE))/100*AX42</f>
        <v>0</v>
      </c>
      <c r="AZ42" s="1033">
        <f>VLOOKUP(AW42,Düngemittel!$B$6:$E$64,2,FALSE)*AX42</f>
        <v>0</v>
      </c>
      <c r="BA42" s="1033">
        <f>VLOOKUP(AW42,Düngemittel!$B$6:$E$64,4,FALSE)*AX42</f>
        <v>0</v>
      </c>
      <c r="BB42" s="142"/>
      <c r="BC42" s="1329"/>
      <c r="BD42" s="1330" t="s">
        <v>795</v>
      </c>
      <c r="BE42" s="1424">
        <v>0</v>
      </c>
      <c r="BF42" s="1033">
        <f>VLOOKUP(BD42,Düngemittel!$B$6:$E$64,2,FALSE)*(VLOOKUP(BD42,Düngemittel!$B$6:$E$64,3,FALSE))/100*BE42</f>
        <v>0</v>
      </c>
      <c r="BG42" s="1033">
        <f>VLOOKUP(BD42,Düngemittel!$B$6:$E$64,2,FALSE)*BE42</f>
        <v>0</v>
      </c>
      <c r="BH42" s="1033">
        <f>VLOOKUP(BD42,Düngemittel!$B$6:$E$64,4,FALSE)*BE42</f>
        <v>0</v>
      </c>
      <c r="BI42" s="142"/>
      <c r="BJ42" s="1329"/>
      <c r="BK42" s="1330" t="s">
        <v>795</v>
      </c>
      <c r="BL42" s="1424">
        <v>0</v>
      </c>
      <c r="BM42" s="1033">
        <f>VLOOKUP(BK42,Düngemittel!$B$6:$E$64,2,FALSE)*(VLOOKUP(BK42,Düngemittel!$B$6:$E$64,3,FALSE))/100*BL42</f>
        <v>0</v>
      </c>
      <c r="BN42" s="1033">
        <f>VLOOKUP(BK42,Düngemittel!$B$6:$E$64,2,FALSE)*BL42</f>
        <v>0</v>
      </c>
      <c r="BO42" s="1033">
        <f>VLOOKUP(BK42,Düngemittel!$B$6:$E$64,4,FALSE)*BL42</f>
        <v>0</v>
      </c>
      <c r="BP42" s="142"/>
      <c r="BQ42" s="1812">
        <f t="shared" si="38"/>
        <v>0</v>
      </c>
      <c r="BR42" s="2328">
        <f t="shared" si="39"/>
        <v>0</v>
      </c>
      <c r="BS42" s="1812">
        <f t="shared" si="40"/>
        <v>0</v>
      </c>
      <c r="BT42" s="1138">
        <f t="shared" si="41"/>
        <v>0</v>
      </c>
      <c r="BU42" s="2328">
        <f t="shared" si="42"/>
        <v>0</v>
      </c>
      <c r="BV42" s="95"/>
      <c r="BW42" s="1810">
        <f t="shared" si="43"/>
        <v>0</v>
      </c>
      <c r="BX42" s="1135">
        <f t="shared" si="44"/>
        <v>0</v>
      </c>
      <c r="BY42" s="1810">
        <f t="shared" si="45"/>
        <v>0</v>
      </c>
      <c r="BZ42" s="1807">
        <f t="shared" si="46"/>
        <v>0</v>
      </c>
      <c r="CA42" s="1135">
        <f t="shared" si="47"/>
        <v>0</v>
      </c>
      <c r="CB42" s="2324"/>
      <c r="CD42">
        <v>0</v>
      </c>
      <c r="CE42">
        <v>0</v>
      </c>
      <c r="CG42" s="2159" t="s">
        <v>1648</v>
      </c>
      <c r="CH42" s="33">
        <v>550</v>
      </c>
      <c r="CI42" s="33">
        <v>245</v>
      </c>
      <c r="CJ42" s="33">
        <v>10</v>
      </c>
      <c r="CK42" s="2153">
        <v>25</v>
      </c>
      <c r="CL42" s="2153">
        <v>25</v>
      </c>
      <c r="CM42" s="2152">
        <v>0</v>
      </c>
      <c r="CN42" s="2152">
        <v>0</v>
      </c>
      <c r="CO42" s="2152">
        <v>60</v>
      </c>
      <c r="CP42" s="2155">
        <v>0.11</v>
      </c>
      <c r="CS42" s="1910"/>
      <c r="CT42" s="1911"/>
    </row>
    <row r="43" spans="1:98" ht="32.25" customHeight="1">
      <c r="A43" s="1750">
        <v>36</v>
      </c>
      <c r="B43" s="2169">
        <v>0</v>
      </c>
      <c r="C43" s="2172" t="s">
        <v>31</v>
      </c>
      <c r="D43" s="1946">
        <f t="shared" si="0"/>
        <v>0</v>
      </c>
      <c r="E43" s="1947">
        <f t="shared" si="1"/>
        <v>0</v>
      </c>
      <c r="F43" s="1941">
        <v>0</v>
      </c>
      <c r="G43" s="1949">
        <f t="shared" si="28"/>
        <v>0</v>
      </c>
      <c r="H43" s="1949">
        <f t="shared" si="29"/>
        <v>0</v>
      </c>
      <c r="I43" s="1949">
        <f t="shared" si="2"/>
        <v>0</v>
      </c>
      <c r="J43" s="1949">
        <f t="shared" si="3"/>
        <v>0</v>
      </c>
      <c r="K43" s="1949">
        <f t="shared" si="30"/>
        <v>0</v>
      </c>
      <c r="L43" s="1928">
        <f t="shared" si="31"/>
        <v>0</v>
      </c>
      <c r="M43" s="1943"/>
      <c r="N43" s="761" t="s">
        <v>503</v>
      </c>
      <c r="O43" s="1905">
        <f t="shared" si="5"/>
        <v>0</v>
      </c>
      <c r="P43" s="761" t="s">
        <v>25</v>
      </c>
      <c r="Q43" s="1905">
        <f t="shared" si="6"/>
        <v>0</v>
      </c>
      <c r="R43" s="1906">
        <f t="shared" si="7"/>
        <v>0</v>
      </c>
      <c r="S43" s="1957">
        <v>0</v>
      </c>
      <c r="T43" s="1907" t="s">
        <v>160</v>
      </c>
      <c r="U43" s="1752">
        <f t="shared" si="8"/>
        <v>0</v>
      </c>
      <c r="V43" s="1961">
        <v>0</v>
      </c>
      <c r="W43" s="1954" t="s">
        <v>1314</v>
      </c>
      <c r="X43" s="1931">
        <f t="shared" si="9"/>
        <v>0</v>
      </c>
      <c r="Y43" s="1954" t="s">
        <v>1314</v>
      </c>
      <c r="Z43" s="1965">
        <f t="shared" si="32"/>
        <v>0</v>
      </c>
      <c r="AA43" s="1966">
        <f t="shared" si="33"/>
        <v>0</v>
      </c>
      <c r="AB43" s="1951">
        <f t="shared" si="34"/>
        <v>0</v>
      </c>
      <c r="AC43" s="2097">
        <f t="shared" si="10"/>
        <v>0</v>
      </c>
      <c r="AD43" s="1951">
        <f t="shared" si="35"/>
        <v>0</v>
      </c>
      <c r="AE43" s="142"/>
      <c r="AF43" s="1281">
        <f t="shared" si="36"/>
        <v>36</v>
      </c>
      <c r="AG43" s="1281" t="str">
        <f t="shared" si="37"/>
        <v>keine</v>
      </c>
      <c r="AH43" s="1329"/>
      <c r="AI43" s="1330" t="s">
        <v>795</v>
      </c>
      <c r="AJ43" s="1424">
        <v>0</v>
      </c>
      <c r="AK43" s="1033">
        <f>VLOOKUP(AI43,Düngemittel!$B$6:$E$64,2,FALSE)*(VLOOKUP(AI43,Düngemittel!$B$6:$E$64,3,FALSE))/100*AJ43</f>
        <v>0</v>
      </c>
      <c r="AL43" s="1033">
        <f>VLOOKUP(AI43,Düngemittel!$B$6:$E$64,2,FALSE)*AJ43</f>
        <v>0</v>
      </c>
      <c r="AM43" s="1033">
        <f>VLOOKUP(AI43,Düngemittel!$B$6:$E$64,4,FALSE)*AJ43</f>
        <v>0</v>
      </c>
      <c r="AN43" s="142"/>
      <c r="AO43" s="1329"/>
      <c r="AP43" s="1330" t="s">
        <v>795</v>
      </c>
      <c r="AQ43" s="1424">
        <v>0</v>
      </c>
      <c r="AR43" s="1033">
        <f>VLOOKUP(AP43,Düngemittel!$B$6:$E$64,2,FALSE)*(VLOOKUP(AP43,Düngemittel!$B$6:$E$64,3,FALSE))/100*AQ43</f>
        <v>0</v>
      </c>
      <c r="AS43" s="1033">
        <f>VLOOKUP(AP43,Düngemittel!$B$6:$E$64,2,FALSE)*AQ43</f>
        <v>0</v>
      </c>
      <c r="AT43" s="1033">
        <f>VLOOKUP(AP43,Düngemittel!$B$6:$E$64,4,FALSE)*AQ43</f>
        <v>0</v>
      </c>
      <c r="AU43" s="142"/>
      <c r="AV43" s="1329"/>
      <c r="AW43" s="1330" t="s">
        <v>795</v>
      </c>
      <c r="AX43" s="1424">
        <v>0</v>
      </c>
      <c r="AY43" s="1033">
        <f>VLOOKUP(AW43,Düngemittel!$B$6:$E$64,2,FALSE)*(VLOOKUP(AW43,Düngemittel!$B$6:$E$64,3,FALSE))/100*AX43</f>
        <v>0</v>
      </c>
      <c r="AZ43" s="1033">
        <f>VLOOKUP(AW43,Düngemittel!$B$6:$E$64,2,FALSE)*AX43</f>
        <v>0</v>
      </c>
      <c r="BA43" s="1033">
        <f>VLOOKUP(AW43,Düngemittel!$B$6:$E$64,4,FALSE)*AX43</f>
        <v>0</v>
      </c>
      <c r="BB43" s="142"/>
      <c r="BC43" s="1329"/>
      <c r="BD43" s="1330" t="s">
        <v>795</v>
      </c>
      <c r="BE43" s="1424">
        <v>0</v>
      </c>
      <c r="BF43" s="1033">
        <f>VLOOKUP(BD43,Düngemittel!$B$6:$E$64,2,FALSE)*(VLOOKUP(BD43,Düngemittel!$B$6:$E$64,3,FALSE))/100*BE43</f>
        <v>0</v>
      </c>
      <c r="BG43" s="1033">
        <f>VLOOKUP(BD43,Düngemittel!$B$6:$E$64,2,FALSE)*BE43</f>
        <v>0</v>
      </c>
      <c r="BH43" s="1033">
        <f>VLOOKUP(BD43,Düngemittel!$B$6:$E$64,4,FALSE)*BE43</f>
        <v>0</v>
      </c>
      <c r="BI43" s="142"/>
      <c r="BJ43" s="1329"/>
      <c r="BK43" s="1330" t="s">
        <v>795</v>
      </c>
      <c r="BL43" s="1424">
        <v>0</v>
      </c>
      <c r="BM43" s="1033">
        <f>VLOOKUP(BK43,Düngemittel!$B$6:$E$64,2,FALSE)*(VLOOKUP(BK43,Düngemittel!$B$6:$E$64,3,FALSE))/100*BL43</f>
        <v>0</v>
      </c>
      <c r="BN43" s="1033">
        <f>VLOOKUP(BK43,Düngemittel!$B$6:$E$64,2,FALSE)*BL43</f>
        <v>0</v>
      </c>
      <c r="BO43" s="1033">
        <f>VLOOKUP(BK43,Düngemittel!$B$6:$E$64,4,FALSE)*BL43</f>
        <v>0</v>
      </c>
      <c r="BP43" s="142"/>
      <c r="BQ43" s="1812">
        <f t="shared" si="38"/>
        <v>0</v>
      </c>
      <c r="BR43" s="2328">
        <f t="shared" si="39"/>
        <v>0</v>
      </c>
      <c r="BS43" s="1812">
        <f t="shared" si="40"/>
        <v>0</v>
      </c>
      <c r="BT43" s="1138">
        <f t="shared" si="41"/>
        <v>0</v>
      </c>
      <c r="BU43" s="2328">
        <f t="shared" si="42"/>
        <v>0</v>
      </c>
      <c r="BV43" s="95"/>
      <c r="BW43" s="1810">
        <f t="shared" si="43"/>
        <v>0</v>
      </c>
      <c r="BX43" s="1135">
        <f t="shared" si="44"/>
        <v>0</v>
      </c>
      <c r="BY43" s="1810">
        <f t="shared" si="45"/>
        <v>0</v>
      </c>
      <c r="BZ43" s="1807">
        <f t="shared" si="46"/>
        <v>0</v>
      </c>
      <c r="CA43" s="1135">
        <f t="shared" si="47"/>
        <v>0</v>
      </c>
      <c r="CB43" s="2324"/>
      <c r="CD43">
        <v>0</v>
      </c>
      <c r="CE43">
        <v>0</v>
      </c>
      <c r="CG43" s="2152" t="s">
        <v>1543</v>
      </c>
      <c r="CH43" s="33">
        <v>275</v>
      </c>
      <c r="CI43" s="33">
        <v>135</v>
      </c>
      <c r="CJ43" s="33">
        <v>10</v>
      </c>
      <c r="CK43" s="2153">
        <v>14</v>
      </c>
      <c r="CL43" s="2153">
        <v>14</v>
      </c>
      <c r="CM43" s="2152">
        <v>0</v>
      </c>
      <c r="CN43" s="2152">
        <v>0</v>
      </c>
      <c r="CO43" s="2154">
        <v>60</v>
      </c>
      <c r="CP43" s="2155">
        <v>0.11</v>
      </c>
      <c r="CS43" s="1910"/>
      <c r="CT43" s="1911"/>
    </row>
    <row r="44" spans="1:98" ht="32.25" customHeight="1">
      <c r="A44" s="1750">
        <v>37</v>
      </c>
      <c r="B44" s="2169">
        <v>0</v>
      </c>
      <c r="C44" s="2172" t="s">
        <v>31</v>
      </c>
      <c r="D44" s="1946">
        <f t="shared" si="0"/>
        <v>0</v>
      </c>
      <c r="E44" s="1947">
        <f t="shared" si="1"/>
        <v>0</v>
      </c>
      <c r="F44" s="1941">
        <v>0</v>
      </c>
      <c r="G44" s="1949">
        <f t="shared" si="28"/>
        <v>0</v>
      </c>
      <c r="H44" s="1949">
        <f t="shared" si="29"/>
        <v>0</v>
      </c>
      <c r="I44" s="1949">
        <f t="shared" si="2"/>
        <v>0</v>
      </c>
      <c r="J44" s="1949">
        <f t="shared" si="3"/>
        <v>0</v>
      </c>
      <c r="K44" s="1949">
        <f t="shared" si="30"/>
        <v>0</v>
      </c>
      <c r="L44" s="1928">
        <f t="shared" si="31"/>
        <v>0</v>
      </c>
      <c r="M44" s="1943"/>
      <c r="N44" s="761" t="s">
        <v>503</v>
      </c>
      <c r="O44" s="1905">
        <f t="shared" si="5"/>
        <v>0</v>
      </c>
      <c r="P44" s="761" t="s">
        <v>25</v>
      </c>
      <c r="Q44" s="1905">
        <f t="shared" si="6"/>
        <v>0</v>
      </c>
      <c r="R44" s="1906">
        <f t="shared" si="7"/>
        <v>0</v>
      </c>
      <c r="S44" s="1957">
        <v>0</v>
      </c>
      <c r="T44" s="1907" t="s">
        <v>160</v>
      </c>
      <c r="U44" s="1752">
        <f t="shared" si="8"/>
        <v>0</v>
      </c>
      <c r="V44" s="1961">
        <v>0</v>
      </c>
      <c r="W44" s="1954" t="s">
        <v>1314</v>
      </c>
      <c r="X44" s="1931">
        <f t="shared" si="9"/>
        <v>0</v>
      </c>
      <c r="Y44" s="1954" t="s">
        <v>1314</v>
      </c>
      <c r="Z44" s="1965">
        <f t="shared" si="32"/>
        <v>0</v>
      </c>
      <c r="AA44" s="1966">
        <f t="shared" si="33"/>
        <v>0</v>
      </c>
      <c r="AB44" s="1951">
        <f t="shared" si="34"/>
        <v>0</v>
      </c>
      <c r="AC44" s="2097">
        <f t="shared" si="10"/>
        <v>0</v>
      </c>
      <c r="AD44" s="1951">
        <f t="shared" si="35"/>
        <v>0</v>
      </c>
      <c r="AE44" s="142"/>
      <c r="AF44" s="1281">
        <f t="shared" si="36"/>
        <v>37</v>
      </c>
      <c r="AG44" s="1281" t="str">
        <f t="shared" si="37"/>
        <v>keine</v>
      </c>
      <c r="AH44" s="1329"/>
      <c r="AI44" s="1330" t="s">
        <v>795</v>
      </c>
      <c r="AJ44" s="1424">
        <v>0</v>
      </c>
      <c r="AK44" s="1033">
        <f>VLOOKUP(AI44,Düngemittel!$B$6:$E$64,2,FALSE)*(VLOOKUP(AI44,Düngemittel!$B$6:$E$64,3,FALSE))/100*AJ44</f>
        <v>0</v>
      </c>
      <c r="AL44" s="1033">
        <f>VLOOKUP(AI44,Düngemittel!$B$6:$E$64,2,FALSE)*AJ44</f>
        <v>0</v>
      </c>
      <c r="AM44" s="1033">
        <f>VLOOKUP(AI44,Düngemittel!$B$6:$E$64,4,FALSE)*AJ44</f>
        <v>0</v>
      </c>
      <c r="AN44" s="142"/>
      <c r="AO44" s="1329"/>
      <c r="AP44" s="1330" t="s">
        <v>795</v>
      </c>
      <c r="AQ44" s="1424">
        <v>0</v>
      </c>
      <c r="AR44" s="1033">
        <f>VLOOKUP(AP44,Düngemittel!$B$6:$E$64,2,FALSE)*(VLOOKUP(AP44,Düngemittel!$B$6:$E$64,3,FALSE))/100*AQ44</f>
        <v>0</v>
      </c>
      <c r="AS44" s="1033">
        <f>VLOOKUP(AP44,Düngemittel!$B$6:$E$64,2,FALSE)*AQ44</f>
        <v>0</v>
      </c>
      <c r="AT44" s="1033">
        <f>VLOOKUP(AP44,Düngemittel!$B$6:$E$64,4,FALSE)*AQ44</f>
        <v>0</v>
      </c>
      <c r="AU44" s="142"/>
      <c r="AV44" s="1329"/>
      <c r="AW44" s="1330" t="s">
        <v>795</v>
      </c>
      <c r="AX44" s="1424">
        <v>0</v>
      </c>
      <c r="AY44" s="1033">
        <f>VLOOKUP(AW44,Düngemittel!$B$6:$E$64,2,FALSE)*(VLOOKUP(AW44,Düngemittel!$B$6:$E$64,3,FALSE))/100*AX44</f>
        <v>0</v>
      </c>
      <c r="AZ44" s="1033">
        <f>VLOOKUP(AW44,Düngemittel!$B$6:$E$64,2,FALSE)*AX44</f>
        <v>0</v>
      </c>
      <c r="BA44" s="1033">
        <f>VLOOKUP(AW44,Düngemittel!$B$6:$E$64,4,FALSE)*AX44</f>
        <v>0</v>
      </c>
      <c r="BB44" s="142"/>
      <c r="BC44" s="1329"/>
      <c r="BD44" s="1330" t="s">
        <v>795</v>
      </c>
      <c r="BE44" s="1424">
        <v>0</v>
      </c>
      <c r="BF44" s="1033">
        <f>VLOOKUP(BD44,Düngemittel!$B$6:$E$64,2,FALSE)*(VLOOKUP(BD44,Düngemittel!$B$6:$E$64,3,FALSE))/100*BE44</f>
        <v>0</v>
      </c>
      <c r="BG44" s="1033">
        <f>VLOOKUP(BD44,Düngemittel!$B$6:$E$64,2,FALSE)*BE44</f>
        <v>0</v>
      </c>
      <c r="BH44" s="1033">
        <f>VLOOKUP(BD44,Düngemittel!$B$6:$E$64,4,FALSE)*BE44</f>
        <v>0</v>
      </c>
      <c r="BI44" s="142"/>
      <c r="BJ44" s="1329"/>
      <c r="BK44" s="1330" t="s">
        <v>795</v>
      </c>
      <c r="BL44" s="1424">
        <v>0</v>
      </c>
      <c r="BM44" s="1033">
        <f>VLOOKUP(BK44,Düngemittel!$B$6:$E$64,2,FALSE)*(VLOOKUP(BK44,Düngemittel!$B$6:$E$64,3,FALSE))/100*BL44</f>
        <v>0</v>
      </c>
      <c r="BN44" s="1033">
        <f>VLOOKUP(BK44,Düngemittel!$B$6:$E$64,2,FALSE)*BL44</f>
        <v>0</v>
      </c>
      <c r="BO44" s="1033">
        <f>VLOOKUP(BK44,Düngemittel!$B$6:$E$64,4,FALSE)*BL44</f>
        <v>0</v>
      </c>
      <c r="BP44" s="142"/>
      <c r="BQ44" s="1812">
        <f t="shared" si="38"/>
        <v>0</v>
      </c>
      <c r="BR44" s="2328">
        <f t="shared" si="39"/>
        <v>0</v>
      </c>
      <c r="BS44" s="1812">
        <f t="shared" si="40"/>
        <v>0</v>
      </c>
      <c r="BT44" s="1138">
        <f t="shared" si="41"/>
        <v>0</v>
      </c>
      <c r="BU44" s="2328">
        <f t="shared" si="42"/>
        <v>0</v>
      </c>
      <c r="BV44" s="95"/>
      <c r="BW44" s="1810">
        <f t="shared" si="43"/>
        <v>0</v>
      </c>
      <c r="BX44" s="1135">
        <f t="shared" si="44"/>
        <v>0</v>
      </c>
      <c r="BY44" s="1810">
        <f t="shared" si="45"/>
        <v>0</v>
      </c>
      <c r="BZ44" s="1807">
        <f t="shared" si="46"/>
        <v>0</v>
      </c>
      <c r="CA44" s="1135">
        <f t="shared" si="47"/>
        <v>0</v>
      </c>
      <c r="CB44" s="2324"/>
      <c r="CD44">
        <v>0</v>
      </c>
      <c r="CE44">
        <v>0</v>
      </c>
      <c r="CG44" s="2141" t="s">
        <v>1351</v>
      </c>
      <c r="CH44" s="33">
        <v>650</v>
      </c>
      <c r="CI44" s="33">
        <v>170</v>
      </c>
      <c r="CJ44" s="33">
        <v>20</v>
      </c>
      <c r="CK44" s="323">
        <v>20</v>
      </c>
      <c r="CL44" s="323">
        <v>20</v>
      </c>
      <c r="CM44" s="323">
        <f>CL44*2/3</f>
        <v>13.333333333333334</v>
      </c>
      <c r="CN44" s="323">
        <v>15</v>
      </c>
      <c r="CO44" s="323">
        <v>30</v>
      </c>
      <c r="CP44" s="1001">
        <v>0.10299999999999999</v>
      </c>
      <c r="CS44" s="1910"/>
      <c r="CT44" s="1911"/>
    </row>
    <row r="45" spans="1:98" ht="32.25" customHeight="1">
      <c r="A45" s="1750">
        <v>38</v>
      </c>
      <c r="B45" s="2169">
        <v>0</v>
      </c>
      <c r="C45" s="2172" t="s">
        <v>31</v>
      </c>
      <c r="D45" s="1946">
        <f t="shared" si="0"/>
        <v>0</v>
      </c>
      <c r="E45" s="1947">
        <f t="shared" si="1"/>
        <v>0</v>
      </c>
      <c r="F45" s="1941">
        <v>0</v>
      </c>
      <c r="G45" s="1949">
        <f t="shared" si="28"/>
        <v>0</v>
      </c>
      <c r="H45" s="1949">
        <f t="shared" si="29"/>
        <v>0</v>
      </c>
      <c r="I45" s="1949">
        <f t="shared" si="2"/>
        <v>0</v>
      </c>
      <c r="J45" s="1949">
        <f t="shared" si="3"/>
        <v>0</v>
      </c>
      <c r="K45" s="1949">
        <f t="shared" si="30"/>
        <v>0</v>
      </c>
      <c r="L45" s="1928">
        <f t="shared" si="31"/>
        <v>0</v>
      </c>
      <c r="M45" s="1943"/>
      <c r="N45" s="761" t="s">
        <v>503</v>
      </c>
      <c r="O45" s="1905">
        <f t="shared" si="5"/>
        <v>0</v>
      </c>
      <c r="P45" s="761" t="s">
        <v>25</v>
      </c>
      <c r="Q45" s="1905">
        <f t="shared" si="6"/>
        <v>0</v>
      </c>
      <c r="R45" s="1906">
        <f t="shared" si="7"/>
        <v>0</v>
      </c>
      <c r="S45" s="1957">
        <v>0</v>
      </c>
      <c r="T45" s="1907" t="s">
        <v>160</v>
      </c>
      <c r="U45" s="1752">
        <f t="shared" si="8"/>
        <v>0</v>
      </c>
      <c r="V45" s="1961">
        <v>0</v>
      </c>
      <c r="W45" s="1954" t="s">
        <v>1314</v>
      </c>
      <c r="X45" s="1931">
        <f t="shared" si="9"/>
        <v>0</v>
      </c>
      <c r="Y45" s="1954" t="s">
        <v>1314</v>
      </c>
      <c r="Z45" s="1965">
        <f t="shared" si="32"/>
        <v>0</v>
      </c>
      <c r="AA45" s="1966">
        <f t="shared" si="33"/>
        <v>0</v>
      </c>
      <c r="AB45" s="1951">
        <f t="shared" si="34"/>
        <v>0</v>
      </c>
      <c r="AC45" s="2097">
        <f t="shared" si="10"/>
        <v>0</v>
      </c>
      <c r="AD45" s="1951">
        <f t="shared" si="35"/>
        <v>0</v>
      </c>
      <c r="AE45" s="142"/>
      <c r="AF45" s="1281">
        <f t="shared" si="36"/>
        <v>38</v>
      </c>
      <c r="AG45" s="1281" t="str">
        <f t="shared" si="37"/>
        <v>keine</v>
      </c>
      <c r="AH45" s="1329"/>
      <c r="AI45" s="1330" t="s">
        <v>795</v>
      </c>
      <c r="AJ45" s="1424">
        <v>0</v>
      </c>
      <c r="AK45" s="1033">
        <f>VLOOKUP(AI45,Düngemittel!$B$6:$E$64,2,FALSE)*(VLOOKUP(AI45,Düngemittel!$B$6:$E$64,3,FALSE))/100*AJ45</f>
        <v>0</v>
      </c>
      <c r="AL45" s="1033">
        <f>VLOOKUP(AI45,Düngemittel!$B$6:$E$64,2,FALSE)*AJ45</f>
        <v>0</v>
      </c>
      <c r="AM45" s="1033">
        <f>VLOOKUP(AI45,Düngemittel!$B$6:$E$64,4,FALSE)*AJ45</f>
        <v>0</v>
      </c>
      <c r="AN45" s="142"/>
      <c r="AO45" s="1329"/>
      <c r="AP45" s="1330" t="s">
        <v>795</v>
      </c>
      <c r="AQ45" s="1424">
        <v>0</v>
      </c>
      <c r="AR45" s="1033">
        <f>VLOOKUP(AP45,Düngemittel!$B$6:$E$64,2,FALSE)*(VLOOKUP(AP45,Düngemittel!$B$6:$E$64,3,FALSE))/100*AQ45</f>
        <v>0</v>
      </c>
      <c r="AS45" s="1033">
        <f>VLOOKUP(AP45,Düngemittel!$B$6:$E$64,2,FALSE)*AQ45</f>
        <v>0</v>
      </c>
      <c r="AT45" s="1033">
        <f>VLOOKUP(AP45,Düngemittel!$B$6:$E$64,4,FALSE)*AQ45</f>
        <v>0</v>
      </c>
      <c r="AU45" s="142"/>
      <c r="AV45" s="1329"/>
      <c r="AW45" s="1330" t="s">
        <v>795</v>
      </c>
      <c r="AX45" s="1424">
        <v>0</v>
      </c>
      <c r="AY45" s="1033">
        <f>VLOOKUP(AW45,Düngemittel!$B$6:$E$64,2,FALSE)*(VLOOKUP(AW45,Düngemittel!$B$6:$E$64,3,FALSE))/100*AX45</f>
        <v>0</v>
      </c>
      <c r="AZ45" s="1033">
        <f>VLOOKUP(AW45,Düngemittel!$B$6:$E$64,2,FALSE)*AX45</f>
        <v>0</v>
      </c>
      <c r="BA45" s="1033">
        <f>VLOOKUP(AW45,Düngemittel!$B$6:$E$64,4,FALSE)*AX45</f>
        <v>0</v>
      </c>
      <c r="BB45" s="142"/>
      <c r="BC45" s="1329"/>
      <c r="BD45" s="1330" t="s">
        <v>795</v>
      </c>
      <c r="BE45" s="1424">
        <v>0</v>
      </c>
      <c r="BF45" s="1033">
        <f>VLOOKUP(BD45,Düngemittel!$B$6:$E$64,2,FALSE)*(VLOOKUP(BD45,Düngemittel!$B$6:$E$64,3,FALSE))/100*BE45</f>
        <v>0</v>
      </c>
      <c r="BG45" s="1033">
        <f>VLOOKUP(BD45,Düngemittel!$B$6:$E$64,2,FALSE)*BE45</f>
        <v>0</v>
      </c>
      <c r="BH45" s="1033">
        <f>VLOOKUP(BD45,Düngemittel!$B$6:$E$64,4,FALSE)*BE45</f>
        <v>0</v>
      </c>
      <c r="BI45" s="142"/>
      <c r="BJ45" s="1329"/>
      <c r="BK45" s="1330" t="s">
        <v>795</v>
      </c>
      <c r="BL45" s="1424">
        <v>0</v>
      </c>
      <c r="BM45" s="1033">
        <f>VLOOKUP(BK45,Düngemittel!$B$6:$E$64,2,FALSE)*(VLOOKUP(BK45,Düngemittel!$B$6:$E$64,3,FALSE))/100*BL45</f>
        <v>0</v>
      </c>
      <c r="BN45" s="1033">
        <f>VLOOKUP(BK45,Düngemittel!$B$6:$E$64,2,FALSE)*BL45</f>
        <v>0</v>
      </c>
      <c r="BO45" s="1033">
        <f>VLOOKUP(BK45,Düngemittel!$B$6:$E$64,4,FALSE)*BL45</f>
        <v>0</v>
      </c>
      <c r="BP45" s="142"/>
      <c r="BQ45" s="1812">
        <f t="shared" si="38"/>
        <v>0</v>
      </c>
      <c r="BR45" s="2328">
        <f t="shared" si="39"/>
        <v>0</v>
      </c>
      <c r="BS45" s="1812">
        <f t="shared" si="40"/>
        <v>0</v>
      </c>
      <c r="BT45" s="1138">
        <f t="shared" si="41"/>
        <v>0</v>
      </c>
      <c r="BU45" s="2328">
        <f t="shared" si="42"/>
        <v>0</v>
      </c>
      <c r="BV45" s="95"/>
      <c r="BW45" s="1810">
        <f t="shared" si="43"/>
        <v>0</v>
      </c>
      <c r="BX45" s="1135">
        <f t="shared" si="44"/>
        <v>0</v>
      </c>
      <c r="BY45" s="1810">
        <f t="shared" si="45"/>
        <v>0</v>
      </c>
      <c r="BZ45" s="1807">
        <f t="shared" si="46"/>
        <v>0</v>
      </c>
      <c r="CA45" s="1135">
        <f t="shared" si="47"/>
        <v>0</v>
      </c>
      <c r="CB45" s="2324"/>
      <c r="CD45">
        <v>0</v>
      </c>
      <c r="CE45">
        <v>0</v>
      </c>
      <c r="CG45" s="2159" t="s">
        <v>1649</v>
      </c>
      <c r="CH45" s="33">
        <v>200</v>
      </c>
      <c r="CI45" s="33">
        <v>135</v>
      </c>
      <c r="CJ45" s="33">
        <v>10</v>
      </c>
      <c r="CK45" s="2158">
        <v>14</v>
      </c>
      <c r="CL45" s="2158">
        <v>14</v>
      </c>
      <c r="CM45" s="2152">
        <v>0</v>
      </c>
      <c r="CN45" s="2152">
        <v>0</v>
      </c>
      <c r="CO45" s="2152">
        <v>30</v>
      </c>
      <c r="CP45" s="2155">
        <v>0.14000000000000001</v>
      </c>
      <c r="CS45" s="1910"/>
      <c r="CT45" s="1911"/>
    </row>
    <row r="46" spans="1:98" ht="32.25" customHeight="1">
      <c r="A46" s="1750">
        <v>39</v>
      </c>
      <c r="B46" s="2169">
        <v>0</v>
      </c>
      <c r="C46" s="2172" t="s">
        <v>31</v>
      </c>
      <c r="D46" s="1946">
        <f t="shared" si="0"/>
        <v>0</v>
      </c>
      <c r="E46" s="1947">
        <f t="shared" si="1"/>
        <v>0</v>
      </c>
      <c r="F46" s="1941">
        <v>0</v>
      </c>
      <c r="G46" s="1949">
        <f t="shared" si="28"/>
        <v>0</v>
      </c>
      <c r="H46" s="1949">
        <f t="shared" si="29"/>
        <v>0</v>
      </c>
      <c r="I46" s="1949">
        <f t="shared" si="2"/>
        <v>0</v>
      </c>
      <c r="J46" s="1949">
        <f t="shared" si="3"/>
        <v>0</v>
      </c>
      <c r="K46" s="1949">
        <f t="shared" si="30"/>
        <v>0</v>
      </c>
      <c r="L46" s="1928">
        <f t="shared" si="31"/>
        <v>0</v>
      </c>
      <c r="M46" s="1943"/>
      <c r="N46" s="761" t="s">
        <v>503</v>
      </c>
      <c r="O46" s="1905">
        <f t="shared" si="5"/>
        <v>0</v>
      </c>
      <c r="P46" s="761" t="s">
        <v>25</v>
      </c>
      <c r="Q46" s="1905">
        <f t="shared" si="6"/>
        <v>0</v>
      </c>
      <c r="R46" s="1906">
        <f t="shared" si="7"/>
        <v>0</v>
      </c>
      <c r="S46" s="1957">
        <v>0</v>
      </c>
      <c r="T46" s="1907" t="s">
        <v>160</v>
      </c>
      <c r="U46" s="1752">
        <f t="shared" si="8"/>
        <v>0</v>
      </c>
      <c r="V46" s="1961">
        <v>0</v>
      </c>
      <c r="W46" s="1954" t="s">
        <v>1314</v>
      </c>
      <c r="X46" s="1931">
        <f t="shared" si="9"/>
        <v>0</v>
      </c>
      <c r="Y46" s="1954" t="s">
        <v>1314</v>
      </c>
      <c r="Z46" s="1965">
        <f t="shared" si="32"/>
        <v>0</v>
      </c>
      <c r="AA46" s="1966">
        <f t="shared" si="33"/>
        <v>0</v>
      </c>
      <c r="AB46" s="1951">
        <f t="shared" si="34"/>
        <v>0</v>
      </c>
      <c r="AC46" s="2097">
        <f t="shared" si="10"/>
        <v>0</v>
      </c>
      <c r="AD46" s="1951">
        <f t="shared" si="35"/>
        <v>0</v>
      </c>
      <c r="AE46" s="142"/>
      <c r="AF46" s="1281">
        <f t="shared" si="36"/>
        <v>39</v>
      </c>
      <c r="AG46" s="1281" t="str">
        <f t="shared" si="37"/>
        <v>keine</v>
      </c>
      <c r="AH46" s="1329"/>
      <c r="AI46" s="1330" t="s">
        <v>795</v>
      </c>
      <c r="AJ46" s="1424">
        <v>0</v>
      </c>
      <c r="AK46" s="1033">
        <f>VLOOKUP(AI46,Düngemittel!$B$6:$E$64,2,FALSE)*(VLOOKUP(AI46,Düngemittel!$B$6:$E$64,3,FALSE))/100*AJ46</f>
        <v>0</v>
      </c>
      <c r="AL46" s="1033">
        <f>VLOOKUP(AI46,Düngemittel!$B$6:$E$64,2,FALSE)*AJ46</f>
        <v>0</v>
      </c>
      <c r="AM46" s="1033">
        <f>VLOOKUP(AI46,Düngemittel!$B$6:$E$64,4,FALSE)*AJ46</f>
        <v>0</v>
      </c>
      <c r="AN46" s="142"/>
      <c r="AO46" s="1329"/>
      <c r="AP46" s="1330" t="s">
        <v>795</v>
      </c>
      <c r="AQ46" s="1424">
        <v>0</v>
      </c>
      <c r="AR46" s="1033">
        <f>VLOOKUP(AP46,Düngemittel!$B$6:$E$64,2,FALSE)*(VLOOKUP(AP46,Düngemittel!$B$6:$E$64,3,FALSE))/100*AQ46</f>
        <v>0</v>
      </c>
      <c r="AS46" s="1033">
        <f>VLOOKUP(AP46,Düngemittel!$B$6:$E$64,2,FALSE)*AQ46</f>
        <v>0</v>
      </c>
      <c r="AT46" s="1033">
        <f>VLOOKUP(AP46,Düngemittel!$B$6:$E$64,4,FALSE)*AQ46</f>
        <v>0</v>
      </c>
      <c r="AU46" s="142"/>
      <c r="AV46" s="1329"/>
      <c r="AW46" s="1330" t="s">
        <v>795</v>
      </c>
      <c r="AX46" s="1424">
        <v>0</v>
      </c>
      <c r="AY46" s="1033">
        <f>VLOOKUP(AW46,Düngemittel!$B$6:$E$64,2,FALSE)*(VLOOKUP(AW46,Düngemittel!$B$6:$E$64,3,FALSE))/100*AX46</f>
        <v>0</v>
      </c>
      <c r="AZ46" s="1033">
        <f>VLOOKUP(AW46,Düngemittel!$B$6:$E$64,2,FALSE)*AX46</f>
        <v>0</v>
      </c>
      <c r="BA46" s="1033">
        <f>VLOOKUP(AW46,Düngemittel!$B$6:$E$64,4,FALSE)*AX46</f>
        <v>0</v>
      </c>
      <c r="BB46" s="142"/>
      <c r="BC46" s="1329"/>
      <c r="BD46" s="1330" t="s">
        <v>795</v>
      </c>
      <c r="BE46" s="1424">
        <v>0</v>
      </c>
      <c r="BF46" s="1033">
        <f>VLOOKUP(BD46,Düngemittel!$B$6:$E$64,2,FALSE)*(VLOOKUP(BD46,Düngemittel!$B$6:$E$64,3,FALSE))/100*BE46</f>
        <v>0</v>
      </c>
      <c r="BG46" s="1033">
        <f>VLOOKUP(BD46,Düngemittel!$B$6:$E$64,2,FALSE)*BE46</f>
        <v>0</v>
      </c>
      <c r="BH46" s="1033">
        <f>VLOOKUP(BD46,Düngemittel!$B$6:$E$64,4,FALSE)*BE46</f>
        <v>0</v>
      </c>
      <c r="BI46" s="142"/>
      <c r="BJ46" s="1329"/>
      <c r="BK46" s="1330" t="s">
        <v>795</v>
      </c>
      <c r="BL46" s="1424">
        <v>0</v>
      </c>
      <c r="BM46" s="1033">
        <f>VLOOKUP(BK46,Düngemittel!$B$6:$E$64,2,FALSE)*(VLOOKUP(BK46,Düngemittel!$B$6:$E$64,3,FALSE))/100*BL46</f>
        <v>0</v>
      </c>
      <c r="BN46" s="1033">
        <f>VLOOKUP(BK46,Düngemittel!$B$6:$E$64,2,FALSE)*BL46</f>
        <v>0</v>
      </c>
      <c r="BO46" s="1033">
        <f>VLOOKUP(BK46,Düngemittel!$B$6:$E$64,4,FALSE)*BL46</f>
        <v>0</v>
      </c>
      <c r="BP46" s="142"/>
      <c r="BQ46" s="1812">
        <f t="shared" si="38"/>
        <v>0</v>
      </c>
      <c r="BR46" s="2328">
        <f t="shared" si="39"/>
        <v>0</v>
      </c>
      <c r="BS46" s="1812">
        <f t="shared" si="40"/>
        <v>0</v>
      </c>
      <c r="BT46" s="1138">
        <f t="shared" si="41"/>
        <v>0</v>
      </c>
      <c r="BU46" s="2328">
        <f t="shared" si="42"/>
        <v>0</v>
      </c>
      <c r="BV46" s="95"/>
      <c r="BW46" s="1810">
        <f t="shared" si="43"/>
        <v>0</v>
      </c>
      <c r="BX46" s="1135">
        <f t="shared" si="44"/>
        <v>0</v>
      </c>
      <c r="BY46" s="1810">
        <f t="shared" si="45"/>
        <v>0</v>
      </c>
      <c r="BZ46" s="1807">
        <f t="shared" si="46"/>
        <v>0</v>
      </c>
      <c r="CA46" s="1135">
        <f t="shared" si="47"/>
        <v>0</v>
      </c>
      <c r="CB46" s="2324"/>
      <c r="CD46">
        <v>0</v>
      </c>
      <c r="CE46">
        <v>0</v>
      </c>
      <c r="CG46" s="2140" t="s">
        <v>1650</v>
      </c>
      <c r="CH46" s="33">
        <v>180</v>
      </c>
      <c r="CI46" s="33">
        <v>180</v>
      </c>
      <c r="CJ46" s="33">
        <v>20</v>
      </c>
      <c r="CK46" s="2156">
        <v>20</v>
      </c>
      <c r="CL46" s="2156">
        <v>20</v>
      </c>
      <c r="CM46" s="2156">
        <f>CL46*2/3</f>
        <v>13.333333333333334</v>
      </c>
      <c r="CN46" s="2156">
        <v>25</v>
      </c>
      <c r="CO46" s="2156">
        <v>60</v>
      </c>
      <c r="CP46" s="1914">
        <v>0.09</v>
      </c>
      <c r="CS46" s="1910"/>
      <c r="CT46" s="1911"/>
    </row>
    <row r="47" spans="1:98" ht="32.25" customHeight="1">
      <c r="A47" s="1750">
        <v>40</v>
      </c>
      <c r="B47" s="2169">
        <v>0</v>
      </c>
      <c r="C47" s="2172" t="s">
        <v>31</v>
      </c>
      <c r="D47" s="1946">
        <f t="shared" si="0"/>
        <v>0</v>
      </c>
      <c r="E47" s="1947">
        <f t="shared" si="1"/>
        <v>0</v>
      </c>
      <c r="F47" s="1941">
        <v>0</v>
      </c>
      <c r="G47" s="1949">
        <f t="shared" si="28"/>
        <v>0</v>
      </c>
      <c r="H47" s="1949">
        <f t="shared" si="29"/>
        <v>0</v>
      </c>
      <c r="I47" s="1949">
        <f t="shared" si="2"/>
        <v>0</v>
      </c>
      <c r="J47" s="1949">
        <f t="shared" si="3"/>
        <v>0</v>
      </c>
      <c r="K47" s="1949">
        <f t="shared" si="30"/>
        <v>0</v>
      </c>
      <c r="L47" s="1928">
        <f t="shared" si="31"/>
        <v>0</v>
      </c>
      <c r="M47" s="1943"/>
      <c r="N47" s="761" t="s">
        <v>503</v>
      </c>
      <c r="O47" s="1905">
        <f t="shared" si="5"/>
        <v>0</v>
      </c>
      <c r="P47" s="761" t="s">
        <v>25</v>
      </c>
      <c r="Q47" s="1905">
        <f t="shared" si="6"/>
        <v>0</v>
      </c>
      <c r="R47" s="1906">
        <f t="shared" si="7"/>
        <v>0</v>
      </c>
      <c r="S47" s="1957">
        <v>0</v>
      </c>
      <c r="T47" s="1907" t="s">
        <v>160</v>
      </c>
      <c r="U47" s="1752">
        <f t="shared" si="8"/>
        <v>0</v>
      </c>
      <c r="V47" s="1961">
        <v>0</v>
      </c>
      <c r="W47" s="1954" t="s">
        <v>1314</v>
      </c>
      <c r="X47" s="1931">
        <f t="shared" si="9"/>
        <v>0</v>
      </c>
      <c r="Y47" s="1954" t="s">
        <v>1314</v>
      </c>
      <c r="Z47" s="1965">
        <f t="shared" si="32"/>
        <v>0</v>
      </c>
      <c r="AA47" s="1966">
        <f t="shared" si="33"/>
        <v>0</v>
      </c>
      <c r="AB47" s="1951">
        <f t="shared" si="34"/>
        <v>0</v>
      </c>
      <c r="AC47" s="2097">
        <f t="shared" si="10"/>
        <v>0</v>
      </c>
      <c r="AD47" s="1951">
        <f t="shared" si="35"/>
        <v>0</v>
      </c>
      <c r="AE47" s="142"/>
      <c r="AF47" s="1281">
        <f t="shared" si="36"/>
        <v>40</v>
      </c>
      <c r="AG47" s="1281" t="str">
        <f t="shared" si="37"/>
        <v>keine</v>
      </c>
      <c r="AH47" s="1329"/>
      <c r="AI47" s="1330" t="s">
        <v>795</v>
      </c>
      <c r="AJ47" s="1424">
        <v>0</v>
      </c>
      <c r="AK47" s="1033">
        <f>VLOOKUP(AI47,Düngemittel!$B$6:$E$64,2,FALSE)*(VLOOKUP(AI47,Düngemittel!$B$6:$E$64,3,FALSE))/100*AJ47</f>
        <v>0</v>
      </c>
      <c r="AL47" s="1033">
        <f>VLOOKUP(AI47,Düngemittel!$B$6:$E$64,2,FALSE)*AJ47</f>
        <v>0</v>
      </c>
      <c r="AM47" s="1033">
        <f>VLOOKUP(AI47,Düngemittel!$B$6:$E$64,4,FALSE)*AJ47</f>
        <v>0</v>
      </c>
      <c r="AN47" s="142"/>
      <c r="AO47" s="1329"/>
      <c r="AP47" s="1330" t="s">
        <v>795</v>
      </c>
      <c r="AQ47" s="1424">
        <v>0</v>
      </c>
      <c r="AR47" s="1033">
        <f>VLOOKUP(AP47,Düngemittel!$B$6:$E$64,2,FALSE)*(VLOOKUP(AP47,Düngemittel!$B$6:$E$64,3,FALSE))/100*AQ47</f>
        <v>0</v>
      </c>
      <c r="AS47" s="1033">
        <f>VLOOKUP(AP47,Düngemittel!$B$6:$E$64,2,FALSE)*AQ47</f>
        <v>0</v>
      </c>
      <c r="AT47" s="1033">
        <f>VLOOKUP(AP47,Düngemittel!$B$6:$E$64,4,FALSE)*AQ47</f>
        <v>0</v>
      </c>
      <c r="AU47" s="142"/>
      <c r="AV47" s="1329"/>
      <c r="AW47" s="1330" t="s">
        <v>795</v>
      </c>
      <c r="AX47" s="1424">
        <v>0</v>
      </c>
      <c r="AY47" s="1033">
        <f>VLOOKUP(AW47,Düngemittel!$B$6:$E$64,2,FALSE)*(VLOOKUP(AW47,Düngemittel!$B$6:$E$64,3,FALSE))/100*AX47</f>
        <v>0</v>
      </c>
      <c r="AZ47" s="1033">
        <f>VLOOKUP(AW47,Düngemittel!$B$6:$E$64,2,FALSE)*AX47</f>
        <v>0</v>
      </c>
      <c r="BA47" s="1033">
        <f>VLOOKUP(AW47,Düngemittel!$B$6:$E$64,4,FALSE)*AX47</f>
        <v>0</v>
      </c>
      <c r="BB47" s="142"/>
      <c r="BC47" s="1329"/>
      <c r="BD47" s="1330" t="s">
        <v>795</v>
      </c>
      <c r="BE47" s="1424">
        <v>0</v>
      </c>
      <c r="BF47" s="1033">
        <f>VLOOKUP(BD47,Düngemittel!$B$6:$E$64,2,FALSE)*(VLOOKUP(BD47,Düngemittel!$B$6:$E$64,3,FALSE))/100*BE47</f>
        <v>0</v>
      </c>
      <c r="BG47" s="1033">
        <f>VLOOKUP(BD47,Düngemittel!$B$6:$E$64,2,FALSE)*BE47</f>
        <v>0</v>
      </c>
      <c r="BH47" s="1033">
        <f>VLOOKUP(BD47,Düngemittel!$B$6:$E$64,4,FALSE)*BE47</f>
        <v>0</v>
      </c>
      <c r="BI47" s="142"/>
      <c r="BJ47" s="1329"/>
      <c r="BK47" s="1330" t="s">
        <v>795</v>
      </c>
      <c r="BL47" s="1424">
        <v>0</v>
      </c>
      <c r="BM47" s="1033">
        <f>VLOOKUP(BK47,Düngemittel!$B$6:$E$64,2,FALSE)*(VLOOKUP(BK47,Düngemittel!$B$6:$E$64,3,FALSE))/100*BL47</f>
        <v>0</v>
      </c>
      <c r="BN47" s="1033">
        <f>VLOOKUP(BK47,Düngemittel!$B$6:$E$64,2,FALSE)*BL47</f>
        <v>0</v>
      </c>
      <c r="BO47" s="1033">
        <f>VLOOKUP(BK47,Düngemittel!$B$6:$E$64,4,FALSE)*BL47</f>
        <v>0</v>
      </c>
      <c r="BP47" s="142"/>
      <c r="BQ47" s="1812">
        <f t="shared" si="38"/>
        <v>0</v>
      </c>
      <c r="BR47" s="2328">
        <f t="shared" si="39"/>
        <v>0</v>
      </c>
      <c r="BS47" s="1812">
        <f t="shared" si="40"/>
        <v>0</v>
      </c>
      <c r="BT47" s="1138">
        <f t="shared" si="41"/>
        <v>0</v>
      </c>
      <c r="BU47" s="2328">
        <f t="shared" si="42"/>
        <v>0</v>
      </c>
      <c r="BV47" s="95"/>
      <c r="BW47" s="1810">
        <f t="shared" si="43"/>
        <v>0</v>
      </c>
      <c r="BX47" s="1135">
        <f t="shared" si="44"/>
        <v>0</v>
      </c>
      <c r="BY47" s="1810">
        <f t="shared" si="45"/>
        <v>0</v>
      </c>
      <c r="BZ47" s="1807">
        <f t="shared" si="46"/>
        <v>0</v>
      </c>
      <c r="CA47" s="1135">
        <f t="shared" si="47"/>
        <v>0</v>
      </c>
      <c r="CB47" s="2324"/>
      <c r="CD47">
        <v>0</v>
      </c>
      <c r="CE47">
        <v>0</v>
      </c>
      <c r="CG47" s="2159" t="s">
        <v>1553</v>
      </c>
      <c r="CH47" s="33">
        <v>200</v>
      </c>
      <c r="CI47" s="33">
        <v>255</v>
      </c>
      <c r="CJ47" s="33">
        <v>10</v>
      </c>
      <c r="CK47" s="2153">
        <v>26</v>
      </c>
      <c r="CL47" s="2153">
        <v>26</v>
      </c>
      <c r="CM47" s="2152">
        <v>0</v>
      </c>
      <c r="CN47" s="2152">
        <v>0</v>
      </c>
      <c r="CO47" s="2152">
        <v>60</v>
      </c>
      <c r="CP47" s="2155">
        <v>0.22</v>
      </c>
      <c r="CS47" s="1910"/>
      <c r="CT47" s="1911"/>
    </row>
    <row r="48" spans="1:98" ht="32.25" customHeight="1">
      <c r="A48" s="1750">
        <v>41</v>
      </c>
      <c r="B48" s="2169">
        <v>0</v>
      </c>
      <c r="C48" s="2172" t="s">
        <v>31</v>
      </c>
      <c r="D48" s="1946">
        <f t="shared" si="0"/>
        <v>0</v>
      </c>
      <c r="E48" s="1947">
        <f t="shared" si="1"/>
        <v>0</v>
      </c>
      <c r="F48" s="1941">
        <v>0</v>
      </c>
      <c r="G48" s="1949">
        <f t="shared" si="28"/>
        <v>0</v>
      </c>
      <c r="H48" s="1949">
        <f t="shared" si="29"/>
        <v>0</v>
      </c>
      <c r="I48" s="1949">
        <f t="shared" si="2"/>
        <v>0</v>
      </c>
      <c r="J48" s="1949">
        <f t="shared" si="3"/>
        <v>0</v>
      </c>
      <c r="K48" s="1949">
        <f t="shared" si="30"/>
        <v>0</v>
      </c>
      <c r="L48" s="1928">
        <f t="shared" si="31"/>
        <v>0</v>
      </c>
      <c r="M48" s="1943"/>
      <c r="N48" s="761" t="s">
        <v>503</v>
      </c>
      <c r="O48" s="1905">
        <f t="shared" si="5"/>
        <v>0</v>
      </c>
      <c r="P48" s="761" t="s">
        <v>25</v>
      </c>
      <c r="Q48" s="1905">
        <f t="shared" si="6"/>
        <v>0</v>
      </c>
      <c r="R48" s="1906">
        <f t="shared" si="7"/>
        <v>0</v>
      </c>
      <c r="S48" s="1957">
        <v>0</v>
      </c>
      <c r="T48" s="1907" t="s">
        <v>160</v>
      </c>
      <c r="U48" s="1752">
        <f t="shared" si="8"/>
        <v>0</v>
      </c>
      <c r="V48" s="1961">
        <v>0</v>
      </c>
      <c r="W48" s="1954" t="s">
        <v>1314</v>
      </c>
      <c r="X48" s="1931">
        <f t="shared" si="9"/>
        <v>0</v>
      </c>
      <c r="Y48" s="1954" t="s">
        <v>1314</v>
      </c>
      <c r="Z48" s="1965">
        <f t="shared" si="32"/>
        <v>0</v>
      </c>
      <c r="AA48" s="1966">
        <f t="shared" si="33"/>
        <v>0</v>
      </c>
      <c r="AB48" s="1951">
        <f t="shared" si="34"/>
        <v>0</v>
      </c>
      <c r="AC48" s="2097">
        <f t="shared" si="10"/>
        <v>0</v>
      </c>
      <c r="AD48" s="1951">
        <f t="shared" si="35"/>
        <v>0</v>
      </c>
      <c r="AE48" s="142"/>
      <c r="AF48" s="1281">
        <f t="shared" si="36"/>
        <v>41</v>
      </c>
      <c r="AG48" s="1281" t="str">
        <f t="shared" si="37"/>
        <v>keine</v>
      </c>
      <c r="AH48" s="1329"/>
      <c r="AI48" s="1330" t="s">
        <v>795</v>
      </c>
      <c r="AJ48" s="1424">
        <v>0</v>
      </c>
      <c r="AK48" s="1033">
        <f>VLOOKUP(AI48,Düngemittel!$B$6:$E$64,2,FALSE)*(VLOOKUP(AI48,Düngemittel!$B$6:$E$64,3,FALSE))/100*AJ48</f>
        <v>0</v>
      </c>
      <c r="AL48" s="1033">
        <f>VLOOKUP(AI48,Düngemittel!$B$6:$E$64,2,FALSE)*AJ48</f>
        <v>0</v>
      </c>
      <c r="AM48" s="1033">
        <f>VLOOKUP(AI48,Düngemittel!$B$6:$E$64,4,FALSE)*AJ48</f>
        <v>0</v>
      </c>
      <c r="AN48" s="142"/>
      <c r="AO48" s="1329"/>
      <c r="AP48" s="1330" t="s">
        <v>795</v>
      </c>
      <c r="AQ48" s="1424">
        <v>0</v>
      </c>
      <c r="AR48" s="1033">
        <f>VLOOKUP(AP48,Düngemittel!$B$6:$E$64,2,FALSE)*(VLOOKUP(AP48,Düngemittel!$B$6:$E$64,3,FALSE))/100*AQ48</f>
        <v>0</v>
      </c>
      <c r="AS48" s="1033">
        <f>VLOOKUP(AP48,Düngemittel!$B$6:$E$64,2,FALSE)*AQ48</f>
        <v>0</v>
      </c>
      <c r="AT48" s="1033">
        <f>VLOOKUP(AP48,Düngemittel!$B$6:$E$64,4,FALSE)*AQ48</f>
        <v>0</v>
      </c>
      <c r="AU48" s="142"/>
      <c r="AV48" s="1329"/>
      <c r="AW48" s="1330" t="s">
        <v>795</v>
      </c>
      <c r="AX48" s="1424">
        <v>0</v>
      </c>
      <c r="AY48" s="1033">
        <f>VLOOKUP(AW48,Düngemittel!$B$6:$E$64,2,FALSE)*(VLOOKUP(AW48,Düngemittel!$B$6:$E$64,3,FALSE))/100*AX48</f>
        <v>0</v>
      </c>
      <c r="AZ48" s="1033">
        <f>VLOOKUP(AW48,Düngemittel!$B$6:$E$64,2,FALSE)*AX48</f>
        <v>0</v>
      </c>
      <c r="BA48" s="1033">
        <f>VLOOKUP(AW48,Düngemittel!$B$6:$E$64,4,FALSE)*AX48</f>
        <v>0</v>
      </c>
      <c r="BB48" s="142"/>
      <c r="BC48" s="1329"/>
      <c r="BD48" s="1330" t="s">
        <v>795</v>
      </c>
      <c r="BE48" s="1424">
        <v>0</v>
      </c>
      <c r="BF48" s="1033">
        <f>VLOOKUP(BD48,Düngemittel!$B$6:$E$64,2,FALSE)*(VLOOKUP(BD48,Düngemittel!$B$6:$E$64,3,FALSE))/100*BE48</f>
        <v>0</v>
      </c>
      <c r="BG48" s="1033">
        <f>VLOOKUP(BD48,Düngemittel!$B$6:$E$64,2,FALSE)*BE48</f>
        <v>0</v>
      </c>
      <c r="BH48" s="1033">
        <f>VLOOKUP(BD48,Düngemittel!$B$6:$E$64,4,FALSE)*BE48</f>
        <v>0</v>
      </c>
      <c r="BI48" s="142"/>
      <c r="BJ48" s="1329"/>
      <c r="BK48" s="1330" t="s">
        <v>795</v>
      </c>
      <c r="BL48" s="1424">
        <v>0</v>
      </c>
      <c r="BM48" s="1033">
        <f>VLOOKUP(BK48,Düngemittel!$B$6:$E$64,2,FALSE)*(VLOOKUP(BK48,Düngemittel!$B$6:$E$64,3,FALSE))/100*BL48</f>
        <v>0</v>
      </c>
      <c r="BN48" s="1033">
        <f>VLOOKUP(BK48,Düngemittel!$B$6:$E$64,2,FALSE)*BL48</f>
        <v>0</v>
      </c>
      <c r="BO48" s="1033">
        <f>VLOOKUP(BK48,Düngemittel!$B$6:$E$64,4,FALSE)*BL48</f>
        <v>0</v>
      </c>
      <c r="BP48" s="142"/>
      <c r="BQ48" s="1812">
        <f t="shared" si="38"/>
        <v>0</v>
      </c>
      <c r="BR48" s="2328">
        <f t="shared" si="39"/>
        <v>0</v>
      </c>
      <c r="BS48" s="1812">
        <f t="shared" si="40"/>
        <v>0</v>
      </c>
      <c r="BT48" s="1138">
        <f t="shared" si="41"/>
        <v>0</v>
      </c>
      <c r="BU48" s="2328">
        <f t="shared" si="42"/>
        <v>0</v>
      </c>
      <c r="BV48" s="95"/>
      <c r="BW48" s="1810">
        <f t="shared" si="43"/>
        <v>0</v>
      </c>
      <c r="BX48" s="1135">
        <f t="shared" si="44"/>
        <v>0</v>
      </c>
      <c r="BY48" s="1810">
        <f t="shared" si="45"/>
        <v>0</v>
      </c>
      <c r="BZ48" s="1807">
        <f t="shared" si="46"/>
        <v>0</v>
      </c>
      <c r="CA48" s="1135">
        <f t="shared" si="47"/>
        <v>0</v>
      </c>
      <c r="CB48" s="2324"/>
      <c r="CD48">
        <v>0</v>
      </c>
      <c r="CE48">
        <v>0</v>
      </c>
      <c r="CG48" s="2140" t="s">
        <v>1651</v>
      </c>
      <c r="CH48" s="33">
        <v>150</v>
      </c>
      <c r="CI48" s="33">
        <v>90</v>
      </c>
      <c r="CJ48" s="33">
        <v>10</v>
      </c>
      <c r="CK48" s="2153">
        <v>5</v>
      </c>
      <c r="CL48" s="2153">
        <v>5</v>
      </c>
      <c r="CM48" s="2152">
        <v>0</v>
      </c>
      <c r="CN48" s="2152">
        <v>0</v>
      </c>
      <c r="CO48" s="2152">
        <v>30</v>
      </c>
      <c r="CP48" s="2155">
        <v>0.11</v>
      </c>
      <c r="CS48" s="1910"/>
      <c r="CT48" s="1911"/>
    </row>
    <row r="49" spans="1:98" ht="32.25" customHeight="1">
      <c r="A49" s="1750">
        <v>42</v>
      </c>
      <c r="B49" s="2169">
        <v>0</v>
      </c>
      <c r="C49" s="2172" t="s">
        <v>31</v>
      </c>
      <c r="D49" s="1946">
        <f t="shared" si="0"/>
        <v>0</v>
      </c>
      <c r="E49" s="1947">
        <f t="shared" si="1"/>
        <v>0</v>
      </c>
      <c r="F49" s="1941">
        <v>0</v>
      </c>
      <c r="G49" s="1949">
        <f t="shared" si="28"/>
        <v>0</v>
      </c>
      <c r="H49" s="1949">
        <f t="shared" si="29"/>
        <v>0</v>
      </c>
      <c r="I49" s="1949">
        <f t="shared" si="2"/>
        <v>0</v>
      </c>
      <c r="J49" s="1949">
        <f t="shared" si="3"/>
        <v>0</v>
      </c>
      <c r="K49" s="1949">
        <f t="shared" si="30"/>
        <v>0</v>
      </c>
      <c r="L49" s="1928">
        <f t="shared" si="31"/>
        <v>0</v>
      </c>
      <c r="M49" s="1943"/>
      <c r="N49" s="761" t="s">
        <v>503</v>
      </c>
      <c r="O49" s="1905">
        <f t="shared" si="5"/>
        <v>0</v>
      </c>
      <c r="P49" s="761" t="s">
        <v>25</v>
      </c>
      <c r="Q49" s="1905">
        <f t="shared" si="6"/>
        <v>0</v>
      </c>
      <c r="R49" s="1906">
        <f t="shared" si="7"/>
        <v>0</v>
      </c>
      <c r="S49" s="1957">
        <v>0</v>
      </c>
      <c r="T49" s="1907" t="s">
        <v>160</v>
      </c>
      <c r="U49" s="1752">
        <f t="shared" si="8"/>
        <v>0</v>
      </c>
      <c r="V49" s="1961">
        <v>0</v>
      </c>
      <c r="W49" s="1954" t="s">
        <v>1314</v>
      </c>
      <c r="X49" s="1931">
        <f t="shared" si="9"/>
        <v>0</v>
      </c>
      <c r="Y49" s="1954" t="s">
        <v>1314</v>
      </c>
      <c r="Z49" s="1965">
        <f t="shared" si="32"/>
        <v>0</v>
      </c>
      <c r="AA49" s="1966">
        <f t="shared" si="33"/>
        <v>0</v>
      </c>
      <c r="AB49" s="1951">
        <f t="shared" si="34"/>
        <v>0</v>
      </c>
      <c r="AC49" s="2097">
        <f t="shared" si="10"/>
        <v>0</v>
      </c>
      <c r="AD49" s="1951">
        <f t="shared" si="35"/>
        <v>0</v>
      </c>
      <c r="AE49" s="142"/>
      <c r="AF49" s="1281">
        <f t="shared" si="36"/>
        <v>42</v>
      </c>
      <c r="AG49" s="1281" t="str">
        <f t="shared" si="37"/>
        <v>keine</v>
      </c>
      <c r="AH49" s="1329"/>
      <c r="AI49" s="1330" t="s">
        <v>795</v>
      </c>
      <c r="AJ49" s="1424">
        <v>0</v>
      </c>
      <c r="AK49" s="1033">
        <f>VLOOKUP(AI49,Düngemittel!$B$6:$E$64,2,FALSE)*(VLOOKUP(AI49,Düngemittel!$B$6:$E$64,3,FALSE))/100*AJ49</f>
        <v>0</v>
      </c>
      <c r="AL49" s="1033">
        <f>VLOOKUP(AI49,Düngemittel!$B$6:$E$64,2,FALSE)*AJ49</f>
        <v>0</v>
      </c>
      <c r="AM49" s="1033">
        <f>VLOOKUP(AI49,Düngemittel!$B$6:$E$64,4,FALSE)*AJ49</f>
        <v>0</v>
      </c>
      <c r="AN49" s="142"/>
      <c r="AO49" s="1329"/>
      <c r="AP49" s="1330" t="s">
        <v>795</v>
      </c>
      <c r="AQ49" s="1424">
        <v>0</v>
      </c>
      <c r="AR49" s="1033">
        <f>VLOOKUP(AP49,Düngemittel!$B$6:$E$64,2,FALSE)*(VLOOKUP(AP49,Düngemittel!$B$6:$E$64,3,FALSE))/100*AQ49</f>
        <v>0</v>
      </c>
      <c r="AS49" s="1033">
        <f>VLOOKUP(AP49,Düngemittel!$B$6:$E$64,2,FALSE)*AQ49</f>
        <v>0</v>
      </c>
      <c r="AT49" s="1033">
        <f>VLOOKUP(AP49,Düngemittel!$B$6:$E$64,4,FALSE)*AQ49</f>
        <v>0</v>
      </c>
      <c r="AU49" s="142"/>
      <c r="AV49" s="1329"/>
      <c r="AW49" s="1330" t="s">
        <v>795</v>
      </c>
      <c r="AX49" s="1424">
        <v>0</v>
      </c>
      <c r="AY49" s="1033">
        <f>VLOOKUP(AW49,Düngemittel!$B$6:$E$64,2,FALSE)*(VLOOKUP(AW49,Düngemittel!$B$6:$E$64,3,FALSE))/100*AX49</f>
        <v>0</v>
      </c>
      <c r="AZ49" s="1033">
        <f>VLOOKUP(AW49,Düngemittel!$B$6:$E$64,2,FALSE)*AX49</f>
        <v>0</v>
      </c>
      <c r="BA49" s="1033">
        <f>VLOOKUP(AW49,Düngemittel!$B$6:$E$64,4,FALSE)*AX49</f>
        <v>0</v>
      </c>
      <c r="BB49" s="142"/>
      <c r="BC49" s="1329"/>
      <c r="BD49" s="1330" t="s">
        <v>795</v>
      </c>
      <c r="BE49" s="1424">
        <v>0</v>
      </c>
      <c r="BF49" s="1033">
        <f>VLOOKUP(BD49,Düngemittel!$B$6:$E$64,2,FALSE)*(VLOOKUP(BD49,Düngemittel!$B$6:$E$64,3,FALSE))/100*BE49</f>
        <v>0</v>
      </c>
      <c r="BG49" s="1033">
        <f>VLOOKUP(BD49,Düngemittel!$B$6:$E$64,2,FALSE)*BE49</f>
        <v>0</v>
      </c>
      <c r="BH49" s="1033">
        <f>VLOOKUP(BD49,Düngemittel!$B$6:$E$64,4,FALSE)*BE49</f>
        <v>0</v>
      </c>
      <c r="BI49" s="142"/>
      <c r="BJ49" s="1329"/>
      <c r="BK49" s="1330" t="s">
        <v>795</v>
      </c>
      <c r="BL49" s="1424">
        <v>0</v>
      </c>
      <c r="BM49" s="1033">
        <f>VLOOKUP(BK49,Düngemittel!$B$6:$E$64,2,FALSE)*(VLOOKUP(BK49,Düngemittel!$B$6:$E$64,3,FALSE))/100*BL49</f>
        <v>0</v>
      </c>
      <c r="BN49" s="1033">
        <f>VLOOKUP(BK49,Düngemittel!$B$6:$E$64,2,FALSE)*BL49</f>
        <v>0</v>
      </c>
      <c r="BO49" s="1033">
        <f>VLOOKUP(BK49,Düngemittel!$B$6:$E$64,4,FALSE)*BL49</f>
        <v>0</v>
      </c>
      <c r="BP49" s="142"/>
      <c r="BQ49" s="1812">
        <f t="shared" si="38"/>
        <v>0</v>
      </c>
      <c r="BR49" s="2328">
        <f t="shared" si="39"/>
        <v>0</v>
      </c>
      <c r="BS49" s="1812">
        <f t="shared" si="40"/>
        <v>0</v>
      </c>
      <c r="BT49" s="1138">
        <f t="shared" si="41"/>
        <v>0</v>
      </c>
      <c r="BU49" s="2328">
        <f t="shared" si="42"/>
        <v>0</v>
      </c>
      <c r="BV49" s="95"/>
      <c r="BW49" s="1810">
        <f t="shared" si="43"/>
        <v>0</v>
      </c>
      <c r="BX49" s="1135">
        <f t="shared" si="44"/>
        <v>0</v>
      </c>
      <c r="BY49" s="1810">
        <f t="shared" si="45"/>
        <v>0</v>
      </c>
      <c r="BZ49" s="1807">
        <f t="shared" si="46"/>
        <v>0</v>
      </c>
      <c r="CA49" s="1135">
        <f t="shared" si="47"/>
        <v>0</v>
      </c>
      <c r="CB49" s="2324"/>
      <c r="CD49">
        <v>0</v>
      </c>
      <c r="CE49">
        <v>0</v>
      </c>
      <c r="CG49" s="2140" t="s">
        <v>1652</v>
      </c>
      <c r="CH49" s="33">
        <v>200</v>
      </c>
      <c r="CI49" s="33">
        <v>185</v>
      </c>
      <c r="CJ49" s="33">
        <v>20</v>
      </c>
      <c r="CK49" s="2156">
        <v>20</v>
      </c>
      <c r="CL49" s="2156">
        <v>20</v>
      </c>
      <c r="CM49" s="323">
        <f>CL49*2/3</f>
        <v>13.333333333333334</v>
      </c>
      <c r="CN49" s="2156">
        <v>85</v>
      </c>
      <c r="CO49" s="2156">
        <v>60</v>
      </c>
      <c r="CP49" s="1914">
        <v>7.0000000000000007E-2</v>
      </c>
      <c r="CS49" s="1910"/>
      <c r="CT49" s="1911"/>
    </row>
    <row r="50" spans="1:98" ht="32.25" customHeight="1">
      <c r="A50" s="1750">
        <v>43</v>
      </c>
      <c r="B50" s="2169">
        <v>0</v>
      </c>
      <c r="C50" s="2172" t="s">
        <v>31</v>
      </c>
      <c r="D50" s="1946">
        <f t="shared" si="0"/>
        <v>0</v>
      </c>
      <c r="E50" s="1947">
        <f t="shared" si="1"/>
        <v>0</v>
      </c>
      <c r="F50" s="1941">
        <v>0</v>
      </c>
      <c r="G50" s="1949">
        <f t="shared" si="15"/>
        <v>0</v>
      </c>
      <c r="H50" s="1949">
        <f t="shared" si="16"/>
        <v>0</v>
      </c>
      <c r="I50" s="1949">
        <f t="shared" si="2"/>
        <v>0</v>
      </c>
      <c r="J50" s="1949">
        <f t="shared" si="3"/>
        <v>0</v>
      </c>
      <c r="K50" s="1949">
        <f>VLOOKUP(C50,CG$4:CR$158,6,FALSE)</f>
        <v>0</v>
      </c>
      <c r="L50" s="1928">
        <f t="shared" si="17"/>
        <v>0</v>
      </c>
      <c r="M50" s="1943"/>
      <c r="N50" s="761" t="s">
        <v>503</v>
      </c>
      <c r="O50" s="1905">
        <f t="shared" si="5"/>
        <v>0</v>
      </c>
      <c r="P50" s="761" t="s">
        <v>25</v>
      </c>
      <c r="Q50" s="1905">
        <f t="shared" si="6"/>
        <v>0</v>
      </c>
      <c r="R50" s="1906">
        <f t="shared" si="7"/>
        <v>0</v>
      </c>
      <c r="S50" s="1957">
        <v>0</v>
      </c>
      <c r="T50" s="1907" t="s">
        <v>160</v>
      </c>
      <c r="U50" s="1752">
        <f t="shared" si="8"/>
        <v>0</v>
      </c>
      <c r="V50" s="1961">
        <v>0</v>
      </c>
      <c r="W50" s="1954" t="s">
        <v>1314</v>
      </c>
      <c r="X50" s="1931">
        <f t="shared" si="9"/>
        <v>0</v>
      </c>
      <c r="Y50" s="1954" t="s">
        <v>1314</v>
      </c>
      <c r="Z50" s="1965">
        <f t="shared" si="18"/>
        <v>0</v>
      </c>
      <c r="AA50" s="1966">
        <f t="shared" si="19"/>
        <v>0</v>
      </c>
      <c r="AB50" s="1951">
        <f t="shared" si="20"/>
        <v>0</v>
      </c>
      <c r="AC50" s="2097">
        <f t="shared" si="10"/>
        <v>0</v>
      </c>
      <c r="AD50" s="1951">
        <f t="shared" si="21"/>
        <v>0</v>
      </c>
      <c r="AE50" s="1878"/>
      <c r="AF50" s="1281">
        <f t="shared" si="12"/>
        <v>43</v>
      </c>
      <c r="AG50" s="1281" t="str">
        <f t="shared" si="13"/>
        <v>keine</v>
      </c>
      <c r="AH50" s="1329"/>
      <c r="AI50" s="1330" t="s">
        <v>795</v>
      </c>
      <c r="AJ50" s="1424">
        <v>0</v>
      </c>
      <c r="AK50" s="1033">
        <f>VLOOKUP(AI50,Düngemittel!$B$6:$E$64,2,FALSE)*(VLOOKUP(AI50,Düngemittel!$B$6:$E$64,3,FALSE))/100*AJ50</f>
        <v>0</v>
      </c>
      <c r="AL50" s="1033">
        <f>VLOOKUP(AI50,Düngemittel!$B$6:$E$64,2,FALSE)*AJ50</f>
        <v>0</v>
      </c>
      <c r="AM50" s="1033">
        <f>VLOOKUP(AI50,Düngemittel!$B$6:$E$64,4,FALSE)*AJ50</f>
        <v>0</v>
      </c>
      <c r="AN50" s="2089"/>
      <c r="AO50" s="1329"/>
      <c r="AP50" s="1330" t="s">
        <v>795</v>
      </c>
      <c r="AQ50" s="1424">
        <v>0</v>
      </c>
      <c r="AR50" s="1033">
        <f>VLOOKUP(AP50,Düngemittel!$B$6:$E$64,2,FALSE)*(VLOOKUP(AP50,Düngemittel!$B$6:$E$64,3,FALSE))/100*AQ50</f>
        <v>0</v>
      </c>
      <c r="AS50" s="1033">
        <f>VLOOKUP(AP50,Düngemittel!$B$6:$E$64,2,FALSE)*AQ50</f>
        <v>0</v>
      </c>
      <c r="AT50" s="1033">
        <f>VLOOKUP(AP50,Düngemittel!$B$6:$E$64,4,FALSE)*AQ50</f>
        <v>0</v>
      </c>
      <c r="AU50" s="2089"/>
      <c r="AV50" s="1329"/>
      <c r="AW50" s="1330" t="s">
        <v>795</v>
      </c>
      <c r="AX50" s="1424">
        <v>0</v>
      </c>
      <c r="AY50" s="1033">
        <f>VLOOKUP(AW50,Düngemittel!$B$6:$E$64,2,FALSE)*(VLOOKUP(AW50,Düngemittel!$B$6:$E$64,3,FALSE))/100*AX50</f>
        <v>0</v>
      </c>
      <c r="AZ50" s="1033">
        <f>VLOOKUP(AW50,Düngemittel!$B$6:$E$64,2,FALSE)*AX50</f>
        <v>0</v>
      </c>
      <c r="BA50" s="1033">
        <f>VLOOKUP(AW50,Düngemittel!$B$6:$E$64,4,FALSE)*AX50</f>
        <v>0</v>
      </c>
      <c r="BB50" s="2089"/>
      <c r="BC50" s="1329"/>
      <c r="BD50" s="1330" t="s">
        <v>795</v>
      </c>
      <c r="BE50" s="1424">
        <v>0</v>
      </c>
      <c r="BF50" s="1033">
        <f>VLOOKUP(BD50,Düngemittel!$B$6:$E$64,2,FALSE)*(VLOOKUP(BD50,Düngemittel!$B$6:$E$64,3,FALSE))/100*BE50</f>
        <v>0</v>
      </c>
      <c r="BG50" s="1033">
        <f>VLOOKUP(BD50,Düngemittel!$B$6:$E$64,2,FALSE)*BE50</f>
        <v>0</v>
      </c>
      <c r="BH50" s="1033">
        <f>VLOOKUP(BD50,Düngemittel!$B$6:$E$64,4,FALSE)*BE50</f>
        <v>0</v>
      </c>
      <c r="BI50" s="2089"/>
      <c r="BJ50" s="1329"/>
      <c r="BK50" s="1330" t="s">
        <v>795</v>
      </c>
      <c r="BL50" s="1424">
        <v>0</v>
      </c>
      <c r="BM50" s="1033">
        <f>VLOOKUP(BK50,Düngemittel!$B$6:$E$64,2,FALSE)*(VLOOKUP(BK50,Düngemittel!$B$6:$E$64,3,FALSE))/100*BL50</f>
        <v>0</v>
      </c>
      <c r="BN50" s="1033">
        <f>VLOOKUP(BK50,Düngemittel!$B$6:$E$64,2,FALSE)*BL50</f>
        <v>0</v>
      </c>
      <c r="BO50" s="1033">
        <f>VLOOKUP(BK50,Düngemittel!$B$6:$E$64,4,FALSE)*BL50</f>
        <v>0</v>
      </c>
      <c r="BP50" s="1878"/>
      <c r="BQ50" s="1812">
        <f t="shared" si="22"/>
        <v>0</v>
      </c>
      <c r="BR50" s="1889">
        <f t="shared" si="23"/>
        <v>0</v>
      </c>
      <c r="BS50" s="1812">
        <f t="shared" si="23"/>
        <v>0</v>
      </c>
      <c r="BT50" s="1138">
        <f t="shared" si="24"/>
        <v>0</v>
      </c>
      <c r="BU50" s="1889">
        <f t="shared" si="25"/>
        <v>0</v>
      </c>
      <c r="BV50" s="95"/>
      <c r="BW50" s="1810">
        <f t="shared" si="26"/>
        <v>0</v>
      </c>
      <c r="BX50" s="1135">
        <f t="shared" si="26"/>
        <v>0</v>
      </c>
      <c r="BY50" s="1810">
        <f t="shared" si="26"/>
        <v>0</v>
      </c>
      <c r="BZ50" s="1807">
        <f t="shared" si="26"/>
        <v>0</v>
      </c>
      <c r="CA50" s="1135">
        <f t="shared" si="26"/>
        <v>0</v>
      </c>
      <c r="CB50" s="1878"/>
      <c r="CD50">
        <v>0</v>
      </c>
      <c r="CE50">
        <v>0</v>
      </c>
      <c r="CG50" s="2141" t="s">
        <v>1352</v>
      </c>
      <c r="CH50" s="33">
        <v>600</v>
      </c>
      <c r="CI50" s="33">
        <v>115</v>
      </c>
      <c r="CJ50" s="33">
        <v>20</v>
      </c>
      <c r="CK50" s="323">
        <v>20</v>
      </c>
      <c r="CL50" s="323">
        <v>20</v>
      </c>
      <c r="CM50" s="323">
        <f>CL50*2/3</f>
        <v>13.333333333333334</v>
      </c>
      <c r="CN50" s="323">
        <v>10</v>
      </c>
      <c r="CO50" s="323">
        <v>60</v>
      </c>
      <c r="CP50" s="1001">
        <v>8.2000000000000003E-2</v>
      </c>
      <c r="CS50" s="1912"/>
      <c r="CT50" s="1913"/>
    </row>
    <row r="51" spans="1:98" ht="32.25" customHeight="1">
      <c r="A51" s="1750">
        <v>44</v>
      </c>
      <c r="B51" s="2169">
        <v>0</v>
      </c>
      <c r="C51" s="2172" t="s">
        <v>31</v>
      </c>
      <c r="D51" s="1946">
        <f t="shared" si="0"/>
        <v>0</v>
      </c>
      <c r="E51" s="1947">
        <f t="shared" si="1"/>
        <v>0</v>
      </c>
      <c r="F51" s="1941">
        <v>0</v>
      </c>
      <c r="G51" s="1949">
        <f t="shared" si="15"/>
        <v>0</v>
      </c>
      <c r="H51" s="1949">
        <f t="shared" si="16"/>
        <v>0</v>
      </c>
      <c r="I51" s="1949">
        <f t="shared" si="2"/>
        <v>0</v>
      </c>
      <c r="J51" s="1949">
        <f t="shared" si="3"/>
        <v>0</v>
      </c>
      <c r="K51" s="1949">
        <f>VLOOKUP(C51,CG$4:CR$158,6,FALSE)</f>
        <v>0</v>
      </c>
      <c r="L51" s="1928">
        <f t="shared" si="17"/>
        <v>0</v>
      </c>
      <c r="M51" s="1943"/>
      <c r="N51" s="761" t="s">
        <v>503</v>
      </c>
      <c r="O51" s="1905">
        <f t="shared" si="5"/>
        <v>0</v>
      </c>
      <c r="P51" s="761" t="s">
        <v>25</v>
      </c>
      <c r="Q51" s="1905">
        <f t="shared" si="6"/>
        <v>0</v>
      </c>
      <c r="R51" s="1906">
        <f t="shared" si="7"/>
        <v>0</v>
      </c>
      <c r="S51" s="1957">
        <v>0</v>
      </c>
      <c r="T51" s="1907" t="s">
        <v>160</v>
      </c>
      <c r="U51" s="1752">
        <f t="shared" si="8"/>
        <v>0</v>
      </c>
      <c r="V51" s="1961">
        <v>0</v>
      </c>
      <c r="W51" s="1954" t="s">
        <v>1314</v>
      </c>
      <c r="X51" s="1931">
        <f t="shared" si="9"/>
        <v>0</v>
      </c>
      <c r="Y51" s="1954" t="s">
        <v>1314</v>
      </c>
      <c r="Z51" s="1965">
        <f t="shared" si="18"/>
        <v>0</v>
      </c>
      <c r="AA51" s="1966">
        <f t="shared" si="19"/>
        <v>0</v>
      </c>
      <c r="AB51" s="1951">
        <f t="shared" si="20"/>
        <v>0</v>
      </c>
      <c r="AC51" s="2097">
        <f t="shared" si="10"/>
        <v>0</v>
      </c>
      <c r="AD51" s="1951">
        <f t="shared" si="21"/>
        <v>0</v>
      </c>
      <c r="AE51" s="1878"/>
      <c r="AF51" s="1281">
        <f t="shared" si="12"/>
        <v>44</v>
      </c>
      <c r="AG51" s="1281" t="str">
        <f t="shared" si="13"/>
        <v>keine</v>
      </c>
      <c r="AH51" s="1329"/>
      <c r="AI51" s="1330" t="s">
        <v>795</v>
      </c>
      <c r="AJ51" s="1424">
        <v>0</v>
      </c>
      <c r="AK51" s="1033">
        <f>VLOOKUP(AI51,Düngemittel!$B$6:$E$64,2,FALSE)*(VLOOKUP(AI51,Düngemittel!$B$6:$E$64,3,FALSE))/100*AJ51</f>
        <v>0</v>
      </c>
      <c r="AL51" s="1033">
        <f>VLOOKUP(AI51,Düngemittel!$B$6:$E$64,2,FALSE)*AJ51</f>
        <v>0</v>
      </c>
      <c r="AM51" s="1033">
        <f>VLOOKUP(AI51,Düngemittel!$B$6:$E$64,4,FALSE)*AJ51</f>
        <v>0</v>
      </c>
      <c r="AN51" s="2089"/>
      <c r="AO51" s="1329"/>
      <c r="AP51" s="1330" t="s">
        <v>795</v>
      </c>
      <c r="AQ51" s="1424">
        <v>0</v>
      </c>
      <c r="AR51" s="1033">
        <f>VLOOKUP(AP51,Düngemittel!$B$6:$E$64,2,FALSE)*(VLOOKUP(AP51,Düngemittel!$B$6:$E$64,3,FALSE))/100*AQ51</f>
        <v>0</v>
      </c>
      <c r="AS51" s="1033">
        <f>VLOOKUP(AP51,Düngemittel!$B$6:$E$64,2,FALSE)*AQ51</f>
        <v>0</v>
      </c>
      <c r="AT51" s="1033">
        <f>VLOOKUP(AP51,Düngemittel!$B$6:$E$64,4,FALSE)*AQ51</f>
        <v>0</v>
      </c>
      <c r="AU51" s="2089"/>
      <c r="AV51" s="1329"/>
      <c r="AW51" s="1330" t="s">
        <v>795</v>
      </c>
      <c r="AX51" s="1424">
        <v>0</v>
      </c>
      <c r="AY51" s="1033">
        <f>VLOOKUP(AW51,Düngemittel!$B$6:$E$64,2,FALSE)*(VLOOKUP(AW51,Düngemittel!$B$6:$E$64,3,FALSE))/100*AX51</f>
        <v>0</v>
      </c>
      <c r="AZ51" s="1033">
        <f>VLOOKUP(AW51,Düngemittel!$B$6:$E$64,2,FALSE)*AX51</f>
        <v>0</v>
      </c>
      <c r="BA51" s="1033">
        <f>VLOOKUP(AW51,Düngemittel!$B$6:$E$64,4,FALSE)*AX51</f>
        <v>0</v>
      </c>
      <c r="BB51" s="2089"/>
      <c r="BC51" s="1329"/>
      <c r="BD51" s="1330" t="s">
        <v>795</v>
      </c>
      <c r="BE51" s="1424">
        <v>0</v>
      </c>
      <c r="BF51" s="1033">
        <f>VLOOKUP(BD51,Düngemittel!$B$6:$E$64,2,FALSE)*(VLOOKUP(BD51,Düngemittel!$B$6:$E$64,3,FALSE))/100*BE51</f>
        <v>0</v>
      </c>
      <c r="BG51" s="1033">
        <f>VLOOKUP(BD51,Düngemittel!$B$6:$E$64,2,FALSE)*BE51</f>
        <v>0</v>
      </c>
      <c r="BH51" s="1033">
        <f>VLOOKUP(BD51,Düngemittel!$B$6:$E$64,4,FALSE)*BE51</f>
        <v>0</v>
      </c>
      <c r="BI51" s="2089"/>
      <c r="BJ51" s="1329"/>
      <c r="BK51" s="1330" t="s">
        <v>795</v>
      </c>
      <c r="BL51" s="1424">
        <v>0</v>
      </c>
      <c r="BM51" s="1033">
        <f>VLOOKUP(BK51,Düngemittel!$B$6:$E$64,2,FALSE)*(VLOOKUP(BK51,Düngemittel!$B$6:$E$64,3,FALSE))/100*BL51</f>
        <v>0</v>
      </c>
      <c r="BN51" s="1033">
        <f>VLOOKUP(BK51,Düngemittel!$B$6:$E$64,2,FALSE)*BL51</f>
        <v>0</v>
      </c>
      <c r="BO51" s="1033">
        <f>VLOOKUP(BK51,Düngemittel!$B$6:$E$64,4,FALSE)*BL51</f>
        <v>0</v>
      </c>
      <c r="BP51" s="1878"/>
      <c r="BQ51" s="1812">
        <f t="shared" si="22"/>
        <v>0</v>
      </c>
      <c r="BR51" s="1889">
        <f t="shared" si="23"/>
        <v>0</v>
      </c>
      <c r="BS51" s="1812">
        <f t="shared" si="23"/>
        <v>0</v>
      </c>
      <c r="BT51" s="1138">
        <f t="shared" si="24"/>
        <v>0</v>
      </c>
      <c r="BU51" s="1889">
        <f t="shared" si="25"/>
        <v>0</v>
      </c>
      <c r="BV51" s="95"/>
      <c r="BW51" s="1810">
        <f t="shared" si="26"/>
        <v>0</v>
      </c>
      <c r="BX51" s="1135">
        <f t="shared" si="26"/>
        <v>0</v>
      </c>
      <c r="BY51" s="1810">
        <f t="shared" si="26"/>
        <v>0</v>
      </c>
      <c r="BZ51" s="1807">
        <f t="shared" si="26"/>
        <v>0</v>
      </c>
      <c r="CA51" s="1135">
        <f t="shared" si="26"/>
        <v>0</v>
      </c>
      <c r="CB51" s="1878"/>
      <c r="CD51">
        <v>0</v>
      </c>
      <c r="CE51">
        <v>0</v>
      </c>
      <c r="CG51" s="2141" t="s">
        <v>1353</v>
      </c>
      <c r="CH51" s="33">
        <v>900</v>
      </c>
      <c r="CI51" s="33">
        <v>165</v>
      </c>
      <c r="CJ51" s="33">
        <v>20</v>
      </c>
      <c r="CK51" s="323">
        <v>20</v>
      </c>
      <c r="CL51" s="323">
        <v>20</v>
      </c>
      <c r="CM51" s="323">
        <f>CL51*2/3</f>
        <v>13.333333333333334</v>
      </c>
      <c r="CN51" s="323">
        <v>45</v>
      </c>
      <c r="CO51" s="323">
        <v>90</v>
      </c>
      <c r="CP51" s="1001">
        <v>0.08</v>
      </c>
      <c r="CS51" s="1917"/>
      <c r="CT51" s="1911"/>
    </row>
    <row r="52" spans="1:98" ht="32.25" customHeight="1" thickBot="1">
      <c r="A52" s="1750">
        <v>45</v>
      </c>
      <c r="B52" s="2170">
        <v>0</v>
      </c>
      <c r="C52" s="2172" t="s">
        <v>31</v>
      </c>
      <c r="D52" s="1946">
        <f t="shared" si="0"/>
        <v>0</v>
      </c>
      <c r="E52" s="1947">
        <f t="shared" si="1"/>
        <v>0</v>
      </c>
      <c r="F52" s="1942">
        <v>0</v>
      </c>
      <c r="G52" s="1949">
        <f t="shared" si="15"/>
        <v>0</v>
      </c>
      <c r="H52" s="1949">
        <f t="shared" si="16"/>
        <v>0</v>
      </c>
      <c r="I52" s="1949">
        <f t="shared" si="2"/>
        <v>0</v>
      </c>
      <c r="J52" s="1949">
        <f t="shared" si="3"/>
        <v>0</v>
      </c>
      <c r="K52" s="1949">
        <f>VLOOKUP(C52,CG$4:CR$158,6,FALSE)</f>
        <v>0</v>
      </c>
      <c r="L52" s="1928">
        <f t="shared" si="17"/>
        <v>0</v>
      </c>
      <c r="M52" s="1944"/>
      <c r="N52" s="762" t="s">
        <v>503</v>
      </c>
      <c r="O52" s="1905">
        <f t="shared" si="5"/>
        <v>0</v>
      </c>
      <c r="P52" s="762" t="s">
        <v>25</v>
      </c>
      <c r="Q52" s="1905">
        <f t="shared" si="6"/>
        <v>0</v>
      </c>
      <c r="R52" s="1906">
        <f t="shared" si="7"/>
        <v>0</v>
      </c>
      <c r="S52" s="2176">
        <v>0</v>
      </c>
      <c r="T52" s="1959" t="s">
        <v>160</v>
      </c>
      <c r="U52" s="1955">
        <f t="shared" si="8"/>
        <v>0</v>
      </c>
      <c r="V52" s="1962">
        <v>0</v>
      </c>
      <c r="W52" s="1954" t="s">
        <v>1314</v>
      </c>
      <c r="X52" s="1931">
        <f t="shared" si="9"/>
        <v>0</v>
      </c>
      <c r="Y52" s="1954" t="s">
        <v>1314</v>
      </c>
      <c r="Z52" s="1965">
        <f t="shared" si="18"/>
        <v>0</v>
      </c>
      <c r="AA52" s="1966">
        <f t="shared" si="19"/>
        <v>0</v>
      </c>
      <c r="AB52" s="1951">
        <f t="shared" si="20"/>
        <v>0</v>
      </c>
      <c r="AC52" s="2097">
        <f t="shared" si="10"/>
        <v>0</v>
      </c>
      <c r="AD52" s="1951">
        <f t="shared" si="21"/>
        <v>0</v>
      </c>
      <c r="AE52" s="1878"/>
      <c r="AF52" s="1281">
        <f t="shared" si="12"/>
        <v>45</v>
      </c>
      <c r="AG52" s="1281" t="str">
        <f t="shared" si="13"/>
        <v>keine</v>
      </c>
      <c r="AH52" s="1329"/>
      <c r="AI52" s="1330" t="s">
        <v>795</v>
      </c>
      <c r="AJ52" s="1424">
        <v>0</v>
      </c>
      <c r="AK52" s="1033">
        <f>VLOOKUP(AI52,Düngemittel!$B$6:$E$64,2,FALSE)*(VLOOKUP(AI52,Düngemittel!$B$6:$E$64,3,FALSE))/100*AJ52</f>
        <v>0</v>
      </c>
      <c r="AL52" s="1033">
        <f>VLOOKUP(AI52,Düngemittel!$B$6:$E$64,2,FALSE)*AJ52</f>
        <v>0</v>
      </c>
      <c r="AM52" s="1033">
        <f>VLOOKUP(AI52,Düngemittel!$B$6:$E$64,4,FALSE)*AJ52</f>
        <v>0</v>
      </c>
      <c r="AN52" s="2089"/>
      <c r="AO52" s="1329"/>
      <c r="AP52" s="1330" t="s">
        <v>795</v>
      </c>
      <c r="AQ52" s="1424">
        <v>0</v>
      </c>
      <c r="AR52" s="1033">
        <f>VLOOKUP(AP52,Düngemittel!$B$6:$E$64,2,FALSE)*(VLOOKUP(AP52,Düngemittel!$B$6:$E$64,3,FALSE))/100*AQ52</f>
        <v>0</v>
      </c>
      <c r="AS52" s="1033">
        <f>VLOOKUP(AP52,Düngemittel!$B$6:$E$64,2,FALSE)*AQ52</f>
        <v>0</v>
      </c>
      <c r="AT52" s="1033">
        <f>VLOOKUP(AP52,Düngemittel!$B$6:$E$64,4,FALSE)*AQ52</f>
        <v>0</v>
      </c>
      <c r="AU52" s="2089"/>
      <c r="AV52" s="1329"/>
      <c r="AW52" s="1330" t="s">
        <v>795</v>
      </c>
      <c r="AX52" s="1424">
        <v>0</v>
      </c>
      <c r="AY52" s="1033">
        <f>VLOOKUP(AW52,Düngemittel!$B$6:$E$64,2,FALSE)*(VLOOKUP(AW52,Düngemittel!$B$6:$E$64,3,FALSE))/100*AX52</f>
        <v>0</v>
      </c>
      <c r="AZ52" s="1033">
        <f>VLOOKUP(AW52,Düngemittel!$B$6:$E$64,2,FALSE)*AX52</f>
        <v>0</v>
      </c>
      <c r="BA52" s="1033">
        <f>VLOOKUP(AW52,Düngemittel!$B$6:$E$64,4,FALSE)*AX52</f>
        <v>0</v>
      </c>
      <c r="BB52" s="2089"/>
      <c r="BC52" s="1329"/>
      <c r="BD52" s="1330" t="s">
        <v>795</v>
      </c>
      <c r="BE52" s="1424">
        <v>0</v>
      </c>
      <c r="BF52" s="1033">
        <f>VLOOKUP(BD52,Düngemittel!$B$6:$E$64,2,FALSE)*(VLOOKUP(BD52,Düngemittel!$B$6:$E$64,3,FALSE))/100*BE52</f>
        <v>0</v>
      </c>
      <c r="BG52" s="1033">
        <f>VLOOKUP(BD52,Düngemittel!$B$6:$E$64,2,FALSE)*BE52</f>
        <v>0</v>
      </c>
      <c r="BH52" s="1033">
        <f>VLOOKUP(BD52,Düngemittel!$B$6:$E$64,4,FALSE)*BE52</f>
        <v>0</v>
      </c>
      <c r="BI52" s="2089"/>
      <c r="BJ52" s="1329"/>
      <c r="BK52" s="1330" t="s">
        <v>795</v>
      </c>
      <c r="BL52" s="1424">
        <v>0</v>
      </c>
      <c r="BM52" s="1033">
        <f>VLOOKUP(BK52,Düngemittel!$B$6:$E$64,2,FALSE)*(VLOOKUP(BK52,Düngemittel!$B$6:$E$64,3,FALSE))/100*BL52</f>
        <v>0</v>
      </c>
      <c r="BN52" s="1033">
        <f>VLOOKUP(BK52,Düngemittel!$B$6:$E$64,2,FALSE)*BL52</f>
        <v>0</v>
      </c>
      <c r="BO52" s="1033">
        <f>VLOOKUP(BK52,Düngemittel!$B$6:$E$64,4,FALSE)*BL52</f>
        <v>0</v>
      </c>
      <c r="BP52" s="1878"/>
      <c r="BQ52" s="1812">
        <f t="shared" si="22"/>
        <v>0</v>
      </c>
      <c r="BR52" s="1889">
        <f t="shared" si="23"/>
        <v>0</v>
      </c>
      <c r="BS52" s="1812">
        <f t="shared" si="23"/>
        <v>0</v>
      </c>
      <c r="BT52" s="1138">
        <f t="shared" si="24"/>
        <v>0</v>
      </c>
      <c r="BU52" s="1889">
        <f t="shared" si="25"/>
        <v>0</v>
      </c>
      <c r="BV52" s="95"/>
      <c r="BW52" s="1810">
        <f t="shared" si="26"/>
        <v>0</v>
      </c>
      <c r="BX52" s="1135">
        <f t="shared" si="26"/>
        <v>0</v>
      </c>
      <c r="BY52" s="1810">
        <f t="shared" si="26"/>
        <v>0</v>
      </c>
      <c r="BZ52" s="1807">
        <f t="shared" si="26"/>
        <v>0</v>
      </c>
      <c r="CA52" s="1135">
        <f t="shared" si="26"/>
        <v>0</v>
      </c>
      <c r="CB52" s="1878"/>
      <c r="CD52">
        <v>0</v>
      </c>
      <c r="CE52">
        <v>0</v>
      </c>
      <c r="CG52" s="2141" t="s">
        <v>1354</v>
      </c>
      <c r="CH52" s="33">
        <v>700</v>
      </c>
      <c r="CI52" s="33">
        <v>125</v>
      </c>
      <c r="CJ52" s="33">
        <v>20</v>
      </c>
      <c r="CK52" s="323">
        <v>20</v>
      </c>
      <c r="CL52" s="323">
        <v>20</v>
      </c>
      <c r="CM52" s="323">
        <f>CL52*2/3</f>
        <v>13.333333333333334</v>
      </c>
      <c r="CN52" s="323">
        <v>30</v>
      </c>
      <c r="CO52" s="323">
        <v>60</v>
      </c>
      <c r="CP52" s="1001">
        <v>0.08</v>
      </c>
      <c r="CS52" s="1918"/>
      <c r="CT52" s="1919"/>
    </row>
    <row r="53" spans="1:98" ht="19.5" thickBot="1">
      <c r="A53" s="1754" t="s">
        <v>286</v>
      </c>
      <c r="B53" s="1755">
        <f>SUM(B8:B52)</f>
        <v>0</v>
      </c>
      <c r="C53" s="1939" t="s">
        <v>1395</v>
      </c>
      <c r="D53" s="1756"/>
      <c r="E53" s="1756"/>
      <c r="F53" s="1757"/>
      <c r="G53" s="1756"/>
      <c r="H53" s="1756"/>
      <c r="I53" s="1756"/>
      <c r="J53" s="1756"/>
      <c r="K53" s="1756"/>
      <c r="L53" s="1756"/>
      <c r="M53" s="1756"/>
      <c r="N53" s="1757"/>
      <c r="O53" s="1757"/>
      <c r="P53" s="1757"/>
      <c r="Q53" s="1757"/>
      <c r="R53" s="1757"/>
      <c r="S53" s="1756"/>
      <c r="T53" s="1756"/>
      <c r="U53" s="1757"/>
      <c r="V53" s="1756"/>
      <c r="W53" s="1756"/>
      <c r="X53" s="1756"/>
      <c r="Y53" s="1756"/>
      <c r="Z53" s="1756"/>
      <c r="AA53" s="1966"/>
      <c r="AB53" s="1951">
        <f>SUM(AB8:AB52)</f>
        <v>0</v>
      </c>
      <c r="AC53" s="1758"/>
      <c r="AD53" s="1759">
        <f>SUM(AD8:AD52)</f>
        <v>0</v>
      </c>
      <c r="AE53" s="1878"/>
      <c r="AF53" s="1878"/>
      <c r="AG53" s="1878"/>
      <c r="AH53" s="1878"/>
      <c r="AI53" s="1878"/>
      <c r="AJ53" s="1878"/>
      <c r="AK53" s="1878"/>
      <c r="AL53" s="1878"/>
      <c r="AM53" s="1878"/>
      <c r="AN53" s="1878"/>
      <c r="AO53" s="1878"/>
      <c r="AP53" s="1878"/>
      <c r="AQ53" s="1878"/>
      <c r="AR53" s="1878"/>
      <c r="AS53" s="1878"/>
      <c r="AT53" s="1878"/>
      <c r="AU53" s="1878"/>
      <c r="AV53" s="1878"/>
      <c r="AW53" s="1878"/>
      <c r="AX53" s="1878"/>
      <c r="AY53" s="1878"/>
      <c r="AZ53" s="1878"/>
      <c r="BA53" s="1878"/>
      <c r="BB53" s="1878"/>
      <c r="BC53" s="1878"/>
      <c r="BD53" s="1878"/>
      <c r="BE53" s="1878"/>
      <c r="BF53" s="1878"/>
      <c r="BG53" s="1878"/>
      <c r="BH53" s="1878"/>
      <c r="BI53" s="1878"/>
      <c r="BJ53" s="1878"/>
      <c r="BK53" s="1878"/>
      <c r="BL53" s="1878"/>
      <c r="BM53" s="1878"/>
      <c r="BN53" s="1878"/>
      <c r="BO53" s="1878"/>
      <c r="BP53" s="216"/>
      <c r="BQ53" s="1813"/>
      <c r="BR53" s="635"/>
      <c r="BS53" s="1815"/>
      <c r="BT53" s="1878"/>
      <c r="BU53" s="1878"/>
      <c r="BV53" s="111"/>
      <c r="BW53" s="1811">
        <f>SUM(BW8:BW52)</f>
        <v>0</v>
      </c>
      <c r="BX53" s="1890">
        <f>SUM(BX8:BX52)</f>
        <v>0</v>
      </c>
      <c r="BY53" s="1811">
        <f t="shared" ref="BY53:CA53" si="48">SUM(BY8:BY52)</f>
        <v>0</v>
      </c>
      <c r="BZ53" s="1808">
        <f t="shared" si="48"/>
        <v>0</v>
      </c>
      <c r="CA53" s="1890">
        <f t="shared" si="48"/>
        <v>0</v>
      </c>
      <c r="CB53" s="1143" t="s">
        <v>1081</v>
      </c>
      <c r="CG53" s="2159" t="s">
        <v>1653</v>
      </c>
      <c r="CH53" s="33">
        <v>120</v>
      </c>
      <c r="CI53" s="33">
        <v>100</v>
      </c>
      <c r="CJ53" s="33">
        <v>10</v>
      </c>
      <c r="CK53" s="2160">
        <v>5</v>
      </c>
      <c r="CL53" s="2160">
        <v>5</v>
      </c>
      <c r="CM53" s="2156">
        <v>0</v>
      </c>
      <c r="CN53" s="2156">
        <v>0</v>
      </c>
      <c r="CO53" s="2156">
        <v>30</v>
      </c>
      <c r="CP53" s="1914">
        <v>0.14000000000000001</v>
      </c>
      <c r="CS53" s="1912"/>
      <c r="CT53" s="1913"/>
    </row>
    <row r="54" spans="1:98" ht="18.75" customHeight="1">
      <c r="A54" s="1760"/>
      <c r="B54" s="1761"/>
      <c r="C54" s="148"/>
      <c r="D54" s="148"/>
      <c r="E54" s="1761"/>
      <c r="F54" s="148"/>
      <c r="G54" s="148"/>
      <c r="H54" s="148"/>
      <c r="I54" s="148"/>
      <c r="J54" s="148"/>
      <c r="K54" s="148"/>
      <c r="L54" s="148"/>
      <c r="M54" s="148"/>
      <c r="N54" s="148"/>
      <c r="O54" s="148"/>
      <c r="P54" s="1762"/>
      <c r="Q54" s="148"/>
      <c r="R54" s="148"/>
      <c r="S54" s="148"/>
      <c r="T54" s="148"/>
      <c r="U54" s="148"/>
      <c r="V54" s="148"/>
      <c r="W54" s="148"/>
      <c r="X54" s="148"/>
      <c r="Y54" s="148"/>
      <c r="Z54" s="148"/>
      <c r="AA54" s="1763"/>
      <c r="AB54" s="2779" t="s">
        <v>1100</v>
      </c>
      <c r="AC54" s="1764"/>
      <c r="AD54" s="2779" t="s">
        <v>1272</v>
      </c>
      <c r="AE54" s="1878"/>
      <c r="AF54" s="1878"/>
      <c r="AG54" s="1878"/>
      <c r="AH54" s="1878"/>
      <c r="AI54" s="1878"/>
      <c r="AJ54" s="1878"/>
      <c r="AK54" s="1878"/>
      <c r="AL54" s="1878"/>
      <c r="AM54" s="1878"/>
      <c r="AN54" s="1878"/>
      <c r="AO54" s="1878"/>
      <c r="AP54" s="1878"/>
      <c r="AQ54" s="1878"/>
      <c r="AR54" s="1878"/>
      <c r="AS54" s="1878"/>
      <c r="AT54" s="1878"/>
      <c r="AU54" s="1878"/>
      <c r="AV54" s="1878"/>
      <c r="AW54" s="1878"/>
      <c r="AX54" s="1878"/>
      <c r="AY54" s="1878"/>
      <c r="AZ54" s="1878"/>
      <c r="BA54" s="1878"/>
      <c r="BB54" s="1878"/>
      <c r="BC54" s="1878"/>
      <c r="BD54" s="1878"/>
      <c r="BE54" s="1878"/>
      <c r="BF54" s="1878"/>
      <c r="BG54" s="1878"/>
      <c r="BH54" s="1878"/>
      <c r="BI54" s="1878"/>
      <c r="BJ54" s="1878"/>
      <c r="BK54" s="1878"/>
      <c r="BL54" s="1878"/>
      <c r="BM54" s="1878"/>
      <c r="BN54" s="1878"/>
      <c r="BO54" s="1878"/>
      <c r="BP54" s="1878"/>
      <c r="BQ54" s="1814" t="e">
        <f t="shared" ref="BQ54:BT54" si="49">BW54</f>
        <v>#DIV/0!</v>
      </c>
      <c r="BR54" s="622" t="e">
        <f t="shared" si="49"/>
        <v>#DIV/0!</v>
      </c>
      <c r="BS54" s="1814" t="e">
        <f t="shared" si="49"/>
        <v>#DIV/0!</v>
      </c>
      <c r="BT54" s="1138" t="e">
        <f t="shared" si="49"/>
        <v>#DIV/0!</v>
      </c>
      <c r="BU54" s="1889" t="e">
        <f>CA54</f>
        <v>#DIV/0!</v>
      </c>
      <c r="BV54" s="111"/>
      <c r="BW54" s="1814" t="e">
        <f>BW53/$B53</f>
        <v>#DIV/0!</v>
      </c>
      <c r="BX54" s="1889" t="e">
        <f>BX53/$B53</f>
        <v>#DIV/0!</v>
      </c>
      <c r="BY54" s="1814" t="e">
        <f>BY53/$B53</f>
        <v>#DIV/0!</v>
      </c>
      <c r="BZ54" s="1138" t="e">
        <f>BZ53/$B53</f>
        <v>#DIV/0!</v>
      </c>
      <c r="CA54" s="1889" t="e">
        <f>CA53/$B53</f>
        <v>#DIV/0!</v>
      </c>
      <c r="CB54" s="1143" t="s">
        <v>1060</v>
      </c>
      <c r="CG54" s="2140" t="s">
        <v>1654</v>
      </c>
      <c r="CH54" s="33">
        <v>700</v>
      </c>
      <c r="CI54" s="33">
        <v>180</v>
      </c>
      <c r="CJ54" s="33">
        <v>20</v>
      </c>
      <c r="CK54" s="2156">
        <v>20</v>
      </c>
      <c r="CL54" s="2156">
        <v>20</v>
      </c>
      <c r="CM54" s="323">
        <f t="shared" ref="CM54:CM61" si="50">CL54*2/3</f>
        <v>13.333333333333334</v>
      </c>
      <c r="CN54" s="2156">
        <v>5</v>
      </c>
      <c r="CO54" s="2162">
        <v>60</v>
      </c>
      <c r="CP54" s="2163">
        <v>6.9000000000000006E-2</v>
      </c>
      <c r="CS54" s="1917"/>
      <c r="CT54" s="1911"/>
    </row>
    <row r="55" spans="1:98" ht="30.75" thickBot="1">
      <c r="A55" s="1765"/>
      <c r="B55" s="1766"/>
      <c r="C55" s="148"/>
      <c r="D55" s="148"/>
      <c r="E55" s="1761"/>
      <c r="F55" s="148"/>
      <c r="G55" s="148"/>
      <c r="H55" s="148"/>
      <c r="I55" s="148"/>
      <c r="J55" s="148"/>
      <c r="K55" s="148"/>
      <c r="L55" s="148"/>
      <c r="M55" s="148"/>
      <c r="N55" s="148"/>
      <c r="O55" s="148"/>
      <c r="P55" s="1762"/>
      <c r="Q55" s="148"/>
      <c r="R55" s="148"/>
      <c r="S55" s="148"/>
      <c r="T55" s="148"/>
      <c r="U55" s="148"/>
      <c r="V55" s="1765"/>
      <c r="W55" s="1765"/>
      <c r="X55" s="1765"/>
      <c r="Y55" s="1765"/>
      <c r="Z55" s="1765"/>
      <c r="AA55" s="1767"/>
      <c r="AB55" s="2780"/>
      <c r="AC55" s="1768"/>
      <c r="AD55" s="2780"/>
      <c r="AE55" s="1161"/>
      <c r="AF55" s="1161"/>
      <c r="AG55" s="1161"/>
      <c r="AH55" s="1891"/>
      <c r="AI55" s="189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809" t="s">
        <v>1080</v>
      </c>
      <c r="BR55" s="1879" t="s">
        <v>1066</v>
      </c>
      <c r="BS55" s="1307" t="s">
        <v>1309</v>
      </c>
      <c r="BT55" s="906" t="s">
        <v>1241</v>
      </c>
      <c r="BU55" s="1879" t="s">
        <v>284</v>
      </c>
      <c r="BV55" s="1161"/>
      <c r="BW55" s="1809" t="s">
        <v>1080</v>
      </c>
      <c r="BX55" s="1879" t="s">
        <v>1066</v>
      </c>
      <c r="BY55" s="1307" t="s">
        <v>1309</v>
      </c>
      <c r="BZ55" s="906" t="s">
        <v>1241</v>
      </c>
      <c r="CA55" s="1879" t="s">
        <v>284</v>
      </c>
      <c r="CB55" s="1086"/>
      <c r="CG55" s="2142" t="s">
        <v>1655</v>
      </c>
      <c r="CH55" s="33">
        <v>600</v>
      </c>
      <c r="CI55" s="33">
        <v>160</v>
      </c>
      <c r="CJ55" s="33">
        <v>20</v>
      </c>
      <c r="CK55" s="2162">
        <v>20</v>
      </c>
      <c r="CL55" s="2162">
        <v>20</v>
      </c>
      <c r="CM55" s="2144">
        <f t="shared" si="50"/>
        <v>13.333333333333334</v>
      </c>
      <c r="CN55" s="2162">
        <v>5</v>
      </c>
      <c r="CO55" s="2162">
        <v>60</v>
      </c>
      <c r="CP55" s="2163">
        <v>6.9000000000000006E-2</v>
      </c>
      <c r="CS55" s="153"/>
      <c r="CT55" s="153"/>
    </row>
    <row r="56" spans="1:98" ht="18.75">
      <c r="A56" s="175"/>
      <c r="B56" s="175"/>
      <c r="C56" s="1421"/>
      <c r="D56" s="1421"/>
      <c r="E56" s="175"/>
      <c r="F56" s="1421"/>
      <c r="G56" s="1421"/>
      <c r="H56" s="1421"/>
      <c r="I56" s="1421"/>
      <c r="J56" s="1421"/>
      <c r="K56" s="1421"/>
      <c r="L56" s="1421"/>
      <c r="M56" s="1421"/>
      <c r="N56" s="1421"/>
      <c r="O56" s="1421"/>
      <c r="P56" s="185"/>
      <c r="Q56" s="1421"/>
      <c r="R56" s="1421"/>
      <c r="S56" s="1421"/>
      <c r="T56" s="1421"/>
      <c r="U56" s="1421"/>
      <c r="V56" s="1421"/>
      <c r="W56" s="1421"/>
      <c r="X56" s="1421"/>
      <c r="Y56" s="1421"/>
      <c r="Z56" s="1421"/>
      <c r="AA56" s="175"/>
      <c r="AB56" s="282"/>
      <c r="AC56" s="638"/>
      <c r="AD56" s="1878"/>
      <c r="AE56" s="1161"/>
      <c r="AF56" s="1891"/>
      <c r="AG56" s="1891"/>
      <c r="AH56" s="1891"/>
      <c r="AI56" s="1891"/>
      <c r="AJ56" s="1086"/>
      <c r="AK56" s="1086"/>
      <c r="AL56" s="1086"/>
      <c r="AM56" s="1086"/>
      <c r="AN56" s="1086"/>
      <c r="AO56" s="1086"/>
      <c r="AP56" s="1086"/>
      <c r="AQ56" s="1086"/>
      <c r="AR56" s="1086"/>
      <c r="AS56" s="1086"/>
      <c r="AT56" s="1086"/>
      <c r="AU56" s="1086"/>
      <c r="AV56" s="1086"/>
      <c r="AW56" s="1086"/>
      <c r="AX56" s="1086"/>
      <c r="AY56" s="1086"/>
      <c r="AZ56" s="1086"/>
      <c r="BA56" s="1086"/>
      <c r="BB56" s="1086"/>
      <c r="BC56" s="1086"/>
      <c r="BD56" s="1086"/>
      <c r="BE56" s="1086"/>
      <c r="BF56" s="1086"/>
      <c r="BG56" s="1086"/>
      <c r="BH56" s="1086"/>
      <c r="BI56" s="1086"/>
      <c r="BJ56" s="1086"/>
      <c r="BK56" s="1086"/>
      <c r="BL56" s="1086"/>
      <c r="BM56" s="1086"/>
      <c r="BN56" s="1086"/>
      <c r="BO56" s="1086"/>
      <c r="BP56" s="1086"/>
      <c r="BQ56" s="1086"/>
      <c r="BR56" s="1086"/>
      <c r="BS56" s="1086"/>
      <c r="BT56" s="1086"/>
      <c r="BU56" s="1086"/>
      <c r="BV56" s="1086"/>
      <c r="BW56" s="1086"/>
      <c r="BX56" s="1086"/>
      <c r="BY56" s="1086"/>
      <c r="BZ56" s="1086"/>
      <c r="CA56" s="1086"/>
      <c r="CB56" s="1086"/>
      <c r="CG56" s="2140" t="s">
        <v>1656</v>
      </c>
      <c r="CH56" s="33">
        <v>500</v>
      </c>
      <c r="CI56" s="33">
        <v>250</v>
      </c>
      <c r="CJ56" s="33">
        <v>20</v>
      </c>
      <c r="CK56" s="1924">
        <v>20</v>
      </c>
      <c r="CL56" s="1924">
        <v>20</v>
      </c>
      <c r="CM56" s="2145">
        <f t="shared" si="50"/>
        <v>13.333333333333334</v>
      </c>
      <c r="CN56" s="1924">
        <v>100</v>
      </c>
      <c r="CO56" s="1924">
        <v>60</v>
      </c>
      <c r="CP56" s="1925">
        <v>7.0000000000000007E-2</v>
      </c>
      <c r="CS56" s="1912"/>
      <c r="CT56" s="1913"/>
    </row>
    <row r="57" spans="1:98" ht="15" customHeight="1">
      <c r="A57" s="2459" t="s">
        <v>1068</v>
      </c>
      <c r="B57" s="2460"/>
      <c r="C57" s="2667" t="s">
        <v>1069</v>
      </c>
      <c r="D57" s="2668"/>
      <c r="E57" s="2668"/>
      <c r="F57" s="2668"/>
      <c r="G57" s="2668"/>
      <c r="H57" s="2668"/>
      <c r="I57" s="2668"/>
      <c r="J57" s="2668"/>
      <c r="K57" s="2668"/>
      <c r="L57" s="2668"/>
      <c r="M57" s="2668"/>
      <c r="N57" s="2668"/>
      <c r="O57" s="2668"/>
      <c r="P57" s="2668"/>
      <c r="Q57" s="2668"/>
      <c r="R57" s="2668"/>
      <c r="S57" s="2668"/>
      <c r="T57" s="2668"/>
      <c r="U57" s="2800"/>
      <c r="V57" s="2800"/>
      <c r="W57" s="2800"/>
      <c r="X57" s="2800"/>
      <c r="Y57" s="2800"/>
      <c r="Z57" s="2800"/>
      <c r="AA57" s="2800"/>
      <c r="AB57" s="2800"/>
      <c r="AC57" s="2801"/>
      <c r="AD57" s="2802"/>
      <c r="AE57" s="1161"/>
      <c r="AF57" s="1891"/>
      <c r="AG57" s="1891"/>
      <c r="AH57" s="1891"/>
      <c r="AI57" s="1891"/>
      <c r="AJ57" s="1086"/>
      <c r="AK57" s="1086"/>
      <c r="AL57" s="1086"/>
      <c r="AM57" s="1086"/>
      <c r="AN57" s="1086"/>
      <c r="AO57" s="1086"/>
      <c r="AP57" s="1086"/>
      <c r="AQ57" s="1086"/>
      <c r="AR57" s="1086"/>
      <c r="AS57" s="1086"/>
      <c r="AT57" s="1086"/>
      <c r="AU57" s="1086"/>
      <c r="AV57" s="1086"/>
      <c r="AW57" s="1086"/>
      <c r="AX57" s="1086"/>
      <c r="AY57" s="1086"/>
      <c r="AZ57" s="1086"/>
      <c r="BA57" s="1086"/>
      <c r="BB57" s="1086"/>
      <c r="BC57" s="1086"/>
      <c r="BD57" s="1086"/>
      <c r="BE57" s="1086"/>
      <c r="BF57" s="1086"/>
      <c r="BG57" s="1086"/>
      <c r="BH57" s="1086"/>
      <c r="BI57" s="1086"/>
      <c r="BJ57" s="1086"/>
      <c r="BK57" s="1086"/>
      <c r="BL57" s="1086"/>
      <c r="BM57" s="1086"/>
      <c r="BN57" s="1086"/>
      <c r="BO57" s="1086"/>
      <c r="BP57" s="1086"/>
      <c r="BQ57" s="1086"/>
      <c r="BR57" s="1086"/>
      <c r="BS57" s="1086"/>
      <c r="BT57" s="1086"/>
      <c r="BU57" s="1086"/>
      <c r="BV57" s="1086"/>
      <c r="BW57" s="1086"/>
      <c r="BX57" s="1086"/>
      <c r="BY57" s="1086"/>
      <c r="BZ57" s="1086"/>
      <c r="CA57" s="1086"/>
      <c r="CB57" s="1086"/>
      <c r="CG57" s="2141" t="s">
        <v>1285</v>
      </c>
      <c r="CH57" s="33">
        <v>400</v>
      </c>
      <c r="CI57" s="33">
        <v>140</v>
      </c>
      <c r="CJ57" s="33">
        <v>20</v>
      </c>
      <c r="CK57" s="323">
        <v>20</v>
      </c>
      <c r="CL57" s="323">
        <v>20</v>
      </c>
      <c r="CM57" s="323">
        <f t="shared" si="50"/>
        <v>13.333333333333334</v>
      </c>
      <c r="CN57" s="323">
        <v>50</v>
      </c>
      <c r="CO57" s="323">
        <v>60</v>
      </c>
      <c r="CP57" s="1001">
        <v>0.23599999999999999</v>
      </c>
      <c r="CS57" s="1920"/>
      <c r="CT57" s="1920"/>
    </row>
    <row r="58" spans="1:98" ht="15" customHeight="1">
      <c r="A58" s="2461"/>
      <c r="B58" s="2462"/>
      <c r="C58" s="2669"/>
      <c r="D58" s="2670"/>
      <c r="E58" s="2670"/>
      <c r="F58" s="2670"/>
      <c r="G58" s="2670"/>
      <c r="H58" s="2670"/>
      <c r="I58" s="2670"/>
      <c r="J58" s="2670"/>
      <c r="K58" s="2670"/>
      <c r="L58" s="2670"/>
      <c r="M58" s="2670"/>
      <c r="N58" s="2670"/>
      <c r="O58" s="2670"/>
      <c r="P58" s="2670"/>
      <c r="Q58" s="2670"/>
      <c r="R58" s="2670"/>
      <c r="S58" s="2670"/>
      <c r="T58" s="2670"/>
      <c r="U58" s="2803"/>
      <c r="V58" s="2803"/>
      <c r="W58" s="2803"/>
      <c r="X58" s="2803"/>
      <c r="Y58" s="2803"/>
      <c r="Z58" s="2803"/>
      <c r="AA58" s="2803"/>
      <c r="AB58" s="2803"/>
      <c r="AC58" s="2804"/>
      <c r="AD58" s="2805"/>
      <c r="AE58" s="1161"/>
      <c r="AF58" s="1891"/>
      <c r="AG58" s="1891"/>
      <c r="AH58" s="1891"/>
      <c r="AI58" s="1891"/>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6"/>
      <c r="BF58" s="1086"/>
      <c r="BG58" s="1086"/>
      <c r="BH58" s="1086"/>
      <c r="BI58" s="1086"/>
      <c r="BJ58" s="1086"/>
      <c r="BK58" s="1086"/>
      <c r="BL58" s="1086"/>
      <c r="BM58" s="1086"/>
      <c r="BN58" s="1086"/>
      <c r="BO58" s="1086"/>
      <c r="BP58" s="1086"/>
      <c r="BQ58" s="1086"/>
      <c r="BR58" s="1086"/>
      <c r="BS58" s="1086"/>
      <c r="BT58" s="1086"/>
      <c r="BU58" s="1086"/>
      <c r="BV58" s="1086"/>
      <c r="BW58" s="1086"/>
      <c r="BX58" s="1086"/>
      <c r="BY58" s="1086"/>
      <c r="BZ58" s="1086"/>
      <c r="CA58" s="1086"/>
      <c r="CB58" s="1086"/>
      <c r="CG58" s="2141" t="s">
        <v>1355</v>
      </c>
      <c r="CH58" s="33">
        <v>240</v>
      </c>
      <c r="CI58" s="33">
        <v>160</v>
      </c>
      <c r="CJ58" s="33">
        <v>20</v>
      </c>
      <c r="CK58" s="323">
        <v>20</v>
      </c>
      <c r="CL58" s="323">
        <v>20</v>
      </c>
      <c r="CM58" s="323">
        <f t="shared" si="50"/>
        <v>13.333333333333334</v>
      </c>
      <c r="CN58" s="323">
        <v>10</v>
      </c>
      <c r="CO58" s="323">
        <v>60</v>
      </c>
      <c r="CP58" s="1001">
        <v>0.115</v>
      </c>
      <c r="CS58" s="1912"/>
      <c r="CT58" s="1913"/>
    </row>
    <row r="59" spans="1:98" ht="15" customHeight="1">
      <c r="A59" s="2463"/>
      <c r="B59" s="2464"/>
      <c r="C59" s="2806"/>
      <c r="D59" s="2803"/>
      <c r="E59" s="2803"/>
      <c r="F59" s="2803"/>
      <c r="G59" s="2803"/>
      <c r="H59" s="2803"/>
      <c r="I59" s="2803"/>
      <c r="J59" s="2803"/>
      <c r="K59" s="2803"/>
      <c r="L59" s="2803"/>
      <c r="M59" s="2803"/>
      <c r="N59" s="2803"/>
      <c r="O59" s="2803"/>
      <c r="P59" s="2803"/>
      <c r="Q59" s="2803"/>
      <c r="R59" s="2803"/>
      <c r="S59" s="2803"/>
      <c r="T59" s="2803"/>
      <c r="U59" s="2803"/>
      <c r="V59" s="2803"/>
      <c r="W59" s="2803"/>
      <c r="X59" s="2803"/>
      <c r="Y59" s="2803"/>
      <c r="Z59" s="2803"/>
      <c r="AA59" s="2803"/>
      <c r="AB59" s="2803"/>
      <c r="AC59" s="2804"/>
      <c r="AD59" s="2805"/>
      <c r="AE59" s="1161"/>
      <c r="AF59" s="1161"/>
      <c r="AG59" s="1161"/>
      <c r="AH59" s="1891"/>
      <c r="AI59" s="1891"/>
      <c r="AJ59" s="1086"/>
      <c r="AK59" s="1086"/>
      <c r="AL59" s="1086"/>
      <c r="AM59" s="1086"/>
      <c r="AN59" s="1086"/>
      <c r="AO59" s="1086"/>
      <c r="AP59" s="1086"/>
      <c r="AQ59" s="1086"/>
      <c r="AR59" s="1086"/>
      <c r="AS59" s="1086"/>
      <c r="AT59" s="1086"/>
      <c r="AU59" s="1086"/>
      <c r="AV59" s="1086"/>
      <c r="AW59" s="1086"/>
      <c r="AX59" s="1086"/>
      <c r="AY59" s="1086"/>
      <c r="AZ59" s="1086"/>
      <c r="BA59" s="1086"/>
      <c r="BB59" s="1086"/>
      <c r="BC59" s="1086"/>
      <c r="BD59" s="1086"/>
      <c r="BE59" s="1086"/>
      <c r="BF59" s="1086"/>
      <c r="BG59" s="1086"/>
      <c r="BH59" s="1086"/>
      <c r="BI59" s="1086"/>
      <c r="BJ59" s="1086"/>
      <c r="BK59" s="1086"/>
      <c r="BL59" s="1086"/>
      <c r="BM59" s="1086"/>
      <c r="BN59" s="1086"/>
      <c r="BO59" s="1086"/>
      <c r="BP59" s="1086"/>
      <c r="BQ59" s="1086"/>
      <c r="BR59" s="1086"/>
      <c r="BS59" s="1086"/>
      <c r="BT59" s="1086"/>
      <c r="BU59" s="1086"/>
      <c r="BV59" s="1086"/>
      <c r="BW59" s="1086"/>
      <c r="BX59" s="1878"/>
      <c r="BY59" s="1878"/>
      <c r="BZ59" s="1878"/>
      <c r="CA59" s="1878"/>
      <c r="CB59" s="1878"/>
      <c r="CG59" s="2141" t="s">
        <v>1356</v>
      </c>
      <c r="CH59" s="33">
        <v>160</v>
      </c>
      <c r="CI59" s="33">
        <v>100</v>
      </c>
      <c r="CJ59" s="33">
        <v>20</v>
      </c>
      <c r="CK59" s="323">
        <v>20</v>
      </c>
      <c r="CL59" s="323">
        <v>20</v>
      </c>
      <c r="CM59" s="323">
        <f t="shared" si="50"/>
        <v>13.333333333333334</v>
      </c>
      <c r="CN59" s="323">
        <v>10</v>
      </c>
      <c r="CO59" s="323">
        <v>60</v>
      </c>
      <c r="CP59" s="1001">
        <v>0.115</v>
      </c>
      <c r="CS59" s="1910"/>
      <c r="CT59" s="1911"/>
    </row>
    <row r="60" spans="1:98" ht="15" customHeight="1">
      <c r="A60" s="2463"/>
      <c r="B60" s="2464"/>
      <c r="C60" s="2806"/>
      <c r="D60" s="2803"/>
      <c r="E60" s="2803"/>
      <c r="F60" s="2803"/>
      <c r="G60" s="2803"/>
      <c r="H60" s="2803"/>
      <c r="I60" s="2803"/>
      <c r="J60" s="2803"/>
      <c r="K60" s="2803"/>
      <c r="L60" s="2803"/>
      <c r="M60" s="2803"/>
      <c r="N60" s="2803"/>
      <c r="O60" s="2803"/>
      <c r="P60" s="2803"/>
      <c r="Q60" s="2803"/>
      <c r="R60" s="2803"/>
      <c r="S60" s="2803"/>
      <c r="T60" s="2803"/>
      <c r="U60" s="2803"/>
      <c r="V60" s="2803"/>
      <c r="W60" s="2803"/>
      <c r="X60" s="2803"/>
      <c r="Y60" s="2803"/>
      <c r="Z60" s="2803"/>
      <c r="AA60" s="2803"/>
      <c r="AB60" s="2803"/>
      <c r="AC60" s="2804"/>
      <c r="AD60" s="2805"/>
      <c r="AE60" s="1878"/>
      <c r="AF60" s="1878"/>
      <c r="AG60" s="1878"/>
      <c r="AH60" s="1878"/>
      <c r="AI60" s="1878"/>
      <c r="AJ60" s="1878"/>
      <c r="AK60" s="1878"/>
      <c r="AL60" s="1878"/>
      <c r="AM60" s="1878"/>
      <c r="AN60" s="1878"/>
      <c r="AO60" s="1878"/>
      <c r="AP60" s="1878"/>
      <c r="AQ60" s="1878"/>
      <c r="AR60" s="1878"/>
      <c r="AS60" s="1878"/>
      <c r="AT60" s="1878"/>
      <c r="AU60" s="1878"/>
      <c r="AV60" s="1878"/>
      <c r="AW60" s="1878"/>
      <c r="AX60" s="1878"/>
      <c r="AY60" s="1878"/>
      <c r="AZ60" s="1878"/>
      <c r="BA60" s="1878"/>
      <c r="BB60" s="1878"/>
      <c r="BC60" s="1878"/>
      <c r="BD60" s="1878"/>
      <c r="BE60" s="1878"/>
      <c r="BF60" s="1878"/>
      <c r="BG60" s="1878"/>
      <c r="BH60" s="1878"/>
      <c r="BI60" s="1878"/>
      <c r="BJ60" s="1878"/>
      <c r="BK60" s="1878"/>
      <c r="BL60" s="1878"/>
      <c r="BM60" s="1878"/>
      <c r="BN60" s="1878"/>
      <c r="BO60" s="1878"/>
      <c r="BP60" s="1878"/>
      <c r="BQ60" s="1878"/>
      <c r="BR60" s="1878"/>
      <c r="BS60" s="1878"/>
      <c r="BT60" s="1878"/>
      <c r="BU60" s="1878"/>
      <c r="BV60" s="1878"/>
      <c r="BW60" s="1878"/>
      <c r="BX60" s="1878"/>
      <c r="BY60" s="1878"/>
      <c r="BZ60" s="1878"/>
      <c r="CA60" s="1878"/>
      <c r="CB60" s="1878"/>
      <c r="CG60" s="2154" t="s">
        <v>1573</v>
      </c>
      <c r="CH60" s="33">
        <v>500</v>
      </c>
      <c r="CI60" s="33">
        <v>285</v>
      </c>
      <c r="CJ60" s="33">
        <v>10</v>
      </c>
      <c r="CK60" s="2153">
        <v>29</v>
      </c>
      <c r="CL60" s="2153">
        <v>14</v>
      </c>
      <c r="CM60" s="2161">
        <v>0</v>
      </c>
      <c r="CN60" s="2161">
        <v>0</v>
      </c>
      <c r="CO60" s="2161">
        <v>60</v>
      </c>
      <c r="CP60" s="2157">
        <v>0.13</v>
      </c>
      <c r="CS60" s="1912"/>
      <c r="CT60" s="1913"/>
    </row>
    <row r="61" spans="1:98" ht="15" customHeight="1">
      <c r="A61" s="2465"/>
      <c r="B61" s="2466"/>
      <c r="C61" s="2807"/>
      <c r="D61" s="2808"/>
      <c r="E61" s="2808"/>
      <c r="F61" s="2808"/>
      <c r="G61" s="2808"/>
      <c r="H61" s="2808"/>
      <c r="I61" s="2808"/>
      <c r="J61" s="2808"/>
      <c r="K61" s="2808"/>
      <c r="L61" s="2808"/>
      <c r="M61" s="2808"/>
      <c r="N61" s="2808"/>
      <c r="O61" s="2808"/>
      <c r="P61" s="2808"/>
      <c r="Q61" s="2808"/>
      <c r="R61" s="2808"/>
      <c r="S61" s="2808"/>
      <c r="T61" s="2808"/>
      <c r="U61" s="2808"/>
      <c r="V61" s="2808"/>
      <c r="W61" s="2808"/>
      <c r="X61" s="2808"/>
      <c r="Y61" s="2808"/>
      <c r="Z61" s="2808"/>
      <c r="AA61" s="2808"/>
      <c r="AB61" s="2808"/>
      <c r="AC61" s="2809"/>
      <c r="AD61" s="2810"/>
      <c r="AE61" s="1878"/>
      <c r="AF61" s="1878"/>
      <c r="AG61" s="1878"/>
      <c r="AH61" s="1878"/>
      <c r="AI61" s="1878"/>
      <c r="AJ61" s="1878"/>
      <c r="AK61" s="1878"/>
      <c r="AL61" s="1878"/>
      <c r="AM61" s="1878"/>
      <c r="AN61" s="1878"/>
      <c r="AO61" s="1878"/>
      <c r="AP61" s="1878"/>
      <c r="AQ61" s="1878"/>
      <c r="AR61" s="1878"/>
      <c r="AS61" s="1878"/>
      <c r="AT61" s="1878"/>
      <c r="AU61" s="1878"/>
      <c r="AV61" s="1878"/>
      <c r="AW61" s="1878"/>
      <c r="AX61" s="1878"/>
      <c r="AY61" s="1878"/>
      <c r="AZ61" s="1878"/>
      <c r="BA61" s="1878"/>
      <c r="BB61" s="1878"/>
      <c r="BC61" s="1878"/>
      <c r="BD61" s="1878"/>
      <c r="BE61" s="1878"/>
      <c r="BF61" s="1878"/>
      <c r="BG61" s="1878"/>
      <c r="BH61" s="1878"/>
      <c r="BI61" s="1878"/>
      <c r="BJ61" s="1878"/>
      <c r="BK61" s="1878"/>
      <c r="BL61" s="1878"/>
      <c r="BM61" s="1878"/>
      <c r="BN61" s="1878"/>
      <c r="BO61" s="1878"/>
      <c r="BP61" s="1878"/>
      <c r="BQ61" s="1878"/>
      <c r="BR61" s="1878"/>
      <c r="BS61" s="1878"/>
      <c r="BT61" s="1878"/>
      <c r="BU61" s="1878"/>
      <c r="BV61" s="1878"/>
      <c r="BW61" s="1878"/>
      <c r="BX61" s="1878"/>
      <c r="BY61" s="1878"/>
      <c r="BZ61" s="1878"/>
      <c r="CA61" s="1878"/>
      <c r="CB61" s="1878"/>
      <c r="CG61" s="2141" t="s">
        <v>1357</v>
      </c>
      <c r="CH61" s="33">
        <v>400</v>
      </c>
      <c r="CI61" s="33">
        <v>130</v>
      </c>
      <c r="CJ61" s="33">
        <v>20</v>
      </c>
      <c r="CK61" s="323">
        <v>20</v>
      </c>
      <c r="CL61" s="323">
        <v>20</v>
      </c>
      <c r="CM61" s="323">
        <f t="shared" si="50"/>
        <v>13.333333333333334</v>
      </c>
      <c r="CN61" s="323">
        <v>45</v>
      </c>
      <c r="CO61" s="323">
        <v>60</v>
      </c>
      <c r="CP61" s="1001">
        <v>0.13700000000000001</v>
      </c>
      <c r="CS61" s="1912"/>
      <c r="CT61" s="1913"/>
    </row>
    <row r="62" spans="1:98">
      <c r="A62" s="175"/>
      <c r="B62" s="1421"/>
      <c r="C62" s="1421"/>
      <c r="D62" s="175"/>
      <c r="E62" s="1421"/>
      <c r="F62" s="1421"/>
      <c r="G62" s="1421"/>
      <c r="H62" s="1421"/>
      <c r="I62" s="1421"/>
      <c r="J62" s="1421"/>
      <c r="K62" s="1421"/>
      <c r="L62" s="1421"/>
      <c r="M62" s="1421"/>
      <c r="N62" s="1421"/>
      <c r="O62" s="1421"/>
      <c r="P62" s="1421"/>
      <c r="Q62" s="1421"/>
      <c r="R62" s="1421"/>
      <c r="S62" s="1421"/>
      <c r="T62" s="1421"/>
      <c r="U62" s="1421"/>
      <c r="V62" s="1421"/>
      <c r="W62" s="1421"/>
      <c r="X62" s="1421"/>
      <c r="Y62" s="1421"/>
      <c r="Z62" s="1421"/>
      <c r="AA62" s="175"/>
      <c r="AB62" s="282"/>
      <c r="AC62" s="638"/>
      <c r="AD62" s="92"/>
      <c r="AE62" s="1878"/>
      <c r="AF62" s="1878"/>
      <c r="AG62" s="1878"/>
      <c r="AH62" s="1878"/>
      <c r="AI62" s="1878"/>
      <c r="AJ62" s="1878"/>
      <c r="AK62" s="1878"/>
      <c r="AL62" s="1878"/>
      <c r="AM62" s="1878"/>
      <c r="AN62" s="1878"/>
      <c r="AO62" s="1878"/>
      <c r="AP62" s="1878"/>
      <c r="AQ62" s="1878"/>
      <c r="AR62" s="1878"/>
      <c r="AS62" s="1878"/>
      <c r="AT62" s="1878"/>
      <c r="AU62" s="1878"/>
      <c r="AV62" s="1878"/>
      <c r="AW62" s="1878"/>
      <c r="AX62" s="1878"/>
      <c r="AY62" s="1878"/>
      <c r="AZ62" s="1878"/>
      <c r="BA62" s="1878"/>
      <c r="BB62" s="1878"/>
      <c r="BC62" s="1878"/>
      <c r="BD62" s="1878"/>
      <c r="BE62" s="1878"/>
      <c r="BF62" s="1878"/>
      <c r="BG62" s="1878"/>
      <c r="BH62" s="1878"/>
      <c r="BI62" s="1878"/>
      <c r="BJ62" s="1878"/>
      <c r="BK62" s="1878"/>
      <c r="BL62" s="1878"/>
      <c r="BM62" s="1878"/>
      <c r="BN62" s="1878"/>
      <c r="BO62" s="1878"/>
      <c r="BP62" s="1878"/>
      <c r="BQ62" s="1878"/>
      <c r="BR62" s="1878"/>
      <c r="BS62" s="1878"/>
      <c r="BT62" s="1878"/>
      <c r="BU62" s="1878"/>
      <c r="BV62" s="1878"/>
      <c r="BW62" s="1878"/>
      <c r="BX62" s="1878"/>
      <c r="BY62" s="1878"/>
      <c r="BZ62" s="1878"/>
      <c r="CA62" s="1878"/>
      <c r="CB62" s="1878"/>
      <c r="CG62" s="2159" t="s">
        <v>1657</v>
      </c>
      <c r="CH62" s="33">
        <v>400</v>
      </c>
      <c r="CI62" s="33">
        <v>210</v>
      </c>
      <c r="CJ62" s="33">
        <v>10</v>
      </c>
      <c r="CK62" s="2158">
        <v>21</v>
      </c>
      <c r="CL62" s="2158">
        <v>21</v>
      </c>
      <c r="CM62" s="2152">
        <v>0</v>
      </c>
      <c r="CN62" s="2152">
        <v>0</v>
      </c>
      <c r="CO62" s="2152">
        <v>30</v>
      </c>
      <c r="CP62" s="2155">
        <v>0.11</v>
      </c>
      <c r="CS62" s="1912"/>
      <c r="CT62" s="1921"/>
    </row>
    <row r="63" spans="1:98" ht="15" customHeight="1">
      <c r="A63" s="2481" t="s">
        <v>609</v>
      </c>
      <c r="B63" s="2482"/>
      <c r="C63" s="2787" t="s">
        <v>1273</v>
      </c>
      <c r="D63" s="2517"/>
      <c r="E63" s="2517"/>
      <c r="F63" s="2517"/>
      <c r="G63" s="2517"/>
      <c r="H63" s="2517"/>
      <c r="I63" s="2517"/>
      <c r="J63" s="2517"/>
      <c r="K63" s="2517"/>
      <c r="L63" s="2517"/>
      <c r="M63" s="2517"/>
      <c r="N63" s="2517"/>
      <c r="O63" s="2517"/>
      <c r="P63" s="2517"/>
      <c r="Q63" s="2517"/>
      <c r="R63" s="2517"/>
      <c r="S63" s="2517"/>
      <c r="T63" s="2517"/>
      <c r="U63" s="2517"/>
      <c r="V63" s="2517"/>
      <c r="W63" s="2517"/>
      <c r="X63" s="2517"/>
      <c r="Y63" s="2517"/>
      <c r="Z63" s="2517"/>
      <c r="AA63" s="2788"/>
      <c r="AB63" s="2788"/>
      <c r="AC63" s="2788"/>
      <c r="AD63" s="2788"/>
      <c r="AE63" s="1878"/>
      <c r="AF63" s="1878"/>
      <c r="AG63" s="1878"/>
      <c r="AH63" s="1878"/>
      <c r="AI63" s="1878"/>
      <c r="AJ63" s="1878"/>
      <c r="AK63" s="1878"/>
      <c r="AL63" s="1878"/>
      <c r="AM63" s="1878"/>
      <c r="AN63" s="1878"/>
      <c r="AO63" s="1878"/>
      <c r="AP63" s="1878"/>
      <c r="AQ63" s="1878"/>
      <c r="AR63" s="1878"/>
      <c r="AS63" s="1878"/>
      <c r="AT63" s="1878"/>
      <c r="AU63" s="1878"/>
      <c r="AV63" s="1878"/>
      <c r="AW63" s="1878"/>
      <c r="AX63" s="1878"/>
      <c r="AY63" s="1878"/>
      <c r="AZ63" s="1878"/>
      <c r="BA63" s="1878"/>
      <c r="BB63" s="1878"/>
      <c r="BC63" s="1878"/>
      <c r="BD63" s="1878"/>
      <c r="BE63" s="1878"/>
      <c r="BF63" s="1878"/>
      <c r="BG63" s="1878"/>
      <c r="BH63" s="1878"/>
      <c r="BI63" s="1878"/>
      <c r="BJ63" s="1878"/>
      <c r="BK63" s="1878"/>
      <c r="BL63" s="1878"/>
      <c r="BM63" s="1878"/>
      <c r="BN63" s="1878"/>
      <c r="BO63" s="1878"/>
      <c r="BP63" s="1878"/>
      <c r="BQ63" s="1878"/>
      <c r="BR63" s="1878"/>
      <c r="BS63" s="1878"/>
      <c r="BT63" s="1878"/>
      <c r="BU63" s="1878"/>
      <c r="BV63" s="1878"/>
      <c r="BW63" s="1878"/>
      <c r="BX63" s="1878"/>
      <c r="BY63" s="1878"/>
      <c r="BZ63" s="1878"/>
      <c r="CA63" s="1878"/>
      <c r="CB63" s="1878"/>
      <c r="CG63" s="2141" t="s">
        <v>1658</v>
      </c>
      <c r="CH63" s="33">
        <v>150</v>
      </c>
      <c r="CI63" s="33">
        <v>150</v>
      </c>
      <c r="CJ63" s="33">
        <v>10</v>
      </c>
      <c r="CK63" s="323">
        <v>10</v>
      </c>
      <c r="CL63" s="323">
        <v>10</v>
      </c>
      <c r="CM63" s="323">
        <v>20</v>
      </c>
      <c r="CN63" s="323">
        <v>30</v>
      </c>
      <c r="CO63" s="323">
        <v>30</v>
      </c>
      <c r="CP63" s="2146">
        <v>7.0000000000000007E-2</v>
      </c>
      <c r="CS63" s="1917"/>
      <c r="CT63" s="1911"/>
    </row>
    <row r="64" spans="1:98" ht="15" customHeight="1">
      <c r="A64" s="2483"/>
      <c r="B64" s="2484"/>
      <c r="C64" s="2517"/>
      <c r="D64" s="2517"/>
      <c r="E64" s="2517"/>
      <c r="F64" s="2517"/>
      <c r="G64" s="2517"/>
      <c r="H64" s="2517"/>
      <c r="I64" s="2517"/>
      <c r="J64" s="2517"/>
      <c r="K64" s="2517"/>
      <c r="L64" s="2517"/>
      <c r="M64" s="2517"/>
      <c r="N64" s="2517"/>
      <c r="O64" s="2517"/>
      <c r="P64" s="2517"/>
      <c r="Q64" s="2517"/>
      <c r="R64" s="2517"/>
      <c r="S64" s="2517"/>
      <c r="T64" s="2517"/>
      <c r="U64" s="2517"/>
      <c r="V64" s="2517"/>
      <c r="W64" s="2517"/>
      <c r="X64" s="2517"/>
      <c r="Y64" s="2517"/>
      <c r="Z64" s="2517"/>
      <c r="AA64" s="2788"/>
      <c r="AB64" s="2788"/>
      <c r="AC64" s="2788"/>
      <c r="AD64" s="2788"/>
      <c r="AE64" s="1878"/>
      <c r="AF64" s="1878"/>
      <c r="AG64" s="1878"/>
      <c r="AH64" s="1878"/>
      <c r="AI64" s="1878"/>
      <c r="AJ64" s="1878"/>
      <c r="AK64" s="1878"/>
      <c r="AL64" s="1878"/>
      <c r="AM64" s="1878"/>
      <c r="AN64" s="1878"/>
      <c r="AO64" s="1878"/>
      <c r="AP64" s="1878"/>
      <c r="AQ64" s="1878"/>
      <c r="AR64" s="1878"/>
      <c r="AS64" s="1878"/>
      <c r="AT64" s="1878"/>
      <c r="AU64" s="1878"/>
      <c r="AV64" s="1878"/>
      <c r="AW64" s="1878"/>
      <c r="AX64" s="1878"/>
      <c r="AY64" s="1878"/>
      <c r="AZ64" s="1878"/>
      <c r="BA64" s="1878"/>
      <c r="BB64" s="1878"/>
      <c r="BC64" s="1878"/>
      <c r="BD64" s="1878"/>
      <c r="BE64" s="1878"/>
      <c r="BF64" s="1878"/>
      <c r="BG64" s="1878"/>
      <c r="BH64" s="1878"/>
      <c r="BI64" s="1878"/>
      <c r="BJ64" s="1878"/>
      <c r="BK64" s="1878"/>
      <c r="BL64" s="1878"/>
      <c r="BM64" s="1878"/>
      <c r="BN64" s="1878"/>
      <c r="BO64" s="1878"/>
      <c r="BP64" s="1878"/>
      <c r="BQ64" s="1878"/>
      <c r="BR64" s="1878"/>
      <c r="BS64" s="1878"/>
      <c r="BT64" s="1878"/>
      <c r="BU64" s="1878"/>
      <c r="BV64" s="1878"/>
      <c r="BW64" s="1878"/>
      <c r="BX64" s="1878"/>
      <c r="BY64" s="1878"/>
      <c r="BZ64" s="1878"/>
      <c r="CA64" s="1878"/>
      <c r="CB64" s="1878"/>
      <c r="CG64" s="2141" t="s">
        <v>1358</v>
      </c>
      <c r="CH64" s="33">
        <v>600</v>
      </c>
      <c r="CI64" s="33">
        <v>250</v>
      </c>
      <c r="CJ64" s="33">
        <v>20</v>
      </c>
      <c r="CK64" s="323">
        <v>40</v>
      </c>
      <c r="CL64" s="323">
        <v>40</v>
      </c>
      <c r="CM64" s="323">
        <f t="shared" ref="CM64:CM80" si="51">CL64*2/3</f>
        <v>26.666666666666668</v>
      </c>
      <c r="CN64" s="323">
        <v>55</v>
      </c>
      <c r="CO64" s="323">
        <v>60</v>
      </c>
      <c r="CP64" s="1001">
        <v>0.08</v>
      </c>
      <c r="CS64" s="1917"/>
      <c r="CT64" s="1911"/>
    </row>
    <row r="65" spans="1:98" ht="15" customHeight="1">
      <c r="A65" s="2485"/>
      <c r="B65" s="2486"/>
      <c r="C65" s="2517"/>
      <c r="D65" s="2517"/>
      <c r="E65" s="2517"/>
      <c r="F65" s="2517"/>
      <c r="G65" s="2517"/>
      <c r="H65" s="2517"/>
      <c r="I65" s="2517"/>
      <c r="J65" s="2517"/>
      <c r="K65" s="2517"/>
      <c r="L65" s="2517"/>
      <c r="M65" s="2517"/>
      <c r="N65" s="2517"/>
      <c r="O65" s="2517"/>
      <c r="P65" s="2517"/>
      <c r="Q65" s="2517"/>
      <c r="R65" s="2517"/>
      <c r="S65" s="2517"/>
      <c r="T65" s="2517"/>
      <c r="U65" s="2517"/>
      <c r="V65" s="2517"/>
      <c r="W65" s="2517"/>
      <c r="X65" s="2517"/>
      <c r="Y65" s="2517"/>
      <c r="Z65" s="2517"/>
      <c r="AA65" s="2788"/>
      <c r="AB65" s="2788"/>
      <c r="AC65" s="2788"/>
      <c r="AD65" s="2788"/>
      <c r="AE65" s="1878"/>
      <c r="AF65" s="1878"/>
      <c r="AG65" s="1878"/>
      <c r="AH65" s="1878"/>
      <c r="AI65" s="1878"/>
      <c r="AJ65" s="1878"/>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78"/>
      <c r="BS65" s="1878"/>
      <c r="BT65" s="1878"/>
      <c r="BU65" s="1878"/>
      <c r="BV65" s="1878"/>
      <c r="BW65" s="1878"/>
      <c r="BX65" s="1878"/>
      <c r="BY65" s="1878"/>
      <c r="BZ65" s="1878"/>
      <c r="CA65" s="1878"/>
      <c r="CB65" s="1878"/>
      <c r="CG65" s="2140" t="s">
        <v>1659</v>
      </c>
      <c r="CH65" s="33">
        <v>150</v>
      </c>
      <c r="CI65" s="33">
        <v>90</v>
      </c>
      <c r="CJ65" s="33">
        <v>20</v>
      </c>
      <c r="CK65" s="323">
        <v>20</v>
      </c>
      <c r="CL65" s="323">
        <v>20</v>
      </c>
      <c r="CM65" s="323">
        <f t="shared" si="51"/>
        <v>13.333333333333334</v>
      </c>
      <c r="CN65" s="2156">
        <v>0</v>
      </c>
      <c r="CO65" s="2156">
        <v>30</v>
      </c>
      <c r="CP65" s="1914">
        <v>0.11</v>
      </c>
      <c r="CS65" s="1917"/>
      <c r="CT65" s="1911"/>
    </row>
    <row r="66" spans="1:98" ht="15.75" customHeight="1">
      <c r="A66" s="2487"/>
      <c r="B66" s="2488"/>
      <c r="C66" s="2787" t="s">
        <v>588</v>
      </c>
      <c r="D66" s="2517"/>
      <c r="E66" s="2517"/>
      <c r="F66" s="2517"/>
      <c r="G66" s="2517"/>
      <c r="H66" s="2517"/>
      <c r="I66" s="2517"/>
      <c r="J66" s="2517"/>
      <c r="K66" s="2517"/>
      <c r="L66" s="2517"/>
      <c r="M66" s="2517"/>
      <c r="N66" s="2517"/>
      <c r="O66" s="2517"/>
      <c r="P66" s="2517"/>
      <c r="Q66" s="2517"/>
      <c r="R66" s="2517"/>
      <c r="S66" s="2517"/>
      <c r="T66" s="2517"/>
      <c r="U66" s="2788"/>
      <c r="V66" s="2788"/>
      <c r="W66" s="2788"/>
      <c r="X66" s="2788"/>
      <c r="Y66" s="2788"/>
      <c r="Z66" s="2788"/>
      <c r="AA66" s="2788"/>
      <c r="AB66" s="2788"/>
      <c r="AC66" s="2788"/>
      <c r="AD66" s="2788"/>
      <c r="AE66" s="1878"/>
      <c r="AF66" s="1878"/>
      <c r="AG66" s="1878"/>
      <c r="AH66" s="1878"/>
      <c r="AI66" s="1878"/>
      <c r="AJ66" s="1878"/>
      <c r="AK66" s="1878"/>
      <c r="AL66" s="1878"/>
      <c r="AM66" s="1878"/>
      <c r="AN66" s="1878"/>
      <c r="AO66" s="1878"/>
      <c r="AP66" s="1878"/>
      <c r="AQ66" s="1878"/>
      <c r="AR66" s="1878"/>
      <c r="AS66" s="1878"/>
      <c r="AT66" s="1878"/>
      <c r="AU66" s="1878"/>
      <c r="AV66" s="1878"/>
      <c r="AW66" s="1878"/>
      <c r="AX66" s="1878"/>
      <c r="AY66" s="1878"/>
      <c r="AZ66" s="1878"/>
      <c r="BA66" s="1878"/>
      <c r="BB66" s="1878"/>
      <c r="BC66" s="1878"/>
      <c r="BD66" s="1878"/>
      <c r="BE66" s="1878"/>
      <c r="BF66" s="1878"/>
      <c r="BG66" s="1878"/>
      <c r="BH66" s="1878"/>
      <c r="BI66" s="1878"/>
      <c r="BJ66" s="1878"/>
      <c r="BK66" s="1878"/>
      <c r="BL66" s="1878"/>
      <c r="BM66" s="1878"/>
      <c r="BN66" s="1878"/>
      <c r="BO66" s="1878"/>
      <c r="BP66" s="1878"/>
      <c r="BQ66" s="1878"/>
      <c r="BR66" s="1878"/>
      <c r="BS66" s="1878"/>
      <c r="BT66" s="1878"/>
      <c r="BU66" s="1878"/>
      <c r="BV66" s="1878"/>
      <c r="BW66" s="1878"/>
      <c r="BX66" s="1878"/>
      <c r="BY66" s="1878"/>
      <c r="BZ66" s="1878"/>
      <c r="CA66" s="1878"/>
      <c r="CB66" s="1878"/>
      <c r="CG66" s="2140" t="s">
        <v>1660</v>
      </c>
      <c r="CH66" s="33">
        <v>100</v>
      </c>
      <c r="CI66" s="33">
        <v>70</v>
      </c>
      <c r="CJ66" s="33">
        <v>20</v>
      </c>
      <c r="CK66" s="323">
        <v>20</v>
      </c>
      <c r="CL66" s="323">
        <v>20</v>
      </c>
      <c r="CM66" s="323">
        <f t="shared" si="51"/>
        <v>13.333333333333334</v>
      </c>
      <c r="CN66" s="2156">
        <v>0</v>
      </c>
      <c r="CO66" s="2156">
        <v>30</v>
      </c>
      <c r="CP66" s="1914">
        <v>0.11</v>
      </c>
      <c r="CS66" s="1917"/>
      <c r="CT66" s="1911"/>
    </row>
    <row r="67" spans="1:98">
      <c r="A67" s="175"/>
      <c r="B67" s="1421"/>
      <c r="C67" s="1421"/>
      <c r="D67" s="175"/>
      <c r="E67" s="1421"/>
      <c r="F67" s="1421"/>
      <c r="G67" s="1421"/>
      <c r="H67" s="1421"/>
      <c r="I67" s="1421"/>
      <c r="J67" s="1421"/>
      <c r="K67" s="1421"/>
      <c r="L67" s="1421"/>
      <c r="M67" s="1421"/>
      <c r="N67" s="1421"/>
      <c r="O67" s="1421"/>
      <c r="P67" s="1421"/>
      <c r="Q67" s="1421"/>
      <c r="R67" s="1421"/>
      <c r="S67" s="1421"/>
      <c r="T67" s="1421"/>
      <c r="U67" s="1421"/>
      <c r="V67" s="1421"/>
      <c r="W67" s="1421"/>
      <c r="X67" s="1421"/>
      <c r="Y67" s="1421"/>
      <c r="Z67" s="1421"/>
      <c r="AA67" s="175"/>
      <c r="AB67" s="282"/>
      <c r="AC67" s="638"/>
      <c r="AD67" s="1878"/>
      <c r="AE67" s="1878"/>
      <c r="AF67" s="1878"/>
      <c r="AG67" s="1878"/>
      <c r="AH67" s="1878"/>
      <c r="AI67" s="1878"/>
      <c r="AJ67" s="1878"/>
      <c r="AK67" s="1878"/>
      <c r="AL67" s="1878"/>
      <c r="AM67" s="1878"/>
      <c r="AN67" s="1878"/>
      <c r="AO67" s="1878"/>
      <c r="AP67" s="1878"/>
      <c r="AQ67" s="1878"/>
      <c r="AR67" s="1878"/>
      <c r="AS67" s="1878"/>
      <c r="AT67" s="1878"/>
      <c r="AU67" s="1878"/>
      <c r="AV67" s="1878"/>
      <c r="AW67" s="1878"/>
      <c r="AX67" s="1878"/>
      <c r="AY67" s="1878"/>
      <c r="AZ67" s="1878"/>
      <c r="BA67" s="1878"/>
      <c r="BB67" s="1878"/>
      <c r="BC67" s="1878"/>
      <c r="BD67" s="1878"/>
      <c r="BE67" s="1878"/>
      <c r="BF67" s="1878"/>
      <c r="BG67" s="1878"/>
      <c r="BH67" s="1878"/>
      <c r="BI67" s="1878"/>
      <c r="BJ67" s="1878"/>
      <c r="BK67" s="1878"/>
      <c r="BL67" s="1878"/>
      <c r="BM67" s="1878"/>
      <c r="BN67" s="1878"/>
      <c r="BO67" s="1878"/>
      <c r="BP67" s="1878"/>
      <c r="BQ67" s="1878"/>
      <c r="BR67" s="1878"/>
      <c r="BS67" s="1878"/>
      <c r="BT67" s="1878"/>
      <c r="BU67" s="1878"/>
      <c r="BV67" s="1878"/>
      <c r="BW67" s="1878"/>
      <c r="BX67" s="1878"/>
      <c r="BY67" s="1878"/>
      <c r="BZ67" s="1878"/>
      <c r="CA67" s="1878"/>
      <c r="CB67" s="1878"/>
      <c r="CG67" s="2140" t="s">
        <v>1661</v>
      </c>
      <c r="CH67" s="33">
        <v>150</v>
      </c>
      <c r="CI67" s="33">
        <v>90</v>
      </c>
      <c r="CJ67" s="33">
        <v>20</v>
      </c>
      <c r="CK67" s="323">
        <v>20</v>
      </c>
      <c r="CL67" s="323">
        <v>20</v>
      </c>
      <c r="CM67" s="323">
        <f t="shared" si="51"/>
        <v>13.333333333333334</v>
      </c>
      <c r="CN67" s="2156">
        <v>0</v>
      </c>
      <c r="CO67" s="2156">
        <v>30</v>
      </c>
      <c r="CP67" s="1914">
        <v>0.11</v>
      </c>
      <c r="CS67" s="1912"/>
      <c r="CT67" s="1913"/>
    </row>
    <row r="68" spans="1:98">
      <c r="A68" s="175"/>
      <c r="B68" s="1421"/>
      <c r="C68" s="1421"/>
      <c r="D68" s="175"/>
      <c r="E68" s="1421"/>
      <c r="F68" s="1421"/>
      <c r="G68" s="1421"/>
      <c r="H68" s="1421"/>
      <c r="I68" s="1421"/>
      <c r="J68" s="1421"/>
      <c r="K68" s="1421"/>
      <c r="L68" s="1421"/>
      <c r="M68" s="1421"/>
      <c r="N68" s="1421"/>
      <c r="O68" s="1421"/>
      <c r="P68" s="1421"/>
      <c r="Q68" s="1421"/>
      <c r="R68" s="1421"/>
      <c r="S68" s="1421"/>
      <c r="T68" s="1421"/>
      <c r="U68" s="1421"/>
      <c r="V68" s="1421"/>
      <c r="W68" s="1421"/>
      <c r="X68" s="1421"/>
      <c r="Y68" s="1421"/>
      <c r="Z68" s="1421"/>
      <c r="AA68" s="175"/>
      <c r="AB68" s="282"/>
      <c r="AC68" s="638"/>
      <c r="AD68" s="1878"/>
      <c r="AE68" s="1878"/>
      <c r="AF68" s="1878"/>
      <c r="AG68" s="1878"/>
      <c r="AH68" s="1878"/>
      <c r="AI68" s="1878"/>
      <c r="AJ68" s="1878"/>
      <c r="AK68" s="1878"/>
      <c r="AL68" s="1878"/>
      <c r="AM68" s="1878"/>
      <c r="AN68" s="1878"/>
      <c r="AO68" s="1878"/>
      <c r="AP68" s="1878"/>
      <c r="AQ68" s="1878"/>
      <c r="AR68" s="1878"/>
      <c r="AS68" s="1878"/>
      <c r="AT68" s="1878"/>
      <c r="AU68" s="1878"/>
      <c r="AV68" s="1878"/>
      <c r="AW68" s="1878"/>
      <c r="AX68" s="1878"/>
      <c r="AY68" s="1878"/>
      <c r="AZ68" s="1878"/>
      <c r="BA68" s="1878"/>
      <c r="BB68" s="1878"/>
      <c r="BC68" s="1878"/>
      <c r="BD68" s="1878"/>
      <c r="BE68" s="1878"/>
      <c r="BF68" s="1878"/>
      <c r="BG68" s="1878"/>
      <c r="BH68" s="1878"/>
      <c r="BI68" s="1878"/>
      <c r="BJ68" s="1878"/>
      <c r="BK68" s="1878"/>
      <c r="BL68" s="1878"/>
      <c r="BM68" s="1878"/>
      <c r="BN68" s="1878"/>
      <c r="BO68" s="1878"/>
      <c r="BP68" s="1878"/>
      <c r="BQ68" s="1878"/>
      <c r="BR68" s="1878"/>
      <c r="BS68" s="1878"/>
      <c r="BT68" s="1878"/>
      <c r="BU68" s="1878"/>
      <c r="BV68" s="1878"/>
      <c r="BW68" s="1878"/>
      <c r="BX68" s="1878"/>
      <c r="BY68" s="1878"/>
      <c r="BZ68" s="1878"/>
      <c r="CA68" s="1878"/>
      <c r="CB68" s="1878"/>
      <c r="CG68" s="2140" t="s">
        <v>1662</v>
      </c>
      <c r="CH68" s="33">
        <v>100</v>
      </c>
      <c r="CI68" s="33">
        <v>70</v>
      </c>
      <c r="CJ68" s="33">
        <v>20</v>
      </c>
      <c r="CK68" s="323">
        <v>20</v>
      </c>
      <c r="CL68" s="323">
        <v>20</v>
      </c>
      <c r="CM68" s="323">
        <f t="shared" si="51"/>
        <v>13.333333333333334</v>
      </c>
      <c r="CN68" s="2156">
        <v>0</v>
      </c>
      <c r="CO68" s="2156">
        <v>30</v>
      </c>
      <c r="CP68" s="1914">
        <v>0.11</v>
      </c>
      <c r="CS68" s="1912"/>
      <c r="CT68" s="1913"/>
    </row>
    <row r="69" spans="1:98">
      <c r="A69" s="175"/>
      <c r="B69" s="1421"/>
      <c r="C69" s="1421"/>
      <c r="D69" s="175"/>
      <c r="E69" s="1421"/>
      <c r="F69" s="1421"/>
      <c r="G69" s="1421"/>
      <c r="H69" s="1421"/>
      <c r="I69" s="1421"/>
      <c r="J69" s="1421"/>
      <c r="K69" s="1421"/>
      <c r="L69" s="1421"/>
      <c r="M69" s="1421"/>
      <c r="N69" s="1421"/>
      <c r="O69" s="1421"/>
      <c r="P69" s="1421"/>
      <c r="Q69" s="1421"/>
      <c r="R69" s="1421"/>
      <c r="S69" s="1421"/>
      <c r="T69" s="1421"/>
      <c r="U69" s="1421"/>
      <c r="V69" s="1421"/>
      <c r="W69" s="1421"/>
      <c r="X69" s="1421"/>
      <c r="Y69" s="1421"/>
      <c r="Z69" s="1421"/>
      <c r="AA69" s="175"/>
      <c r="AB69" s="282"/>
      <c r="AC69" s="638"/>
      <c r="AD69" s="1878"/>
      <c r="AE69" s="1878"/>
      <c r="AF69" s="1878"/>
      <c r="AG69" s="1878"/>
      <c r="AH69" s="1878"/>
      <c r="AI69" s="1878"/>
      <c r="AJ69" s="1878"/>
      <c r="AK69" s="1878"/>
      <c r="AL69" s="1878"/>
      <c r="AM69" s="1878"/>
      <c r="AN69" s="1878"/>
      <c r="AO69" s="1878"/>
      <c r="AP69" s="1878"/>
      <c r="AQ69" s="1878"/>
      <c r="AR69" s="1878"/>
      <c r="AS69" s="1878"/>
      <c r="AT69" s="1878"/>
      <c r="AU69" s="1878"/>
      <c r="AV69" s="1878"/>
      <c r="AW69" s="1878"/>
      <c r="AX69" s="1878"/>
      <c r="AY69" s="1878"/>
      <c r="AZ69" s="1878"/>
      <c r="BA69" s="1878"/>
      <c r="BB69" s="1878"/>
      <c r="BC69" s="1878"/>
      <c r="BD69" s="1878"/>
      <c r="BE69" s="1878"/>
      <c r="BF69" s="1878"/>
      <c r="BG69" s="1878"/>
      <c r="BH69" s="1878"/>
      <c r="BI69" s="1878"/>
      <c r="BJ69" s="1878"/>
      <c r="BK69" s="1878"/>
      <c r="BL69" s="1878"/>
      <c r="BM69" s="1878"/>
      <c r="BN69" s="1878"/>
      <c r="BO69" s="1878"/>
      <c r="BP69" s="1878"/>
      <c r="BQ69" s="1878"/>
      <c r="BR69" s="1878"/>
      <c r="BS69" s="1878"/>
      <c r="BT69" s="1878"/>
      <c r="BU69" s="1878"/>
      <c r="BV69" s="1878"/>
      <c r="BW69" s="1878"/>
      <c r="BX69" s="1878"/>
      <c r="BY69" s="1878"/>
      <c r="BZ69" s="1878"/>
      <c r="CA69" s="1878"/>
      <c r="CB69" s="1878"/>
      <c r="CG69" s="2141" t="s">
        <v>1359</v>
      </c>
      <c r="CH69" s="33">
        <v>300</v>
      </c>
      <c r="CI69" s="33">
        <v>110</v>
      </c>
      <c r="CJ69" s="33">
        <v>20</v>
      </c>
      <c r="CK69" s="323">
        <v>20</v>
      </c>
      <c r="CL69" s="323">
        <v>20</v>
      </c>
      <c r="CM69" s="323">
        <f t="shared" si="51"/>
        <v>13.333333333333334</v>
      </c>
      <c r="CN69" s="323">
        <v>5</v>
      </c>
      <c r="CO69" s="323">
        <v>30</v>
      </c>
      <c r="CP69" s="1001">
        <v>6.9000000000000006E-2</v>
      </c>
      <c r="CS69" s="1912"/>
      <c r="CT69" s="1913"/>
    </row>
    <row r="70" spans="1:98">
      <c r="A70" s="175"/>
      <c r="B70" s="1421"/>
      <c r="C70" s="1421"/>
      <c r="D70" s="175"/>
      <c r="E70" s="1421"/>
      <c r="F70" s="1421"/>
      <c r="G70" s="1421"/>
      <c r="H70" s="1421"/>
      <c r="I70" s="1421"/>
      <c r="J70" s="1421"/>
      <c r="K70" s="1421"/>
      <c r="L70" s="1421"/>
      <c r="M70" s="1421"/>
      <c r="N70" s="1421"/>
      <c r="O70" s="1421"/>
      <c r="P70" s="1421"/>
      <c r="Q70" s="1421"/>
      <c r="R70" s="1421"/>
      <c r="S70" s="1421"/>
      <c r="T70" s="1421"/>
      <c r="U70" s="1421"/>
      <c r="V70" s="1421"/>
      <c r="W70" s="1421"/>
      <c r="X70" s="1421"/>
      <c r="Y70" s="1421"/>
      <c r="Z70" s="1421"/>
      <c r="AA70" s="175"/>
      <c r="AB70" s="282"/>
      <c r="AC70" s="638"/>
      <c r="AD70" s="1421"/>
      <c r="AE70" s="1878"/>
      <c r="AF70" s="1878"/>
      <c r="AG70" s="1878"/>
      <c r="AH70" s="1878"/>
      <c r="AI70" s="1878"/>
      <c r="AJ70" s="1878"/>
      <c r="AK70" s="1878"/>
      <c r="AL70" s="1878"/>
      <c r="AM70" s="1878"/>
      <c r="AN70" s="1878"/>
      <c r="AO70" s="1878"/>
      <c r="AP70" s="1878"/>
      <c r="AQ70" s="1878"/>
      <c r="AR70" s="1878"/>
      <c r="AS70" s="1878"/>
      <c r="AT70" s="1878"/>
      <c r="AU70" s="1878"/>
      <c r="AV70" s="1878"/>
      <c r="AW70" s="1878"/>
      <c r="AX70" s="1878"/>
      <c r="AY70" s="1878"/>
      <c r="AZ70" s="1878"/>
      <c r="BA70" s="1878"/>
      <c r="BB70" s="1878"/>
      <c r="BC70" s="1878"/>
      <c r="BD70" s="1878"/>
      <c r="BE70" s="1878"/>
      <c r="BF70" s="1878"/>
      <c r="BG70" s="1878"/>
      <c r="BH70" s="1878"/>
      <c r="BI70" s="1878"/>
      <c r="BJ70" s="1878"/>
      <c r="BK70" s="1878"/>
      <c r="BL70" s="1878"/>
      <c r="BM70" s="1878"/>
      <c r="BN70" s="1878"/>
      <c r="BO70" s="1878"/>
      <c r="BP70" s="1878"/>
      <c r="BQ70" s="1878"/>
      <c r="BR70" s="1878"/>
      <c r="BS70" s="1878"/>
      <c r="BT70" s="1878"/>
      <c r="BU70" s="1878"/>
      <c r="BV70" s="1878"/>
      <c r="BW70" s="1878"/>
      <c r="BX70" s="1878"/>
      <c r="BY70" s="1878"/>
      <c r="BZ70" s="1878"/>
      <c r="CA70" s="1878"/>
      <c r="CB70" s="1878"/>
      <c r="CG70" s="2141" t="s">
        <v>1360</v>
      </c>
      <c r="CH70" s="33">
        <v>500</v>
      </c>
      <c r="CI70" s="33">
        <v>140</v>
      </c>
      <c r="CJ70" s="33">
        <v>20</v>
      </c>
      <c r="CK70" s="323">
        <v>40</v>
      </c>
      <c r="CL70" s="323">
        <v>40</v>
      </c>
      <c r="CM70" s="323">
        <f t="shared" si="51"/>
        <v>26.666666666666668</v>
      </c>
      <c r="CN70" s="323">
        <v>10</v>
      </c>
      <c r="CO70" s="323">
        <v>30</v>
      </c>
      <c r="CP70" s="1001">
        <v>7.5999999999999998E-2</v>
      </c>
      <c r="CS70" s="1912"/>
      <c r="CT70" s="1913"/>
    </row>
    <row r="71" spans="1:98">
      <c r="A71" s="175"/>
      <c r="B71" s="1421"/>
      <c r="C71" s="1421"/>
      <c r="D71" s="175"/>
      <c r="E71" s="1421"/>
      <c r="F71" s="1421"/>
      <c r="G71" s="1421"/>
      <c r="H71" s="1421"/>
      <c r="I71" s="1421"/>
      <c r="J71" s="1421"/>
      <c r="K71" s="1421"/>
      <c r="L71" s="1421"/>
      <c r="M71" s="1421"/>
      <c r="N71" s="1421"/>
      <c r="O71" s="1421"/>
      <c r="P71" s="1421"/>
      <c r="Q71" s="1421"/>
      <c r="R71" s="1421"/>
      <c r="S71" s="1421"/>
      <c r="T71" s="1421"/>
      <c r="U71" s="1421"/>
      <c r="V71" s="1421"/>
      <c r="W71" s="1421"/>
      <c r="X71" s="1421"/>
      <c r="Y71" s="1421"/>
      <c r="Z71" s="1421"/>
      <c r="AA71" s="175"/>
      <c r="AB71" s="282"/>
      <c r="AC71" s="638"/>
      <c r="AD71" s="1421"/>
      <c r="AE71" s="1878"/>
      <c r="AF71" s="1878"/>
      <c r="AG71" s="1878"/>
      <c r="AH71" s="1878"/>
      <c r="AI71" s="1878"/>
      <c r="AJ71" s="1878"/>
      <c r="AK71" s="1878"/>
      <c r="AL71" s="1878"/>
      <c r="AM71" s="1878"/>
      <c r="AN71" s="1878"/>
      <c r="AO71" s="1878"/>
      <c r="AP71" s="1878"/>
      <c r="AQ71" s="1878"/>
      <c r="AR71" s="1878"/>
      <c r="AS71" s="1878"/>
      <c r="AT71" s="1878"/>
      <c r="AU71" s="1878"/>
      <c r="AV71" s="1878"/>
      <c r="AW71" s="1878"/>
      <c r="AX71" s="1878"/>
      <c r="AY71" s="1878"/>
      <c r="AZ71" s="1878"/>
      <c r="BA71" s="1878"/>
      <c r="BB71" s="1878"/>
      <c r="BC71" s="1878"/>
      <c r="BD71" s="1878"/>
      <c r="BE71" s="1878"/>
      <c r="BF71" s="1878"/>
      <c r="BG71" s="1878"/>
      <c r="BH71" s="1878"/>
      <c r="BI71" s="1878"/>
      <c r="BJ71" s="1878"/>
      <c r="BK71" s="1878"/>
      <c r="BL71" s="1878"/>
      <c r="BM71" s="1878"/>
      <c r="BN71" s="1878"/>
      <c r="BO71" s="1878"/>
      <c r="BP71" s="1878"/>
      <c r="BQ71" s="1878"/>
      <c r="BR71" s="1878"/>
      <c r="BS71" s="1878"/>
      <c r="BT71" s="1878"/>
      <c r="BU71" s="1878"/>
      <c r="BV71" s="1878"/>
      <c r="BW71" s="1878"/>
      <c r="BX71" s="1878"/>
      <c r="BY71" s="1878"/>
      <c r="BZ71" s="1878"/>
      <c r="CA71" s="1878"/>
      <c r="CB71" s="1878"/>
      <c r="CG71" s="2141" t="s">
        <v>1286</v>
      </c>
      <c r="CH71" s="33">
        <v>550</v>
      </c>
      <c r="CI71" s="33">
        <v>175</v>
      </c>
      <c r="CJ71" s="33">
        <v>20</v>
      </c>
      <c r="CK71" s="323">
        <v>40</v>
      </c>
      <c r="CL71" s="323">
        <v>40</v>
      </c>
      <c r="CM71" s="323">
        <f t="shared" si="51"/>
        <v>26.666666666666668</v>
      </c>
      <c r="CN71" s="323">
        <v>30</v>
      </c>
      <c r="CO71" s="323">
        <v>60</v>
      </c>
      <c r="CP71" s="1001">
        <v>0.08</v>
      </c>
      <c r="CS71" s="1912"/>
      <c r="CT71" s="1913"/>
    </row>
    <row r="72" spans="1:98">
      <c r="A72" s="175"/>
      <c r="B72" s="1421"/>
      <c r="C72" s="1421"/>
      <c r="D72" s="175"/>
      <c r="E72" s="1421"/>
      <c r="F72" s="1421"/>
      <c r="G72" s="1421"/>
      <c r="H72" s="1421"/>
      <c r="I72" s="1421"/>
      <c r="J72" s="1421"/>
      <c r="K72" s="1421"/>
      <c r="L72" s="1421"/>
      <c r="M72" s="1421"/>
      <c r="N72" s="1421"/>
      <c r="O72" s="1421"/>
      <c r="P72" s="1421"/>
      <c r="Q72" s="1421"/>
      <c r="R72" s="1421"/>
      <c r="S72" s="1421"/>
      <c r="T72" s="1421"/>
      <c r="U72" s="1421"/>
      <c r="V72" s="1421"/>
      <c r="W72" s="1421"/>
      <c r="X72" s="1421"/>
      <c r="Y72" s="1421"/>
      <c r="Z72" s="1421"/>
      <c r="AA72" s="175"/>
      <c r="AB72" s="282"/>
      <c r="AC72" s="638"/>
      <c r="AD72" s="1421"/>
      <c r="AE72" s="1878"/>
      <c r="AF72" s="1421"/>
      <c r="AG72" s="1421"/>
      <c r="AH72" s="1878"/>
      <c r="AI72" s="1878"/>
      <c r="AJ72" s="1878"/>
      <c r="AK72" s="1878"/>
      <c r="AL72" s="1878"/>
      <c r="AM72" s="1878"/>
      <c r="AN72" s="1878"/>
      <c r="AO72" s="1878"/>
      <c r="AP72" s="1878"/>
      <c r="AQ72" s="1878"/>
      <c r="AR72" s="1878"/>
      <c r="AS72" s="1878"/>
      <c r="AT72" s="1878"/>
      <c r="AU72" s="1878"/>
      <c r="AV72" s="1878"/>
      <c r="AW72" s="1878"/>
      <c r="AX72" s="1878"/>
      <c r="AY72" s="1878"/>
      <c r="AZ72" s="1878"/>
      <c r="BA72" s="1878"/>
      <c r="BB72" s="1878"/>
      <c r="BC72" s="1878"/>
      <c r="BD72" s="1878"/>
      <c r="BE72" s="1878"/>
      <c r="BF72" s="1878"/>
      <c r="BG72" s="1878"/>
      <c r="BH72" s="1878"/>
      <c r="BI72" s="1878"/>
      <c r="BJ72" s="1878"/>
      <c r="BK72" s="1878"/>
      <c r="BL72" s="1878"/>
      <c r="BM72" s="1878"/>
      <c r="BN72" s="1878"/>
      <c r="BO72" s="1878"/>
      <c r="BP72" s="1878"/>
      <c r="BQ72" s="1878"/>
      <c r="BR72" s="1878"/>
      <c r="BS72" s="1878"/>
      <c r="BT72" s="1878"/>
      <c r="BU72" s="1878"/>
      <c r="BV72" s="1878"/>
      <c r="BW72" s="1878"/>
      <c r="BX72" s="1878"/>
      <c r="BY72" s="1878"/>
      <c r="BZ72" s="1878"/>
      <c r="CA72" s="1878"/>
      <c r="CB72" s="1878"/>
      <c r="CG72" s="2141" t="s">
        <v>1287</v>
      </c>
      <c r="CH72" s="33">
        <v>1000</v>
      </c>
      <c r="CI72" s="33">
        <v>230</v>
      </c>
      <c r="CJ72" s="33">
        <v>20</v>
      </c>
      <c r="CK72" s="323">
        <v>40</v>
      </c>
      <c r="CL72" s="323">
        <v>40</v>
      </c>
      <c r="CM72" s="323">
        <f t="shared" si="51"/>
        <v>26.666666666666668</v>
      </c>
      <c r="CN72" s="323">
        <v>45</v>
      </c>
      <c r="CO72" s="323">
        <v>60</v>
      </c>
      <c r="CP72" s="1001">
        <v>0.06</v>
      </c>
      <c r="CS72" s="1912"/>
      <c r="CT72" s="1913"/>
    </row>
    <row r="73" spans="1:98" ht="18.75">
      <c r="A73" s="175"/>
      <c r="B73" s="1421"/>
      <c r="C73" s="1421"/>
      <c r="D73" s="175"/>
      <c r="E73" s="1421"/>
      <c r="F73" s="1421"/>
      <c r="G73" s="1421"/>
      <c r="H73" s="1421"/>
      <c r="I73" s="1421"/>
      <c r="J73" s="1421"/>
      <c r="K73" s="1421"/>
      <c r="L73" s="1421"/>
      <c r="M73" s="1421"/>
      <c r="N73" s="1421"/>
      <c r="O73" s="1421"/>
      <c r="P73" s="1421"/>
      <c r="Q73" s="1421"/>
      <c r="R73" s="1421"/>
      <c r="S73" s="1421"/>
      <c r="T73" s="1421"/>
      <c r="U73" s="1421"/>
      <c r="V73" s="1421"/>
      <c r="W73" s="1421"/>
      <c r="X73" s="1421"/>
      <c r="Y73" s="1421"/>
      <c r="Z73" s="1421"/>
      <c r="AA73" s="175"/>
      <c r="AB73" s="282"/>
      <c r="AC73" s="638"/>
      <c r="AD73" s="1421"/>
      <c r="AE73" s="1878"/>
      <c r="AF73" s="861"/>
      <c r="AG73" s="861"/>
      <c r="AH73" s="1878"/>
      <c r="AI73" s="1878"/>
      <c r="AJ73" s="1878"/>
      <c r="AK73" s="1878"/>
      <c r="AL73" s="1878"/>
      <c r="AM73" s="1878"/>
      <c r="AN73" s="1878"/>
      <c r="AO73" s="1878"/>
      <c r="AP73" s="1878"/>
      <c r="AQ73" s="1878"/>
      <c r="AR73" s="1878"/>
      <c r="AS73" s="1878"/>
      <c r="AT73" s="1878"/>
      <c r="AU73" s="1878"/>
      <c r="AV73" s="1878"/>
      <c r="AW73" s="1878"/>
      <c r="AX73" s="1878"/>
      <c r="AY73" s="1878"/>
      <c r="AZ73" s="1878"/>
      <c r="BA73" s="1878"/>
      <c r="BB73" s="1878"/>
      <c r="BC73" s="1878"/>
      <c r="BD73" s="1878"/>
      <c r="BE73" s="1878"/>
      <c r="BF73" s="1878"/>
      <c r="BG73" s="1878"/>
      <c r="BH73" s="1878"/>
      <c r="BI73" s="1878"/>
      <c r="BJ73" s="1878"/>
      <c r="BK73" s="1878"/>
      <c r="BL73" s="1878"/>
      <c r="BM73" s="1878"/>
      <c r="BN73" s="1878"/>
      <c r="BO73" s="1878"/>
      <c r="BP73" s="1878"/>
      <c r="BQ73" s="1878"/>
      <c r="BR73" s="1878"/>
      <c r="BS73" s="1878"/>
      <c r="BT73" s="1878"/>
      <c r="BU73" s="1878"/>
      <c r="BV73" s="1878"/>
      <c r="BW73" s="1878"/>
      <c r="BX73" s="1878"/>
      <c r="BY73" s="1878"/>
      <c r="BZ73" s="1878"/>
      <c r="CA73" s="1878"/>
      <c r="CB73" s="1878"/>
      <c r="CG73" s="2141" t="s">
        <v>1361</v>
      </c>
      <c r="CH73" s="33">
        <v>0</v>
      </c>
      <c r="CI73" s="33">
        <v>130</v>
      </c>
      <c r="CJ73" s="33">
        <v>20</v>
      </c>
      <c r="CK73" s="323">
        <v>20</v>
      </c>
      <c r="CL73" s="323">
        <v>20</v>
      </c>
      <c r="CM73" s="323">
        <f t="shared" si="51"/>
        <v>13.333333333333334</v>
      </c>
      <c r="CN73" s="323"/>
      <c r="CO73" s="323">
        <v>30</v>
      </c>
      <c r="CP73" s="1001">
        <v>9.1999999999999998E-2</v>
      </c>
      <c r="CS73" s="1912"/>
      <c r="CT73" s="1913"/>
    </row>
    <row r="74" spans="1:98" ht="15.75">
      <c r="A74" s="175"/>
      <c r="B74" s="1421"/>
      <c r="C74" s="1421"/>
      <c r="D74" s="175"/>
      <c r="E74" s="1421"/>
      <c r="F74" s="1421"/>
      <c r="G74" s="1421"/>
      <c r="H74" s="1421"/>
      <c r="I74" s="1421"/>
      <c r="J74" s="1421"/>
      <c r="K74" s="1421"/>
      <c r="L74" s="1421"/>
      <c r="M74" s="1421"/>
      <c r="N74" s="1421"/>
      <c r="O74" s="1421"/>
      <c r="P74" s="1421"/>
      <c r="Q74" s="1421"/>
      <c r="R74" s="1421"/>
      <c r="S74" s="1421"/>
      <c r="T74" s="1421"/>
      <c r="U74" s="1421"/>
      <c r="V74" s="1421"/>
      <c r="W74" s="1421"/>
      <c r="X74" s="1421"/>
      <c r="Y74" s="1421"/>
      <c r="Z74" s="1421"/>
      <c r="AA74" s="175"/>
      <c r="AB74" s="282"/>
      <c r="AC74" s="638"/>
      <c r="AD74" s="1421"/>
      <c r="AE74" s="1421"/>
      <c r="AF74" s="1421"/>
      <c r="AG74" s="1421"/>
      <c r="AH74" s="1421"/>
      <c r="AI74" s="1421"/>
      <c r="AJ74" s="1421"/>
      <c r="AK74" s="1421"/>
      <c r="AL74" s="1421"/>
      <c r="AM74" s="1421"/>
      <c r="AN74" s="1421"/>
      <c r="AO74" s="1881"/>
      <c r="AP74" s="1881"/>
      <c r="AQ74" s="1881"/>
      <c r="AR74" s="1878"/>
      <c r="AS74" s="1878"/>
      <c r="AT74" s="1878"/>
      <c r="AU74" s="1878"/>
      <c r="AV74" s="1878"/>
      <c r="AW74" s="1878"/>
      <c r="AX74" s="1878"/>
      <c r="AY74" s="1878"/>
      <c r="AZ74" s="1878"/>
      <c r="BA74" s="1878"/>
      <c r="BB74" s="1878"/>
      <c r="BC74" s="1878"/>
      <c r="BD74" s="1878"/>
      <c r="BE74" s="1878"/>
      <c r="BF74" s="1878"/>
      <c r="BG74" s="1878"/>
      <c r="BH74" s="1878"/>
      <c r="BI74" s="1878"/>
      <c r="BJ74" s="1878"/>
      <c r="BK74" s="1878"/>
      <c r="BL74" s="1878"/>
      <c r="BM74" s="1878"/>
      <c r="BN74" s="1878"/>
      <c r="BO74" s="1878"/>
      <c r="BP74" s="1878"/>
      <c r="BQ74" s="1878"/>
      <c r="BR74" s="1878"/>
      <c r="BS74" s="1878"/>
      <c r="BT74" s="1878"/>
      <c r="BU74" s="1878"/>
      <c r="BV74" s="1878"/>
      <c r="BW74" s="1878"/>
      <c r="BX74" s="1878"/>
      <c r="BY74" s="1878"/>
      <c r="BZ74" s="1878"/>
      <c r="CA74" s="1878"/>
      <c r="CB74" s="1878"/>
      <c r="CG74" s="2141" t="s">
        <v>1362</v>
      </c>
      <c r="CH74" s="33"/>
      <c r="CI74" s="33">
        <v>150</v>
      </c>
      <c r="CJ74" s="33">
        <v>20</v>
      </c>
      <c r="CK74" s="323">
        <v>20</v>
      </c>
      <c r="CL74" s="323">
        <v>20</v>
      </c>
      <c r="CM74" s="323">
        <f t="shared" si="51"/>
        <v>13.333333333333334</v>
      </c>
      <c r="CN74" s="323"/>
      <c r="CO74" s="323">
        <v>60</v>
      </c>
      <c r="CP74" s="1001">
        <v>9.1999999999999998E-2</v>
      </c>
      <c r="CS74" s="1912"/>
      <c r="CT74" s="1913"/>
    </row>
    <row r="75" spans="1:98" ht="15.75">
      <c r="A75" s="175"/>
      <c r="B75" s="1421"/>
      <c r="C75" s="1421"/>
      <c r="D75" s="175"/>
      <c r="E75" s="1421"/>
      <c r="F75" s="1421"/>
      <c r="G75" s="1421"/>
      <c r="H75" s="1421"/>
      <c r="I75" s="1421"/>
      <c r="J75" s="1421"/>
      <c r="K75" s="1421"/>
      <c r="L75" s="1421"/>
      <c r="M75" s="1421"/>
      <c r="N75" s="1421"/>
      <c r="O75" s="1421"/>
      <c r="P75" s="1421"/>
      <c r="Q75" s="1421"/>
      <c r="R75" s="1421"/>
      <c r="S75" s="1421"/>
      <c r="T75" s="1421"/>
      <c r="U75" s="1421"/>
      <c r="V75" s="1421"/>
      <c r="W75" s="1421"/>
      <c r="X75" s="1421"/>
      <c r="Y75" s="1421"/>
      <c r="Z75" s="1421"/>
      <c r="AA75" s="175"/>
      <c r="AB75" s="282"/>
      <c r="AC75" s="638"/>
      <c r="AD75" s="1421"/>
      <c r="AE75" s="1421"/>
      <c r="AF75" s="1421"/>
      <c r="AG75" s="1421"/>
      <c r="AH75" s="1421"/>
      <c r="AI75" s="1421"/>
      <c r="AJ75" s="1421"/>
      <c r="AK75" s="1421"/>
      <c r="AL75" s="1421"/>
      <c r="AM75" s="1421"/>
      <c r="AN75" s="1421"/>
      <c r="AO75" s="1881"/>
      <c r="AP75" s="1881"/>
      <c r="AQ75" s="1881"/>
      <c r="AR75" s="1878"/>
      <c r="AS75" s="1878"/>
      <c r="AT75" s="1878"/>
      <c r="AU75" s="1878"/>
      <c r="AV75" s="1878"/>
      <c r="AW75" s="1878"/>
      <c r="AX75" s="1878"/>
      <c r="AY75" s="1878"/>
      <c r="AZ75" s="1878"/>
      <c r="BA75" s="1878"/>
      <c r="BB75" s="1878"/>
      <c r="BC75" s="1878"/>
      <c r="BD75" s="1878"/>
      <c r="BE75" s="1878"/>
      <c r="BF75" s="1878"/>
      <c r="BG75" s="1878"/>
      <c r="BH75" s="1878"/>
      <c r="BI75" s="1878"/>
      <c r="BJ75" s="1878"/>
      <c r="BK75" s="1878"/>
      <c r="BL75" s="1878"/>
      <c r="BM75" s="1878"/>
      <c r="BN75" s="1878"/>
      <c r="BO75" s="1878"/>
      <c r="BP75" s="1878"/>
      <c r="BQ75" s="1878"/>
      <c r="BR75" s="1878"/>
      <c r="BS75" s="1878"/>
      <c r="BT75" s="1878"/>
      <c r="BU75" s="1878"/>
      <c r="BV75" s="1878"/>
      <c r="BW75" s="1878"/>
      <c r="BX75" s="1878"/>
      <c r="BY75" s="1878"/>
      <c r="BZ75" s="1878"/>
      <c r="CA75" s="1878"/>
      <c r="CB75" s="1878"/>
      <c r="CG75" s="2141" t="s">
        <v>1363</v>
      </c>
      <c r="CH75" s="33">
        <v>100</v>
      </c>
      <c r="CI75" s="33">
        <v>100</v>
      </c>
      <c r="CJ75" s="33">
        <v>20</v>
      </c>
      <c r="CK75" s="323">
        <v>20</v>
      </c>
      <c r="CL75" s="323">
        <v>20</v>
      </c>
      <c r="CM75" s="323">
        <f t="shared" si="51"/>
        <v>13.333333333333334</v>
      </c>
      <c r="CN75" s="323"/>
      <c r="CO75" s="323">
        <v>30</v>
      </c>
      <c r="CP75" s="1001">
        <v>9.1999999999999998E-2</v>
      </c>
      <c r="CS75" s="1912"/>
      <c r="CT75" s="1913"/>
    </row>
    <row r="76" spans="1:98" ht="15.75">
      <c r="A76" s="175"/>
      <c r="B76" s="1421"/>
      <c r="C76" s="1421"/>
      <c r="D76" s="175"/>
      <c r="E76" s="1421"/>
      <c r="F76" s="1421"/>
      <c r="G76" s="1421"/>
      <c r="H76" s="1421"/>
      <c r="I76" s="1421"/>
      <c r="J76" s="1421"/>
      <c r="K76" s="1421"/>
      <c r="L76" s="1421"/>
      <c r="M76" s="1421"/>
      <c r="N76" s="1421"/>
      <c r="O76" s="1421"/>
      <c r="P76" s="1421"/>
      <c r="Q76" s="1421"/>
      <c r="R76" s="1421"/>
      <c r="S76" s="1421"/>
      <c r="T76" s="1421"/>
      <c r="U76" s="1421"/>
      <c r="V76" s="1421"/>
      <c r="W76" s="1421"/>
      <c r="X76" s="1421"/>
      <c r="Y76" s="1421"/>
      <c r="Z76" s="1421"/>
      <c r="AA76" s="175"/>
      <c r="AB76" s="282"/>
      <c r="AC76" s="638"/>
      <c r="AD76" s="1421"/>
      <c r="AE76" s="1421"/>
      <c r="AF76" s="1421"/>
      <c r="AG76" s="1421"/>
      <c r="AH76" s="1421"/>
      <c r="AI76" s="1421"/>
      <c r="AJ76" s="1421"/>
      <c r="AK76" s="1421"/>
      <c r="AL76" s="1421"/>
      <c r="AM76" s="1421"/>
      <c r="AN76" s="1421"/>
      <c r="AO76" s="1881"/>
      <c r="AP76" s="1881"/>
      <c r="AQ76" s="1881"/>
      <c r="AR76" s="1878"/>
      <c r="AS76" s="1878"/>
      <c r="AT76" s="1878"/>
      <c r="AU76" s="1878"/>
      <c r="AV76" s="1878"/>
      <c r="AW76" s="1878"/>
      <c r="AX76" s="1878"/>
      <c r="AY76" s="1878"/>
      <c r="AZ76" s="1878"/>
      <c r="BA76" s="1878"/>
      <c r="BB76" s="1878"/>
      <c r="BC76" s="1878"/>
      <c r="BD76" s="1878"/>
      <c r="BE76" s="1878"/>
      <c r="BF76" s="1878"/>
      <c r="BG76" s="1878"/>
      <c r="BH76" s="1878"/>
      <c r="BI76" s="1878"/>
      <c r="BJ76" s="1878"/>
      <c r="BK76" s="1878"/>
      <c r="BL76" s="1878"/>
      <c r="BM76" s="1878"/>
      <c r="BN76" s="1878"/>
      <c r="BO76" s="1878"/>
      <c r="BP76" s="1878"/>
      <c r="BQ76" s="1878"/>
      <c r="BR76" s="1878"/>
      <c r="BS76" s="1878"/>
      <c r="BT76" s="1878"/>
      <c r="BU76" s="1878"/>
      <c r="BV76" s="1878"/>
      <c r="BW76" s="1878"/>
      <c r="BX76" s="1878"/>
      <c r="BY76" s="1878"/>
      <c r="BZ76" s="1878"/>
      <c r="CA76" s="1878"/>
      <c r="CB76" s="1878"/>
      <c r="CG76" s="2141" t="s">
        <v>1364</v>
      </c>
      <c r="CH76" s="33"/>
      <c r="CI76" s="33">
        <v>170</v>
      </c>
      <c r="CJ76" s="33">
        <v>20</v>
      </c>
      <c r="CK76" s="323">
        <v>20</v>
      </c>
      <c r="CL76" s="323">
        <v>20</v>
      </c>
      <c r="CM76" s="323">
        <f t="shared" si="51"/>
        <v>13.333333333333334</v>
      </c>
      <c r="CN76" s="323"/>
      <c r="CO76" s="323">
        <v>90</v>
      </c>
      <c r="CP76" s="1001">
        <v>9.1999999999999998E-2</v>
      </c>
      <c r="CS76" s="1910"/>
      <c r="CT76" s="1911"/>
    </row>
    <row r="77" spans="1:98" ht="15.75">
      <c r="A77" s="175"/>
      <c r="B77" s="1421"/>
      <c r="C77" s="1421"/>
      <c r="D77" s="175"/>
      <c r="E77" s="1421"/>
      <c r="F77" s="1421"/>
      <c r="G77" s="1421"/>
      <c r="H77" s="1421"/>
      <c r="I77" s="1421"/>
      <c r="J77" s="1421"/>
      <c r="K77" s="1421"/>
      <c r="L77" s="1421"/>
      <c r="M77" s="1421"/>
      <c r="N77" s="1421"/>
      <c r="O77" s="1421"/>
      <c r="P77" s="1421"/>
      <c r="Q77" s="1421"/>
      <c r="R77" s="1421"/>
      <c r="S77" s="1421"/>
      <c r="T77" s="1421"/>
      <c r="U77" s="1421"/>
      <c r="V77" s="1421"/>
      <c r="W77" s="1421"/>
      <c r="X77" s="1421"/>
      <c r="Y77" s="1421"/>
      <c r="Z77" s="1421"/>
      <c r="AA77" s="175"/>
      <c r="AB77" s="282"/>
      <c r="AC77" s="638"/>
      <c r="AD77" s="1421"/>
      <c r="AE77" s="1421"/>
      <c r="AF77" s="1421"/>
      <c r="AG77" s="1421"/>
      <c r="AH77" s="1421"/>
      <c r="AI77" s="1421"/>
      <c r="AJ77" s="1421"/>
      <c r="AK77" s="1421"/>
      <c r="AL77" s="1421"/>
      <c r="AM77" s="1421"/>
      <c r="AN77" s="1878"/>
      <c r="AO77" s="1881"/>
      <c r="AP77" s="1881"/>
      <c r="AQ77" s="1881"/>
      <c r="AR77" s="1878"/>
      <c r="AS77" s="1881"/>
      <c r="AT77" s="1881"/>
      <c r="AU77" s="1878"/>
      <c r="AV77" s="1878"/>
      <c r="AW77" s="1878"/>
      <c r="AX77" s="1878"/>
      <c r="AY77" s="1878"/>
      <c r="AZ77" s="1878"/>
      <c r="BA77" s="1878"/>
      <c r="BB77" s="1878"/>
      <c r="BC77" s="1878"/>
      <c r="BD77" s="1878"/>
      <c r="BE77" s="1878"/>
      <c r="BF77" s="1878"/>
      <c r="BG77" s="1878"/>
      <c r="BH77" s="1878"/>
      <c r="BI77" s="1878"/>
      <c r="BJ77" s="1878"/>
      <c r="BK77" s="1878"/>
      <c r="BL77" s="1878"/>
      <c r="BM77" s="1878"/>
      <c r="BN77" s="1878"/>
      <c r="BO77" s="1878"/>
      <c r="BP77" s="1878"/>
      <c r="BQ77" s="1878"/>
      <c r="BR77" s="1878"/>
      <c r="BS77" s="1878"/>
      <c r="BT77" s="1878"/>
      <c r="BU77" s="1878"/>
      <c r="BV77" s="1878"/>
      <c r="BW77" s="1878"/>
      <c r="BX77" s="1421"/>
      <c r="BY77" s="1421"/>
      <c r="BZ77" s="1421"/>
      <c r="CA77" s="1421"/>
      <c r="CB77" s="1421"/>
      <c r="CG77" s="2141" t="s">
        <v>1365</v>
      </c>
      <c r="CH77" s="33">
        <v>200</v>
      </c>
      <c r="CI77" s="33">
        <v>120</v>
      </c>
      <c r="CJ77" s="33">
        <v>20</v>
      </c>
      <c r="CK77" s="323">
        <v>20</v>
      </c>
      <c r="CL77" s="323">
        <v>20</v>
      </c>
      <c r="CM77" s="323">
        <f t="shared" si="51"/>
        <v>13.333333333333334</v>
      </c>
      <c r="CN77" s="323"/>
      <c r="CO77" s="323">
        <v>60</v>
      </c>
      <c r="CP77" s="1001">
        <v>9.1999999999999998E-2</v>
      </c>
      <c r="CS77" s="1912"/>
      <c r="CT77" s="1921"/>
    </row>
    <row r="78" spans="1:98" ht="15.75">
      <c r="A78" s="175"/>
      <c r="B78" s="1421"/>
      <c r="C78" s="1421"/>
      <c r="D78" s="175"/>
      <c r="E78" s="1421"/>
      <c r="F78" s="1421"/>
      <c r="G78" s="1421"/>
      <c r="H78" s="1421"/>
      <c r="I78" s="1421"/>
      <c r="J78" s="1421"/>
      <c r="K78" s="1421"/>
      <c r="L78" s="1421"/>
      <c r="M78" s="1421"/>
      <c r="N78" s="1421"/>
      <c r="O78" s="1421"/>
      <c r="P78" s="1421"/>
      <c r="Q78" s="1421"/>
      <c r="R78" s="1421"/>
      <c r="S78" s="1421"/>
      <c r="T78" s="1421"/>
      <c r="U78" s="1421"/>
      <c r="V78" s="1421"/>
      <c r="W78" s="1421"/>
      <c r="X78" s="1421"/>
      <c r="Y78" s="1421"/>
      <c r="Z78" s="1421"/>
      <c r="AA78" s="175"/>
      <c r="AB78" s="282"/>
      <c r="AC78" s="638"/>
      <c r="AD78" s="1421"/>
      <c r="AE78" s="1421"/>
      <c r="AF78" s="1878"/>
      <c r="AG78" s="1878"/>
      <c r="AH78" s="1421"/>
      <c r="AI78" s="1421"/>
      <c r="AJ78" s="1421"/>
      <c r="AK78" s="1421"/>
      <c r="AL78" s="1421"/>
      <c r="AM78" s="1421"/>
      <c r="AN78" s="1878"/>
      <c r="AO78" s="1881"/>
      <c r="AP78" s="1881"/>
      <c r="AQ78" s="1881"/>
      <c r="AR78" s="1878"/>
      <c r="AS78" s="1878"/>
      <c r="AT78" s="1878"/>
      <c r="AU78" s="1878"/>
      <c r="AV78" s="1878"/>
      <c r="AW78" s="1878"/>
      <c r="AX78" s="1878"/>
      <c r="AY78" s="1421"/>
      <c r="AZ78" s="1421"/>
      <c r="BA78" s="1421"/>
      <c r="BB78" s="1421"/>
      <c r="BC78" s="1421"/>
      <c r="BD78" s="1421"/>
      <c r="BE78" s="1421"/>
      <c r="BF78" s="1421"/>
      <c r="BG78" s="1421"/>
      <c r="BH78" s="1421"/>
      <c r="BI78" s="1421"/>
      <c r="BJ78" s="1421"/>
      <c r="BK78" s="1421"/>
      <c r="BL78" s="1421"/>
      <c r="BM78" s="1421"/>
      <c r="BN78" s="1421"/>
      <c r="BO78" s="1421"/>
      <c r="BP78" s="1421"/>
      <c r="BQ78" s="1421"/>
      <c r="BR78" s="1421"/>
      <c r="BS78" s="1421"/>
      <c r="BT78" s="1421"/>
      <c r="BU78" s="1421"/>
      <c r="BV78" s="1421"/>
      <c r="BW78" s="1421"/>
      <c r="BX78" s="1421"/>
      <c r="BY78" s="1421"/>
      <c r="BZ78" s="1421"/>
      <c r="CA78" s="1421"/>
      <c r="CB78" s="1421"/>
      <c r="CG78" s="2141" t="s">
        <v>1366</v>
      </c>
      <c r="CH78" s="33"/>
      <c r="CI78" s="33">
        <v>140</v>
      </c>
      <c r="CJ78" s="33">
        <v>20</v>
      </c>
      <c r="CK78" s="323">
        <v>20</v>
      </c>
      <c r="CL78" s="323">
        <v>20</v>
      </c>
      <c r="CM78" s="323">
        <f t="shared" si="51"/>
        <v>13.333333333333334</v>
      </c>
      <c r="CN78" s="323"/>
      <c r="CO78" s="323">
        <v>90</v>
      </c>
      <c r="CP78" s="1001">
        <v>9.1999999999999998E-2</v>
      </c>
      <c r="CS78" s="1912"/>
      <c r="CT78" s="1921"/>
    </row>
    <row r="79" spans="1:98" ht="15.75">
      <c r="A79" s="175"/>
      <c r="B79" s="1421"/>
      <c r="C79" s="1421"/>
      <c r="D79" s="175"/>
      <c r="E79" s="1421"/>
      <c r="F79" s="1421"/>
      <c r="G79" s="1421"/>
      <c r="H79" s="1421"/>
      <c r="I79" s="1421"/>
      <c r="J79" s="1421"/>
      <c r="K79" s="1421"/>
      <c r="L79" s="1421"/>
      <c r="M79" s="1421"/>
      <c r="N79" s="1421"/>
      <c r="O79" s="1421"/>
      <c r="P79" s="1421"/>
      <c r="Q79" s="1421"/>
      <c r="R79" s="1421"/>
      <c r="S79" s="1421"/>
      <c r="T79" s="1421"/>
      <c r="U79" s="1421"/>
      <c r="V79" s="1421"/>
      <c r="W79" s="1421"/>
      <c r="X79" s="1421"/>
      <c r="Y79" s="1421"/>
      <c r="Z79" s="1421"/>
      <c r="AA79" s="175"/>
      <c r="AB79" s="282"/>
      <c r="AC79" s="638"/>
      <c r="AD79" s="1421"/>
      <c r="AE79" s="1421"/>
      <c r="AF79" s="201"/>
      <c r="AG79" s="201"/>
      <c r="AH79" s="1421"/>
      <c r="AI79" s="1421"/>
      <c r="AJ79" s="1421"/>
      <c r="AK79" s="1421"/>
      <c r="AL79" s="1421"/>
      <c r="AM79" s="1421"/>
      <c r="AN79" s="1878"/>
      <c r="AO79" s="1881"/>
      <c r="AP79" s="1881"/>
      <c r="AQ79" s="1881"/>
      <c r="AR79" s="1878"/>
      <c r="AS79" s="1878"/>
      <c r="AT79" s="1878"/>
      <c r="AU79" s="1878"/>
      <c r="AV79" s="1878"/>
      <c r="AW79" s="1878"/>
      <c r="AX79" s="1878"/>
      <c r="AY79" s="1421"/>
      <c r="AZ79" s="1421"/>
      <c r="BA79" s="1421"/>
      <c r="BB79" s="1421"/>
      <c r="BC79" s="1421"/>
      <c r="BD79" s="1421"/>
      <c r="BE79" s="1421"/>
      <c r="BF79" s="1421"/>
      <c r="BG79" s="1421"/>
      <c r="BH79" s="1421"/>
      <c r="BI79" s="1421"/>
      <c r="BJ79" s="1421"/>
      <c r="BK79" s="1421"/>
      <c r="BL79" s="1421"/>
      <c r="BM79" s="1421"/>
      <c r="BN79" s="1421"/>
      <c r="BO79" s="1421"/>
      <c r="BP79" s="1421"/>
      <c r="BQ79" s="1421"/>
      <c r="BR79" s="1421"/>
      <c r="BS79" s="1421"/>
      <c r="BT79" s="1421"/>
      <c r="BU79" s="1421"/>
      <c r="BV79" s="1421"/>
      <c r="BW79" s="1421"/>
      <c r="BX79" s="1421"/>
      <c r="BY79" s="1421"/>
      <c r="BZ79" s="1421"/>
      <c r="CA79" s="1421"/>
      <c r="CB79" s="1421"/>
      <c r="CG79" s="2141" t="s">
        <v>1367</v>
      </c>
      <c r="CH79" s="33">
        <v>350</v>
      </c>
      <c r="CI79" s="33">
        <v>140</v>
      </c>
      <c r="CJ79" s="33">
        <v>20</v>
      </c>
      <c r="CK79" s="323">
        <v>20</v>
      </c>
      <c r="CL79" s="323">
        <v>20</v>
      </c>
      <c r="CM79" s="323">
        <f t="shared" si="51"/>
        <v>13.333333333333334</v>
      </c>
      <c r="CN79" s="323"/>
      <c r="CO79" s="323">
        <v>60</v>
      </c>
      <c r="CP79" s="1001">
        <v>9.1999999999999998E-2</v>
      </c>
      <c r="CS79" s="1912"/>
      <c r="CT79" s="1913"/>
    </row>
    <row r="80" spans="1:98" ht="15.75">
      <c r="A80" s="175"/>
      <c r="B80" s="1421"/>
      <c r="C80" s="1421"/>
      <c r="D80" s="175"/>
      <c r="E80" s="1421"/>
      <c r="F80" s="1421"/>
      <c r="G80" s="1421"/>
      <c r="H80" s="1421"/>
      <c r="I80" s="1421"/>
      <c r="J80" s="1421"/>
      <c r="K80" s="1421"/>
      <c r="L80" s="1421"/>
      <c r="M80" s="1421"/>
      <c r="N80" s="1421"/>
      <c r="O80" s="1421"/>
      <c r="P80" s="1421"/>
      <c r="Q80" s="1421"/>
      <c r="R80" s="1421"/>
      <c r="S80" s="1421"/>
      <c r="T80" s="1421"/>
      <c r="U80" s="1421"/>
      <c r="V80" s="1421"/>
      <c r="W80" s="1421"/>
      <c r="X80" s="1421"/>
      <c r="Y80" s="1421"/>
      <c r="Z80" s="1421"/>
      <c r="AA80" s="175"/>
      <c r="AB80" s="282"/>
      <c r="AC80" s="638"/>
      <c r="AD80" s="1421"/>
      <c r="AE80" s="1421"/>
      <c r="AF80" s="201"/>
      <c r="AG80" s="201"/>
      <c r="AH80" s="1421"/>
      <c r="AI80" s="1421"/>
      <c r="AJ80" s="1421"/>
      <c r="AK80" s="1421"/>
      <c r="AL80" s="1421"/>
      <c r="AM80" s="1421"/>
      <c r="AN80" s="1878"/>
      <c r="AO80" s="1878"/>
      <c r="AP80" s="1878"/>
      <c r="AQ80" s="1878"/>
      <c r="AR80" s="1878"/>
      <c r="AS80" s="1878"/>
      <c r="AT80" s="1878"/>
      <c r="AU80" s="1878"/>
      <c r="AV80" s="1878"/>
      <c r="AW80" s="1878"/>
      <c r="AX80" s="1878"/>
      <c r="AY80" s="1421"/>
      <c r="AZ80" s="1421"/>
      <c r="BA80" s="1421"/>
      <c r="BB80" s="1421"/>
      <c r="BC80" s="1421"/>
      <c r="BD80" s="1421"/>
      <c r="BE80" s="1421"/>
      <c r="BF80" s="1421"/>
      <c r="BG80" s="1421"/>
      <c r="BH80" s="1421"/>
      <c r="BI80" s="1421"/>
      <c r="BJ80" s="1421"/>
      <c r="BK80" s="1421"/>
      <c r="BL80" s="1421"/>
      <c r="BM80" s="1421"/>
      <c r="BN80" s="1421"/>
      <c r="BO80" s="1421"/>
      <c r="BP80" s="1421"/>
      <c r="BQ80" s="1421"/>
      <c r="BR80" s="1421"/>
      <c r="BS80" s="1421"/>
      <c r="BT80" s="1421"/>
      <c r="BU80" s="1421"/>
      <c r="BV80" s="1421"/>
      <c r="BW80" s="1421"/>
      <c r="BX80" s="1878"/>
      <c r="BY80" s="1878"/>
      <c r="BZ80" s="1878"/>
      <c r="CA80" s="1878"/>
      <c r="CB80" s="1878"/>
      <c r="CG80" s="2141" t="s">
        <v>1288</v>
      </c>
      <c r="CH80" s="33">
        <v>250</v>
      </c>
      <c r="CI80" s="33">
        <v>310</v>
      </c>
      <c r="CJ80" s="33">
        <v>20</v>
      </c>
      <c r="CK80" s="323">
        <v>40</v>
      </c>
      <c r="CL80" s="323">
        <v>40</v>
      </c>
      <c r="CM80" s="323">
        <f t="shared" si="51"/>
        <v>26.666666666666668</v>
      </c>
      <c r="CN80" s="323">
        <v>130</v>
      </c>
      <c r="CO80" s="323">
        <v>90</v>
      </c>
      <c r="CP80" s="1001">
        <v>0.19500000000000001</v>
      </c>
      <c r="CS80" s="1912"/>
      <c r="CT80" s="1913"/>
    </row>
    <row r="81" spans="1:98">
      <c r="A81" s="175"/>
      <c r="B81" s="1421"/>
      <c r="C81" s="1421"/>
      <c r="D81" s="175"/>
      <c r="E81" s="1421"/>
      <c r="F81" s="1421"/>
      <c r="G81" s="1421"/>
      <c r="H81" s="1421"/>
      <c r="I81" s="1421"/>
      <c r="J81" s="1421"/>
      <c r="K81" s="1421"/>
      <c r="L81" s="1421"/>
      <c r="M81" s="1421"/>
      <c r="N81" s="1421"/>
      <c r="O81" s="1421"/>
      <c r="P81" s="1421"/>
      <c r="Q81" s="1421"/>
      <c r="R81" s="1421"/>
      <c r="S81" s="1421"/>
      <c r="T81" s="1421"/>
      <c r="U81" s="1421"/>
      <c r="V81" s="1421"/>
      <c r="W81" s="1421"/>
      <c r="X81" s="1421"/>
      <c r="Y81" s="1421"/>
      <c r="Z81" s="1421"/>
      <c r="AA81" s="175"/>
      <c r="AB81" s="282"/>
      <c r="AC81" s="638"/>
      <c r="AD81" s="1421"/>
      <c r="AE81" s="1421"/>
      <c r="AF81" s="1878"/>
      <c r="AG81" s="1878"/>
      <c r="AH81" s="1421"/>
      <c r="AI81" s="1421"/>
      <c r="AJ81" s="1421"/>
      <c r="AK81" s="1421"/>
      <c r="AL81" s="1421"/>
      <c r="AM81" s="1421"/>
      <c r="AN81" s="1878"/>
      <c r="AO81" s="1421"/>
      <c r="AP81" s="1421"/>
      <c r="AQ81" s="1421"/>
      <c r="AR81" s="1421"/>
      <c r="AS81" s="1878"/>
      <c r="AT81" s="1878"/>
      <c r="AU81" s="1878"/>
      <c r="AV81" s="1878"/>
      <c r="AW81" s="1878"/>
      <c r="AX81" s="1878"/>
      <c r="AY81" s="1878"/>
      <c r="AZ81" s="1878"/>
      <c r="BA81" s="1878"/>
      <c r="BB81" s="1878"/>
      <c r="BC81" s="1878"/>
      <c r="BD81" s="1878"/>
      <c r="BE81" s="1878"/>
      <c r="BF81" s="1878"/>
      <c r="BG81" s="1878"/>
      <c r="BH81" s="1878"/>
      <c r="BI81" s="1878"/>
      <c r="BJ81" s="1878"/>
      <c r="BK81" s="1878"/>
      <c r="BL81" s="1878"/>
      <c r="BM81" s="1878"/>
      <c r="BN81" s="1878"/>
      <c r="BO81" s="1878"/>
      <c r="BP81" s="1878"/>
      <c r="BQ81" s="1878"/>
      <c r="BR81" s="1878"/>
      <c r="BS81" s="1878"/>
      <c r="BT81" s="1878"/>
      <c r="BU81" s="1878"/>
      <c r="BV81" s="1878"/>
      <c r="BW81" s="1878"/>
      <c r="BX81" s="1878"/>
      <c r="BY81" s="1878"/>
      <c r="BZ81" s="1878"/>
      <c r="CA81" s="1878"/>
      <c r="CB81" s="1878"/>
      <c r="CG81" s="2159" t="s">
        <v>1663</v>
      </c>
      <c r="CH81" s="33">
        <v>80</v>
      </c>
      <c r="CI81" s="33">
        <v>65</v>
      </c>
      <c r="CJ81" s="33">
        <v>10</v>
      </c>
      <c r="CK81" s="2153">
        <v>7</v>
      </c>
      <c r="CL81" s="2153">
        <v>7</v>
      </c>
      <c r="CM81" s="2152">
        <v>0</v>
      </c>
      <c r="CN81" s="2152">
        <v>0</v>
      </c>
      <c r="CO81" s="2152">
        <v>30</v>
      </c>
      <c r="CP81" s="2155">
        <v>0.09</v>
      </c>
      <c r="CS81" s="1912"/>
      <c r="CT81" s="1913"/>
    </row>
    <row r="82" spans="1:98">
      <c r="A82" s="175"/>
      <c r="B82" s="1421"/>
      <c r="C82" s="1421"/>
      <c r="D82" s="175"/>
      <c r="E82" s="1421"/>
      <c r="F82" s="1421"/>
      <c r="G82" s="1421"/>
      <c r="H82" s="1421"/>
      <c r="I82" s="1421"/>
      <c r="J82" s="1421"/>
      <c r="K82" s="1421"/>
      <c r="L82" s="1421"/>
      <c r="M82" s="1421"/>
      <c r="N82" s="1421"/>
      <c r="O82" s="1421"/>
      <c r="P82" s="1421"/>
      <c r="Q82" s="1421"/>
      <c r="R82" s="1421"/>
      <c r="S82" s="1421"/>
      <c r="T82" s="1421"/>
      <c r="U82" s="1421"/>
      <c r="V82" s="1421"/>
      <c r="W82" s="1421"/>
      <c r="X82" s="1421"/>
      <c r="Y82" s="1421"/>
      <c r="Z82" s="1421"/>
      <c r="AA82" s="175"/>
      <c r="AB82" s="282"/>
      <c r="AC82" s="638"/>
      <c r="AD82" s="1421"/>
      <c r="AE82" s="1421"/>
      <c r="AF82" s="1878"/>
      <c r="AG82" s="1878"/>
      <c r="AH82" s="1421"/>
      <c r="AI82" s="1421"/>
      <c r="AJ82" s="1421"/>
      <c r="AK82" s="1421"/>
      <c r="AL82" s="1421"/>
      <c r="AM82" s="1421"/>
      <c r="AN82" s="1421"/>
      <c r="AO82" s="1421"/>
      <c r="AP82" s="1421"/>
      <c r="AQ82" s="1421"/>
      <c r="AR82" s="1421"/>
      <c r="AS82" s="1878"/>
      <c r="AT82" s="1878"/>
      <c r="AU82" s="1878"/>
      <c r="AV82" s="1878"/>
      <c r="AW82" s="1878"/>
      <c r="AX82" s="1878"/>
      <c r="AY82" s="1878"/>
      <c r="AZ82" s="1878"/>
      <c r="BA82" s="1878"/>
      <c r="BB82" s="1878"/>
      <c r="BC82" s="1878"/>
      <c r="BD82" s="1878"/>
      <c r="BE82" s="1878"/>
      <c r="BF82" s="1878"/>
      <c r="BG82" s="1878"/>
      <c r="BH82" s="1878"/>
      <c r="BI82" s="1878"/>
      <c r="BJ82" s="1878"/>
      <c r="BK82" s="1878"/>
      <c r="BL82" s="1878"/>
      <c r="BM82" s="1878"/>
      <c r="BN82" s="1878"/>
      <c r="BO82" s="1878"/>
      <c r="BP82" s="1878"/>
      <c r="BQ82" s="1878"/>
      <c r="BR82" s="1878"/>
      <c r="BS82" s="1878"/>
      <c r="BT82" s="1878"/>
      <c r="BU82" s="1878"/>
      <c r="BV82" s="1878"/>
      <c r="BW82" s="1878"/>
      <c r="BX82" s="1878"/>
      <c r="BY82" s="1878"/>
      <c r="BZ82" s="1878"/>
      <c r="CA82" s="1878"/>
      <c r="CB82" s="1878"/>
      <c r="CG82" s="2141" t="s">
        <v>1368</v>
      </c>
      <c r="CH82" s="33">
        <v>600</v>
      </c>
      <c r="CI82" s="33">
        <v>250</v>
      </c>
      <c r="CJ82" s="33">
        <v>20</v>
      </c>
      <c r="CK82" s="323">
        <v>20</v>
      </c>
      <c r="CL82" s="323">
        <v>20</v>
      </c>
      <c r="CM82" s="323">
        <f>CL82*2/3</f>
        <v>13.333333333333334</v>
      </c>
      <c r="CN82" s="323">
        <v>50</v>
      </c>
      <c r="CO82" s="323">
        <v>60</v>
      </c>
      <c r="CP82" s="1001">
        <v>0.115</v>
      </c>
      <c r="CS82" s="1912"/>
      <c r="CT82" s="1913"/>
    </row>
    <row r="83" spans="1:98">
      <c r="A83" s="175"/>
      <c r="B83" s="1421"/>
      <c r="C83" s="1421"/>
      <c r="D83" s="175"/>
      <c r="E83" s="1421"/>
      <c r="F83" s="1421"/>
      <c r="G83" s="1421"/>
      <c r="H83" s="1421"/>
      <c r="I83" s="1421"/>
      <c r="J83" s="1421"/>
      <c r="K83" s="1421"/>
      <c r="L83" s="1421"/>
      <c r="M83" s="1421"/>
      <c r="N83" s="1421"/>
      <c r="O83" s="1421"/>
      <c r="P83" s="1421"/>
      <c r="Q83" s="1421"/>
      <c r="R83" s="1421"/>
      <c r="S83" s="1421"/>
      <c r="T83" s="1421"/>
      <c r="U83" s="1421"/>
      <c r="V83" s="1421"/>
      <c r="W83" s="1421"/>
      <c r="X83" s="1421"/>
      <c r="Y83" s="1421"/>
      <c r="Z83" s="1421"/>
      <c r="AA83" s="175"/>
      <c r="AB83" s="282"/>
      <c r="AC83" s="638"/>
      <c r="AD83" s="1421"/>
      <c r="AE83" s="1421"/>
      <c r="AF83" s="1421"/>
      <c r="AG83" s="1421"/>
      <c r="AH83" s="1421"/>
      <c r="AI83" s="1421"/>
      <c r="AJ83" s="1421"/>
      <c r="AK83" s="1421"/>
      <c r="AL83" s="1421"/>
      <c r="AM83" s="1421"/>
      <c r="AN83" s="1421"/>
      <c r="AO83" s="1421"/>
      <c r="AP83" s="1421"/>
      <c r="AQ83" s="1421"/>
      <c r="AR83" s="1421"/>
      <c r="AS83" s="1878"/>
      <c r="AT83" s="1878"/>
      <c r="AU83" s="1878"/>
      <c r="AV83" s="1878"/>
      <c r="AW83" s="1878"/>
      <c r="AX83" s="1878"/>
      <c r="AY83" s="1878"/>
      <c r="AZ83" s="1878"/>
      <c r="BA83" s="1878"/>
      <c r="BB83" s="1878"/>
      <c r="BC83" s="1878"/>
      <c r="BD83" s="1878"/>
      <c r="BE83" s="1878"/>
      <c r="BF83" s="1878"/>
      <c r="BG83" s="1878"/>
      <c r="BH83" s="1878"/>
      <c r="BI83" s="1878"/>
      <c r="BJ83" s="1878"/>
      <c r="BK83" s="1878"/>
      <c r="BL83" s="1878"/>
      <c r="BM83" s="1878"/>
      <c r="BN83" s="1878"/>
      <c r="BO83" s="1878"/>
      <c r="BP83" s="1878"/>
      <c r="BQ83" s="1878"/>
      <c r="BR83" s="1878"/>
      <c r="BS83" s="1878"/>
      <c r="BT83" s="1878"/>
      <c r="BU83" s="1878"/>
      <c r="BV83" s="1878"/>
      <c r="BW83" s="1878"/>
      <c r="BX83" s="1421"/>
      <c r="BY83" s="1421"/>
      <c r="BZ83" s="1421"/>
      <c r="CA83" s="1421"/>
      <c r="CB83" s="1421"/>
      <c r="CG83" s="2141" t="s">
        <v>1664</v>
      </c>
      <c r="CH83" s="33">
        <v>400</v>
      </c>
      <c r="CI83" s="33">
        <v>150</v>
      </c>
      <c r="CJ83" s="33">
        <v>20</v>
      </c>
      <c r="CK83" s="323">
        <v>20</v>
      </c>
      <c r="CL83" s="323">
        <v>20</v>
      </c>
      <c r="CM83" s="323">
        <v>16.666666666666668</v>
      </c>
      <c r="CN83" s="323">
        <v>25</v>
      </c>
      <c r="CO83" s="323">
        <v>60</v>
      </c>
      <c r="CP83" s="2146">
        <v>0.115</v>
      </c>
      <c r="CS83" s="1912"/>
      <c r="CT83" s="1913"/>
    </row>
    <row r="84" spans="1:98">
      <c r="A84" s="175"/>
      <c r="B84" s="1421"/>
      <c r="C84" s="1421"/>
      <c r="D84" s="175"/>
      <c r="E84" s="1421"/>
      <c r="F84" s="1421"/>
      <c r="G84" s="1421"/>
      <c r="H84" s="1421"/>
      <c r="I84" s="1421"/>
      <c r="J84" s="1421"/>
      <c r="K84" s="1421"/>
      <c r="L84" s="1421"/>
      <c r="M84" s="1421"/>
      <c r="N84" s="1421"/>
      <c r="O84" s="1421"/>
      <c r="P84" s="1421"/>
      <c r="Q84" s="1421"/>
      <c r="R84" s="1421"/>
      <c r="S84" s="1421"/>
      <c r="T84" s="1421"/>
      <c r="U84" s="1421"/>
      <c r="V84" s="1421"/>
      <c r="W84" s="1421"/>
      <c r="X84" s="1421"/>
      <c r="Y84" s="1421"/>
      <c r="Z84" s="1421"/>
      <c r="AA84" s="175"/>
      <c r="AB84" s="282"/>
      <c r="AC84" s="638"/>
      <c r="AD84" s="1421"/>
      <c r="AE84" s="1421"/>
      <c r="AF84" s="1421"/>
      <c r="AG84" s="1421"/>
      <c r="AH84" s="1421"/>
      <c r="AI84" s="1421"/>
      <c r="AJ84" s="1421"/>
      <c r="AK84" s="1421"/>
      <c r="AL84" s="1421"/>
      <c r="AM84" s="1421"/>
      <c r="AN84" s="1421"/>
      <c r="AO84" s="1421"/>
      <c r="AP84" s="1421"/>
      <c r="AQ84" s="1421"/>
      <c r="AR84" s="1421"/>
      <c r="AS84" s="1878"/>
      <c r="AT84" s="1878"/>
      <c r="AU84" s="1878"/>
      <c r="AV84" s="1878"/>
      <c r="AW84" s="1878"/>
      <c r="AX84" s="1878"/>
      <c r="AY84" s="1421"/>
      <c r="AZ84" s="1421"/>
      <c r="BA84" s="1421"/>
      <c r="BB84" s="1421"/>
      <c r="BC84" s="1421"/>
      <c r="BD84" s="1421"/>
      <c r="BE84" s="1421"/>
      <c r="BF84" s="1421"/>
      <c r="BG84" s="1421"/>
      <c r="BH84" s="1421"/>
      <c r="BI84" s="1421"/>
      <c r="BJ84" s="1421"/>
      <c r="BK84" s="1421"/>
      <c r="BL84" s="1421"/>
      <c r="BM84" s="1421"/>
      <c r="BN84" s="1421"/>
      <c r="BO84" s="1421"/>
      <c r="BP84" s="1421"/>
      <c r="BQ84" s="1421"/>
      <c r="BR84" s="1421"/>
      <c r="BS84" s="1421"/>
      <c r="BT84" s="1421"/>
      <c r="BU84" s="1421"/>
      <c r="BV84" s="1421"/>
      <c r="BW84" s="1421"/>
      <c r="BX84" s="1421"/>
      <c r="BY84" s="1421"/>
      <c r="BZ84" s="1421"/>
      <c r="CA84" s="1421"/>
      <c r="CB84" s="1421"/>
      <c r="CG84" s="2141" t="s">
        <v>1665</v>
      </c>
      <c r="CH84" s="33">
        <v>500</v>
      </c>
      <c r="CI84" s="33">
        <v>140</v>
      </c>
      <c r="CJ84" s="33">
        <v>20</v>
      </c>
      <c r="CK84" s="323">
        <v>20</v>
      </c>
      <c r="CL84" s="323">
        <v>20</v>
      </c>
      <c r="CM84" s="323">
        <v>10</v>
      </c>
      <c r="CN84" s="323">
        <v>15</v>
      </c>
      <c r="CO84" s="323">
        <v>60</v>
      </c>
      <c r="CP84" s="2146">
        <v>0.1</v>
      </c>
      <c r="CS84" s="1912"/>
      <c r="CT84" s="1913"/>
    </row>
    <row r="85" spans="1:98">
      <c r="A85" s="175"/>
      <c r="B85" s="1421"/>
      <c r="C85" s="1421"/>
      <c r="D85" s="175"/>
      <c r="E85" s="1421"/>
      <c r="F85" s="1421"/>
      <c r="G85" s="1421"/>
      <c r="H85" s="1421"/>
      <c r="I85" s="1421"/>
      <c r="J85" s="1421"/>
      <c r="K85" s="1421"/>
      <c r="L85" s="1421"/>
      <c r="M85" s="1421"/>
      <c r="N85" s="1421"/>
      <c r="O85" s="1421"/>
      <c r="P85" s="1421"/>
      <c r="Q85" s="1421"/>
      <c r="R85" s="1421"/>
      <c r="S85" s="1421"/>
      <c r="T85" s="1421"/>
      <c r="U85" s="1421"/>
      <c r="V85" s="1421"/>
      <c r="W85" s="1421"/>
      <c r="X85" s="1421"/>
      <c r="Y85" s="1421"/>
      <c r="Z85" s="1421"/>
      <c r="AA85" s="175"/>
      <c r="AB85" s="282"/>
      <c r="AC85" s="638"/>
      <c r="AD85" s="1421"/>
      <c r="AE85" s="1421"/>
      <c r="AF85" s="1421"/>
      <c r="AG85" s="1421"/>
      <c r="AH85" s="1421"/>
      <c r="AI85" s="1421"/>
      <c r="AJ85" s="1421"/>
      <c r="AK85" s="1421"/>
      <c r="AL85" s="1421"/>
      <c r="AM85" s="1421"/>
      <c r="AN85" s="1421"/>
      <c r="AO85" s="1421"/>
      <c r="AP85" s="1421"/>
      <c r="AQ85" s="1421"/>
      <c r="AR85" s="1421"/>
      <c r="AS85" s="1878"/>
      <c r="AT85" s="1878"/>
      <c r="AU85" s="1878"/>
      <c r="AV85" s="1878"/>
      <c r="AW85" s="1878"/>
      <c r="AX85" s="1878"/>
      <c r="AY85" s="1421"/>
      <c r="AZ85" s="1421"/>
      <c r="BA85" s="1421"/>
      <c r="BB85" s="1421"/>
      <c r="BC85" s="1421"/>
      <c r="BD85" s="1421"/>
      <c r="BE85" s="1421"/>
      <c r="BF85" s="1421"/>
      <c r="BG85" s="1421"/>
      <c r="BH85" s="1421"/>
      <c r="BI85" s="1421"/>
      <c r="BJ85" s="1421"/>
      <c r="BK85" s="1421"/>
      <c r="BL85" s="1421"/>
      <c r="BM85" s="1421"/>
      <c r="BN85" s="1421"/>
      <c r="BO85" s="1421"/>
      <c r="BP85" s="1421"/>
      <c r="BQ85" s="1421"/>
      <c r="BR85" s="1421"/>
      <c r="BS85" s="1421"/>
      <c r="BT85" s="1421"/>
      <c r="BU85" s="1421"/>
      <c r="BV85" s="1421"/>
      <c r="BW85" s="1421"/>
      <c r="BX85" s="1421"/>
      <c r="BY85" s="1421"/>
      <c r="BZ85" s="1421"/>
      <c r="CA85" s="1421"/>
      <c r="CB85" s="1421"/>
      <c r="CG85" s="2141" t="s">
        <v>1289</v>
      </c>
      <c r="CH85" s="33">
        <v>600</v>
      </c>
      <c r="CI85" s="33">
        <v>260</v>
      </c>
      <c r="CJ85" s="33">
        <v>20</v>
      </c>
      <c r="CK85" s="323">
        <v>40</v>
      </c>
      <c r="CL85" s="323">
        <v>40</v>
      </c>
      <c r="CM85" s="323">
        <f t="shared" ref="CM85:CM91" si="52">CL85*2/3</f>
        <v>26.666666666666668</v>
      </c>
      <c r="CN85" s="323">
        <v>60</v>
      </c>
      <c r="CO85" s="323">
        <v>60</v>
      </c>
      <c r="CP85" s="1001">
        <v>0.08</v>
      </c>
      <c r="CS85" s="1912"/>
      <c r="CT85" s="1913"/>
    </row>
    <row r="86" spans="1:98">
      <c r="A86" s="175"/>
      <c r="B86" s="1421"/>
      <c r="C86" s="1421"/>
      <c r="D86" s="175"/>
      <c r="E86" s="1421"/>
      <c r="F86" s="1421"/>
      <c r="G86" s="1421"/>
      <c r="H86" s="1421"/>
      <c r="I86" s="1421"/>
      <c r="J86" s="1421"/>
      <c r="K86" s="1421"/>
      <c r="L86" s="1421"/>
      <c r="M86" s="1421"/>
      <c r="N86" s="1421"/>
      <c r="O86" s="1421"/>
      <c r="P86" s="1421"/>
      <c r="Q86" s="1421"/>
      <c r="R86" s="1421"/>
      <c r="S86" s="1421"/>
      <c r="T86" s="1421"/>
      <c r="U86" s="1421"/>
      <c r="V86" s="1421"/>
      <c r="W86" s="1421"/>
      <c r="X86" s="1421"/>
      <c r="Y86" s="1421"/>
      <c r="Z86" s="1421"/>
      <c r="AA86" s="175"/>
      <c r="AB86" s="282"/>
      <c r="AC86" s="638"/>
      <c r="AD86" s="1421"/>
      <c r="AE86" s="1421"/>
      <c r="AF86" s="1421"/>
      <c r="AG86" s="1421"/>
      <c r="AH86" s="1421"/>
      <c r="AI86" s="1421"/>
      <c r="AJ86" s="1421"/>
      <c r="AK86" s="1421"/>
      <c r="AL86" s="1421"/>
      <c r="AM86" s="1421"/>
      <c r="AN86" s="1421"/>
      <c r="AO86" s="1421"/>
      <c r="AP86" s="1421"/>
      <c r="AQ86" s="1421"/>
      <c r="AR86" s="1421"/>
      <c r="AS86" s="1878"/>
      <c r="AT86" s="1878"/>
      <c r="AU86" s="1878"/>
      <c r="AV86" s="1878"/>
      <c r="AW86" s="1878"/>
      <c r="AX86" s="1878"/>
      <c r="AY86" s="1421"/>
      <c r="AZ86" s="1421"/>
      <c r="BA86" s="1421"/>
      <c r="BB86" s="1421"/>
      <c r="BC86" s="1421"/>
      <c r="BD86" s="1421"/>
      <c r="BE86" s="1421"/>
      <c r="BF86" s="1421"/>
      <c r="BG86" s="1421"/>
      <c r="BH86" s="1421"/>
      <c r="BI86" s="1421"/>
      <c r="BJ86" s="1421"/>
      <c r="BK86" s="1421"/>
      <c r="BL86" s="1421"/>
      <c r="BM86" s="1421"/>
      <c r="BN86" s="1421"/>
      <c r="BO86" s="1421"/>
      <c r="BP86" s="1421"/>
      <c r="BQ86" s="1421"/>
      <c r="BR86" s="1421"/>
      <c r="BS86" s="1421"/>
      <c r="BT86" s="1421"/>
      <c r="BU86" s="1421"/>
      <c r="BV86" s="1421"/>
      <c r="BW86" s="1421"/>
      <c r="BX86" s="1421"/>
      <c r="BY86" s="1421"/>
      <c r="BZ86" s="1421"/>
      <c r="CA86" s="1421"/>
      <c r="CB86" s="1421"/>
      <c r="CG86" s="2141" t="s">
        <v>1369</v>
      </c>
      <c r="CH86" s="33">
        <v>175</v>
      </c>
      <c r="CI86" s="33">
        <v>150</v>
      </c>
      <c r="CJ86" s="33">
        <v>20</v>
      </c>
      <c r="CK86" s="323">
        <v>20</v>
      </c>
      <c r="CL86" s="323">
        <v>20</v>
      </c>
      <c r="CM86" s="323">
        <f t="shared" si="52"/>
        <v>13.333333333333334</v>
      </c>
      <c r="CN86" s="323">
        <v>20</v>
      </c>
      <c r="CO86" s="323">
        <v>30</v>
      </c>
      <c r="CP86" s="1001">
        <v>0.10299999999999999</v>
      </c>
      <c r="CS86" s="1912"/>
      <c r="CT86" s="1913"/>
    </row>
    <row r="87" spans="1:98">
      <c r="A87" s="175"/>
      <c r="B87" s="1421"/>
      <c r="C87" s="1421"/>
      <c r="D87" s="175"/>
      <c r="E87" s="1421"/>
      <c r="F87" s="1421"/>
      <c r="G87" s="1421"/>
      <c r="H87" s="1421"/>
      <c r="I87" s="1421"/>
      <c r="J87" s="1421"/>
      <c r="K87" s="1421"/>
      <c r="L87" s="1421"/>
      <c r="M87" s="1421"/>
      <c r="N87" s="1421"/>
      <c r="O87" s="1421"/>
      <c r="P87" s="1421"/>
      <c r="Q87" s="1421"/>
      <c r="R87" s="1421"/>
      <c r="S87" s="1421"/>
      <c r="T87" s="1421"/>
      <c r="U87" s="1421"/>
      <c r="V87" s="1421"/>
      <c r="W87" s="1421"/>
      <c r="X87" s="1421"/>
      <c r="Y87" s="1421"/>
      <c r="Z87" s="1421"/>
      <c r="AA87" s="175"/>
      <c r="AB87" s="282"/>
      <c r="AC87" s="638"/>
      <c r="AD87" s="1421"/>
      <c r="AE87" s="1421"/>
      <c r="AF87" s="1421"/>
      <c r="AG87" s="1421"/>
      <c r="AH87" s="1421"/>
      <c r="AI87" s="1421"/>
      <c r="AJ87" s="1421"/>
      <c r="AK87" s="1421"/>
      <c r="AL87" s="1421"/>
      <c r="AM87" s="1421"/>
      <c r="AN87" s="1421"/>
      <c r="AO87" s="1421"/>
      <c r="AP87" s="1421"/>
      <c r="AQ87" s="1421"/>
      <c r="AR87" s="1421"/>
      <c r="AS87" s="1878"/>
      <c r="AT87" s="1878"/>
      <c r="AU87" s="1878"/>
      <c r="AV87" s="1878"/>
      <c r="AW87" s="1878"/>
      <c r="AX87" s="1878"/>
      <c r="AY87" s="1421"/>
      <c r="AZ87" s="1421"/>
      <c r="BA87" s="1421"/>
      <c r="BB87" s="1421"/>
      <c r="BC87" s="1421"/>
      <c r="BD87" s="1421"/>
      <c r="BE87" s="1421"/>
      <c r="BF87" s="1421"/>
      <c r="BG87" s="1421"/>
      <c r="BH87" s="1421"/>
      <c r="BI87" s="1421"/>
      <c r="BJ87" s="1421"/>
      <c r="BK87" s="1421"/>
      <c r="BL87" s="1421"/>
      <c r="BM87" s="1421"/>
      <c r="BN87" s="1421"/>
      <c r="BO87" s="1421"/>
      <c r="BP87" s="1421"/>
      <c r="BQ87" s="1421"/>
      <c r="BR87" s="1421"/>
      <c r="BS87" s="1421"/>
      <c r="BT87" s="1421"/>
      <c r="BU87" s="1421"/>
      <c r="BV87" s="1421"/>
      <c r="BW87" s="1421"/>
      <c r="BX87" s="1421"/>
      <c r="BY87" s="1421"/>
      <c r="BZ87" s="1421"/>
      <c r="CA87" s="1421"/>
      <c r="CB87" s="1421"/>
      <c r="CG87" s="2141" t="s">
        <v>1370</v>
      </c>
      <c r="CH87" s="33">
        <v>300</v>
      </c>
      <c r="CI87" s="33">
        <v>210</v>
      </c>
      <c r="CJ87" s="33">
        <v>20</v>
      </c>
      <c r="CK87" s="323">
        <v>20</v>
      </c>
      <c r="CL87" s="323">
        <v>20</v>
      </c>
      <c r="CM87" s="323">
        <f t="shared" si="52"/>
        <v>13.333333333333334</v>
      </c>
      <c r="CN87" s="323">
        <v>20</v>
      </c>
      <c r="CO87" s="323">
        <v>30</v>
      </c>
      <c r="CP87" s="1001">
        <v>0.10299999999999999</v>
      </c>
      <c r="CS87" s="1912"/>
      <c r="CT87" s="1921"/>
    </row>
    <row r="88" spans="1:98">
      <c r="A88" s="175"/>
      <c r="B88" s="1421"/>
      <c r="C88" s="1421"/>
      <c r="D88" s="175"/>
      <c r="E88" s="1421"/>
      <c r="F88" s="1421"/>
      <c r="G88" s="1421"/>
      <c r="H88" s="1421"/>
      <c r="I88" s="1421"/>
      <c r="J88" s="1421"/>
      <c r="K88" s="1421"/>
      <c r="L88" s="1421"/>
      <c r="M88" s="1421"/>
      <c r="N88" s="1421"/>
      <c r="O88" s="1421"/>
      <c r="P88" s="1421"/>
      <c r="Q88" s="1421"/>
      <c r="R88" s="1421"/>
      <c r="S88" s="1421"/>
      <c r="T88" s="1421"/>
      <c r="U88" s="1421"/>
      <c r="V88" s="1421"/>
      <c r="W88" s="1421"/>
      <c r="X88" s="1421"/>
      <c r="Y88" s="1421"/>
      <c r="Z88" s="1421"/>
      <c r="AA88" s="175"/>
      <c r="AB88" s="282"/>
      <c r="AC88" s="638"/>
      <c r="AD88" s="1421"/>
      <c r="AE88" s="1421"/>
      <c r="AF88" s="1421"/>
      <c r="AG88" s="1421"/>
      <c r="AH88" s="1421"/>
      <c r="AI88" s="1421"/>
      <c r="AJ88" s="1421"/>
      <c r="AK88" s="1421"/>
      <c r="AL88" s="1421"/>
      <c r="AM88" s="1421"/>
      <c r="AN88" s="1421"/>
      <c r="AO88" s="1421"/>
      <c r="AP88" s="1421"/>
      <c r="AQ88" s="1421"/>
      <c r="AR88" s="1421"/>
      <c r="AS88" s="1878"/>
      <c r="AT88" s="1878"/>
      <c r="AU88" s="1878"/>
      <c r="AV88" s="1878"/>
      <c r="AW88" s="1878"/>
      <c r="AX88" s="1878"/>
      <c r="AY88" s="1421"/>
      <c r="AZ88" s="1421"/>
      <c r="BA88" s="1421"/>
      <c r="BB88" s="1421"/>
      <c r="BC88" s="1421"/>
      <c r="BD88" s="1421"/>
      <c r="BE88" s="1421"/>
      <c r="BF88" s="1421"/>
      <c r="BG88" s="1421"/>
      <c r="BH88" s="1421"/>
      <c r="BI88" s="1421"/>
      <c r="BJ88" s="1421"/>
      <c r="BK88" s="1421"/>
      <c r="BL88" s="1421"/>
      <c r="BM88" s="1421"/>
      <c r="BN88" s="1421"/>
      <c r="BO88" s="1421"/>
      <c r="BP88" s="1421"/>
      <c r="BQ88" s="1421"/>
      <c r="BR88" s="1421"/>
      <c r="BS88" s="1421"/>
      <c r="BT88" s="1421"/>
      <c r="BU88" s="1421"/>
      <c r="BV88" s="1421"/>
      <c r="BW88" s="1421"/>
      <c r="BX88" s="1421"/>
      <c r="BY88" s="1421"/>
      <c r="BZ88" s="1421"/>
      <c r="CA88" s="1421"/>
      <c r="CB88" s="1421"/>
      <c r="CG88" s="2141" t="s">
        <v>1371</v>
      </c>
      <c r="CH88" s="33">
        <v>140</v>
      </c>
      <c r="CI88" s="33">
        <v>90</v>
      </c>
      <c r="CJ88" s="33">
        <v>20</v>
      </c>
      <c r="CK88" s="323">
        <v>20</v>
      </c>
      <c r="CL88" s="323">
        <v>20</v>
      </c>
      <c r="CM88" s="323">
        <f t="shared" si="52"/>
        <v>13.333333333333334</v>
      </c>
      <c r="CN88" s="323">
        <v>0</v>
      </c>
      <c r="CO88" s="323">
        <v>30</v>
      </c>
      <c r="CP88" s="1001">
        <v>0.08</v>
      </c>
      <c r="CS88" s="1912"/>
      <c r="CT88" s="1913"/>
    </row>
    <row r="89" spans="1:98">
      <c r="A89" s="175"/>
      <c r="B89" s="1421"/>
      <c r="C89" s="1421"/>
      <c r="D89" s="175"/>
      <c r="E89" s="1421"/>
      <c r="F89" s="1421"/>
      <c r="G89" s="1421"/>
      <c r="H89" s="1421"/>
      <c r="I89" s="1421"/>
      <c r="J89" s="1421"/>
      <c r="K89" s="1421"/>
      <c r="L89" s="1421"/>
      <c r="M89" s="1421"/>
      <c r="N89" s="1421"/>
      <c r="O89" s="1421"/>
      <c r="P89" s="1421"/>
      <c r="Q89" s="1421"/>
      <c r="R89" s="1421"/>
      <c r="S89" s="1421"/>
      <c r="T89" s="1421"/>
      <c r="U89" s="1421"/>
      <c r="V89" s="1421"/>
      <c r="W89" s="1421"/>
      <c r="X89" s="1421"/>
      <c r="Y89" s="1421"/>
      <c r="Z89" s="1421"/>
      <c r="AA89" s="175"/>
      <c r="AB89" s="282"/>
      <c r="AC89" s="638"/>
      <c r="AD89" s="1421"/>
      <c r="AE89" s="1421"/>
      <c r="AF89" s="1421"/>
      <c r="AG89" s="1421"/>
      <c r="AH89" s="1421"/>
      <c r="AI89" s="1421"/>
      <c r="AJ89" s="1421"/>
      <c r="AK89" s="1421"/>
      <c r="AL89" s="1421"/>
      <c r="AM89" s="1421"/>
      <c r="AN89" s="1421"/>
      <c r="AO89" s="1421"/>
      <c r="AP89" s="1421"/>
      <c r="AQ89" s="1421"/>
      <c r="AR89" s="1421"/>
      <c r="AS89" s="1878"/>
      <c r="AT89" s="1878"/>
      <c r="AU89" s="1878"/>
      <c r="AV89" s="1878"/>
      <c r="AW89" s="1878"/>
      <c r="AX89" s="1878"/>
      <c r="AY89" s="1421"/>
      <c r="AZ89" s="1421"/>
      <c r="BA89" s="1421"/>
      <c r="BB89" s="1421"/>
      <c r="BC89" s="1421"/>
      <c r="BD89" s="1421"/>
      <c r="BE89" s="1421"/>
      <c r="BF89" s="1421"/>
      <c r="BG89" s="1421"/>
      <c r="BH89" s="1421"/>
      <c r="BI89" s="1421"/>
      <c r="BJ89" s="1421"/>
      <c r="BK89" s="1421"/>
      <c r="BL89" s="1421"/>
      <c r="BM89" s="1421"/>
      <c r="BN89" s="1421"/>
      <c r="BO89" s="1421"/>
      <c r="BP89" s="1421"/>
      <c r="BQ89" s="1421"/>
      <c r="BR89" s="1421"/>
      <c r="BS89" s="1421"/>
      <c r="BT89" s="1421"/>
      <c r="BU89" s="1421"/>
      <c r="BV89" s="1421"/>
      <c r="BW89" s="1421"/>
      <c r="BX89" s="1421"/>
      <c r="BY89" s="1421"/>
      <c r="BZ89" s="1421"/>
      <c r="CA89" s="1421"/>
      <c r="CB89" s="1421"/>
      <c r="CG89" s="2141" t="s">
        <v>1372</v>
      </c>
      <c r="CH89" s="33">
        <v>350</v>
      </c>
      <c r="CI89" s="33">
        <v>130</v>
      </c>
      <c r="CJ89" s="33">
        <v>20</v>
      </c>
      <c r="CK89" s="323">
        <v>20</v>
      </c>
      <c r="CL89" s="323">
        <v>20</v>
      </c>
      <c r="CM89" s="323">
        <f t="shared" si="52"/>
        <v>13.333333333333334</v>
      </c>
      <c r="CN89" s="323">
        <v>10</v>
      </c>
      <c r="CO89" s="323">
        <v>30</v>
      </c>
      <c r="CP89" s="1001">
        <v>6.9000000000000006E-2</v>
      </c>
      <c r="CS89" s="1912"/>
      <c r="CT89" s="1913"/>
    </row>
    <row r="90" spans="1:98">
      <c r="A90" s="175"/>
      <c r="B90" s="1421"/>
      <c r="C90" s="1421"/>
      <c r="D90" s="175"/>
      <c r="E90" s="1421"/>
      <c r="F90" s="1421"/>
      <c r="G90" s="1421"/>
      <c r="H90" s="1421"/>
      <c r="I90" s="1421"/>
      <c r="J90" s="1421"/>
      <c r="K90" s="1421"/>
      <c r="L90" s="1421"/>
      <c r="M90" s="1421"/>
      <c r="N90" s="1421"/>
      <c r="O90" s="1421"/>
      <c r="P90" s="1421"/>
      <c r="Q90" s="1421"/>
      <c r="R90" s="1421"/>
      <c r="S90" s="1421"/>
      <c r="T90" s="1421"/>
      <c r="U90" s="1421"/>
      <c r="V90" s="1421"/>
      <c r="W90" s="1421"/>
      <c r="X90" s="1421"/>
      <c r="Y90" s="1421"/>
      <c r="Z90" s="1421"/>
      <c r="AA90" s="175"/>
      <c r="AB90" s="282"/>
      <c r="AC90" s="638"/>
      <c r="AD90" s="1421"/>
      <c r="AE90" s="1421"/>
      <c r="AF90" s="1421"/>
      <c r="AG90" s="1421"/>
      <c r="AH90" s="1421"/>
      <c r="AI90" s="1421"/>
      <c r="AJ90" s="1421"/>
      <c r="AK90" s="1421"/>
      <c r="AL90" s="1421"/>
      <c r="AM90" s="1421"/>
      <c r="AN90" s="1421"/>
      <c r="AO90" s="1421"/>
      <c r="AP90" s="1421"/>
      <c r="AQ90" s="1421"/>
      <c r="AR90" s="1421"/>
      <c r="AS90" s="1878"/>
      <c r="AT90" s="1878"/>
      <c r="AU90" s="1878"/>
      <c r="AV90" s="1878"/>
      <c r="AW90" s="1878"/>
      <c r="AX90" s="1878"/>
      <c r="AY90" s="1421"/>
      <c r="AZ90" s="1421"/>
      <c r="BA90" s="1421"/>
      <c r="BB90" s="1421"/>
      <c r="BC90" s="1421"/>
      <c r="BD90" s="1421"/>
      <c r="BE90" s="1421"/>
      <c r="BF90" s="1421"/>
      <c r="BG90" s="1421"/>
      <c r="BH90" s="1421"/>
      <c r="BI90" s="1421"/>
      <c r="BJ90" s="1421"/>
      <c r="BK90" s="1421"/>
      <c r="BL90" s="1421"/>
      <c r="BM90" s="1421"/>
      <c r="BN90" s="1421"/>
      <c r="BO90" s="1421"/>
      <c r="BP90" s="1421"/>
      <c r="BQ90" s="1421"/>
      <c r="BR90" s="1421"/>
      <c r="BS90" s="1421"/>
      <c r="BT90" s="1421"/>
      <c r="BU90" s="1421"/>
      <c r="BV90" s="1421"/>
      <c r="BW90" s="1421"/>
      <c r="BX90" s="1421"/>
      <c r="BY90" s="1421"/>
      <c r="BZ90" s="1421"/>
      <c r="CA90" s="1421"/>
      <c r="CB90" s="1421"/>
      <c r="CG90" s="2141" t="s">
        <v>1373</v>
      </c>
      <c r="CH90" s="33">
        <v>300</v>
      </c>
      <c r="CI90" s="33">
        <v>115</v>
      </c>
      <c r="CJ90" s="33">
        <v>20</v>
      </c>
      <c r="CK90" s="323">
        <v>20</v>
      </c>
      <c r="CL90" s="323">
        <v>20</v>
      </c>
      <c r="CM90" s="323">
        <f t="shared" si="52"/>
        <v>13.333333333333334</v>
      </c>
      <c r="CN90" s="323">
        <v>10</v>
      </c>
      <c r="CO90" s="323">
        <v>30</v>
      </c>
      <c r="CP90" s="1001">
        <v>6.9000000000000006E-2</v>
      </c>
      <c r="CS90" s="1912"/>
      <c r="CT90" s="1913"/>
    </row>
    <row r="91" spans="1:98">
      <c r="A91" s="175"/>
      <c r="B91" s="1421"/>
      <c r="C91" s="1421"/>
      <c r="D91" s="175"/>
      <c r="E91" s="1421"/>
      <c r="F91" s="1421"/>
      <c r="G91" s="1421"/>
      <c r="H91" s="1421"/>
      <c r="I91" s="1421"/>
      <c r="J91" s="1421"/>
      <c r="K91" s="1421"/>
      <c r="L91" s="1421"/>
      <c r="M91" s="1421"/>
      <c r="N91" s="1421"/>
      <c r="O91" s="1421"/>
      <c r="P91" s="1421"/>
      <c r="Q91" s="1421"/>
      <c r="R91" s="1421"/>
      <c r="S91" s="1421"/>
      <c r="T91" s="1421"/>
      <c r="U91" s="1421"/>
      <c r="V91" s="1421"/>
      <c r="W91" s="1421"/>
      <c r="X91" s="1421"/>
      <c r="Y91" s="1421"/>
      <c r="Z91" s="1421"/>
      <c r="AA91" s="175"/>
      <c r="AB91" s="282"/>
      <c r="AC91" s="638"/>
      <c r="AD91" s="1421"/>
      <c r="AE91" s="1421"/>
      <c r="AF91" s="1421"/>
      <c r="AG91" s="1421"/>
      <c r="AH91" s="1421"/>
      <c r="AI91" s="1421"/>
      <c r="AJ91" s="1421"/>
      <c r="AK91" s="1421"/>
      <c r="AL91" s="1421"/>
      <c r="AM91" s="1421"/>
      <c r="AN91" s="1421"/>
      <c r="AO91" s="1421"/>
      <c r="AP91" s="1421"/>
      <c r="AQ91" s="1421"/>
      <c r="AR91" s="1421"/>
      <c r="AS91" s="1878"/>
      <c r="AT91" s="1878"/>
      <c r="AU91" s="1878"/>
      <c r="AV91" s="1878"/>
      <c r="AW91" s="1878"/>
      <c r="AX91" s="1878"/>
      <c r="AY91" s="1421"/>
      <c r="AZ91" s="1421"/>
      <c r="BA91" s="1421"/>
      <c r="BB91" s="1421"/>
      <c r="BC91" s="1421"/>
      <c r="BD91" s="1421"/>
      <c r="BE91" s="1421"/>
      <c r="BF91" s="1421"/>
      <c r="BG91" s="1421"/>
      <c r="BH91" s="1421"/>
      <c r="BI91" s="1421"/>
      <c r="BJ91" s="1421"/>
      <c r="BK91" s="1421"/>
      <c r="BL91" s="1421"/>
      <c r="BM91" s="1421"/>
      <c r="BN91" s="1421"/>
      <c r="BO91" s="1421"/>
      <c r="BP91" s="1421"/>
      <c r="BQ91" s="1421"/>
      <c r="BR91" s="1421"/>
      <c r="BS91" s="1421"/>
      <c r="BT91" s="1421"/>
      <c r="BU91" s="1421"/>
      <c r="BV91" s="1421"/>
      <c r="BW91" s="1421"/>
      <c r="BX91" s="1421"/>
      <c r="BY91" s="1421"/>
      <c r="BZ91" s="1421"/>
      <c r="CA91" s="1421"/>
      <c r="CB91" s="1421"/>
      <c r="CG91" s="2141" t="s">
        <v>1290</v>
      </c>
      <c r="CH91" s="33">
        <v>600</v>
      </c>
      <c r="CI91" s="33">
        <v>175</v>
      </c>
      <c r="CJ91" s="33">
        <v>20</v>
      </c>
      <c r="CK91" s="323">
        <v>20</v>
      </c>
      <c r="CL91" s="323">
        <v>20</v>
      </c>
      <c r="CM91" s="323">
        <f t="shared" si="52"/>
        <v>13.333333333333334</v>
      </c>
      <c r="CN91" s="323">
        <v>15</v>
      </c>
      <c r="CO91" s="323">
        <v>30</v>
      </c>
      <c r="CP91" s="1001">
        <v>5.7000000000000002E-2</v>
      </c>
      <c r="CS91" s="1912"/>
      <c r="CT91" s="1913"/>
    </row>
    <row r="92" spans="1:98">
      <c r="A92" s="175"/>
      <c r="B92" s="1421"/>
      <c r="C92" s="1421"/>
      <c r="D92" s="175"/>
      <c r="E92" s="1421"/>
      <c r="F92" s="1421"/>
      <c r="G92" s="1421"/>
      <c r="H92" s="1421"/>
      <c r="I92" s="1421"/>
      <c r="J92" s="1421"/>
      <c r="K92" s="1421"/>
      <c r="L92" s="1421"/>
      <c r="M92" s="1421"/>
      <c r="N92" s="1421"/>
      <c r="O92" s="1421"/>
      <c r="P92" s="1421"/>
      <c r="Q92" s="1421"/>
      <c r="R92" s="1421"/>
      <c r="S92" s="1421"/>
      <c r="T92" s="1421"/>
      <c r="U92" s="1421"/>
      <c r="V92" s="1421"/>
      <c r="W92" s="1421"/>
      <c r="X92" s="1421"/>
      <c r="Y92" s="1421"/>
      <c r="Z92" s="1421"/>
      <c r="AA92" s="175"/>
      <c r="AB92" s="282"/>
      <c r="AC92" s="638"/>
      <c r="AD92" s="1421"/>
      <c r="AE92" s="1421"/>
      <c r="AF92" s="1421"/>
      <c r="AG92" s="1421"/>
      <c r="AH92" s="1421"/>
      <c r="AI92" s="1421"/>
      <c r="AJ92" s="1421"/>
      <c r="AK92" s="1421"/>
      <c r="AL92" s="1421"/>
      <c r="AM92" s="1421"/>
      <c r="AN92" s="1421"/>
      <c r="AO92" s="1421"/>
      <c r="AP92" s="1421"/>
      <c r="AQ92" s="1421"/>
      <c r="AR92" s="1421"/>
      <c r="AS92" s="1878"/>
      <c r="AT92" s="1878"/>
      <c r="AU92" s="1878"/>
      <c r="AV92" s="1878"/>
      <c r="AW92" s="1878"/>
      <c r="AX92" s="1878"/>
      <c r="AY92" s="1421"/>
      <c r="AZ92" s="1421"/>
      <c r="BA92" s="1421"/>
      <c r="BB92" s="1421"/>
      <c r="BC92" s="1421"/>
      <c r="BD92" s="1421"/>
      <c r="BE92" s="1421"/>
      <c r="BF92" s="1421"/>
      <c r="BG92" s="1421"/>
      <c r="BH92" s="1421"/>
      <c r="BI92" s="1421"/>
      <c r="BJ92" s="1421"/>
      <c r="BK92" s="1421"/>
      <c r="BL92" s="1421"/>
      <c r="BM92" s="1421"/>
      <c r="BN92" s="1421"/>
      <c r="BO92" s="1421"/>
      <c r="BP92" s="1421"/>
      <c r="BQ92" s="1421"/>
      <c r="BR92" s="1421"/>
      <c r="BS92" s="1421"/>
      <c r="BT92" s="1421"/>
      <c r="BU92" s="1421"/>
      <c r="BV92" s="1421"/>
      <c r="BW92" s="1421"/>
      <c r="BX92" s="1421"/>
      <c r="BY92" s="1421"/>
      <c r="BZ92" s="1421"/>
      <c r="CA92" s="1421"/>
      <c r="CB92" s="1421"/>
      <c r="CG92" s="2141" t="s">
        <v>1666</v>
      </c>
      <c r="CH92" s="33">
        <v>600</v>
      </c>
      <c r="CI92" s="33">
        <v>200</v>
      </c>
      <c r="CJ92" s="33">
        <v>20</v>
      </c>
      <c r="CK92" s="323">
        <v>20</v>
      </c>
      <c r="CL92" s="323">
        <v>20</v>
      </c>
      <c r="CM92" s="323">
        <v>26.666666666666668</v>
      </c>
      <c r="CN92" s="323">
        <v>40</v>
      </c>
      <c r="CO92" s="323">
        <v>30</v>
      </c>
      <c r="CP92" s="2146">
        <v>9.1999999999999998E-2</v>
      </c>
      <c r="CS92" s="1912"/>
      <c r="CT92" s="1913"/>
    </row>
    <row r="93" spans="1:98">
      <c r="A93" s="175"/>
      <c r="B93" s="1421"/>
      <c r="C93" s="1421"/>
      <c r="D93" s="175"/>
      <c r="E93" s="1421"/>
      <c r="F93" s="1421"/>
      <c r="G93" s="1421"/>
      <c r="H93" s="1421"/>
      <c r="I93" s="1421"/>
      <c r="J93" s="1421"/>
      <c r="K93" s="1421"/>
      <c r="L93" s="1421"/>
      <c r="M93" s="1421"/>
      <c r="N93" s="1421"/>
      <c r="O93" s="1421"/>
      <c r="P93" s="1421"/>
      <c r="Q93" s="1421"/>
      <c r="R93" s="1421"/>
      <c r="S93" s="1421"/>
      <c r="T93" s="1421"/>
      <c r="U93" s="1421"/>
      <c r="V93" s="1421"/>
      <c r="W93" s="1421"/>
      <c r="X93" s="1421"/>
      <c r="Y93" s="1421"/>
      <c r="Z93" s="1421"/>
      <c r="AA93" s="175"/>
      <c r="AB93" s="282"/>
      <c r="AC93" s="638"/>
      <c r="AD93" s="1421"/>
      <c r="AE93" s="1421"/>
      <c r="AF93" s="1421"/>
      <c r="AG93" s="1421"/>
      <c r="AH93" s="1421"/>
      <c r="AI93" s="1421"/>
      <c r="AJ93" s="1421"/>
      <c r="AK93" s="1421"/>
      <c r="AL93" s="1421"/>
      <c r="AM93" s="1421"/>
      <c r="AN93" s="1421"/>
      <c r="AO93" s="1421"/>
      <c r="AP93" s="1421"/>
      <c r="AQ93" s="1421"/>
      <c r="AR93" s="1421"/>
      <c r="AS93" s="1878"/>
      <c r="AT93" s="1878"/>
      <c r="AU93" s="1878"/>
      <c r="AV93" s="1878"/>
      <c r="AW93" s="1878"/>
      <c r="AX93" s="1878"/>
      <c r="AY93" s="1421"/>
      <c r="AZ93" s="1421"/>
      <c r="BA93" s="1421"/>
      <c r="BB93" s="1421"/>
      <c r="BC93" s="1421"/>
      <c r="BD93" s="1421"/>
      <c r="BE93" s="1421"/>
      <c r="BF93" s="1421"/>
      <c r="BG93" s="1421"/>
      <c r="BH93" s="1421"/>
      <c r="BI93" s="1421"/>
      <c r="BJ93" s="1421"/>
      <c r="BK93" s="1421"/>
      <c r="BL93" s="1421"/>
      <c r="BM93" s="1421"/>
      <c r="BN93" s="1421"/>
      <c r="BO93" s="1421"/>
      <c r="BP93" s="1421"/>
      <c r="BQ93" s="1421"/>
      <c r="BR93" s="1421"/>
      <c r="BS93" s="1421"/>
      <c r="BT93" s="1421"/>
      <c r="BU93" s="1421"/>
      <c r="BV93" s="1421"/>
      <c r="BW93" s="1421"/>
      <c r="BX93" s="1421"/>
      <c r="BY93" s="1421"/>
      <c r="BZ93" s="1421"/>
      <c r="CA93" s="1421"/>
      <c r="CB93" s="1421"/>
      <c r="CG93" s="2141" t="s">
        <v>1374</v>
      </c>
      <c r="CH93" s="33">
        <v>350</v>
      </c>
      <c r="CI93" s="33">
        <v>150</v>
      </c>
      <c r="CJ93" s="33">
        <v>20</v>
      </c>
      <c r="CK93" s="323">
        <v>20</v>
      </c>
      <c r="CL93" s="323">
        <v>20</v>
      </c>
      <c r="CM93" s="323">
        <f t="shared" ref="CM93:CM100" si="53">CL93*2/3</f>
        <v>13.333333333333334</v>
      </c>
      <c r="CN93" s="323">
        <v>15</v>
      </c>
      <c r="CO93" s="323">
        <v>60</v>
      </c>
      <c r="CP93" s="1001">
        <v>0.06</v>
      </c>
      <c r="CS93" s="1912"/>
      <c r="CT93" s="1913"/>
    </row>
    <row r="94" spans="1:98">
      <c r="A94" s="175"/>
      <c r="B94" s="1421"/>
      <c r="C94" s="1421"/>
      <c r="D94" s="175"/>
      <c r="E94" s="1421"/>
      <c r="F94" s="1421"/>
      <c r="G94" s="1421"/>
      <c r="H94" s="1421"/>
      <c r="I94" s="1421"/>
      <c r="J94" s="1421"/>
      <c r="K94" s="1421"/>
      <c r="L94" s="1421"/>
      <c r="M94" s="1421"/>
      <c r="N94" s="1421"/>
      <c r="O94" s="1421"/>
      <c r="P94" s="1421"/>
      <c r="Q94" s="1421"/>
      <c r="R94" s="1421"/>
      <c r="S94" s="1421"/>
      <c r="T94" s="1421"/>
      <c r="U94" s="1421"/>
      <c r="V94" s="1421"/>
      <c r="W94" s="1421"/>
      <c r="X94" s="1421"/>
      <c r="Y94" s="1421"/>
      <c r="Z94" s="1421"/>
      <c r="AA94" s="175"/>
      <c r="AB94" s="282"/>
      <c r="AC94" s="638"/>
      <c r="AD94" s="1421"/>
      <c r="AE94" s="1421"/>
      <c r="AF94" s="1421"/>
      <c r="AG94" s="1421"/>
      <c r="AH94" s="1421"/>
      <c r="AI94" s="1421"/>
      <c r="AJ94" s="1421"/>
      <c r="AK94" s="1421"/>
      <c r="AL94" s="1421"/>
      <c r="AM94" s="1421"/>
      <c r="AN94" s="1421"/>
      <c r="AO94" s="1421"/>
      <c r="AP94" s="1421"/>
      <c r="AQ94" s="1421"/>
      <c r="AR94" s="1421"/>
      <c r="AS94" s="1878"/>
      <c r="AT94" s="1878"/>
      <c r="AU94" s="1878"/>
      <c r="AV94" s="1878"/>
      <c r="AW94" s="1878"/>
      <c r="AX94" s="1878"/>
      <c r="AY94" s="1421"/>
      <c r="AZ94" s="1421"/>
      <c r="BA94" s="1421"/>
      <c r="BB94" s="1421"/>
      <c r="BC94" s="1421"/>
      <c r="BD94" s="1421"/>
      <c r="BE94" s="1421"/>
      <c r="BF94" s="1421"/>
      <c r="BG94" s="1421"/>
      <c r="BH94" s="1421"/>
      <c r="BI94" s="1421"/>
      <c r="BJ94" s="1421"/>
      <c r="BK94" s="1421"/>
      <c r="BL94" s="1421"/>
      <c r="BM94" s="1421"/>
      <c r="BN94" s="1421"/>
      <c r="BO94" s="1421"/>
      <c r="BP94" s="1421"/>
      <c r="BQ94" s="1421"/>
      <c r="BR94" s="1421"/>
      <c r="BS94" s="1421"/>
      <c r="BT94" s="1421"/>
      <c r="BU94" s="1421"/>
      <c r="BV94" s="1421"/>
      <c r="BW94" s="1421"/>
      <c r="BX94" s="1421"/>
      <c r="BY94" s="1421"/>
      <c r="BZ94" s="1421"/>
      <c r="CA94" s="1421"/>
      <c r="CB94" s="1421"/>
      <c r="CG94" s="2141" t="s">
        <v>1375</v>
      </c>
      <c r="CH94" s="33">
        <v>600</v>
      </c>
      <c r="CI94" s="33">
        <v>190</v>
      </c>
      <c r="CJ94" s="33">
        <v>20</v>
      </c>
      <c r="CK94" s="323">
        <v>20</v>
      </c>
      <c r="CL94" s="323">
        <v>20</v>
      </c>
      <c r="CM94" s="323">
        <f t="shared" si="53"/>
        <v>13.333333333333334</v>
      </c>
      <c r="CN94" s="323">
        <v>20</v>
      </c>
      <c r="CO94" s="323">
        <v>60</v>
      </c>
      <c r="CP94" s="1001">
        <v>0.06</v>
      </c>
      <c r="CS94" s="1912"/>
      <c r="CT94" s="1913"/>
    </row>
    <row r="95" spans="1:98">
      <c r="A95" s="175"/>
      <c r="B95" s="1421"/>
      <c r="C95" s="1421"/>
      <c r="D95" s="175"/>
      <c r="E95" s="1421"/>
      <c r="F95" s="1421"/>
      <c r="G95" s="1421"/>
      <c r="H95" s="1421"/>
      <c r="I95" s="1421"/>
      <c r="J95" s="1421"/>
      <c r="K95" s="1421"/>
      <c r="L95" s="1421"/>
      <c r="M95" s="1421"/>
      <c r="N95" s="1421"/>
      <c r="O95" s="1421"/>
      <c r="P95" s="1421"/>
      <c r="Q95" s="1421"/>
      <c r="R95" s="1421"/>
      <c r="S95" s="1421"/>
      <c r="T95" s="1421"/>
      <c r="U95" s="1421"/>
      <c r="V95" s="1421"/>
      <c r="W95" s="1421"/>
      <c r="X95" s="1421"/>
      <c r="Y95" s="1421"/>
      <c r="Z95" s="1421"/>
      <c r="AA95" s="175"/>
      <c r="AB95" s="282"/>
      <c r="AC95" s="638"/>
      <c r="AD95" s="1421"/>
      <c r="AE95" s="1421"/>
      <c r="AF95" s="1421"/>
      <c r="AG95" s="1421"/>
      <c r="AH95" s="1421"/>
      <c r="AI95" s="1421"/>
      <c r="AJ95" s="1421"/>
      <c r="AK95" s="1421"/>
      <c r="AL95" s="1421"/>
      <c r="AM95" s="1421"/>
      <c r="AN95" s="1421"/>
      <c r="AO95" s="1421"/>
      <c r="AP95" s="1421"/>
      <c r="AQ95" s="1421"/>
      <c r="AR95" s="1421"/>
      <c r="AS95" s="1878"/>
      <c r="AT95" s="1878"/>
      <c r="AU95" s="1878"/>
      <c r="AV95" s="1878"/>
      <c r="AW95" s="1878"/>
      <c r="AX95" s="1878"/>
      <c r="AY95" s="1421"/>
      <c r="AZ95" s="1421"/>
      <c r="BA95" s="1421"/>
      <c r="BB95" s="1421"/>
      <c r="BC95" s="1421"/>
      <c r="BD95" s="1421"/>
      <c r="BE95" s="1421"/>
      <c r="BF95" s="1421"/>
      <c r="BG95" s="1421"/>
      <c r="BH95" s="1421"/>
      <c r="BI95" s="1421"/>
      <c r="BJ95" s="1421"/>
      <c r="BK95" s="1421"/>
      <c r="BL95" s="1421"/>
      <c r="BM95" s="1421"/>
      <c r="BN95" s="1421"/>
      <c r="BO95" s="1421"/>
      <c r="BP95" s="1421"/>
      <c r="BQ95" s="1421"/>
      <c r="BR95" s="1421"/>
      <c r="BS95" s="1421"/>
      <c r="BT95" s="1421"/>
      <c r="BU95" s="1421"/>
      <c r="BV95" s="1421"/>
      <c r="BW95" s="1421"/>
      <c r="BX95" s="1421"/>
      <c r="BY95" s="1421"/>
      <c r="BZ95" s="1421"/>
      <c r="CA95" s="1421"/>
      <c r="CB95" s="1421"/>
      <c r="CG95" s="2141" t="s">
        <v>1291</v>
      </c>
      <c r="CH95" s="33">
        <v>500</v>
      </c>
      <c r="CI95" s="33">
        <v>150</v>
      </c>
      <c r="CJ95" s="33">
        <v>20</v>
      </c>
      <c r="CK95" s="323">
        <v>20</v>
      </c>
      <c r="CL95" s="323">
        <v>20</v>
      </c>
      <c r="CM95" s="323">
        <f t="shared" si="53"/>
        <v>13.333333333333334</v>
      </c>
      <c r="CN95" s="323">
        <v>10</v>
      </c>
      <c r="CO95" s="323">
        <v>30</v>
      </c>
      <c r="CP95" s="1001">
        <v>6.9000000000000006E-2</v>
      </c>
      <c r="CS95" s="1910"/>
      <c r="CT95" s="1911"/>
    </row>
    <row r="96" spans="1:98">
      <c r="A96" s="175"/>
      <c r="B96" s="1421"/>
      <c r="C96" s="1421"/>
      <c r="D96" s="175"/>
      <c r="E96" s="1421"/>
      <c r="F96" s="1421"/>
      <c r="G96" s="1421"/>
      <c r="H96" s="1421"/>
      <c r="I96" s="1421"/>
      <c r="J96" s="1421"/>
      <c r="K96" s="1421"/>
      <c r="L96" s="1421"/>
      <c r="M96" s="1421"/>
      <c r="N96" s="1421"/>
      <c r="O96" s="1421"/>
      <c r="P96" s="1421"/>
      <c r="Q96" s="1421"/>
      <c r="R96" s="1421"/>
      <c r="S96" s="1421"/>
      <c r="T96" s="1421"/>
      <c r="U96" s="1421"/>
      <c r="V96" s="1421"/>
      <c r="W96" s="1421"/>
      <c r="X96" s="1421"/>
      <c r="Y96" s="1421"/>
      <c r="Z96" s="1421"/>
      <c r="AA96" s="175"/>
      <c r="AB96" s="282"/>
      <c r="AC96" s="638"/>
      <c r="AD96" s="1421"/>
      <c r="AE96" s="1421"/>
      <c r="AF96" s="1421"/>
      <c r="AG96" s="1421"/>
      <c r="AH96" s="1421"/>
      <c r="AI96" s="1421"/>
      <c r="AJ96" s="1421"/>
      <c r="AK96" s="1421"/>
      <c r="AL96" s="1421"/>
      <c r="AM96" s="1421"/>
      <c r="AN96" s="1421"/>
      <c r="AO96" s="1421"/>
      <c r="AP96" s="1421"/>
      <c r="AQ96" s="1421"/>
      <c r="AR96" s="1421"/>
      <c r="AS96" s="1878"/>
      <c r="AT96" s="1878"/>
      <c r="AU96" s="1878"/>
      <c r="AV96" s="1878"/>
      <c r="AW96" s="1878"/>
      <c r="AX96" s="1878"/>
      <c r="AY96" s="1421"/>
      <c r="AZ96" s="1421"/>
      <c r="BA96" s="1421"/>
      <c r="BB96" s="1421"/>
      <c r="BC96" s="1421"/>
      <c r="BD96" s="1421"/>
      <c r="BE96" s="1421"/>
      <c r="BF96" s="1421"/>
      <c r="BG96" s="1421"/>
      <c r="BH96" s="1421"/>
      <c r="BI96" s="1421"/>
      <c r="BJ96" s="1421"/>
      <c r="BK96" s="1421"/>
      <c r="BL96" s="1421"/>
      <c r="BM96" s="1421"/>
      <c r="BN96" s="1421"/>
      <c r="BO96" s="1421"/>
      <c r="BP96" s="1421"/>
      <c r="BQ96" s="1421"/>
      <c r="BR96" s="1421"/>
      <c r="BS96" s="1421"/>
      <c r="BT96" s="1421"/>
      <c r="BU96" s="1421"/>
      <c r="BV96" s="1421"/>
      <c r="BW96" s="1421"/>
      <c r="BX96" s="1421"/>
      <c r="BY96" s="1421"/>
      <c r="BZ96" s="1421"/>
      <c r="CA96" s="1421"/>
      <c r="CB96" s="1421"/>
      <c r="CG96" s="2141" t="s">
        <v>1292</v>
      </c>
      <c r="CH96" s="33">
        <v>280</v>
      </c>
      <c r="CI96" s="33">
        <v>140</v>
      </c>
      <c r="CJ96" s="33">
        <v>20</v>
      </c>
      <c r="CK96" s="323">
        <v>20</v>
      </c>
      <c r="CL96" s="323">
        <v>20</v>
      </c>
      <c r="CM96" s="323">
        <f t="shared" si="53"/>
        <v>13.333333333333334</v>
      </c>
      <c r="CN96" s="323">
        <v>30</v>
      </c>
      <c r="CO96" s="323">
        <v>60</v>
      </c>
      <c r="CP96" s="1001">
        <v>9.1999999999999998E-2</v>
      </c>
      <c r="CS96" s="1912"/>
      <c r="CT96" s="1913"/>
    </row>
    <row r="97" spans="1:98">
      <c r="A97" s="175"/>
      <c r="B97" s="1421"/>
      <c r="C97" s="1421"/>
      <c r="D97" s="175"/>
      <c r="E97" s="1421"/>
      <c r="F97" s="1421"/>
      <c r="G97" s="1421"/>
      <c r="H97" s="1421"/>
      <c r="I97" s="1421"/>
      <c r="J97" s="1421"/>
      <c r="K97" s="1421"/>
      <c r="L97" s="1421"/>
      <c r="M97" s="1421"/>
      <c r="N97" s="1421"/>
      <c r="O97" s="1421"/>
      <c r="P97" s="1421"/>
      <c r="Q97" s="1421"/>
      <c r="R97" s="1421"/>
      <c r="S97" s="1421"/>
      <c r="T97" s="1421"/>
      <c r="U97" s="1421"/>
      <c r="V97" s="1421"/>
      <c r="W97" s="1421"/>
      <c r="X97" s="1421"/>
      <c r="Y97" s="1421"/>
      <c r="Z97" s="1421"/>
      <c r="AA97" s="175"/>
      <c r="AB97" s="282"/>
      <c r="AC97" s="638"/>
      <c r="AD97" s="1421"/>
      <c r="AE97" s="1421"/>
      <c r="AF97" s="1421"/>
      <c r="AG97" s="1421"/>
      <c r="AH97" s="1421"/>
      <c r="AI97" s="1421"/>
      <c r="AJ97" s="1421"/>
      <c r="AK97" s="1421"/>
      <c r="AL97" s="1421"/>
      <c r="AM97" s="1421"/>
      <c r="AN97" s="1421"/>
      <c r="AO97" s="1421"/>
      <c r="AP97" s="1421"/>
      <c r="AQ97" s="1421"/>
      <c r="AR97" s="1421"/>
      <c r="AS97" s="1878"/>
      <c r="AT97" s="1878"/>
      <c r="AU97" s="1878"/>
      <c r="AV97" s="1878"/>
      <c r="AW97" s="1878"/>
      <c r="AX97" s="1878"/>
      <c r="AY97" s="1421"/>
      <c r="AZ97" s="1421"/>
      <c r="BA97" s="1421"/>
      <c r="BB97" s="1421"/>
      <c r="BC97" s="1421"/>
      <c r="BD97" s="1421"/>
      <c r="BE97" s="1421"/>
      <c r="BF97" s="1421"/>
      <c r="BG97" s="1421"/>
      <c r="BH97" s="1421"/>
      <c r="BI97" s="1421"/>
      <c r="BJ97" s="1421"/>
      <c r="BK97" s="1421"/>
      <c r="BL97" s="1421"/>
      <c r="BM97" s="1421"/>
      <c r="BN97" s="1421"/>
      <c r="BO97" s="1421"/>
      <c r="BP97" s="1421"/>
      <c r="BQ97" s="1421"/>
      <c r="BR97" s="1421"/>
      <c r="BS97" s="1421"/>
      <c r="BT97" s="1421"/>
      <c r="BU97" s="1421"/>
      <c r="BV97" s="1421"/>
      <c r="BW97" s="1421"/>
      <c r="BX97" s="1421"/>
      <c r="BY97" s="1421"/>
      <c r="BZ97" s="1421"/>
      <c r="CA97" s="1421"/>
      <c r="CB97" s="1421"/>
      <c r="CG97" s="2141" t="s">
        <v>1294</v>
      </c>
      <c r="CH97" s="33">
        <v>450</v>
      </c>
      <c r="CI97" s="33">
        <v>140</v>
      </c>
      <c r="CJ97" s="33">
        <v>20</v>
      </c>
      <c r="CK97" s="323">
        <v>20</v>
      </c>
      <c r="CL97" s="323">
        <v>20</v>
      </c>
      <c r="CM97" s="323">
        <f t="shared" si="53"/>
        <v>13.333333333333334</v>
      </c>
      <c r="CN97" s="323">
        <v>10</v>
      </c>
      <c r="CO97" s="323">
        <v>60</v>
      </c>
      <c r="CP97" s="1001">
        <v>9.1999999999999998E-2</v>
      </c>
      <c r="CS97" s="1912"/>
      <c r="CT97" s="1913"/>
    </row>
    <row r="98" spans="1:98">
      <c r="A98" s="175"/>
      <c r="B98" s="1421"/>
      <c r="C98" s="1421"/>
      <c r="D98" s="175"/>
      <c r="E98" s="1421"/>
      <c r="F98" s="1421"/>
      <c r="G98" s="1421"/>
      <c r="H98" s="1421"/>
      <c r="I98" s="1421"/>
      <c r="J98" s="1421"/>
      <c r="K98" s="1421"/>
      <c r="L98" s="1421"/>
      <c r="M98" s="1421"/>
      <c r="N98" s="1421"/>
      <c r="O98" s="1421"/>
      <c r="P98" s="1421"/>
      <c r="Q98" s="1421"/>
      <c r="R98" s="1421"/>
      <c r="S98" s="1421"/>
      <c r="T98" s="1421"/>
      <c r="U98" s="1421"/>
      <c r="V98" s="1421"/>
      <c r="W98" s="1421"/>
      <c r="X98" s="1421"/>
      <c r="Y98" s="1421"/>
      <c r="Z98" s="1421"/>
      <c r="AA98" s="175"/>
      <c r="AB98" s="282"/>
      <c r="AC98" s="638"/>
      <c r="AD98" s="1421"/>
      <c r="AE98" s="1421"/>
      <c r="AF98" s="1421"/>
      <c r="AG98" s="1421"/>
      <c r="AH98" s="1421"/>
      <c r="AI98" s="1421"/>
      <c r="AJ98" s="1421"/>
      <c r="AK98" s="1421"/>
      <c r="AL98" s="1421"/>
      <c r="AM98" s="1421"/>
      <c r="AN98" s="1421"/>
      <c r="AO98" s="1421"/>
      <c r="AP98" s="1421"/>
      <c r="AQ98" s="1421"/>
      <c r="AR98" s="1421"/>
      <c r="AS98" s="1878"/>
      <c r="AT98" s="1878"/>
      <c r="AU98" s="1878"/>
      <c r="AV98" s="1878"/>
      <c r="AW98" s="1878"/>
      <c r="AX98" s="1878"/>
      <c r="AY98" s="1421"/>
      <c r="AZ98" s="1421"/>
      <c r="BA98" s="1421"/>
      <c r="BB98" s="1421"/>
      <c r="BC98" s="1421"/>
      <c r="BD98" s="1421"/>
      <c r="BE98" s="1421"/>
      <c r="BF98" s="1421"/>
      <c r="BG98" s="1421"/>
      <c r="BH98" s="1421"/>
      <c r="BI98" s="1421"/>
      <c r="BJ98" s="1421"/>
      <c r="BK98" s="1421"/>
      <c r="BL98" s="1421"/>
      <c r="BM98" s="1421"/>
      <c r="BN98" s="1421"/>
      <c r="BO98" s="1421"/>
      <c r="BP98" s="1421"/>
      <c r="BQ98" s="1421"/>
      <c r="BR98" s="1421"/>
      <c r="BS98" s="1421"/>
      <c r="BT98" s="1421"/>
      <c r="BU98" s="1421"/>
      <c r="BV98" s="1421"/>
      <c r="BW98" s="1421"/>
      <c r="BX98" s="1421"/>
      <c r="BY98" s="1421"/>
      <c r="BZ98" s="1421"/>
      <c r="CA98" s="1421"/>
      <c r="CB98" s="1421"/>
      <c r="CG98" s="2141" t="s">
        <v>1376</v>
      </c>
      <c r="CH98" s="33">
        <v>300</v>
      </c>
      <c r="CI98" s="33">
        <v>150</v>
      </c>
      <c r="CJ98" s="33">
        <v>20</v>
      </c>
      <c r="CK98" s="323">
        <v>20</v>
      </c>
      <c r="CL98" s="323">
        <v>20</v>
      </c>
      <c r="CM98" s="323">
        <f t="shared" si="53"/>
        <v>13.333333333333334</v>
      </c>
      <c r="CN98" s="323">
        <v>15</v>
      </c>
      <c r="CO98" s="323">
        <v>30</v>
      </c>
      <c r="CP98" s="1001">
        <v>9.1999999999999998E-2</v>
      </c>
      <c r="CS98" s="1912"/>
      <c r="CT98" s="1913"/>
    </row>
    <row r="99" spans="1:98">
      <c r="A99" s="175"/>
      <c r="B99" s="1421"/>
      <c r="C99" s="1421"/>
      <c r="D99" s="175"/>
      <c r="E99" s="1421"/>
      <c r="F99" s="1421"/>
      <c r="G99" s="1421"/>
      <c r="H99" s="1421"/>
      <c r="I99" s="1421"/>
      <c r="J99" s="1421"/>
      <c r="K99" s="1421"/>
      <c r="L99" s="1421"/>
      <c r="M99" s="1421"/>
      <c r="N99" s="1421"/>
      <c r="O99" s="1421"/>
      <c r="P99" s="1421"/>
      <c r="Q99" s="1421"/>
      <c r="R99" s="1421"/>
      <c r="S99" s="1421"/>
      <c r="T99" s="1421"/>
      <c r="U99" s="1421"/>
      <c r="V99" s="1421"/>
      <c r="W99" s="1421"/>
      <c r="X99" s="1421"/>
      <c r="Y99" s="1421"/>
      <c r="Z99" s="1421"/>
      <c r="AA99" s="175"/>
      <c r="AB99" s="282"/>
      <c r="AC99" s="638"/>
      <c r="AD99" s="1421"/>
      <c r="AE99" s="1421"/>
      <c r="AF99" s="1421"/>
      <c r="AG99" s="1421"/>
      <c r="AH99" s="1421"/>
      <c r="AI99" s="1421"/>
      <c r="AJ99" s="1421"/>
      <c r="AK99" s="1421"/>
      <c r="AL99" s="1421"/>
      <c r="AM99" s="1421"/>
      <c r="AN99" s="1421"/>
      <c r="AO99" s="1421"/>
      <c r="AP99" s="1421"/>
      <c r="AQ99" s="1421"/>
      <c r="AR99" s="1421"/>
      <c r="AS99" s="1878"/>
      <c r="AT99" s="1878"/>
      <c r="AU99" s="1878"/>
      <c r="AV99" s="1878"/>
      <c r="AW99" s="1878"/>
      <c r="AX99" s="1878"/>
      <c r="AY99" s="1421"/>
      <c r="AZ99" s="1421"/>
      <c r="BA99" s="1421"/>
      <c r="BB99" s="1421"/>
      <c r="BC99" s="1421"/>
      <c r="BD99" s="1421"/>
      <c r="BE99" s="1421"/>
      <c r="BF99" s="1421"/>
      <c r="BG99" s="1421"/>
      <c r="BH99" s="1421"/>
      <c r="BI99" s="1421"/>
      <c r="BJ99" s="1421"/>
      <c r="BK99" s="1421"/>
      <c r="BL99" s="1421"/>
      <c r="BM99" s="1421"/>
      <c r="BN99" s="1421"/>
      <c r="BO99" s="1421"/>
      <c r="BP99" s="1421"/>
      <c r="BQ99" s="1421"/>
      <c r="BR99" s="1421"/>
      <c r="BS99" s="1421"/>
      <c r="BT99" s="1421"/>
      <c r="BU99" s="1421"/>
      <c r="BV99" s="1421"/>
      <c r="BW99" s="1421"/>
      <c r="BX99" s="1421"/>
      <c r="BY99" s="1421"/>
      <c r="BZ99" s="1421"/>
      <c r="CA99" s="1421"/>
      <c r="CB99" s="1421"/>
      <c r="CG99" s="2141" t="s">
        <v>1293</v>
      </c>
      <c r="CH99" s="33">
        <v>450</v>
      </c>
      <c r="CI99" s="33">
        <v>150</v>
      </c>
      <c r="CJ99" s="33">
        <v>20</v>
      </c>
      <c r="CK99" s="323">
        <v>20</v>
      </c>
      <c r="CL99" s="323">
        <v>20</v>
      </c>
      <c r="CM99" s="323">
        <f t="shared" si="53"/>
        <v>13.333333333333334</v>
      </c>
      <c r="CN99" s="323">
        <v>10</v>
      </c>
      <c r="CO99" s="323">
        <v>30</v>
      </c>
      <c r="CP99" s="1001">
        <v>6.9000000000000006E-2</v>
      </c>
      <c r="CQ99" s="2147"/>
      <c r="CS99" s="1912"/>
      <c r="CT99" s="1913"/>
    </row>
    <row r="100" spans="1:98">
      <c r="A100" s="175"/>
      <c r="B100" s="1421"/>
      <c r="C100" s="1421"/>
      <c r="D100" s="175"/>
      <c r="E100" s="1421"/>
      <c r="F100" s="1421"/>
      <c r="G100" s="1421"/>
      <c r="H100" s="1421"/>
      <c r="I100" s="1421"/>
      <c r="J100" s="1421"/>
      <c r="K100" s="1421"/>
      <c r="L100" s="1421"/>
      <c r="M100" s="1421"/>
      <c r="N100" s="1421"/>
      <c r="O100" s="1421"/>
      <c r="P100" s="1421"/>
      <c r="Q100" s="1421"/>
      <c r="R100" s="1421"/>
      <c r="S100" s="1421"/>
      <c r="T100" s="1421"/>
      <c r="U100" s="1421"/>
      <c r="V100" s="1421"/>
      <c r="W100" s="1421"/>
      <c r="X100" s="1421"/>
      <c r="Y100" s="1421"/>
      <c r="Z100" s="1421"/>
      <c r="AA100" s="175"/>
      <c r="AB100" s="282"/>
      <c r="AC100" s="638"/>
      <c r="AD100" s="1421"/>
      <c r="AE100" s="1421"/>
      <c r="AF100" s="1421"/>
      <c r="AG100" s="1421"/>
      <c r="AH100" s="1421"/>
      <c r="AI100" s="1421"/>
      <c r="AJ100" s="1421"/>
      <c r="AK100" s="1421"/>
      <c r="AL100" s="1421"/>
      <c r="AM100" s="1421"/>
      <c r="AN100" s="1421"/>
      <c r="AO100" s="1421"/>
      <c r="AP100" s="1421"/>
      <c r="AQ100" s="1421"/>
      <c r="AR100" s="1421"/>
      <c r="AS100" s="1878"/>
      <c r="AT100" s="1878"/>
      <c r="AU100" s="1878"/>
      <c r="AV100" s="1878"/>
      <c r="AW100" s="1878"/>
      <c r="AX100" s="1878"/>
      <c r="AY100" s="1421"/>
      <c r="AZ100" s="1421"/>
      <c r="BA100" s="1421"/>
      <c r="BB100" s="1421"/>
      <c r="BC100" s="1421"/>
      <c r="BD100" s="1421"/>
      <c r="BE100" s="1421"/>
      <c r="BF100" s="1421"/>
      <c r="BG100" s="1421"/>
      <c r="BH100" s="1421"/>
      <c r="BI100" s="1421"/>
      <c r="BJ100" s="1421"/>
      <c r="BK100" s="1421"/>
      <c r="BL100" s="1421"/>
      <c r="BM100" s="1421"/>
      <c r="BN100" s="1421"/>
      <c r="BO100" s="1421"/>
      <c r="BP100" s="1421"/>
      <c r="BQ100" s="1421"/>
      <c r="BR100" s="1421"/>
      <c r="BS100" s="1421"/>
      <c r="BT100" s="1421"/>
      <c r="BU100" s="1421"/>
      <c r="BV100" s="1421"/>
      <c r="BW100" s="1421"/>
      <c r="BX100" s="1421"/>
      <c r="BY100" s="1421"/>
      <c r="BZ100" s="1421"/>
      <c r="CA100" s="1421"/>
      <c r="CB100" s="1421"/>
      <c r="CG100" s="2141" t="s">
        <v>1295</v>
      </c>
      <c r="CH100" s="33">
        <v>600</v>
      </c>
      <c r="CI100" s="33">
        <v>190</v>
      </c>
      <c r="CJ100" s="33">
        <v>20</v>
      </c>
      <c r="CK100" s="323">
        <v>20</v>
      </c>
      <c r="CL100" s="323">
        <v>20</v>
      </c>
      <c r="CM100" s="323">
        <f t="shared" si="53"/>
        <v>13.333333333333334</v>
      </c>
      <c r="CN100" s="323">
        <v>20</v>
      </c>
      <c r="CO100" s="323">
        <v>60</v>
      </c>
      <c r="CP100" s="1001">
        <v>0.115</v>
      </c>
      <c r="CQ100" s="2147"/>
      <c r="CS100" s="1912"/>
      <c r="CT100" s="1913"/>
    </row>
    <row r="101" spans="1:98">
      <c r="A101" s="175"/>
      <c r="B101" s="1421"/>
      <c r="C101" s="1421"/>
      <c r="D101" s="175"/>
      <c r="E101" s="1421"/>
      <c r="F101" s="1421"/>
      <c r="G101" s="1421"/>
      <c r="H101" s="1421"/>
      <c r="I101" s="1421"/>
      <c r="J101" s="1421"/>
      <c r="K101" s="1421"/>
      <c r="L101" s="1421"/>
      <c r="M101" s="1421"/>
      <c r="N101" s="1421"/>
      <c r="O101" s="1421"/>
      <c r="P101" s="1421"/>
      <c r="Q101" s="1421"/>
      <c r="R101" s="1421"/>
      <c r="S101" s="1421"/>
      <c r="T101" s="1421"/>
      <c r="U101" s="1421"/>
      <c r="V101" s="1421"/>
      <c r="W101" s="1421"/>
      <c r="X101" s="1421"/>
      <c r="Y101" s="1421"/>
      <c r="Z101" s="1421"/>
      <c r="AA101" s="175"/>
      <c r="AB101" s="282"/>
      <c r="AC101" s="638"/>
      <c r="AD101" s="1421"/>
      <c r="AE101" s="1421"/>
      <c r="AF101" s="1421"/>
      <c r="AG101" s="1421"/>
      <c r="AH101" s="1421"/>
      <c r="AI101" s="1421"/>
      <c r="AJ101" s="1421"/>
      <c r="AK101" s="1421"/>
      <c r="AL101" s="1421"/>
      <c r="AM101" s="1421"/>
      <c r="AN101" s="1421"/>
      <c r="AO101" s="1421"/>
      <c r="AP101" s="1421"/>
      <c r="AQ101" s="1421"/>
      <c r="AR101" s="1421"/>
      <c r="AS101" s="1878"/>
      <c r="AT101" s="1878"/>
      <c r="AU101" s="1878"/>
      <c r="AV101" s="1878"/>
      <c r="AW101" s="1878"/>
      <c r="AX101" s="1878"/>
      <c r="AY101" s="1421"/>
      <c r="AZ101" s="1421"/>
      <c r="BA101" s="1421"/>
      <c r="BB101" s="1421"/>
      <c r="BC101" s="1421"/>
      <c r="BD101" s="1421"/>
      <c r="BE101" s="1421"/>
      <c r="BF101" s="1421"/>
      <c r="BG101" s="1421"/>
      <c r="BH101" s="1421"/>
      <c r="BI101" s="1421"/>
      <c r="BJ101" s="1421"/>
      <c r="BK101" s="1421"/>
      <c r="BL101" s="1421"/>
      <c r="BM101" s="1421"/>
      <c r="BN101" s="1421"/>
      <c r="BO101" s="1421"/>
      <c r="BP101" s="1421"/>
      <c r="BQ101" s="1421"/>
      <c r="BR101" s="1421"/>
      <c r="BS101" s="1421"/>
      <c r="BT101" s="1421"/>
      <c r="BU101" s="1421"/>
      <c r="BV101" s="1421"/>
      <c r="BW101" s="1421"/>
      <c r="BX101" s="1421"/>
      <c r="BY101" s="1421"/>
      <c r="BZ101" s="1421"/>
      <c r="CA101" s="1421"/>
      <c r="CB101" s="1421"/>
      <c r="CG101" s="2159" t="s">
        <v>1667</v>
      </c>
      <c r="CH101" s="33">
        <v>350</v>
      </c>
      <c r="CI101" s="33">
        <v>210</v>
      </c>
      <c r="CJ101" s="33">
        <v>10</v>
      </c>
      <c r="CK101" s="2158">
        <v>21</v>
      </c>
      <c r="CL101" s="2158">
        <v>21</v>
      </c>
      <c r="CM101" s="2152">
        <v>0</v>
      </c>
      <c r="CN101" s="2152">
        <v>0</v>
      </c>
      <c r="CO101" s="2152">
        <v>60</v>
      </c>
      <c r="CP101" s="2155">
        <v>0.11</v>
      </c>
      <c r="CQ101" s="2147"/>
      <c r="CS101" s="1922"/>
      <c r="CT101" s="1923"/>
    </row>
    <row r="102" spans="1:98">
      <c r="A102" s="175"/>
      <c r="B102" s="1421"/>
      <c r="C102" s="1421"/>
      <c r="D102" s="175"/>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75"/>
      <c r="AB102" s="282"/>
      <c r="AC102" s="638"/>
      <c r="AD102" s="1421"/>
      <c r="AE102" s="1421"/>
      <c r="AF102" s="1421"/>
      <c r="AG102" s="1421"/>
      <c r="AH102" s="1421"/>
      <c r="AI102" s="1421"/>
      <c r="AJ102" s="1421"/>
      <c r="AK102" s="1421"/>
      <c r="AL102" s="1421"/>
      <c r="AM102" s="1421"/>
      <c r="AN102" s="1421"/>
      <c r="AO102" s="1421"/>
      <c r="AP102" s="1421"/>
      <c r="AQ102" s="1421"/>
      <c r="AR102" s="1421"/>
      <c r="AS102" s="1878"/>
      <c r="AT102" s="1878"/>
      <c r="AU102" s="1878"/>
      <c r="AV102" s="1878"/>
      <c r="AW102" s="1878"/>
      <c r="AX102" s="1878"/>
      <c r="AY102" s="1421"/>
      <c r="AZ102" s="1421"/>
      <c r="BA102" s="1421"/>
      <c r="BB102" s="1421"/>
      <c r="BC102" s="1421"/>
      <c r="BD102" s="1421"/>
      <c r="BE102" s="1421"/>
      <c r="BF102" s="1421"/>
      <c r="BG102" s="1421"/>
      <c r="BH102" s="1421"/>
      <c r="BI102" s="1421"/>
      <c r="BJ102" s="1421"/>
      <c r="BK102" s="1421"/>
      <c r="BL102" s="1421"/>
      <c r="BM102" s="1421"/>
      <c r="BN102" s="1421"/>
      <c r="BO102" s="1421"/>
      <c r="BP102" s="1421"/>
      <c r="BQ102" s="1421"/>
      <c r="BR102" s="1421"/>
      <c r="BS102" s="1421"/>
      <c r="BT102" s="1421"/>
      <c r="BU102" s="1421"/>
      <c r="BV102" s="1421"/>
      <c r="BW102" s="1421"/>
      <c r="BX102" s="1421"/>
      <c r="BY102" s="1421"/>
      <c r="BZ102" s="1421"/>
      <c r="CA102" s="1421"/>
      <c r="CB102" s="1421"/>
      <c r="CG102" s="2159" t="s">
        <v>1668</v>
      </c>
      <c r="CH102" s="33">
        <v>300</v>
      </c>
      <c r="CI102" s="33">
        <v>130</v>
      </c>
      <c r="CJ102" s="33">
        <v>10</v>
      </c>
      <c r="CK102" s="2158">
        <v>13</v>
      </c>
      <c r="CL102" s="2158">
        <v>13</v>
      </c>
      <c r="CM102" s="2152">
        <v>0</v>
      </c>
      <c r="CN102" s="2152">
        <v>0</v>
      </c>
      <c r="CO102" s="2152">
        <v>60</v>
      </c>
      <c r="CP102" s="2155">
        <v>0.08</v>
      </c>
      <c r="CQ102" s="2147"/>
      <c r="CS102" s="1912"/>
      <c r="CT102" s="1913"/>
    </row>
    <row r="103" spans="1:98">
      <c r="CG103" s="2141" t="s">
        <v>1669</v>
      </c>
      <c r="CH103" s="33">
        <v>200</v>
      </c>
      <c r="CI103" s="33">
        <v>145</v>
      </c>
      <c r="CJ103" s="33">
        <v>10</v>
      </c>
      <c r="CK103" s="2153">
        <v>7</v>
      </c>
      <c r="CL103" s="2153">
        <v>7</v>
      </c>
      <c r="CM103" s="2164">
        <v>0</v>
      </c>
      <c r="CN103" s="2164">
        <v>0</v>
      </c>
      <c r="CO103" s="2164">
        <v>60</v>
      </c>
      <c r="CP103" s="2157">
        <v>0.09</v>
      </c>
      <c r="CQ103" s="2147"/>
      <c r="CS103" s="1912"/>
      <c r="CT103" s="1913"/>
    </row>
    <row r="104" spans="1:98">
      <c r="CG104" s="2141" t="s">
        <v>1377</v>
      </c>
      <c r="CH104" s="33">
        <v>280</v>
      </c>
      <c r="CI104" s="33">
        <v>240</v>
      </c>
      <c r="CJ104" s="33">
        <v>20</v>
      </c>
      <c r="CK104" s="323">
        <v>20</v>
      </c>
      <c r="CL104" s="323">
        <v>20</v>
      </c>
      <c r="CM104" s="323">
        <f t="shared" ref="CM104:CM110" si="54">CL104*2/3</f>
        <v>13.333333333333334</v>
      </c>
      <c r="CN104" s="323">
        <v>55</v>
      </c>
      <c r="CO104" s="323">
        <v>60</v>
      </c>
      <c r="CP104" s="1001">
        <v>0.13700000000000001</v>
      </c>
      <c r="CQ104" s="2147"/>
      <c r="CS104" s="1912"/>
      <c r="CT104" s="1913"/>
    </row>
    <row r="105" spans="1:98">
      <c r="CG105" s="2141" t="s">
        <v>1378</v>
      </c>
      <c r="CH105" s="33">
        <v>300</v>
      </c>
      <c r="CI105" s="33">
        <v>210</v>
      </c>
      <c r="CJ105" s="33">
        <v>20</v>
      </c>
      <c r="CK105" s="323">
        <v>20</v>
      </c>
      <c r="CL105" s="323">
        <v>20</v>
      </c>
      <c r="CM105" s="323">
        <f t="shared" si="54"/>
        <v>13.333333333333334</v>
      </c>
      <c r="CN105" s="323">
        <v>10</v>
      </c>
      <c r="CO105" s="323">
        <v>60</v>
      </c>
      <c r="CP105" s="1001">
        <v>0.13700000000000001</v>
      </c>
      <c r="CQ105" s="2147"/>
      <c r="CS105" s="1912"/>
      <c r="CT105" s="1913"/>
    </row>
    <row r="106" spans="1:98">
      <c r="CG106" s="2141" t="s">
        <v>1379</v>
      </c>
      <c r="CH106" s="33">
        <v>200</v>
      </c>
      <c r="CI106" s="33">
        <v>180</v>
      </c>
      <c r="CJ106" s="33">
        <v>20</v>
      </c>
      <c r="CK106" s="323">
        <v>20</v>
      </c>
      <c r="CL106" s="323">
        <v>20</v>
      </c>
      <c r="CM106" s="323">
        <f t="shared" si="54"/>
        <v>13.333333333333334</v>
      </c>
      <c r="CN106" s="323">
        <v>25</v>
      </c>
      <c r="CO106" s="323">
        <v>60</v>
      </c>
      <c r="CP106" s="1001">
        <v>0.13700000000000001</v>
      </c>
      <c r="CQ106" s="2147"/>
      <c r="CS106" s="1912"/>
      <c r="CT106" s="1913"/>
    </row>
    <row r="107" spans="1:98">
      <c r="CG107" s="2154" t="s">
        <v>1597</v>
      </c>
      <c r="CH107" s="33">
        <v>500</v>
      </c>
      <c r="CI107" s="33">
        <v>310</v>
      </c>
      <c r="CJ107" s="33">
        <v>10</v>
      </c>
      <c r="CK107" s="2153">
        <v>31</v>
      </c>
      <c r="CL107" s="2153">
        <v>31</v>
      </c>
      <c r="CM107" s="2154">
        <v>0</v>
      </c>
      <c r="CN107" s="2154">
        <v>0</v>
      </c>
      <c r="CO107" s="2154">
        <v>60</v>
      </c>
      <c r="CP107" s="2157">
        <v>0.13700000000000001</v>
      </c>
      <c r="CQ107" s="2147"/>
      <c r="CS107" s="1912"/>
      <c r="CT107" s="1913"/>
    </row>
    <row r="108" spans="1:98">
      <c r="CG108" s="2141" t="s">
        <v>1296</v>
      </c>
      <c r="CH108" s="33">
        <v>200</v>
      </c>
      <c r="CI108" s="33">
        <v>75</v>
      </c>
      <c r="CJ108" s="33">
        <v>20</v>
      </c>
      <c r="CK108" s="323">
        <v>20</v>
      </c>
      <c r="CL108" s="323">
        <v>20</v>
      </c>
      <c r="CM108" s="323">
        <f t="shared" si="54"/>
        <v>13.333333333333334</v>
      </c>
      <c r="CN108" s="323">
        <v>25</v>
      </c>
      <c r="CO108" s="323">
        <v>90</v>
      </c>
      <c r="CP108" s="1001">
        <v>0.16</v>
      </c>
      <c r="CQ108" s="2147"/>
      <c r="CS108" s="1912"/>
      <c r="CT108" s="1913"/>
    </row>
    <row r="109" spans="1:98">
      <c r="CG109" s="2141" t="s">
        <v>1380</v>
      </c>
      <c r="CH109" s="33">
        <v>600</v>
      </c>
      <c r="CI109" s="33">
        <v>205</v>
      </c>
      <c r="CJ109" s="33">
        <v>20</v>
      </c>
      <c r="CK109" s="323">
        <v>20</v>
      </c>
      <c r="CL109" s="323">
        <v>20</v>
      </c>
      <c r="CM109" s="323">
        <f t="shared" si="54"/>
        <v>13.333333333333334</v>
      </c>
      <c r="CN109" s="323">
        <v>10</v>
      </c>
      <c r="CO109" s="323">
        <v>30</v>
      </c>
      <c r="CP109" s="1001">
        <v>0.126</v>
      </c>
      <c r="CQ109" s="2147"/>
      <c r="CS109" s="1912"/>
      <c r="CT109" s="1913"/>
    </row>
    <row r="110" spans="1:98">
      <c r="CG110" s="2141" t="s">
        <v>1381</v>
      </c>
      <c r="CH110" s="33">
        <v>650</v>
      </c>
      <c r="CI110" s="33">
        <v>220</v>
      </c>
      <c r="CJ110" s="33">
        <v>20</v>
      </c>
      <c r="CK110" s="323">
        <v>40</v>
      </c>
      <c r="CL110" s="323">
        <v>40</v>
      </c>
      <c r="CM110" s="323">
        <f t="shared" si="54"/>
        <v>26.666666666666668</v>
      </c>
      <c r="CN110" s="323">
        <v>40</v>
      </c>
      <c r="CO110" s="323">
        <v>60</v>
      </c>
      <c r="CP110" s="1001">
        <v>0.14899999999999999</v>
      </c>
      <c r="CQ110" s="2147"/>
      <c r="CS110" s="1912"/>
      <c r="CT110" s="1913"/>
    </row>
    <row r="111" spans="1:98">
      <c r="CG111" s="2141" t="s">
        <v>1670</v>
      </c>
      <c r="CH111" s="33">
        <v>550</v>
      </c>
      <c r="CI111" s="33">
        <v>245</v>
      </c>
      <c r="CJ111" s="33">
        <v>10</v>
      </c>
      <c r="CK111" s="2153">
        <v>25</v>
      </c>
      <c r="CL111" s="2153">
        <v>25</v>
      </c>
      <c r="CM111" s="2164">
        <v>0</v>
      </c>
      <c r="CN111" s="2164">
        <v>0</v>
      </c>
      <c r="CO111" s="2164">
        <v>60</v>
      </c>
      <c r="CP111" s="2155">
        <v>0.11</v>
      </c>
      <c r="CQ111" s="2147"/>
      <c r="CS111" s="1912"/>
      <c r="CT111" s="1913"/>
    </row>
    <row r="112" spans="1:98">
      <c r="CG112" s="2141" t="s">
        <v>1382</v>
      </c>
      <c r="CH112" s="33">
        <v>500</v>
      </c>
      <c r="CI112" s="33">
        <v>230</v>
      </c>
      <c r="CJ112" s="33">
        <v>20</v>
      </c>
      <c r="CK112" s="323">
        <v>20</v>
      </c>
      <c r="CL112" s="323">
        <v>20</v>
      </c>
      <c r="CM112" s="323">
        <f t="shared" ref="CM112:CM122" si="55">CL112*2/3</f>
        <v>13.333333333333334</v>
      </c>
      <c r="CN112" s="323">
        <v>40</v>
      </c>
      <c r="CO112" s="323">
        <v>30</v>
      </c>
      <c r="CP112" s="1001">
        <v>0.115</v>
      </c>
      <c r="CQ112" s="2147"/>
      <c r="CS112" s="1912"/>
      <c r="CT112" s="1913"/>
    </row>
    <row r="113" spans="85:98">
      <c r="CG113" s="2141" t="s">
        <v>1383</v>
      </c>
      <c r="CH113" s="33">
        <v>0</v>
      </c>
      <c r="CI113" s="33">
        <v>140</v>
      </c>
      <c r="CJ113" s="33">
        <v>20</v>
      </c>
      <c r="CK113" s="323">
        <v>20</v>
      </c>
      <c r="CL113" s="323">
        <v>20</v>
      </c>
      <c r="CM113" s="323">
        <f t="shared" si="55"/>
        <v>13.333333333333334</v>
      </c>
      <c r="CN113" s="323"/>
      <c r="CO113" s="323">
        <v>60</v>
      </c>
      <c r="CP113" s="1001">
        <v>8.2000000000000003E-2</v>
      </c>
      <c r="CQ113" s="2147"/>
      <c r="CS113" s="1912"/>
      <c r="CT113" s="1913"/>
    </row>
    <row r="114" spans="85:98">
      <c r="CG114" s="2141" t="s">
        <v>1384</v>
      </c>
      <c r="CH114" s="33">
        <v>20</v>
      </c>
      <c r="CI114" s="33">
        <v>160</v>
      </c>
      <c r="CJ114" s="33">
        <v>20</v>
      </c>
      <c r="CK114" s="323">
        <v>20</v>
      </c>
      <c r="CL114" s="323">
        <v>20</v>
      </c>
      <c r="CM114" s="323">
        <f t="shared" si="55"/>
        <v>13.333333333333334</v>
      </c>
      <c r="CN114" s="323"/>
      <c r="CO114" s="323">
        <v>90</v>
      </c>
      <c r="CP114" s="1001">
        <v>8.2000000000000003E-2</v>
      </c>
      <c r="CQ114" s="2147"/>
      <c r="CS114" s="1912"/>
      <c r="CT114" s="1913"/>
    </row>
    <row r="115" spans="85:98">
      <c r="CG115" s="2141" t="s">
        <v>1385</v>
      </c>
      <c r="CH115" s="33">
        <v>0</v>
      </c>
      <c r="CI115" s="33">
        <v>160</v>
      </c>
      <c r="CJ115" s="33">
        <v>20</v>
      </c>
      <c r="CK115" s="323">
        <v>20</v>
      </c>
      <c r="CL115" s="323">
        <v>20</v>
      </c>
      <c r="CM115" s="323">
        <f t="shared" si="55"/>
        <v>13.333333333333334</v>
      </c>
      <c r="CN115" s="323"/>
      <c r="CO115" s="323">
        <v>90</v>
      </c>
      <c r="CP115" s="1001">
        <v>8.2000000000000003E-2</v>
      </c>
      <c r="CQ115" s="2147"/>
      <c r="CS115" s="1912"/>
      <c r="CT115" s="1913"/>
    </row>
    <row r="116" spans="85:98">
      <c r="CG116" s="2141" t="s">
        <v>1386</v>
      </c>
      <c r="CH116" s="33">
        <v>80</v>
      </c>
      <c r="CI116" s="33">
        <v>160</v>
      </c>
      <c r="CJ116" s="33">
        <v>20</v>
      </c>
      <c r="CK116" s="323">
        <v>20</v>
      </c>
      <c r="CL116" s="323">
        <v>20</v>
      </c>
      <c r="CM116" s="323">
        <f t="shared" si="55"/>
        <v>13.333333333333334</v>
      </c>
      <c r="CN116" s="323"/>
      <c r="CO116" s="323">
        <v>90</v>
      </c>
      <c r="CP116" s="1001">
        <v>8.2000000000000003E-2</v>
      </c>
      <c r="CQ116" s="2147"/>
      <c r="CS116" s="1910"/>
      <c r="CT116" s="1911"/>
    </row>
    <row r="117" spans="85:98">
      <c r="CG117" s="2141" t="s">
        <v>1387</v>
      </c>
      <c r="CH117" s="33">
        <v>100</v>
      </c>
      <c r="CI117" s="33">
        <v>80</v>
      </c>
      <c r="CJ117" s="33">
        <v>20</v>
      </c>
      <c r="CK117" s="323">
        <v>20</v>
      </c>
      <c r="CL117" s="323">
        <v>20</v>
      </c>
      <c r="CM117" s="323">
        <f t="shared" si="55"/>
        <v>13.333333333333334</v>
      </c>
      <c r="CN117" s="323"/>
      <c r="CO117" s="323">
        <v>90</v>
      </c>
      <c r="CP117" s="1001">
        <v>8.2000000000000003E-2</v>
      </c>
      <c r="CQ117" s="2147"/>
      <c r="CS117" s="1912"/>
      <c r="CT117" s="1913"/>
    </row>
    <row r="118" spans="85:98">
      <c r="CG118" s="2141" t="s">
        <v>1388</v>
      </c>
      <c r="CH118" s="33">
        <v>100</v>
      </c>
      <c r="CI118" s="33">
        <v>100</v>
      </c>
      <c r="CJ118" s="33">
        <v>20</v>
      </c>
      <c r="CK118" s="323">
        <v>20</v>
      </c>
      <c r="CL118" s="323">
        <v>20</v>
      </c>
      <c r="CM118" s="323">
        <f t="shared" si="55"/>
        <v>13.333333333333334</v>
      </c>
      <c r="CN118" s="323">
        <v>10</v>
      </c>
      <c r="CO118" s="323">
        <v>30</v>
      </c>
      <c r="CP118" s="1001">
        <v>0.115</v>
      </c>
      <c r="CQ118" s="2147"/>
      <c r="CS118" s="1912"/>
      <c r="CT118" s="1913"/>
    </row>
    <row r="119" spans="85:98">
      <c r="CG119" s="2141" t="s">
        <v>1297</v>
      </c>
      <c r="CH119" s="33">
        <v>250</v>
      </c>
      <c r="CI119" s="33">
        <v>190</v>
      </c>
      <c r="CJ119" s="33">
        <v>20</v>
      </c>
      <c r="CK119" s="323">
        <v>20</v>
      </c>
      <c r="CL119" s="323">
        <v>20</v>
      </c>
      <c r="CM119" s="323">
        <f t="shared" si="55"/>
        <v>13.333333333333334</v>
      </c>
      <c r="CN119" s="323">
        <v>30</v>
      </c>
      <c r="CO119" s="323">
        <v>30</v>
      </c>
      <c r="CP119" s="1001">
        <v>0.115</v>
      </c>
      <c r="CQ119" s="2147"/>
      <c r="CS119" s="1924"/>
      <c r="CT119" s="1925"/>
    </row>
    <row r="120" spans="85:98">
      <c r="CG120" s="2141" t="s">
        <v>1298</v>
      </c>
      <c r="CH120" s="33">
        <v>300</v>
      </c>
      <c r="CI120" s="33">
        <v>205</v>
      </c>
      <c r="CJ120" s="33">
        <v>20</v>
      </c>
      <c r="CK120" s="323">
        <v>20</v>
      </c>
      <c r="CL120" s="323">
        <v>20</v>
      </c>
      <c r="CM120" s="323">
        <f t="shared" si="55"/>
        <v>13.333333333333334</v>
      </c>
      <c r="CN120" s="323">
        <v>30</v>
      </c>
      <c r="CO120" s="323">
        <v>30</v>
      </c>
      <c r="CP120" s="1001">
        <v>0.115</v>
      </c>
      <c r="CQ120" s="2147"/>
      <c r="CS120" s="1912"/>
      <c r="CT120" s="1913"/>
    </row>
    <row r="121" spans="85:98">
      <c r="CG121" s="2143" t="s">
        <v>1671</v>
      </c>
      <c r="CH121" s="33">
        <v>310</v>
      </c>
      <c r="CI121" s="33">
        <v>240</v>
      </c>
      <c r="CJ121" s="33">
        <v>20</v>
      </c>
      <c r="CK121" s="2144">
        <v>20</v>
      </c>
      <c r="CL121" s="2144">
        <v>20</v>
      </c>
      <c r="CM121" s="2144">
        <f t="shared" si="55"/>
        <v>13.333333333333334</v>
      </c>
      <c r="CN121" s="2144">
        <v>50</v>
      </c>
      <c r="CO121" s="2144">
        <v>30</v>
      </c>
      <c r="CP121" s="2148">
        <v>0.115</v>
      </c>
      <c r="CQ121" s="2147"/>
      <c r="CS121" s="1920"/>
      <c r="CT121" s="1920"/>
    </row>
    <row r="122" spans="85:98">
      <c r="CG122" s="2143" t="s">
        <v>1672</v>
      </c>
      <c r="CH122" s="33">
        <v>360</v>
      </c>
      <c r="CI122" s="33">
        <v>300</v>
      </c>
      <c r="CJ122" s="33">
        <v>20</v>
      </c>
      <c r="CK122" s="2144">
        <v>20</v>
      </c>
      <c r="CL122" s="2144">
        <v>20</v>
      </c>
      <c r="CM122" s="2144">
        <f t="shared" si="55"/>
        <v>13.333333333333334</v>
      </c>
      <c r="CN122" s="2144">
        <v>50</v>
      </c>
      <c r="CO122" s="2144">
        <v>30</v>
      </c>
      <c r="CP122" s="2148">
        <v>0.115</v>
      </c>
      <c r="CQ122" s="2147"/>
      <c r="CS122" s="1910"/>
      <c r="CT122" s="1911"/>
    </row>
    <row r="123" spans="85:98">
      <c r="CG123" s="2140" t="s">
        <v>1627</v>
      </c>
      <c r="CH123" s="33">
        <v>350</v>
      </c>
      <c r="CI123" s="33">
        <v>185</v>
      </c>
      <c r="CJ123" s="33">
        <v>10</v>
      </c>
      <c r="CK123" s="2153">
        <v>19</v>
      </c>
      <c r="CL123" s="2153">
        <v>19</v>
      </c>
      <c r="CM123" s="2152">
        <v>0</v>
      </c>
      <c r="CN123" s="2152">
        <v>0</v>
      </c>
      <c r="CO123" s="2152">
        <v>60</v>
      </c>
      <c r="CP123" s="2157">
        <v>0.12</v>
      </c>
      <c r="CQ123" s="2147"/>
      <c r="CS123" s="1912"/>
      <c r="CT123" s="1913"/>
    </row>
    <row r="124" spans="85:98">
      <c r="CG124" s="2141" t="s">
        <v>1389</v>
      </c>
      <c r="CH124" s="33">
        <v>250</v>
      </c>
      <c r="CI124" s="33">
        <v>100</v>
      </c>
      <c r="CJ124" s="33">
        <v>20</v>
      </c>
      <c r="CK124" s="323">
        <v>20</v>
      </c>
      <c r="CL124" s="323">
        <v>20</v>
      </c>
      <c r="CM124" s="323">
        <f>CL124*2/3</f>
        <v>13.333333333333334</v>
      </c>
      <c r="CN124" s="323">
        <v>70</v>
      </c>
      <c r="CO124" s="323">
        <v>60</v>
      </c>
      <c r="CP124" s="1001">
        <v>9.1999999999999998E-2</v>
      </c>
      <c r="CQ124" s="2147"/>
      <c r="CS124" s="1912"/>
      <c r="CT124" s="1913"/>
    </row>
    <row r="125" spans="85:98">
      <c r="CG125" s="2141" t="s">
        <v>1299</v>
      </c>
      <c r="CH125" s="33">
        <v>150</v>
      </c>
      <c r="CI125" s="33">
        <v>110</v>
      </c>
      <c r="CJ125" s="33">
        <v>20</v>
      </c>
      <c r="CK125" s="323">
        <v>20</v>
      </c>
      <c r="CL125" s="323">
        <v>20</v>
      </c>
      <c r="CM125" s="323">
        <f>CL125*2/3</f>
        <v>13.333333333333334</v>
      </c>
      <c r="CN125" s="323">
        <v>30</v>
      </c>
      <c r="CO125" s="323">
        <v>60</v>
      </c>
      <c r="CP125" s="1001">
        <v>0.24099999999999999</v>
      </c>
      <c r="CQ125" s="2147"/>
      <c r="CS125" s="1912"/>
      <c r="CT125" s="1913"/>
    </row>
    <row r="126" spans="85:98">
      <c r="CG126" s="2159" t="s">
        <v>1673</v>
      </c>
      <c r="CH126" s="33">
        <v>150</v>
      </c>
      <c r="CI126" s="33">
        <v>100</v>
      </c>
      <c r="CJ126" s="33">
        <v>10</v>
      </c>
      <c r="CK126" s="2158">
        <v>5</v>
      </c>
      <c r="CL126" s="2158">
        <v>5</v>
      </c>
      <c r="CM126" s="2152">
        <v>0</v>
      </c>
      <c r="CN126" s="2152">
        <v>0</v>
      </c>
      <c r="CO126" s="2152">
        <v>60</v>
      </c>
      <c r="CP126" s="2155">
        <v>0.12</v>
      </c>
      <c r="CQ126" s="2147"/>
      <c r="CS126" s="1912"/>
      <c r="CT126" s="1913"/>
    </row>
    <row r="127" spans="85:98">
      <c r="CG127" s="2141" t="s">
        <v>1390</v>
      </c>
      <c r="CH127" s="33">
        <v>700</v>
      </c>
      <c r="CI127" s="33">
        <v>260</v>
      </c>
      <c r="CJ127" s="33">
        <v>20</v>
      </c>
      <c r="CK127" s="323">
        <v>40</v>
      </c>
      <c r="CL127" s="323">
        <v>40</v>
      </c>
      <c r="CM127" s="323">
        <f>CL127*2/3</f>
        <v>26.666666666666668</v>
      </c>
      <c r="CN127" s="323">
        <v>75</v>
      </c>
      <c r="CO127" s="323">
        <v>60</v>
      </c>
      <c r="CP127" s="1001">
        <v>7.2999999999999995E-2</v>
      </c>
      <c r="CQ127" s="2147"/>
      <c r="CS127" s="1912"/>
      <c r="CT127" s="1913"/>
    </row>
    <row r="128" spans="85:98">
      <c r="CG128" s="2141" t="s">
        <v>1391</v>
      </c>
      <c r="CH128" s="33">
        <v>1000</v>
      </c>
      <c r="CI128" s="33">
        <v>320</v>
      </c>
      <c r="CJ128" s="33">
        <v>20</v>
      </c>
      <c r="CK128" s="323">
        <v>40</v>
      </c>
      <c r="CL128" s="323">
        <v>40</v>
      </c>
      <c r="CM128" s="323">
        <f>CL128*2/3</f>
        <v>26.666666666666668</v>
      </c>
      <c r="CN128" s="323">
        <v>75</v>
      </c>
      <c r="CO128" s="323">
        <v>90</v>
      </c>
      <c r="CP128" s="1001">
        <v>7.2999999999999995E-2</v>
      </c>
      <c r="CQ128" s="2147"/>
      <c r="CS128" s="1912"/>
      <c r="CT128" s="1913"/>
    </row>
    <row r="129" spans="85:98">
      <c r="CG129" s="2159" t="s">
        <v>1674</v>
      </c>
      <c r="CH129" s="33">
        <v>100</v>
      </c>
      <c r="CI129" s="33">
        <v>80</v>
      </c>
      <c r="CJ129" s="33">
        <v>10</v>
      </c>
      <c r="CK129" s="2158">
        <v>4</v>
      </c>
      <c r="CL129" s="2158">
        <v>4</v>
      </c>
      <c r="CM129" s="2152">
        <v>0</v>
      </c>
      <c r="CN129" s="2152">
        <v>0</v>
      </c>
      <c r="CO129" s="2152">
        <v>30</v>
      </c>
      <c r="CP129" s="2165">
        <v>0.1</v>
      </c>
      <c r="CQ129" s="2147"/>
      <c r="CS129" s="1920"/>
      <c r="CT129" s="1920"/>
    </row>
    <row r="130" spans="85:98">
      <c r="CG130" s="2152" t="s">
        <v>1637</v>
      </c>
      <c r="CH130" s="33">
        <v>800</v>
      </c>
      <c r="CI130" s="33">
        <v>440</v>
      </c>
      <c r="CJ130" s="33">
        <v>10</v>
      </c>
      <c r="CK130" s="2153">
        <v>44</v>
      </c>
      <c r="CL130" s="2153">
        <v>44</v>
      </c>
      <c r="CM130" s="2152">
        <v>0</v>
      </c>
      <c r="CN130" s="2152">
        <v>0</v>
      </c>
      <c r="CO130" s="2154">
        <v>60</v>
      </c>
      <c r="CP130" s="2155">
        <v>0.13700000000000001</v>
      </c>
      <c r="CQ130" s="2147"/>
      <c r="CS130" s="1926"/>
      <c r="CT130" s="1926"/>
    </row>
    <row r="131" spans="85:98">
      <c r="CG131" s="2141" t="s">
        <v>1300</v>
      </c>
      <c r="CH131" s="2129">
        <v>400</v>
      </c>
      <c r="CI131" s="2129">
        <v>285</v>
      </c>
      <c r="CJ131" s="2129">
        <v>20</v>
      </c>
      <c r="CK131" s="323">
        <v>40</v>
      </c>
      <c r="CL131" s="323">
        <v>40</v>
      </c>
      <c r="CM131" s="323">
        <f>CL131*2/3</f>
        <v>26.666666666666668</v>
      </c>
      <c r="CN131" s="323">
        <v>80</v>
      </c>
      <c r="CO131" s="323">
        <v>60</v>
      </c>
      <c r="CP131" s="1001">
        <v>0.115</v>
      </c>
      <c r="CQ131" s="2147"/>
      <c r="CS131" s="1912"/>
      <c r="CT131" s="1912"/>
    </row>
    <row r="132" spans="85:98" ht="15.75">
      <c r="CG132" s="2159" t="s">
        <v>1675</v>
      </c>
      <c r="CH132" s="2129">
        <v>300</v>
      </c>
      <c r="CI132" s="2129">
        <v>185</v>
      </c>
      <c r="CJ132" s="2129">
        <v>10</v>
      </c>
      <c r="CK132" s="2158">
        <v>19</v>
      </c>
      <c r="CL132" s="2158">
        <v>19</v>
      </c>
      <c r="CM132" s="2164">
        <v>0</v>
      </c>
      <c r="CN132" s="2164">
        <v>0</v>
      </c>
      <c r="CO132" s="2164">
        <v>60</v>
      </c>
      <c r="CP132" s="2155">
        <v>0.14000000000000001</v>
      </c>
      <c r="CQ132" s="2147"/>
      <c r="CS132" s="1927"/>
      <c r="CT132" s="1927"/>
    </row>
    <row r="133" spans="85:98" ht="15.75">
      <c r="CG133" s="2141" t="s">
        <v>1301</v>
      </c>
      <c r="CH133" s="2129">
        <v>650</v>
      </c>
      <c r="CI133" s="2129">
        <v>250</v>
      </c>
      <c r="CJ133" s="2129">
        <v>20</v>
      </c>
      <c r="CK133" s="323">
        <v>20</v>
      </c>
      <c r="CL133" s="323">
        <v>20</v>
      </c>
      <c r="CM133" s="323">
        <f>CL133*2/3</f>
        <v>13.333333333333334</v>
      </c>
      <c r="CN133" s="323">
        <v>85</v>
      </c>
      <c r="CO133" s="323">
        <v>60</v>
      </c>
      <c r="CP133" s="1001">
        <v>0.06</v>
      </c>
      <c r="CQ133" s="2147"/>
      <c r="CS133" s="1927"/>
      <c r="CT133" s="1927"/>
    </row>
    <row r="134" spans="85:98" ht="15.75">
      <c r="CG134" s="2141" t="s">
        <v>1302</v>
      </c>
      <c r="CH134" s="2129">
        <v>200</v>
      </c>
      <c r="CI134" s="2129">
        <v>160</v>
      </c>
      <c r="CJ134" s="2129">
        <v>20</v>
      </c>
      <c r="CK134" s="323">
        <v>20</v>
      </c>
      <c r="CL134" s="323">
        <v>20</v>
      </c>
      <c r="CM134" s="323">
        <f>CL134*2/3</f>
        <v>13.333333333333334</v>
      </c>
      <c r="CN134" s="323">
        <v>60</v>
      </c>
      <c r="CO134" s="323">
        <v>90</v>
      </c>
      <c r="CP134" s="1001">
        <v>0.16</v>
      </c>
      <c r="CQ134" s="2147"/>
      <c r="CS134" s="1927"/>
      <c r="CT134" s="1927"/>
    </row>
    <row r="135" spans="85:98" ht="15.75">
      <c r="CG135" s="2141" t="s">
        <v>1392</v>
      </c>
      <c r="CH135" s="2129">
        <v>680</v>
      </c>
      <c r="CI135" s="2129">
        <v>210</v>
      </c>
      <c r="CJ135" s="2129">
        <v>20</v>
      </c>
      <c r="CK135" s="323">
        <v>20</v>
      </c>
      <c r="CL135" s="323">
        <v>20</v>
      </c>
      <c r="CM135" s="323">
        <f>CL135*2/3</f>
        <v>13.333333333333334</v>
      </c>
      <c r="CN135" s="323">
        <v>15</v>
      </c>
      <c r="CO135" s="323">
        <v>30</v>
      </c>
      <c r="CP135" s="1001">
        <v>0.06</v>
      </c>
      <c r="CQ135" s="2147"/>
      <c r="CS135" s="1927"/>
      <c r="CT135" s="1927"/>
    </row>
    <row r="136" spans="85:98" ht="15.75">
      <c r="CG136" s="2141" t="s">
        <v>1676</v>
      </c>
      <c r="CH136" s="2129">
        <v>250</v>
      </c>
      <c r="CI136" s="2129">
        <v>130</v>
      </c>
      <c r="CJ136" s="2129">
        <v>20</v>
      </c>
      <c r="CK136" s="323">
        <v>20</v>
      </c>
      <c r="CL136" s="323">
        <v>20</v>
      </c>
      <c r="CM136" s="323">
        <f>CL136*2/3</f>
        <v>13.333333333333334</v>
      </c>
      <c r="CN136" s="323">
        <v>30</v>
      </c>
      <c r="CO136" s="323">
        <v>60</v>
      </c>
      <c r="CP136" s="1001">
        <v>0.12</v>
      </c>
      <c r="CQ136" s="2147"/>
      <c r="CS136" s="1927"/>
      <c r="CT136" s="1927"/>
    </row>
    <row r="137" spans="85:98">
      <c r="CG137" s="2141" t="s">
        <v>1303</v>
      </c>
      <c r="CH137" s="2129">
        <v>600</v>
      </c>
      <c r="CI137" s="2129">
        <v>155</v>
      </c>
      <c r="CJ137" s="2129">
        <v>20</v>
      </c>
      <c r="CK137" s="323">
        <v>20</v>
      </c>
      <c r="CL137" s="323">
        <v>20</v>
      </c>
      <c r="CM137" s="323">
        <f>CL137*2/3</f>
        <v>13.333333333333334</v>
      </c>
      <c r="CN137" s="323">
        <v>30</v>
      </c>
      <c r="CO137" s="323">
        <v>60</v>
      </c>
      <c r="CP137" s="1001">
        <v>0.08</v>
      </c>
      <c r="CQ137" s="2147"/>
    </row>
    <row r="138" spans="85:98" ht="15.75">
      <c r="CH138" s="2129"/>
      <c r="CI138" s="2129"/>
      <c r="CJ138" s="2129"/>
      <c r="CK138" s="2129"/>
      <c r="CL138" s="2129"/>
      <c r="CM138" s="2129"/>
      <c r="CN138" s="2129"/>
      <c r="CO138" s="1936"/>
      <c r="CP138" s="1936"/>
      <c r="CQ138" s="2147"/>
    </row>
    <row r="139" spans="85:98" ht="15.75">
      <c r="CH139" s="2129"/>
      <c r="CI139" s="2129"/>
      <c r="CJ139" s="2129"/>
      <c r="CK139" s="2129"/>
      <c r="CL139" s="2129"/>
      <c r="CM139" s="2129"/>
      <c r="CN139" s="2129"/>
      <c r="CO139" s="1936"/>
      <c r="CP139" s="1936"/>
      <c r="CQ139" s="2147"/>
    </row>
    <row r="140" spans="85:98" ht="15.75">
      <c r="CH140" s="2129"/>
      <c r="CI140" s="2129"/>
      <c r="CJ140" s="2129"/>
      <c r="CK140" s="2129"/>
      <c r="CL140" s="2129"/>
      <c r="CM140" s="2129"/>
      <c r="CN140" s="2129"/>
      <c r="CO140" s="1936"/>
      <c r="CP140" s="1936"/>
      <c r="CQ140" s="2147"/>
    </row>
    <row r="141" spans="85:98" ht="15.75">
      <c r="CG141" s="324" t="s">
        <v>6</v>
      </c>
      <c r="CH141" s="2129"/>
      <c r="CI141" s="2129"/>
      <c r="CJ141" s="2129"/>
      <c r="CK141" s="2129"/>
      <c r="CL141" s="2129"/>
      <c r="CM141" s="2129"/>
      <c r="CN141" s="2129"/>
      <c r="CO141" s="1935"/>
      <c r="CP141" s="1927"/>
    </row>
    <row r="142" spans="85:98" ht="15.75">
      <c r="CG142" s="33" t="s">
        <v>503</v>
      </c>
      <c r="CH142" s="2166">
        <v>0</v>
      </c>
      <c r="CI142" s="2129"/>
      <c r="CJ142" s="2129"/>
      <c r="CK142" s="2129"/>
      <c r="CL142" s="2129"/>
      <c r="CM142" s="2129"/>
      <c r="CN142" s="2129"/>
      <c r="CO142" s="1935"/>
      <c r="CP142" s="1927"/>
    </row>
    <row r="143" spans="85:98" ht="15.75">
      <c r="CG143" s="33" t="s">
        <v>22</v>
      </c>
      <c r="CH143" s="2166">
        <v>10</v>
      </c>
      <c r="CI143" s="2129"/>
      <c r="CJ143" s="2129"/>
      <c r="CK143" s="2129"/>
      <c r="CL143" s="2129"/>
      <c r="CM143" s="2129"/>
      <c r="CN143" s="2129"/>
    </row>
    <row r="144" spans="85:98" ht="15.75">
      <c r="CG144" s="33" t="s">
        <v>528</v>
      </c>
      <c r="CH144" s="2166">
        <v>10</v>
      </c>
    </row>
    <row r="145" spans="85:86" ht="15.75">
      <c r="CG145" s="33" t="s">
        <v>7</v>
      </c>
      <c r="CH145" s="2166">
        <v>10</v>
      </c>
    </row>
    <row r="146" spans="85:86" ht="15.75">
      <c r="CG146" s="33" t="s">
        <v>17</v>
      </c>
      <c r="CH146" s="2167">
        <v>20</v>
      </c>
    </row>
    <row r="147" spans="85:86" ht="15.75">
      <c r="CG147" s="33" t="s">
        <v>23</v>
      </c>
      <c r="CH147" s="2167">
        <v>0</v>
      </c>
    </row>
    <row r="148" spans="85:86" ht="15.75">
      <c r="CG148" s="33" t="s">
        <v>20</v>
      </c>
      <c r="CH148" s="2167">
        <v>20</v>
      </c>
    </row>
    <row r="149" spans="85:86" ht="15.75">
      <c r="CG149" s="33" t="s">
        <v>19</v>
      </c>
      <c r="CH149" s="2167">
        <v>10</v>
      </c>
    </row>
    <row r="150" spans="85:86" ht="15.75">
      <c r="CG150" s="33" t="s">
        <v>529</v>
      </c>
      <c r="CH150" s="2167">
        <v>0</v>
      </c>
    </row>
    <row r="151" spans="85:86" ht="15.75">
      <c r="CG151" s="33" t="s">
        <v>21</v>
      </c>
      <c r="CH151" s="2167">
        <v>10</v>
      </c>
    </row>
    <row r="152" spans="85:86" ht="15.75">
      <c r="CG152" s="33" t="s">
        <v>18</v>
      </c>
      <c r="CH152" s="2167">
        <v>20</v>
      </c>
    </row>
    <row r="153" spans="85:86" ht="15.75">
      <c r="CH153" s="2167"/>
    </row>
    <row r="154" spans="85:86" ht="15.75">
      <c r="CG154" s="324" t="s">
        <v>8</v>
      </c>
      <c r="CH154" s="2167"/>
    </row>
    <row r="155" spans="85:86" ht="15.75">
      <c r="CG155" s="33" t="s">
        <v>25</v>
      </c>
      <c r="CH155" s="2167">
        <v>0</v>
      </c>
    </row>
    <row r="156" spans="85:86" ht="15.75">
      <c r="CG156" s="33" t="s">
        <v>531</v>
      </c>
      <c r="CH156" s="2167">
        <v>0</v>
      </c>
    </row>
    <row r="157" spans="85:86" ht="15.75">
      <c r="CG157" s="33" t="s">
        <v>530</v>
      </c>
      <c r="CH157" s="2167">
        <v>20</v>
      </c>
    </row>
    <row r="158" spans="85:86" ht="15.75">
      <c r="CG158" s="33" t="s">
        <v>28</v>
      </c>
      <c r="CH158" s="2167">
        <v>10</v>
      </c>
    </row>
    <row r="159" spans="85:86" ht="15.75">
      <c r="CG159" s="33" t="s">
        <v>533</v>
      </c>
      <c r="CH159" s="2167">
        <v>10</v>
      </c>
    </row>
    <row r="160" spans="85:86" ht="15.75">
      <c r="CG160" s="33" t="s">
        <v>671</v>
      </c>
      <c r="CH160" s="2167">
        <v>30</v>
      </c>
    </row>
    <row r="161" spans="85:86" ht="15.75">
      <c r="CG161" s="33" t="s">
        <v>532</v>
      </c>
      <c r="CH161" s="2167">
        <v>40</v>
      </c>
    </row>
    <row r="162" spans="85:86" ht="15.75">
      <c r="CG162" s="33" t="s">
        <v>9</v>
      </c>
      <c r="CH162" s="2167">
        <v>0</v>
      </c>
    </row>
    <row r="163" spans="85:86" ht="15.75">
      <c r="CG163" s="33" t="s">
        <v>10</v>
      </c>
      <c r="CH163" s="2167">
        <v>10</v>
      </c>
    </row>
    <row r="164" spans="85:86" ht="15.75">
      <c r="CG164" s="33" t="s">
        <v>31</v>
      </c>
      <c r="CH164" s="2167">
        <v>0</v>
      </c>
    </row>
    <row r="165" spans="85:86" ht="15.75">
      <c r="CH165" s="2167"/>
    </row>
    <row r="166" spans="85:86" ht="15.75">
      <c r="CG166" s="324" t="s">
        <v>159</v>
      </c>
      <c r="CH166" s="2167"/>
    </row>
    <row r="167" spans="85:86" ht="15.75">
      <c r="CG167" s="33" t="s">
        <v>224</v>
      </c>
      <c r="CH167" s="2167">
        <v>20</v>
      </c>
    </row>
    <row r="168" spans="85:86" ht="15.75">
      <c r="CG168" s="33" t="s">
        <v>160</v>
      </c>
      <c r="CH168" s="2167">
        <v>0</v>
      </c>
    </row>
    <row r="170" spans="85:86">
      <c r="CG170" s="33" t="s">
        <v>1328</v>
      </c>
    </row>
    <row r="171" spans="85:86">
      <c r="CG171" s="33" t="s">
        <v>1329</v>
      </c>
      <c r="CH171" s="323" t="s">
        <v>1330</v>
      </c>
    </row>
    <row r="172" spans="85:86">
      <c r="CG172" s="33" t="s">
        <v>1331</v>
      </c>
      <c r="CH172" s="323">
        <v>20</v>
      </c>
    </row>
    <row r="173" spans="85:86">
      <c r="CG173" s="33" t="s">
        <v>1327</v>
      </c>
      <c r="CH173" s="323">
        <v>0</v>
      </c>
    </row>
  </sheetData>
  <sheetProtection sheet="1" objects="1" scenarios="1"/>
  <mergeCells count="66">
    <mergeCell ref="AG6:AG7"/>
    <mergeCell ref="AH6:AM6"/>
    <mergeCell ref="AA6:AB6"/>
    <mergeCell ref="AC6:AD6"/>
    <mergeCell ref="K6:K7"/>
    <mergeCell ref="L6:L7"/>
    <mergeCell ref="M6:M7"/>
    <mergeCell ref="O6:O7"/>
    <mergeCell ref="P6:P7"/>
    <mergeCell ref="Q6:Q7"/>
    <mergeCell ref="R6:R7"/>
    <mergeCell ref="U6:U7"/>
    <mergeCell ref="V6:V7"/>
    <mergeCell ref="CO1:CO3"/>
    <mergeCell ref="CP1:CP3"/>
    <mergeCell ref="CJ1:CJ3"/>
    <mergeCell ref="CK1:CK3"/>
    <mergeCell ref="CL1:CL3"/>
    <mergeCell ref="CM1:CM3"/>
    <mergeCell ref="CN1:CN3"/>
    <mergeCell ref="CH1:CH3"/>
    <mergeCell ref="CI1:CI3"/>
    <mergeCell ref="B2:D2"/>
    <mergeCell ref="N2:O2"/>
    <mergeCell ref="B3:D3"/>
    <mergeCell ref="S1:T3"/>
    <mergeCell ref="AF1:AG3"/>
    <mergeCell ref="AH1:BO3"/>
    <mergeCell ref="BQ1:CA4"/>
    <mergeCell ref="A4:AD4"/>
    <mergeCell ref="AF4:BO4"/>
    <mergeCell ref="B1:D1"/>
    <mergeCell ref="N1:O1"/>
    <mergeCell ref="A1:A3"/>
    <mergeCell ref="AA1:AC3"/>
    <mergeCell ref="BW5:CA6"/>
    <mergeCell ref="BJ6:BO6"/>
    <mergeCell ref="AO6:AT6"/>
    <mergeCell ref="AV6:BA6"/>
    <mergeCell ref="A5:AD5"/>
    <mergeCell ref="AF5:BO5"/>
    <mergeCell ref="BQ5:BU6"/>
    <mergeCell ref="G6:G7"/>
    <mergeCell ref="N6:N7"/>
    <mergeCell ref="Y6:Y7"/>
    <mergeCell ref="BC6:BH6"/>
    <mergeCell ref="W6:W7"/>
    <mergeCell ref="T6:T7"/>
    <mergeCell ref="S6:S7"/>
    <mergeCell ref="X6:X7"/>
    <mergeCell ref="AF6:AF7"/>
    <mergeCell ref="AB54:AB55"/>
    <mergeCell ref="Z6:Z7"/>
    <mergeCell ref="A63:B66"/>
    <mergeCell ref="C6:C7"/>
    <mergeCell ref="D6:E6"/>
    <mergeCell ref="H6:H7"/>
    <mergeCell ref="I6:I7"/>
    <mergeCell ref="J6:J7"/>
    <mergeCell ref="A6:A7"/>
    <mergeCell ref="B6:B7"/>
    <mergeCell ref="A57:B61"/>
    <mergeCell ref="C63:AD65"/>
    <mergeCell ref="C66:AD66"/>
    <mergeCell ref="AD54:AD55"/>
    <mergeCell ref="C57:AD61"/>
  </mergeCells>
  <conditionalFormatting sqref="CS5 CS56 CS58 CS123 CS128 CS7:CS9 CS14:CS50 CS52:CS54 CS60:CS120">
    <cfRule type="cellIs" dxfId="128" priority="97" operator="equal">
      <formula>90</formula>
    </cfRule>
    <cfRule type="cellIs" dxfId="127" priority="98" operator="equal">
      <formula>60</formula>
    </cfRule>
    <cfRule type="cellIs" dxfId="126" priority="99" operator="equal">
      <formula>15</formula>
    </cfRule>
  </conditionalFormatting>
  <conditionalFormatting sqref="CS131:CT131">
    <cfRule type="cellIs" dxfId="125" priority="96" operator="notEqual">
      <formula>20</formula>
    </cfRule>
  </conditionalFormatting>
  <conditionalFormatting sqref="CS6:CT6">
    <cfRule type="cellIs" dxfId="124" priority="95" operator="notEqual">
      <formula>20</formula>
    </cfRule>
  </conditionalFormatting>
  <conditionalFormatting sqref="CS10">
    <cfRule type="cellIs" dxfId="123" priority="92" operator="equal">
      <formula>90</formula>
    </cfRule>
    <cfRule type="cellIs" dxfId="122" priority="93" operator="equal">
      <formula>60</formula>
    </cfRule>
    <cfRule type="cellIs" dxfId="121" priority="94" operator="equal">
      <formula>15</formula>
    </cfRule>
  </conditionalFormatting>
  <conditionalFormatting sqref="CS11">
    <cfRule type="cellIs" dxfId="120" priority="89" operator="equal">
      <formula>90</formula>
    </cfRule>
    <cfRule type="cellIs" dxfId="119" priority="90" operator="equal">
      <formula>60</formula>
    </cfRule>
    <cfRule type="cellIs" dxfId="118" priority="91" operator="equal">
      <formula>15</formula>
    </cfRule>
  </conditionalFormatting>
  <conditionalFormatting sqref="CS12:CS13">
    <cfRule type="cellIs" dxfId="117" priority="86" operator="equal">
      <formula>90</formula>
    </cfRule>
    <cfRule type="cellIs" dxfId="116" priority="87" operator="equal">
      <formula>60</formula>
    </cfRule>
    <cfRule type="cellIs" dxfId="115" priority="88" operator="equal">
      <formula>15</formula>
    </cfRule>
  </conditionalFormatting>
  <conditionalFormatting sqref="CS51">
    <cfRule type="cellIs" dxfId="114" priority="83" operator="equal">
      <formula>90</formula>
    </cfRule>
    <cfRule type="cellIs" dxfId="113" priority="84" operator="equal">
      <formula>60</formula>
    </cfRule>
    <cfRule type="cellIs" dxfId="112" priority="85" operator="equal">
      <formula>15</formula>
    </cfRule>
  </conditionalFormatting>
  <conditionalFormatting sqref="CS126">
    <cfRule type="cellIs" dxfId="111" priority="80" operator="equal">
      <formula>90</formula>
    </cfRule>
    <cfRule type="cellIs" dxfId="110" priority="81" operator="equal">
      <formula>60</formula>
    </cfRule>
    <cfRule type="cellIs" dxfId="109" priority="82" operator="equal">
      <formula>15</formula>
    </cfRule>
  </conditionalFormatting>
  <conditionalFormatting sqref="CS124">
    <cfRule type="cellIs" dxfId="108" priority="77" operator="equal">
      <formula>90</formula>
    </cfRule>
    <cfRule type="cellIs" dxfId="107" priority="78" operator="equal">
      <formula>60</formula>
    </cfRule>
    <cfRule type="cellIs" dxfId="106" priority="79" operator="equal">
      <formula>15</formula>
    </cfRule>
  </conditionalFormatting>
  <conditionalFormatting sqref="CS125">
    <cfRule type="cellIs" dxfId="105" priority="74" operator="equal">
      <formula>90</formula>
    </cfRule>
    <cfRule type="cellIs" dxfId="104" priority="75" operator="equal">
      <formula>60</formula>
    </cfRule>
    <cfRule type="cellIs" dxfId="103" priority="76" operator="equal">
      <formula>15</formula>
    </cfRule>
  </conditionalFormatting>
  <conditionalFormatting sqref="CN110">
    <cfRule type="cellIs" dxfId="102" priority="31" operator="equal">
      <formula>90</formula>
    </cfRule>
    <cfRule type="cellIs" dxfId="101" priority="32" operator="equal">
      <formula>60</formula>
    </cfRule>
    <cfRule type="cellIs" dxfId="100" priority="33" operator="equal">
      <formula>15</formula>
    </cfRule>
  </conditionalFormatting>
  <conditionalFormatting sqref="CN6">
    <cfRule type="cellIs" dxfId="99" priority="28" operator="equal">
      <formula>90</formula>
    </cfRule>
    <cfRule type="cellIs" dxfId="98" priority="29" operator="equal">
      <formula>60</formula>
    </cfRule>
    <cfRule type="cellIs" dxfId="97" priority="30" operator="equal">
      <formula>15</formula>
    </cfRule>
  </conditionalFormatting>
  <conditionalFormatting sqref="CK99:CL112 CK121:CL126 CK130:CL130">
    <cfRule type="cellIs" dxfId="96" priority="27" operator="notEqual">
      <formula>20</formula>
    </cfRule>
  </conditionalFormatting>
  <conditionalFormatting sqref="CL113">
    <cfRule type="cellIs" dxfId="95" priority="23" operator="notEqual">
      <formula>20</formula>
    </cfRule>
  </conditionalFormatting>
  <conditionalFormatting sqref="CK6:CL14">
    <cfRule type="cellIs" dxfId="94" priority="21" operator="notEqual">
      <formula>20</formula>
    </cfRule>
  </conditionalFormatting>
  <conditionalFormatting sqref="CK59">
    <cfRule type="cellIs" dxfId="93" priority="20" operator="notEqual">
      <formula>20</formula>
    </cfRule>
  </conditionalFormatting>
  <conditionalFormatting sqref="CL48:CL49">
    <cfRule type="cellIs" dxfId="92" priority="16" operator="notEqual">
      <formula>20</formula>
    </cfRule>
  </conditionalFormatting>
  <conditionalFormatting sqref="CK39:CK40 CK42 CK34:CL37 CK60:CL69 CK44:CK47 CK50:CK57 CK114:CL118 CK5:CL5 CK71:CL88 CK91:CL97 CK15:CL32">
    <cfRule type="cellIs" dxfId="91" priority="26" operator="notEqual">
      <formula>20</formula>
    </cfRule>
  </conditionalFormatting>
  <conditionalFormatting sqref="CK113">
    <cfRule type="cellIs" dxfId="90" priority="25" operator="notEqual">
      <formula>20</formula>
    </cfRule>
  </conditionalFormatting>
  <conditionalFormatting sqref="CL39:CL40 CL42 CL44:CL47 CL50:CL57">
    <cfRule type="cellIs" dxfId="89" priority="24" operator="notEqual">
      <formula>20</formula>
    </cfRule>
  </conditionalFormatting>
  <conditionalFormatting sqref="CK38:CL38">
    <cfRule type="cellIs" dxfId="88" priority="22" operator="notEqual">
      <formula>20</formula>
    </cfRule>
  </conditionalFormatting>
  <conditionalFormatting sqref="CL59">
    <cfRule type="cellIs" dxfId="87" priority="19" operator="notEqual">
      <formula>20</formula>
    </cfRule>
  </conditionalFormatting>
  <conditionalFormatting sqref="CK43:CL43">
    <cfRule type="cellIs" dxfId="86" priority="18" operator="notEqual">
      <formula>20</formula>
    </cfRule>
  </conditionalFormatting>
  <conditionalFormatting sqref="CK48:CK49">
    <cfRule type="cellIs" dxfId="85" priority="17" operator="notEqual">
      <formula>20</formula>
    </cfRule>
  </conditionalFormatting>
  <conditionalFormatting sqref="CK70:CL70">
    <cfRule type="cellIs" dxfId="84" priority="15" operator="notEqual">
      <formula>20</formula>
    </cfRule>
  </conditionalFormatting>
  <conditionalFormatting sqref="CK89:CL90">
    <cfRule type="cellIs" dxfId="83" priority="14" operator="notEqual">
      <formula>20</formula>
    </cfRule>
  </conditionalFormatting>
  <conditionalFormatting sqref="CK58">
    <cfRule type="cellIs" dxfId="82" priority="13" operator="notEqual">
      <formula>20</formula>
    </cfRule>
  </conditionalFormatting>
  <conditionalFormatting sqref="CL58">
    <cfRule type="cellIs" dxfId="81" priority="12" operator="notEqual">
      <formula>20</formula>
    </cfRule>
  </conditionalFormatting>
  <conditionalFormatting sqref="CK127:CL127">
    <cfRule type="cellIs" dxfId="80" priority="11" operator="notEqual">
      <formula>20</formula>
    </cfRule>
  </conditionalFormatting>
  <conditionalFormatting sqref="CK98:CL98">
    <cfRule type="cellIs" dxfId="79" priority="10" operator="notEqual">
      <formula>20</formula>
    </cfRule>
  </conditionalFormatting>
  <conditionalFormatting sqref="CK41:CL41">
    <cfRule type="cellIs" dxfId="78" priority="9" operator="notEqual">
      <formula>20</formula>
    </cfRule>
  </conditionalFormatting>
  <conditionalFormatting sqref="CK33:CL33">
    <cfRule type="cellIs" dxfId="77" priority="8" operator="notEqual">
      <formula>20</formula>
    </cfRule>
  </conditionalFormatting>
  <conditionalFormatting sqref="CK119:CL119">
    <cfRule type="cellIs" dxfId="76" priority="7" operator="notEqual">
      <formula>20</formula>
    </cfRule>
  </conditionalFormatting>
  <conditionalFormatting sqref="CO99:CO118 CO59:CO97 CO121:CO126 CO130 CO34:CO57 CO5:CO32">
    <cfRule type="cellIs" dxfId="75" priority="4" operator="equal">
      <formula>90</formula>
    </cfRule>
    <cfRule type="cellIs" dxfId="74" priority="5" operator="equal">
      <formula>60</formula>
    </cfRule>
    <cfRule type="cellIs" dxfId="73" priority="6" operator="equal">
      <formula>15</formula>
    </cfRule>
  </conditionalFormatting>
  <conditionalFormatting sqref="CO33">
    <cfRule type="cellIs" dxfId="72" priority="1" operator="equal">
      <formula>90</formula>
    </cfRule>
    <cfRule type="cellIs" dxfId="71" priority="2" operator="equal">
      <formula>60</formula>
    </cfRule>
    <cfRule type="cellIs" dxfId="70" priority="3" operator="equal">
      <formula>15</formula>
    </cfRule>
  </conditionalFormatting>
  <dataValidations count="5">
    <dataValidation type="list" allowBlank="1" showInputMessage="1" showErrorMessage="1" sqref="Y8:Y52 W8:W52">
      <formula1>"Ja,Nein"</formula1>
    </dataValidation>
    <dataValidation type="list" allowBlank="1" sqref="T8:T52">
      <formula1>$CG$167:$CG$168</formula1>
    </dataValidation>
    <dataValidation type="list" allowBlank="1" sqref="P8:P52">
      <formula1>$CG$155:$CG$164</formula1>
    </dataValidation>
    <dataValidation type="list" allowBlank="1" sqref="N8:N52">
      <formula1>$CG$142:$CG$152</formula1>
    </dataValidation>
    <dataValidation type="list" allowBlank="1" sqref="C8:C52">
      <formula1>$CG$4:$CG$137</formula1>
    </dataValidation>
  </dataValidations>
  <pageMargins left="0.7" right="0.7" top="0.78740157499999996" bottom="0.78740157499999996" header="0.3" footer="0.3"/>
  <pageSetup paperSize="9" scale="28" orientation="portrait" r:id="rId1"/>
  <colBreaks count="1" manualBreakCount="1">
    <brk id="30" max="30" man="1"/>
  </colBreaks>
  <ignoredErrors>
    <ignoredError sqref="X8:X9 Z8 X50:X52 X10:X14 Z50:Z52 Z9:Z28 X15:X28 X29:X49 Z29:Z49"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BK8:BK52 BD8:BD52 AW8:AW52 AP8:AP52 AI8:AI52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D351"/>
  <sheetViews>
    <sheetView zoomScale="80" zoomScaleNormal="80" workbookViewId="0">
      <selection activeCell="B8" sqref="B8"/>
    </sheetView>
  </sheetViews>
  <sheetFormatPr baseColWidth="10" defaultRowHeight="15"/>
  <cols>
    <col min="1" max="1" width="19.5703125" style="546" customWidth="1"/>
    <col min="2" max="2" width="12.5703125" style="357" customWidth="1"/>
    <col min="3" max="3" width="36.28515625" style="357" customWidth="1"/>
    <col min="4" max="4" width="10.42578125" style="546" customWidth="1"/>
    <col min="5" max="5" width="10" style="357" customWidth="1"/>
    <col min="6" max="6" width="22.7109375" style="357" hidden="1" customWidth="1"/>
    <col min="7" max="7" width="18.85546875" style="357" hidden="1" customWidth="1"/>
    <col min="8" max="8" width="12.28515625" style="357" hidden="1" customWidth="1"/>
    <col min="9" max="9" width="15.7109375" style="357" hidden="1" customWidth="1"/>
    <col min="10" max="10" width="15.85546875" style="357" hidden="1" customWidth="1"/>
    <col min="11" max="11" width="23.7109375" style="357" hidden="1" customWidth="1"/>
    <col min="12" max="12" width="12.85546875" style="357" customWidth="1"/>
    <col min="13" max="13" width="17" style="357" customWidth="1"/>
    <col min="14" max="14" width="12.7109375" style="357" customWidth="1"/>
    <col min="15" max="15" width="4.42578125" style="357" customWidth="1"/>
    <col min="16" max="16" width="13.5703125" style="357" customWidth="1"/>
    <col min="17" max="17" width="5.85546875" style="357" customWidth="1"/>
    <col min="18" max="18" width="9.140625" style="357" customWidth="1"/>
    <col min="19" max="19" width="11.42578125" style="357" customWidth="1"/>
    <col min="20" max="20" width="12.140625" style="357" customWidth="1"/>
    <col min="21" max="21" width="12.7109375" style="1395" customWidth="1"/>
    <col min="22" max="22" width="10.85546875" style="357" customWidth="1"/>
    <col min="23" max="23" width="11.7109375" style="357" customWidth="1"/>
    <col min="24" max="24" width="11.140625" style="357" customWidth="1"/>
    <col min="25" max="25" width="3.85546875" customWidth="1"/>
    <col min="26" max="26" width="15" style="357" customWidth="1"/>
    <col min="27" max="27" width="13.28515625" style="357" customWidth="1"/>
    <col min="28" max="28" width="9.5703125" style="357" customWidth="1"/>
    <col min="29" max="29" width="13.140625" style="357" customWidth="1"/>
    <col min="30" max="30" width="7.28515625" style="357" customWidth="1"/>
    <col min="31" max="33" width="7.140625" style="357" customWidth="1"/>
    <col min="34" max="34" width="1.28515625" style="357" customWidth="1"/>
    <col min="35" max="35" width="9.42578125" style="357" customWidth="1"/>
    <col min="36" max="36" width="13.140625" style="357" customWidth="1"/>
    <col min="37" max="40" width="7.28515625" style="357" customWidth="1"/>
    <col min="41" max="41" width="1.5703125" style="357" customWidth="1"/>
    <col min="42" max="42" width="9.5703125" style="357" customWidth="1"/>
    <col min="43" max="43" width="13.140625" style="357" customWidth="1"/>
    <col min="44" max="44" width="7.28515625" style="357" customWidth="1"/>
    <col min="45" max="47" width="7.140625" style="357" customWidth="1"/>
    <col min="48" max="48" width="1.85546875" style="357" customWidth="1"/>
    <col min="49" max="49" width="2.5703125" style="357" customWidth="1"/>
    <col min="50" max="50" width="8" style="357" customWidth="1"/>
    <col min="51" max="51" width="8.85546875" style="357" customWidth="1"/>
    <col min="52" max="52" width="8.7109375" style="357" customWidth="1"/>
    <col min="53" max="53" width="9.140625" style="357" customWidth="1"/>
    <col min="54" max="54" width="8.7109375" style="357" customWidth="1"/>
    <col min="55" max="55" width="2.140625" style="357" customWidth="1"/>
    <col min="56" max="56" width="8.42578125" style="357" customWidth="1"/>
    <col min="57" max="57" width="8.28515625" style="357" customWidth="1"/>
    <col min="58" max="58" width="8.140625" style="357" customWidth="1"/>
    <col min="59" max="59" width="8.85546875" style="357" customWidth="1"/>
    <col min="60" max="60" width="8" style="357" customWidth="1"/>
    <col min="61" max="63" width="1.7109375" style="357" customWidth="1"/>
    <col min="64" max="64" width="42.42578125" style="357" customWidth="1"/>
    <col min="65" max="65" width="8.7109375" style="357" customWidth="1"/>
    <col min="66" max="66" width="7.7109375" style="357" customWidth="1"/>
    <col min="67" max="67" width="8.28515625" style="357" customWidth="1"/>
    <col min="68" max="68" width="15.28515625" style="357" customWidth="1"/>
    <col min="69" max="69" width="13.42578125" style="357" customWidth="1"/>
    <col min="70" max="70" width="11.42578125" style="357" customWidth="1"/>
    <col min="71" max="72" width="11.42578125" style="357"/>
    <col min="73" max="74" width="8" style="357" customWidth="1"/>
    <col min="75" max="81" width="11.42578125" style="357"/>
  </cols>
  <sheetData>
    <row r="1" spans="1:82" ht="18.75" customHeight="1">
      <c r="A1" s="532"/>
      <c r="B1" s="1341"/>
      <c r="C1" s="2249" t="str">
        <f>'DüV-N-Ackerbau'!C1</f>
        <v>Karl vom Land</v>
      </c>
      <c r="E1" s="2249" t="str">
        <f>'DüV-N-Ackerbau'!F1</f>
        <v>Erntejahr</v>
      </c>
      <c r="F1" s="1342"/>
      <c r="G1" s="1342"/>
      <c r="H1" s="1342"/>
      <c r="I1" s="1342"/>
      <c r="J1" s="1342"/>
      <c r="K1" s="1342"/>
      <c r="M1" s="2247"/>
      <c r="N1" s="2247"/>
      <c r="O1" s="2247"/>
      <c r="P1" s="2247"/>
      <c r="Q1" s="2247"/>
      <c r="R1" s="2247"/>
      <c r="S1" s="2247"/>
      <c r="T1" s="2247"/>
      <c r="U1" s="1343"/>
      <c r="V1" s="2247"/>
      <c r="W1" s="2247"/>
      <c r="X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8"/>
      <c r="BF1" s="2248"/>
      <c r="BG1" s="2248"/>
      <c r="BH1" s="2248"/>
      <c r="BI1" s="2248"/>
      <c r="BJ1" s="2248"/>
      <c r="BK1" s="2248"/>
      <c r="BN1" s="2652" t="s">
        <v>1275</v>
      </c>
      <c r="BO1" s="2578" t="s">
        <v>1322</v>
      </c>
      <c r="BP1" s="2578" t="s">
        <v>1323</v>
      </c>
      <c r="BQ1" s="2578" t="s">
        <v>1324</v>
      </c>
      <c r="BR1" s="2579" t="s">
        <v>1325</v>
      </c>
      <c r="BS1" s="2579" t="s">
        <v>1333</v>
      </c>
      <c r="BT1" s="2580" t="s">
        <v>323</v>
      </c>
      <c r="BU1" s="2644" t="s">
        <v>1276</v>
      </c>
      <c r="BV1" s="2645" t="s">
        <v>11</v>
      </c>
    </row>
    <row r="2" spans="1:82" s="2263" customFormat="1" ht="18.75" customHeight="1">
      <c r="A2" s="535"/>
      <c r="B2" s="1344"/>
      <c r="C2" s="2250" t="str">
        <f>'DüV-N-Ackerbau'!C2</f>
        <v>Höfen 1</v>
      </c>
      <c r="E2" s="2250">
        <f>'DüV-N-Ackerbau'!G1</f>
        <v>2022</v>
      </c>
      <c r="F2" s="1344"/>
      <c r="G2" s="1344"/>
      <c r="H2" s="1344"/>
      <c r="I2" s="1344"/>
      <c r="J2" s="1344"/>
      <c r="K2" s="1344"/>
      <c r="M2" s="357"/>
      <c r="N2" s="357"/>
      <c r="O2" s="2248"/>
      <c r="P2" s="2248"/>
      <c r="Q2" s="2248"/>
      <c r="R2" s="357"/>
      <c r="S2" s="2270"/>
      <c r="T2" s="2270"/>
      <c r="U2" s="2270"/>
      <c r="V2" s="2248"/>
      <c r="W2" s="2248"/>
      <c r="X2" s="2248"/>
      <c r="Y2"/>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588" t="s">
        <v>1154</v>
      </c>
      <c r="AY2" s="2588"/>
      <c r="AZ2" s="2588"/>
      <c r="BA2" s="2588"/>
      <c r="BB2" s="2588"/>
      <c r="BC2" s="2588"/>
      <c r="BD2" s="2588"/>
      <c r="BE2" s="2588"/>
      <c r="BF2" s="2588"/>
      <c r="BG2" s="2588"/>
      <c r="BH2" s="2588"/>
      <c r="BI2" s="2248"/>
      <c r="BJ2" s="2248"/>
      <c r="BK2" s="2248"/>
      <c r="BL2" s="357"/>
      <c r="BM2" s="357"/>
      <c r="BN2" s="2652"/>
      <c r="BO2" s="2578"/>
      <c r="BP2" s="2578"/>
      <c r="BQ2" s="2578"/>
      <c r="BR2" s="2579"/>
      <c r="BS2" s="2579"/>
      <c r="BT2" s="2580"/>
      <c r="BU2" s="2644"/>
      <c r="BV2" s="2645"/>
      <c r="BW2" s="357"/>
      <c r="BX2" s="357"/>
      <c r="BY2" s="357"/>
      <c r="BZ2" s="357"/>
      <c r="CA2" s="357"/>
      <c r="CB2" s="357"/>
      <c r="CC2" s="357"/>
    </row>
    <row r="3" spans="1:82" s="2263" customFormat="1" ht="28.5" customHeight="1" thickBot="1">
      <c r="A3" s="535"/>
      <c r="B3" s="1344"/>
      <c r="C3" s="2250" t="str">
        <f>'DüV-N-Ackerbau'!C3</f>
        <v>12345 Auf dem Feld</v>
      </c>
      <c r="D3" s="1344"/>
      <c r="F3" s="1344"/>
      <c r="G3" s="1344"/>
      <c r="H3" s="1344"/>
      <c r="I3" s="1344"/>
      <c r="J3" s="1344"/>
      <c r="K3" s="1344"/>
      <c r="L3" s="2248"/>
      <c r="M3" s="2248"/>
      <c r="N3" s="2248"/>
      <c r="O3" s="2248"/>
      <c r="P3" s="2248"/>
      <c r="Q3" s="2248"/>
      <c r="R3" s="2248"/>
      <c r="S3" s="2270"/>
      <c r="T3" s="2270"/>
      <c r="U3" s="2270"/>
      <c r="V3" s="2255"/>
      <c r="W3" s="2255"/>
      <c r="X3" s="2255"/>
      <c r="Y3"/>
      <c r="Z3" s="2255"/>
      <c r="AA3" s="2255"/>
      <c r="AB3" s="2255"/>
      <c r="AC3" s="2255"/>
      <c r="AD3" s="2255"/>
      <c r="AE3" s="2255"/>
      <c r="AF3" s="2255"/>
      <c r="AG3" s="2255"/>
      <c r="AH3" s="2255"/>
      <c r="AI3" s="2255"/>
      <c r="AJ3" s="2255"/>
      <c r="AK3" s="2255"/>
      <c r="AL3" s="2255"/>
      <c r="AM3" s="2255"/>
      <c r="AN3" s="2248"/>
      <c r="AO3" s="2248"/>
      <c r="AP3" s="2248"/>
      <c r="AQ3" s="2248"/>
      <c r="AR3" s="2248"/>
      <c r="AS3" s="2248"/>
      <c r="AT3" s="2248"/>
      <c r="AU3" s="2248"/>
      <c r="AV3" s="2248"/>
      <c r="AW3" s="2248"/>
      <c r="AX3" s="2588"/>
      <c r="AY3" s="2588"/>
      <c r="AZ3" s="2588"/>
      <c r="BA3" s="2588"/>
      <c r="BB3" s="2588"/>
      <c r="BC3" s="2588"/>
      <c r="BD3" s="2588"/>
      <c r="BE3" s="2588"/>
      <c r="BF3" s="2588"/>
      <c r="BG3" s="2588"/>
      <c r="BH3" s="2588"/>
      <c r="BI3" s="2248"/>
      <c r="BJ3" s="2248"/>
      <c r="BK3" s="2248"/>
      <c r="BL3" s="357"/>
      <c r="BM3" s="357"/>
      <c r="BN3" s="2652"/>
      <c r="BO3" s="2578"/>
      <c r="BP3" s="2578"/>
      <c r="BQ3" s="2578"/>
      <c r="BR3" s="2579"/>
      <c r="BS3" s="2579"/>
      <c r="BT3" s="2580"/>
      <c r="BU3" s="2644"/>
      <c r="BV3" s="2645"/>
      <c r="BW3" s="357"/>
      <c r="BX3" s="357"/>
      <c r="BY3" s="357"/>
      <c r="BZ3" s="357"/>
      <c r="CA3" s="357"/>
      <c r="CB3" s="357"/>
      <c r="CC3" s="357"/>
    </row>
    <row r="4" spans="1:82" s="2263" customFormat="1" ht="38.25" customHeight="1" thickBot="1">
      <c r="A4" s="2589" t="s">
        <v>1713</v>
      </c>
      <c r="B4" s="2849"/>
      <c r="C4" s="2849"/>
      <c r="D4" s="2849"/>
      <c r="E4" s="2849"/>
      <c r="F4" s="2849"/>
      <c r="G4" s="2849"/>
      <c r="H4" s="2849"/>
      <c r="I4" s="2849"/>
      <c r="J4" s="2849"/>
      <c r="K4" s="2849"/>
      <c r="L4" s="2849"/>
      <c r="M4" s="2849"/>
      <c r="N4" s="2849"/>
      <c r="O4" s="2849"/>
      <c r="P4" s="2849"/>
      <c r="Q4" s="2849"/>
      <c r="R4" s="2849"/>
      <c r="S4" s="2849"/>
      <c r="T4" s="2849"/>
      <c r="U4" s="2849"/>
      <c r="V4" s="2849"/>
      <c r="W4" s="2849"/>
      <c r="X4" s="2850"/>
      <c r="Y4"/>
      <c r="Z4" s="2604" t="s">
        <v>1167</v>
      </c>
      <c r="AA4" s="2588"/>
      <c r="AB4" s="2588"/>
      <c r="AC4" s="2588"/>
      <c r="AD4" s="2588"/>
      <c r="AE4" s="2588"/>
      <c r="AF4" s="2588"/>
      <c r="AG4" s="2588"/>
      <c r="AH4" s="2588"/>
      <c r="AI4" s="2588"/>
      <c r="AJ4" s="2588"/>
      <c r="AK4" s="2588"/>
      <c r="AL4" s="2588"/>
      <c r="AM4" s="2588"/>
      <c r="AN4" s="2588"/>
      <c r="AO4" s="2588"/>
      <c r="AP4" s="2588"/>
      <c r="AQ4" s="2588"/>
      <c r="AR4" s="2588"/>
      <c r="AS4" s="2588"/>
      <c r="AT4" s="2588"/>
      <c r="AU4" s="2588"/>
      <c r="AV4" s="1350"/>
      <c r="AW4" s="2248"/>
      <c r="AX4" s="2588"/>
      <c r="AY4" s="2588"/>
      <c r="AZ4" s="2588"/>
      <c r="BA4" s="2588"/>
      <c r="BB4" s="2588"/>
      <c r="BC4" s="2588"/>
      <c r="BD4" s="2588"/>
      <c r="BE4" s="2588"/>
      <c r="BF4" s="2588"/>
      <c r="BG4" s="2588"/>
      <c r="BH4" s="2588"/>
      <c r="BI4" s="2248"/>
      <c r="BJ4" s="2248"/>
      <c r="BK4" s="2248"/>
      <c r="BL4" s="357"/>
      <c r="BM4" s="2251" t="s">
        <v>33</v>
      </c>
      <c r="BN4" s="2652"/>
      <c r="BO4" s="2578"/>
      <c r="BP4" s="2578"/>
      <c r="BQ4" s="2578"/>
      <c r="BR4" s="2579"/>
      <c r="BS4" s="2579"/>
      <c r="BT4" s="2580"/>
      <c r="BU4" s="2644"/>
      <c r="BV4" s="2645"/>
      <c r="BW4" s="357"/>
      <c r="BX4" s="2251"/>
      <c r="BY4" s="2251"/>
      <c r="BZ4" s="676"/>
      <c r="CA4" s="676"/>
      <c r="CB4" s="676"/>
      <c r="CC4" s="2271"/>
    </row>
    <row r="5" spans="1:82" s="2263" customFormat="1" ht="30.75" customHeight="1" thickBot="1">
      <c r="A5" s="2851" t="s">
        <v>1170</v>
      </c>
      <c r="B5" s="2661"/>
      <c r="C5" s="2661"/>
      <c r="D5" s="2661"/>
      <c r="E5" s="2661"/>
      <c r="F5" s="2661"/>
      <c r="G5" s="2661"/>
      <c r="H5" s="2661"/>
      <c r="I5" s="2661"/>
      <c r="J5" s="2661"/>
      <c r="K5" s="2661"/>
      <c r="L5" s="2661"/>
      <c r="M5" s="2661"/>
      <c r="N5" s="2661"/>
      <c r="O5" s="2661"/>
      <c r="P5" s="2661"/>
      <c r="Q5" s="2661"/>
      <c r="R5" s="2661"/>
      <c r="S5" s="2661"/>
      <c r="T5" s="2661"/>
      <c r="U5" s="2661"/>
      <c r="V5" s="2661"/>
      <c r="W5" s="2661"/>
      <c r="X5" s="2662"/>
      <c r="Y5"/>
      <c r="Z5" s="2605" t="s">
        <v>1168</v>
      </c>
      <c r="AA5" s="2588"/>
      <c r="AB5" s="2588"/>
      <c r="AC5" s="2588"/>
      <c r="AD5" s="2588"/>
      <c r="AE5" s="2588"/>
      <c r="AF5" s="2588"/>
      <c r="AG5" s="2588"/>
      <c r="AH5" s="2588"/>
      <c r="AI5" s="2588"/>
      <c r="AJ5" s="2588"/>
      <c r="AK5" s="2588"/>
      <c r="AL5" s="2588"/>
      <c r="AM5" s="2588"/>
      <c r="AN5" s="2588"/>
      <c r="AO5" s="2588"/>
      <c r="AP5" s="2588"/>
      <c r="AQ5" s="2588"/>
      <c r="AR5" s="2588"/>
      <c r="AS5" s="2588"/>
      <c r="AT5" s="2588"/>
      <c r="AU5" s="2588"/>
      <c r="AV5" s="1351"/>
      <c r="AW5" s="1352"/>
      <c r="AX5" s="2596" t="s">
        <v>1065</v>
      </c>
      <c r="AY5" s="2597"/>
      <c r="AZ5" s="2597"/>
      <c r="BA5" s="2597"/>
      <c r="BB5" s="2597"/>
      <c r="BC5" s="1352"/>
      <c r="BD5" s="2598" t="s">
        <v>1076</v>
      </c>
      <c r="BE5" s="2599"/>
      <c r="BF5" s="2599"/>
      <c r="BG5" s="2599"/>
      <c r="BH5" s="2600"/>
      <c r="BI5" s="2255"/>
      <c r="BJ5" s="2255"/>
      <c r="BK5" s="2255"/>
      <c r="BL5" s="2150" t="s">
        <v>31</v>
      </c>
      <c r="BM5" s="2151">
        <v>0</v>
      </c>
      <c r="BN5" s="2151">
        <v>0</v>
      </c>
      <c r="BO5" s="2151">
        <v>0</v>
      </c>
      <c r="BP5" s="2151">
        <v>0</v>
      </c>
      <c r="BQ5" s="2151">
        <v>0</v>
      </c>
      <c r="BR5" s="2150">
        <v>0</v>
      </c>
      <c r="BS5" s="2150">
        <v>0</v>
      </c>
      <c r="BT5" s="1909">
        <v>0</v>
      </c>
      <c r="BU5" s="1909">
        <v>0</v>
      </c>
      <c r="BV5" s="357">
        <v>0</v>
      </c>
      <c r="BW5" s="357"/>
      <c r="BX5" s="2251"/>
      <c r="BY5" s="2251"/>
      <c r="BZ5" s="676"/>
      <c r="CA5" s="676"/>
      <c r="CB5" s="676"/>
      <c r="CC5" s="2271"/>
    </row>
    <row r="6" spans="1:82" s="2263" customFormat="1" ht="18.75" customHeight="1">
      <c r="A6" s="2551" t="s">
        <v>1075</v>
      </c>
      <c r="B6" s="2608" t="s">
        <v>562</v>
      </c>
      <c r="C6" s="2859" t="s">
        <v>1760</v>
      </c>
      <c r="D6" s="2852" t="s">
        <v>295</v>
      </c>
      <c r="E6" s="2853"/>
      <c r="F6" s="2646" t="s">
        <v>1315</v>
      </c>
      <c r="G6" s="2648" t="s">
        <v>1316</v>
      </c>
      <c r="H6" s="2648" t="s">
        <v>1317</v>
      </c>
      <c r="I6" s="2648" t="s">
        <v>1318</v>
      </c>
      <c r="J6" s="2648" t="s">
        <v>1319</v>
      </c>
      <c r="K6" s="2642" t="s">
        <v>1320</v>
      </c>
      <c r="L6" s="2256" t="s">
        <v>296</v>
      </c>
      <c r="M6" s="2856" t="s">
        <v>1332</v>
      </c>
      <c r="N6" s="2843" t="s">
        <v>1709</v>
      </c>
      <c r="O6" s="2845" t="s">
        <v>163</v>
      </c>
      <c r="P6" s="2856" t="s">
        <v>1710</v>
      </c>
      <c r="Q6" s="2861" t="s">
        <v>163</v>
      </c>
      <c r="R6" s="2863" t="s">
        <v>1758</v>
      </c>
      <c r="S6" s="2865" t="s">
        <v>1759</v>
      </c>
      <c r="T6" s="2867" t="s">
        <v>1055</v>
      </c>
      <c r="U6" s="2847" t="s">
        <v>1013</v>
      </c>
      <c r="V6" s="2848"/>
      <c r="W6" s="2272" t="s">
        <v>1133</v>
      </c>
      <c r="X6" s="2273"/>
      <c r="Y6"/>
      <c r="Z6" s="2501" t="s">
        <v>1134</v>
      </c>
      <c r="AA6" s="2515" t="s">
        <v>623</v>
      </c>
      <c r="AB6" s="2612" t="s">
        <v>1425</v>
      </c>
      <c r="AC6" s="2504"/>
      <c r="AD6" s="2504"/>
      <c r="AE6" s="2504"/>
      <c r="AF6" s="2504"/>
      <c r="AG6" s="2504"/>
      <c r="AH6" s="525"/>
      <c r="AI6" s="2612" t="s">
        <v>1426</v>
      </c>
      <c r="AJ6" s="2504"/>
      <c r="AK6" s="2504"/>
      <c r="AL6" s="2504"/>
      <c r="AM6" s="2504"/>
      <c r="AN6" s="2504"/>
      <c r="AO6" s="2099"/>
      <c r="AP6" s="2612" t="s">
        <v>1427</v>
      </c>
      <c r="AQ6" s="2504"/>
      <c r="AR6" s="2504"/>
      <c r="AS6" s="2504"/>
      <c r="AT6" s="2504"/>
      <c r="AU6" s="2504"/>
      <c r="AV6" s="2257"/>
      <c r="AW6" s="2257"/>
      <c r="AX6" s="2588"/>
      <c r="AY6" s="2588"/>
      <c r="AZ6" s="2588"/>
      <c r="BA6" s="2588"/>
      <c r="BB6" s="2588"/>
      <c r="BC6" s="2257"/>
      <c r="BD6" s="2601"/>
      <c r="BE6" s="2602"/>
      <c r="BF6" s="2602"/>
      <c r="BG6" s="2602"/>
      <c r="BH6" s="2603"/>
      <c r="BI6" s="2248"/>
      <c r="BJ6" s="2248"/>
      <c r="BK6" s="2248"/>
      <c r="BL6" s="2152" t="s">
        <v>1446</v>
      </c>
      <c r="BM6" s="33">
        <v>720</v>
      </c>
      <c r="BN6" s="33">
        <v>290</v>
      </c>
      <c r="BO6" s="33">
        <v>10</v>
      </c>
      <c r="BP6" s="2153">
        <v>29</v>
      </c>
      <c r="BQ6" s="2153">
        <v>29</v>
      </c>
      <c r="BR6" s="2317">
        <v>0</v>
      </c>
      <c r="BS6" s="2152">
        <v>0</v>
      </c>
      <c r="BT6" s="2154">
        <v>60</v>
      </c>
      <c r="BU6" s="2155">
        <v>0.11</v>
      </c>
      <c r="BV6" s="357">
        <v>0</v>
      </c>
      <c r="BW6" s="357">
        <v>0</v>
      </c>
      <c r="BX6" s="357"/>
      <c r="BY6" s="2251"/>
      <c r="BZ6" s="2251"/>
      <c r="CA6" s="676"/>
      <c r="CB6" s="676"/>
      <c r="CC6" s="676"/>
      <c r="CD6" s="2271"/>
    </row>
    <row r="7" spans="1:82" s="2263" customFormat="1" ht="59.25" customHeight="1" thickBot="1">
      <c r="A7" s="2552"/>
      <c r="B7" s="2609"/>
      <c r="C7" s="2860"/>
      <c r="D7" s="2275" t="s">
        <v>33</v>
      </c>
      <c r="E7" s="1521" t="s">
        <v>1756</v>
      </c>
      <c r="F7" s="2854"/>
      <c r="G7" s="2855"/>
      <c r="H7" s="2855"/>
      <c r="I7" s="2855"/>
      <c r="J7" s="2855"/>
      <c r="K7" s="2858"/>
      <c r="L7" s="2274" t="s">
        <v>33</v>
      </c>
      <c r="M7" s="2857"/>
      <c r="N7" s="2844"/>
      <c r="O7" s="2846"/>
      <c r="P7" s="2857"/>
      <c r="Q7" s="2862"/>
      <c r="R7" s="2864"/>
      <c r="S7" s="2866"/>
      <c r="T7" s="2868"/>
      <c r="U7" s="2276" t="s">
        <v>322</v>
      </c>
      <c r="V7" s="2209" t="s">
        <v>604</v>
      </c>
      <c r="W7" s="2277" t="s">
        <v>599</v>
      </c>
      <c r="X7" s="2209" t="s">
        <v>604</v>
      </c>
      <c r="Y7"/>
      <c r="Z7" s="2502"/>
      <c r="AA7" s="2490"/>
      <c r="AB7" s="2246" t="s">
        <v>839</v>
      </c>
      <c r="AC7" s="2244" t="s">
        <v>819</v>
      </c>
      <c r="AD7" s="2261" t="s">
        <v>33</v>
      </c>
      <c r="AE7" s="2245" t="s">
        <v>1062</v>
      </c>
      <c r="AF7" s="2261" t="s">
        <v>1063</v>
      </c>
      <c r="AG7" s="2245" t="s">
        <v>1064</v>
      </c>
      <c r="AH7" s="1421"/>
      <c r="AI7" s="2246" t="s">
        <v>839</v>
      </c>
      <c r="AJ7" s="2244" t="s">
        <v>819</v>
      </c>
      <c r="AK7" s="2261" t="s">
        <v>33</v>
      </c>
      <c r="AL7" s="2245" t="s">
        <v>1062</v>
      </c>
      <c r="AM7" s="2261" t="s">
        <v>1063</v>
      </c>
      <c r="AN7" s="2245" t="s">
        <v>1064</v>
      </c>
      <c r="AO7" s="279"/>
      <c r="AP7" s="2246" t="s">
        <v>839</v>
      </c>
      <c r="AQ7" s="2244" t="s">
        <v>819</v>
      </c>
      <c r="AR7" s="2261" t="s">
        <v>33</v>
      </c>
      <c r="AS7" s="2245" t="s">
        <v>1062</v>
      </c>
      <c r="AT7" s="2261" t="s">
        <v>1063</v>
      </c>
      <c r="AU7" s="2245" t="s">
        <v>1064</v>
      </c>
      <c r="AV7" s="1355"/>
      <c r="AW7" s="1355"/>
      <c r="AX7" s="1363" t="s">
        <v>1080</v>
      </c>
      <c r="AY7" s="2252" t="s">
        <v>1066</v>
      </c>
      <c r="AZ7" s="2252" t="s">
        <v>1067</v>
      </c>
      <c r="BA7" s="1364" t="s">
        <v>1241</v>
      </c>
      <c r="BB7" s="2252" t="s">
        <v>284</v>
      </c>
      <c r="BC7" s="1355"/>
      <c r="BD7" s="1821" t="s">
        <v>1080</v>
      </c>
      <c r="BE7" s="1822" t="s">
        <v>1307</v>
      </c>
      <c r="BF7" s="1822" t="s">
        <v>1308</v>
      </c>
      <c r="BG7" s="1364" t="s">
        <v>1241</v>
      </c>
      <c r="BH7" s="2252" t="s">
        <v>284</v>
      </c>
      <c r="BI7" s="820"/>
      <c r="BJ7" s="820"/>
      <c r="BK7" s="820"/>
      <c r="BL7" s="2140" t="s">
        <v>1641</v>
      </c>
      <c r="BM7" s="33">
        <v>160</v>
      </c>
      <c r="BN7" s="33">
        <v>130</v>
      </c>
      <c r="BO7" s="33">
        <v>20</v>
      </c>
      <c r="BP7" s="2156">
        <v>20</v>
      </c>
      <c r="BQ7" s="2156">
        <v>20</v>
      </c>
      <c r="BR7" s="2317">
        <v>13.333333333333334</v>
      </c>
      <c r="BS7" s="2156">
        <v>20</v>
      </c>
      <c r="BT7" s="2144">
        <v>60</v>
      </c>
      <c r="BU7" s="1914">
        <v>0.25</v>
      </c>
      <c r="BV7" s="357">
        <v>0</v>
      </c>
      <c r="BW7" s="357">
        <v>0</v>
      </c>
      <c r="BX7" s="543"/>
      <c r="BY7" s="543"/>
      <c r="BZ7" s="543"/>
      <c r="CA7" s="543"/>
      <c r="CB7" s="543"/>
      <c r="CC7" s="543"/>
      <c r="CD7" s="543"/>
    </row>
    <row r="8" spans="1:82" ht="18" customHeight="1">
      <c r="A8" s="513" t="s">
        <v>1140</v>
      </c>
      <c r="B8" s="1698">
        <v>0</v>
      </c>
      <c r="C8" s="2330" t="s">
        <v>31</v>
      </c>
      <c r="D8" s="2331">
        <f t="shared" ref="D8:D42" si="0">VLOOKUP(C8,BL$5:BV$138,2,FALSE)</f>
        <v>0</v>
      </c>
      <c r="E8" s="1369">
        <f t="shared" ref="E8:E42" si="1">VLOOKUP(C8,$BL$5:$BN$138,3,FALSE)</f>
        <v>0</v>
      </c>
      <c r="F8" s="2332">
        <f t="shared" ref="F8:F42" si="2">L8-D8</f>
        <v>0</v>
      </c>
      <c r="G8" s="2333">
        <f t="shared" ref="G8:G42" si="3">IF(F8=0,0,F8*100/D8)</f>
        <v>0</v>
      </c>
      <c r="H8" s="2333">
        <f t="shared" ref="H8:H42" si="4">VLOOKUP(C8,BL$5:BV$138,4,FALSE)</f>
        <v>0</v>
      </c>
      <c r="I8" s="2333">
        <f t="shared" ref="I8:I42" si="5">VLOOKUP(C8,BL$5:BV$138,5,FALSE)</f>
        <v>0</v>
      </c>
      <c r="J8" s="2333">
        <f t="shared" ref="J8:J42" si="6">VLOOKUP(C8,BL$5:BV$138,6,FALSE)</f>
        <v>0</v>
      </c>
      <c r="K8" s="2333">
        <f>IF(H8=0,0,IF(G8&gt;0,ROUNDDOWN(G8/H8,0)*I8,IF(G8&lt;=0,ROUNDDOWN(G8/H8,0)*J8,IF(F8&gt;0,F8*I8/E8,J8*F8/0))))</f>
        <v>0</v>
      </c>
      <c r="L8" s="2334">
        <v>0</v>
      </c>
      <c r="M8" s="2283" t="s">
        <v>1342</v>
      </c>
      <c r="N8" s="2284" t="s">
        <v>1766</v>
      </c>
      <c r="O8" s="2285">
        <f t="shared" ref="O8:O42" si="7">-IF(AND(M8="keine",N8="Nein"),0,IF(AND(N8="Nein",M8&lt;&gt;"keine"),-1*VLOOKUP(M8,BL$5:BV$351,8,FALSE),IF(AND(M8&lt;&gt;"keine",N8="Ja"),0)))</f>
        <v>0</v>
      </c>
      <c r="P8" s="2286" t="s">
        <v>1314</v>
      </c>
      <c r="Q8" s="2287">
        <f t="shared" ref="Q8:Q42" si="8">IF(N8="Ja",0,IF(P8="Nein",0,VLOOKUP(M8,BL$5:BV$138,7,FALSE)))</f>
        <v>0</v>
      </c>
      <c r="R8" s="2288">
        <f t="shared" ref="R8:R42" si="9">VLOOKUP(C8,BL$5:BV$138,9,FALSE)</f>
        <v>0</v>
      </c>
      <c r="S8" s="2289">
        <v>0</v>
      </c>
      <c r="T8" s="2206">
        <v>0</v>
      </c>
      <c r="U8" s="2383">
        <f>IF(E8-T8-O8+Q8-S8+K8&lt;0,0,E8-T8-O8+Q8+K8-S8)</f>
        <v>0</v>
      </c>
      <c r="V8" s="2227">
        <f>IF(U8&lt;0,0,U8*B8)</f>
        <v>0</v>
      </c>
      <c r="W8" s="2215">
        <f t="shared" ref="W8:W42" si="10">L8*VLOOKUP(C8,BL$5:BV$138,10,FALSE)</f>
        <v>0</v>
      </c>
      <c r="X8" s="2212">
        <f t="shared" ref="X8:X42" si="11">B8*W8</f>
        <v>0</v>
      </c>
      <c r="Z8" s="1281" t="str">
        <f t="shared" ref="Z8:Z42" si="12">A8</f>
        <v>Fläche eins</v>
      </c>
      <c r="AA8" s="2087" t="str">
        <f t="shared" ref="AA8:AA42" si="13">C8</f>
        <v>keine</v>
      </c>
      <c r="AB8" s="1329"/>
      <c r="AC8" s="1330" t="s">
        <v>795</v>
      </c>
      <c r="AD8" s="1424">
        <v>0</v>
      </c>
      <c r="AE8" s="1033">
        <f>VLOOKUP(AC8,Düngemittel!$B$6:$E$64,2,FALSE)*(VLOOKUP(AC8,Düngemittel!$B$6:$E$64,3,FALSE))/100*AD8</f>
        <v>0</v>
      </c>
      <c r="AF8" s="1033">
        <f>VLOOKUP(AC8,Düngemittel!$B$6:$E$64,2,FALSE)*AD8</f>
        <v>0</v>
      </c>
      <c r="AG8" s="1033">
        <f>VLOOKUP(AC8,Düngemittel!$B$6:$E$64,4,FALSE)*AD8</f>
        <v>0</v>
      </c>
      <c r="AH8" s="92"/>
      <c r="AI8" s="1329"/>
      <c r="AJ8" s="1330" t="s">
        <v>795</v>
      </c>
      <c r="AK8" s="1424">
        <v>0</v>
      </c>
      <c r="AL8" s="1033">
        <f>VLOOKUP(AJ8,Düngemittel!$B$6:$E$64,2,FALSE)*(VLOOKUP(AJ8,Düngemittel!$B$6:$E$64,3,FALSE))/100*AK8</f>
        <v>0</v>
      </c>
      <c r="AM8" s="1033">
        <f>VLOOKUP(AJ8,Düngemittel!$B$6:$E$64,2,FALSE)*AK8</f>
        <v>0</v>
      </c>
      <c r="AN8" s="1033">
        <f>VLOOKUP(AJ8,Düngemittel!$B$6:$E$64,4,FALSE)*AK8</f>
        <v>0</v>
      </c>
      <c r="AO8" s="92"/>
      <c r="AP8" s="1329"/>
      <c r="AQ8" s="1330" t="s">
        <v>795</v>
      </c>
      <c r="AR8" s="1424">
        <v>0</v>
      </c>
      <c r="AS8" s="1033">
        <f>VLOOKUP(AQ8,Düngemittel!$B$6:$E$64,2,FALSE)*(VLOOKUP(AQ8,Düngemittel!$B$6:$E$64,3,FALSE))/100*AR8</f>
        <v>0</v>
      </c>
      <c r="AT8" s="1033">
        <f>VLOOKUP(AQ8,Düngemittel!$B$6:$E$64,2,FALSE)*AR8</f>
        <v>0</v>
      </c>
      <c r="AU8" s="1033">
        <f>VLOOKUP(AQ8,Düngemittel!$B$6:$E$64,4,FALSE)*AR8</f>
        <v>0</v>
      </c>
      <c r="AV8" s="1371"/>
      <c r="AW8" s="1371"/>
      <c r="AX8" s="1372">
        <f>IF(AE8&lt;AF8,0,AE8)+IF(AL8&lt;AM8,0,AL8)+IF(AS8&lt;AT8,0,AS8)</f>
        <v>0</v>
      </c>
      <c r="AY8" s="1373">
        <f>SUM(AE8+AL8+AS8)</f>
        <v>0</v>
      </c>
      <c r="AZ8" s="1374">
        <f>SUM(AF8+AM8+AT8)</f>
        <v>0</v>
      </c>
      <c r="BA8" s="1375">
        <f>IF(AE8&lt;AF8,AF8,0)+IF(AL8&lt;AM8,AM8,0)+IF(AS8&lt;AT8,AT8,0)</f>
        <v>0</v>
      </c>
      <c r="BB8" s="1373">
        <f>SUM(AG8+AN8+AU8)</f>
        <v>0</v>
      </c>
      <c r="BC8" s="1376"/>
      <c r="BD8" s="1372">
        <f>AX8*$B8</f>
        <v>0</v>
      </c>
      <c r="BE8" s="1372">
        <f t="shared" ref="BE8:BH23" si="14">AY8*$B8</f>
        <v>0</v>
      </c>
      <c r="BF8" s="1372">
        <f t="shared" si="14"/>
        <v>0</v>
      </c>
      <c r="BG8" s="1816">
        <f t="shared" si="14"/>
        <v>0</v>
      </c>
      <c r="BH8" s="1372">
        <f t="shared" si="14"/>
        <v>0</v>
      </c>
      <c r="BI8" s="2278"/>
      <c r="BJ8" s="2278"/>
      <c r="BK8" s="2278"/>
      <c r="BL8" s="2152" t="s">
        <v>1460</v>
      </c>
      <c r="BM8" s="33">
        <v>20</v>
      </c>
      <c r="BN8" s="33">
        <v>10</v>
      </c>
      <c r="BO8" s="33">
        <v>10</v>
      </c>
      <c r="BP8" s="2153">
        <v>1</v>
      </c>
      <c r="BQ8" s="2153">
        <v>1</v>
      </c>
      <c r="BR8" s="2317">
        <v>0</v>
      </c>
      <c r="BS8" s="2152">
        <v>0</v>
      </c>
      <c r="BT8" s="2152">
        <v>30</v>
      </c>
      <c r="BU8" s="2155">
        <v>0.75</v>
      </c>
      <c r="BV8" s="357">
        <v>0</v>
      </c>
      <c r="BW8" s="357">
        <v>0</v>
      </c>
      <c r="CD8" s="357"/>
    </row>
    <row r="9" spans="1:82" ht="18" customHeight="1">
      <c r="A9" s="468" t="s">
        <v>567</v>
      </c>
      <c r="B9" s="1699">
        <v>0</v>
      </c>
      <c r="C9" s="1431" t="s">
        <v>31</v>
      </c>
      <c r="D9" s="2335">
        <f t="shared" si="0"/>
        <v>0</v>
      </c>
      <c r="E9" s="1381">
        <f t="shared" si="1"/>
        <v>0</v>
      </c>
      <c r="F9" s="1966">
        <f t="shared" si="2"/>
        <v>0</v>
      </c>
      <c r="G9" s="1928">
        <f t="shared" si="3"/>
        <v>0</v>
      </c>
      <c r="H9" s="1949">
        <f t="shared" si="4"/>
        <v>0</v>
      </c>
      <c r="I9" s="1949">
        <f t="shared" si="5"/>
        <v>0</v>
      </c>
      <c r="J9" s="1949">
        <f t="shared" si="6"/>
        <v>0</v>
      </c>
      <c r="K9" s="1928">
        <f t="shared" ref="K9:K42" si="15">IF(H9=0,0,IF(G9&gt;0,ROUNDDOWN(G9/H9,0)*I9,IF(G9&lt;=0,ROUNDDOWN(G9/H9,0)*J9,IF(F9&gt;0,F9*I9/E9,J9*F9/0))))</f>
        <v>0</v>
      </c>
      <c r="L9" s="1702">
        <v>0</v>
      </c>
      <c r="M9" s="2283" t="s">
        <v>1343</v>
      </c>
      <c r="N9" s="2284" t="s">
        <v>1314</v>
      </c>
      <c r="O9" s="2285">
        <f t="shared" si="7"/>
        <v>100</v>
      </c>
      <c r="P9" s="2290" t="s">
        <v>1314</v>
      </c>
      <c r="Q9" s="2291">
        <f t="shared" si="8"/>
        <v>0</v>
      </c>
      <c r="R9" s="2288">
        <f t="shared" si="9"/>
        <v>0</v>
      </c>
      <c r="S9" s="2289">
        <v>0</v>
      </c>
      <c r="T9" s="2207">
        <v>0</v>
      </c>
      <c r="U9" s="2229">
        <f t="shared" ref="U9:U42" si="16">IF(E9-T9-O9+Q9-S9+K9&lt;0,0,E9-T9-O9+Q9+K9-S9)</f>
        <v>0</v>
      </c>
      <c r="V9" s="2228">
        <f t="shared" ref="V9:V42" si="17">IF(U9&lt;0,0,U9*B9)</f>
        <v>0</v>
      </c>
      <c r="W9" s="2216">
        <f t="shared" si="10"/>
        <v>0</v>
      </c>
      <c r="X9" s="2213">
        <f t="shared" si="11"/>
        <v>0</v>
      </c>
      <c r="Z9" s="1281" t="str">
        <f t="shared" si="12"/>
        <v>Schlag 2</v>
      </c>
      <c r="AA9" s="2087" t="str">
        <f t="shared" si="13"/>
        <v>keine</v>
      </c>
      <c r="AB9" s="1329"/>
      <c r="AC9" s="1330" t="s">
        <v>795</v>
      </c>
      <c r="AD9" s="1424">
        <v>0</v>
      </c>
      <c r="AE9" s="1033">
        <f>VLOOKUP(AC9,Düngemittel!$B$6:$E$64,2,FALSE)*(VLOOKUP(AC9,Düngemittel!$B$6:$E$64,3,FALSE))/100*AD9</f>
        <v>0</v>
      </c>
      <c r="AF9" s="1033">
        <f>VLOOKUP(AC9,Düngemittel!$B$6:$E$64,2,FALSE)*AD9</f>
        <v>0</v>
      </c>
      <c r="AG9" s="1033">
        <f>VLOOKUP(AC9,Düngemittel!$B$6:$E$64,4,FALSE)*AD9</f>
        <v>0</v>
      </c>
      <c r="AH9" s="2243"/>
      <c r="AI9" s="1329"/>
      <c r="AJ9" s="1330" t="s">
        <v>795</v>
      </c>
      <c r="AK9" s="1424">
        <v>0</v>
      </c>
      <c r="AL9" s="1033">
        <f>VLOOKUP(AJ9,Düngemittel!$B$6:$E$64,2,FALSE)*(VLOOKUP(AJ9,Düngemittel!$B$6:$E$64,3,FALSE))/100*AK9</f>
        <v>0</v>
      </c>
      <c r="AM9" s="1033">
        <f>VLOOKUP(AJ9,Düngemittel!$B$6:$E$64,2,FALSE)*AK9</f>
        <v>0</v>
      </c>
      <c r="AN9" s="1033">
        <f>VLOOKUP(AJ9,Düngemittel!$B$6:$E$64,4,FALSE)*AK9</f>
        <v>0</v>
      </c>
      <c r="AO9" s="2243"/>
      <c r="AP9" s="1329"/>
      <c r="AQ9" s="1330" t="s">
        <v>795</v>
      </c>
      <c r="AR9" s="1424">
        <v>0</v>
      </c>
      <c r="AS9" s="1033">
        <f>VLOOKUP(AQ9,Düngemittel!$B$6:$E$64,2,FALSE)*(VLOOKUP(AQ9,Düngemittel!$B$6:$E$64,3,FALSE))/100*AR9</f>
        <v>0</v>
      </c>
      <c r="AT9" s="1033">
        <f>VLOOKUP(AQ9,Düngemittel!$B$6:$E$64,2,FALSE)*AR9</f>
        <v>0</v>
      </c>
      <c r="AU9" s="1033">
        <f>VLOOKUP(AQ9,Düngemittel!$B$6:$E$64,4,FALSE)*AR9</f>
        <v>0</v>
      </c>
      <c r="AV9" s="1371"/>
      <c r="AW9" s="1371"/>
      <c r="AX9" s="1372">
        <f t="shared" ref="AX9:AX42" si="18">IF(AE9&lt;AF9,0,AE9)+IF(AL9&lt;AM9,0,AL9)+IF(AS9&lt;AT9,0,AS9)</f>
        <v>0</v>
      </c>
      <c r="AY9" s="1373">
        <f t="shared" ref="AY9:AY42" si="19">SUM(AE9+AL9+AS9)</f>
        <v>0</v>
      </c>
      <c r="AZ9" s="1374">
        <f t="shared" ref="AZ9:AZ42" si="20">SUM(AF9+AM9+AT9)</f>
        <v>0</v>
      </c>
      <c r="BA9" s="1375">
        <f t="shared" ref="BA9:BA42" si="21">IF(AE9&lt;AF9,AF9,0)+IF(AL9&lt;AM9,AM9,0)+IF(AS9&lt;AT9,AT9,0)</f>
        <v>0</v>
      </c>
      <c r="BB9" s="1373">
        <f t="shared" ref="BB9:BB42" si="22">SUM(AG9+AN9+AU9)</f>
        <v>0</v>
      </c>
      <c r="BC9" s="1376"/>
      <c r="BD9" s="1372">
        <f t="shared" ref="BD9:BH42" si="23">AX9*$B9</f>
        <v>0</v>
      </c>
      <c r="BE9" s="1372">
        <f t="shared" si="14"/>
        <v>0</v>
      </c>
      <c r="BF9" s="1372">
        <f t="shared" si="14"/>
        <v>0</v>
      </c>
      <c r="BG9" s="1816">
        <f t="shared" si="14"/>
        <v>0</v>
      </c>
      <c r="BH9" s="1372">
        <f t="shared" si="14"/>
        <v>0</v>
      </c>
      <c r="BI9" s="2278"/>
      <c r="BJ9" s="2278"/>
      <c r="BK9" s="2278"/>
      <c r="BL9" s="2152" t="s">
        <v>1463</v>
      </c>
      <c r="BM9" s="33">
        <v>150</v>
      </c>
      <c r="BN9" s="33">
        <v>120</v>
      </c>
      <c r="BO9" s="33">
        <v>10</v>
      </c>
      <c r="BP9" s="2153">
        <v>12</v>
      </c>
      <c r="BQ9" s="2153">
        <v>12</v>
      </c>
      <c r="BR9" s="2317">
        <v>0</v>
      </c>
      <c r="BS9" s="2152">
        <v>0</v>
      </c>
      <c r="BT9" s="2152">
        <v>30</v>
      </c>
      <c r="BU9" s="2157">
        <v>0.08</v>
      </c>
      <c r="BV9" s="357">
        <v>0</v>
      </c>
      <c r="BW9" s="357">
        <v>0</v>
      </c>
      <c r="CD9" s="357"/>
    </row>
    <row r="10" spans="1:82" ht="18" customHeight="1">
      <c r="A10" s="468" t="s">
        <v>564</v>
      </c>
      <c r="B10" s="1699">
        <v>0</v>
      </c>
      <c r="C10" s="2336" t="s">
        <v>31</v>
      </c>
      <c r="D10" s="2335">
        <f t="shared" si="0"/>
        <v>0</v>
      </c>
      <c r="E10" s="1381">
        <f t="shared" si="1"/>
        <v>0</v>
      </c>
      <c r="F10" s="1966">
        <f t="shared" si="2"/>
        <v>0</v>
      </c>
      <c r="G10" s="1928">
        <f t="shared" si="3"/>
        <v>0</v>
      </c>
      <c r="H10" s="1949">
        <f t="shared" si="4"/>
        <v>0</v>
      </c>
      <c r="I10" s="1949">
        <f t="shared" si="5"/>
        <v>0</v>
      </c>
      <c r="J10" s="1949">
        <f t="shared" si="6"/>
        <v>0</v>
      </c>
      <c r="K10" s="1928">
        <f t="shared" si="15"/>
        <v>0</v>
      </c>
      <c r="L10" s="1702">
        <v>0</v>
      </c>
      <c r="M10" s="2283" t="s">
        <v>31</v>
      </c>
      <c r="N10" s="2284" t="s">
        <v>1314</v>
      </c>
      <c r="O10" s="2285">
        <f t="shared" si="7"/>
        <v>0</v>
      </c>
      <c r="P10" s="2290" t="s">
        <v>1314</v>
      </c>
      <c r="Q10" s="2291">
        <f t="shared" si="8"/>
        <v>0</v>
      </c>
      <c r="R10" s="2288">
        <f t="shared" si="9"/>
        <v>0</v>
      </c>
      <c r="S10" s="2289">
        <v>0</v>
      </c>
      <c r="T10" s="2207">
        <v>0</v>
      </c>
      <c r="U10" s="2229">
        <f t="shared" si="16"/>
        <v>0</v>
      </c>
      <c r="V10" s="2228">
        <f t="shared" si="17"/>
        <v>0</v>
      </c>
      <c r="W10" s="2216">
        <f t="shared" si="10"/>
        <v>0</v>
      </c>
      <c r="X10" s="2213">
        <f t="shared" si="11"/>
        <v>0</v>
      </c>
      <c r="Z10" s="1281" t="str">
        <f t="shared" si="12"/>
        <v>Fläche 3</v>
      </c>
      <c r="AA10" s="2087" t="str">
        <f t="shared" si="13"/>
        <v>keine</v>
      </c>
      <c r="AB10" s="1329"/>
      <c r="AC10" s="1330" t="s">
        <v>795</v>
      </c>
      <c r="AD10" s="1424">
        <v>0</v>
      </c>
      <c r="AE10" s="1033">
        <f>VLOOKUP(AC10,Düngemittel!$B$6:$E$64,2,FALSE)*(VLOOKUP(AC10,Düngemittel!$B$6:$E$64,3,FALSE))/100*AD10</f>
        <v>0</v>
      </c>
      <c r="AF10" s="1033">
        <f>VLOOKUP(AC10,Düngemittel!$B$6:$E$64,2,FALSE)*AD10</f>
        <v>0</v>
      </c>
      <c r="AG10" s="1033">
        <f>VLOOKUP(AC10,Düngemittel!$B$6:$E$64,4,FALSE)*AD10</f>
        <v>0</v>
      </c>
      <c r="AH10" s="2243"/>
      <c r="AI10" s="1329"/>
      <c r="AJ10" s="1330" t="s">
        <v>795</v>
      </c>
      <c r="AK10" s="1424">
        <v>0</v>
      </c>
      <c r="AL10" s="1033">
        <f>VLOOKUP(AJ10,Düngemittel!$B$6:$E$64,2,FALSE)*(VLOOKUP(AJ10,Düngemittel!$B$6:$E$64,3,FALSE))/100*AK10</f>
        <v>0</v>
      </c>
      <c r="AM10" s="1033">
        <f>VLOOKUP(AJ10,Düngemittel!$B$6:$E$64,2,FALSE)*AK10</f>
        <v>0</v>
      </c>
      <c r="AN10" s="1033">
        <f>VLOOKUP(AJ10,Düngemittel!$B$6:$E$64,4,FALSE)*AK10</f>
        <v>0</v>
      </c>
      <c r="AO10" s="2243"/>
      <c r="AP10" s="1329"/>
      <c r="AQ10" s="1330" t="s">
        <v>795</v>
      </c>
      <c r="AR10" s="1424">
        <v>0</v>
      </c>
      <c r="AS10" s="1033">
        <f>VLOOKUP(AQ10,Düngemittel!$B$6:$E$64,2,FALSE)*(VLOOKUP(AQ10,Düngemittel!$B$6:$E$64,3,FALSE))/100*AR10</f>
        <v>0</v>
      </c>
      <c r="AT10" s="1033">
        <f>VLOOKUP(AQ10,Düngemittel!$B$6:$E$64,2,FALSE)*AR10</f>
        <v>0</v>
      </c>
      <c r="AU10" s="1033">
        <f>VLOOKUP(AQ10,Düngemittel!$B$6:$E$64,4,FALSE)*AR10</f>
        <v>0</v>
      </c>
      <c r="AV10" s="1371"/>
      <c r="AW10" s="1371"/>
      <c r="AX10" s="1372">
        <f t="shared" si="18"/>
        <v>0</v>
      </c>
      <c r="AY10" s="1373">
        <f t="shared" si="19"/>
        <v>0</v>
      </c>
      <c r="AZ10" s="1374">
        <f t="shared" si="20"/>
        <v>0</v>
      </c>
      <c r="BA10" s="1375">
        <f t="shared" si="21"/>
        <v>0</v>
      </c>
      <c r="BB10" s="1373">
        <f t="shared" si="22"/>
        <v>0</v>
      </c>
      <c r="BC10" s="1376"/>
      <c r="BD10" s="1372">
        <f t="shared" si="23"/>
        <v>0</v>
      </c>
      <c r="BE10" s="1372">
        <f t="shared" si="14"/>
        <v>0</v>
      </c>
      <c r="BF10" s="1372">
        <f t="shared" si="14"/>
        <v>0</v>
      </c>
      <c r="BG10" s="1816">
        <f t="shared" si="14"/>
        <v>0</v>
      </c>
      <c r="BH10" s="1372">
        <f t="shared" si="14"/>
        <v>0</v>
      </c>
      <c r="BI10" s="2278"/>
      <c r="BJ10" s="2278"/>
      <c r="BK10" s="2278"/>
      <c r="BL10" s="2141" t="s">
        <v>1342</v>
      </c>
      <c r="BM10" s="33">
        <v>350</v>
      </c>
      <c r="BN10" s="33">
        <v>300</v>
      </c>
      <c r="BO10" s="33">
        <v>20</v>
      </c>
      <c r="BP10" s="323">
        <v>20</v>
      </c>
      <c r="BQ10" s="323">
        <v>20</v>
      </c>
      <c r="BR10" s="2318">
        <v>53.333333333333336</v>
      </c>
      <c r="BS10" s="323">
        <v>80</v>
      </c>
      <c r="BT10" s="323">
        <v>60</v>
      </c>
      <c r="BU10" s="1001">
        <v>0.10299999999999999</v>
      </c>
      <c r="BV10" s="357">
        <v>0</v>
      </c>
      <c r="BW10" s="357">
        <v>0</v>
      </c>
      <c r="CD10" s="357"/>
    </row>
    <row r="11" spans="1:82" ht="18" customHeight="1">
      <c r="A11" s="468">
        <v>4</v>
      </c>
      <c r="B11" s="1699">
        <v>0</v>
      </c>
      <c r="C11" s="1431" t="s">
        <v>31</v>
      </c>
      <c r="D11" s="2335">
        <f t="shared" si="0"/>
        <v>0</v>
      </c>
      <c r="E11" s="1381">
        <f t="shared" si="1"/>
        <v>0</v>
      </c>
      <c r="F11" s="1929">
        <f t="shared" si="2"/>
        <v>0</v>
      </c>
      <c r="G11" s="1928">
        <f t="shared" si="3"/>
        <v>0</v>
      </c>
      <c r="H11" s="1949">
        <f t="shared" si="4"/>
        <v>0</v>
      </c>
      <c r="I11" s="1949">
        <f t="shared" si="5"/>
        <v>0</v>
      </c>
      <c r="J11" s="1949">
        <f t="shared" si="6"/>
        <v>0</v>
      </c>
      <c r="K11" s="1928">
        <f t="shared" si="15"/>
        <v>0</v>
      </c>
      <c r="L11" s="1702">
        <v>0</v>
      </c>
      <c r="M11" s="2283" t="s">
        <v>31</v>
      </c>
      <c r="N11" s="2284" t="s">
        <v>1314</v>
      </c>
      <c r="O11" s="2285">
        <f t="shared" si="7"/>
        <v>0</v>
      </c>
      <c r="P11" s="2290" t="s">
        <v>1314</v>
      </c>
      <c r="Q11" s="2291">
        <f t="shared" si="8"/>
        <v>0</v>
      </c>
      <c r="R11" s="2288">
        <f t="shared" si="9"/>
        <v>0</v>
      </c>
      <c r="S11" s="2289">
        <v>0</v>
      </c>
      <c r="T11" s="2207">
        <v>0</v>
      </c>
      <c r="U11" s="2229">
        <f t="shared" si="16"/>
        <v>0</v>
      </c>
      <c r="V11" s="2228">
        <f t="shared" si="17"/>
        <v>0</v>
      </c>
      <c r="W11" s="2216">
        <f t="shared" si="10"/>
        <v>0</v>
      </c>
      <c r="X11" s="2213">
        <f t="shared" si="11"/>
        <v>0</v>
      </c>
      <c r="Z11" s="1281">
        <f t="shared" si="12"/>
        <v>4</v>
      </c>
      <c r="AA11" s="2087" t="str">
        <f t="shared" si="13"/>
        <v>keine</v>
      </c>
      <c r="AB11" s="1329"/>
      <c r="AC11" s="1330" t="s">
        <v>795</v>
      </c>
      <c r="AD11" s="1424">
        <v>0</v>
      </c>
      <c r="AE11" s="1033">
        <f>VLOOKUP(AC11,Düngemittel!$B$6:$E$64,2,FALSE)*(VLOOKUP(AC11,Düngemittel!$B$6:$E$64,3,FALSE))/100*AD11</f>
        <v>0</v>
      </c>
      <c r="AF11" s="1033">
        <f>VLOOKUP(AC11,Düngemittel!$B$6:$E$64,2,FALSE)*AD11</f>
        <v>0</v>
      </c>
      <c r="AG11" s="1033">
        <f>VLOOKUP(AC11,Düngemittel!$B$6:$E$64,4,FALSE)*AD11</f>
        <v>0</v>
      </c>
      <c r="AH11" s="2243"/>
      <c r="AI11" s="1329"/>
      <c r="AJ11" s="1330" t="s">
        <v>795</v>
      </c>
      <c r="AK11" s="1424">
        <v>0</v>
      </c>
      <c r="AL11" s="1033">
        <f>VLOOKUP(AJ11,Düngemittel!$B$6:$E$64,2,FALSE)*(VLOOKUP(AJ11,Düngemittel!$B$6:$E$64,3,FALSE))/100*AK11</f>
        <v>0</v>
      </c>
      <c r="AM11" s="1033">
        <f>VLOOKUP(AJ11,Düngemittel!$B$6:$E$64,2,FALSE)*AK11</f>
        <v>0</v>
      </c>
      <c r="AN11" s="1033">
        <f>VLOOKUP(AJ11,Düngemittel!$B$6:$E$64,4,FALSE)*AK11</f>
        <v>0</v>
      </c>
      <c r="AO11" s="2243"/>
      <c r="AP11" s="1329"/>
      <c r="AQ11" s="1330" t="s">
        <v>795</v>
      </c>
      <c r="AR11" s="1424">
        <v>0</v>
      </c>
      <c r="AS11" s="1033">
        <f>VLOOKUP(AQ11,Düngemittel!$B$6:$E$64,2,FALSE)*(VLOOKUP(AQ11,Düngemittel!$B$6:$E$64,3,FALSE))/100*AR11</f>
        <v>0</v>
      </c>
      <c r="AT11" s="1033">
        <f>VLOOKUP(AQ11,Düngemittel!$B$6:$E$64,2,FALSE)*AR11</f>
        <v>0</v>
      </c>
      <c r="AU11" s="1033">
        <f>VLOOKUP(AQ11,Düngemittel!$B$6:$E$64,4,FALSE)*AR11</f>
        <v>0</v>
      </c>
      <c r="AV11" s="1371"/>
      <c r="AW11" s="1371"/>
      <c r="AX11" s="1372">
        <f t="shared" si="18"/>
        <v>0</v>
      </c>
      <c r="AY11" s="1373">
        <f t="shared" si="19"/>
        <v>0</v>
      </c>
      <c r="AZ11" s="1374">
        <f t="shared" si="20"/>
        <v>0</v>
      </c>
      <c r="BA11" s="1375">
        <f t="shared" si="21"/>
        <v>0</v>
      </c>
      <c r="BB11" s="1373">
        <f t="shared" si="22"/>
        <v>0</v>
      </c>
      <c r="BC11" s="1376"/>
      <c r="BD11" s="1372">
        <f t="shared" si="23"/>
        <v>0</v>
      </c>
      <c r="BE11" s="1372">
        <f t="shared" si="14"/>
        <v>0</v>
      </c>
      <c r="BF11" s="1372">
        <f t="shared" si="14"/>
        <v>0</v>
      </c>
      <c r="BG11" s="1816">
        <f t="shared" si="14"/>
        <v>0</v>
      </c>
      <c r="BH11" s="1372">
        <f t="shared" si="14"/>
        <v>0</v>
      </c>
      <c r="BI11" s="2278"/>
      <c r="BJ11" s="2278"/>
      <c r="BK11" s="2278"/>
      <c r="BL11" s="2152" t="s">
        <v>1478</v>
      </c>
      <c r="BM11" s="33">
        <v>450</v>
      </c>
      <c r="BN11" s="33">
        <v>185</v>
      </c>
      <c r="BO11" s="33">
        <v>10</v>
      </c>
      <c r="BP11" s="2153">
        <v>18.5</v>
      </c>
      <c r="BQ11" s="2153">
        <v>18.5</v>
      </c>
      <c r="BR11" s="2317">
        <v>0</v>
      </c>
      <c r="BS11" s="2152">
        <v>0</v>
      </c>
      <c r="BT11" s="2152">
        <v>30</v>
      </c>
      <c r="BU11" s="2155">
        <v>0.12</v>
      </c>
      <c r="BV11" s="357">
        <v>0</v>
      </c>
      <c r="BW11" s="357">
        <v>0</v>
      </c>
      <c r="BY11" s="1354"/>
      <c r="BZ11" s="1359" t="s">
        <v>84</v>
      </c>
      <c r="CA11" s="1366"/>
      <c r="CD11" s="357"/>
    </row>
    <row r="12" spans="1:82" ht="18" customHeight="1">
      <c r="A12" s="468">
        <v>5</v>
      </c>
      <c r="B12" s="1699">
        <v>0</v>
      </c>
      <c r="C12" s="2337" t="s">
        <v>31</v>
      </c>
      <c r="D12" s="2335">
        <f t="shared" si="0"/>
        <v>0</v>
      </c>
      <c r="E12" s="1381">
        <f t="shared" si="1"/>
        <v>0</v>
      </c>
      <c r="F12" s="1966">
        <f t="shared" si="2"/>
        <v>0</v>
      </c>
      <c r="G12" s="1928">
        <f t="shared" si="3"/>
        <v>0</v>
      </c>
      <c r="H12" s="1949">
        <f t="shared" si="4"/>
        <v>0</v>
      </c>
      <c r="I12" s="1949">
        <f t="shared" si="5"/>
        <v>0</v>
      </c>
      <c r="J12" s="1949">
        <f t="shared" si="6"/>
        <v>0</v>
      </c>
      <c r="K12" s="1928">
        <f t="shared" si="15"/>
        <v>0</v>
      </c>
      <c r="L12" s="1702">
        <v>0</v>
      </c>
      <c r="M12" s="2283" t="s">
        <v>31</v>
      </c>
      <c r="N12" s="2284" t="s">
        <v>1314</v>
      </c>
      <c r="O12" s="2285">
        <f t="shared" si="7"/>
        <v>0</v>
      </c>
      <c r="P12" s="2290" t="s">
        <v>1314</v>
      </c>
      <c r="Q12" s="2291">
        <f t="shared" si="8"/>
        <v>0</v>
      </c>
      <c r="R12" s="2288">
        <f t="shared" si="9"/>
        <v>0</v>
      </c>
      <c r="S12" s="2289">
        <v>0</v>
      </c>
      <c r="T12" s="2207">
        <v>0</v>
      </c>
      <c r="U12" s="2229">
        <f t="shared" si="16"/>
        <v>0</v>
      </c>
      <c r="V12" s="2228">
        <f t="shared" si="17"/>
        <v>0</v>
      </c>
      <c r="W12" s="2216">
        <f t="shared" si="10"/>
        <v>0</v>
      </c>
      <c r="X12" s="2213">
        <f t="shared" si="11"/>
        <v>0</v>
      </c>
      <c r="Z12" s="1281">
        <f t="shared" si="12"/>
        <v>5</v>
      </c>
      <c r="AA12" s="2087" t="str">
        <f t="shared" si="13"/>
        <v>keine</v>
      </c>
      <c r="AB12" s="1329"/>
      <c r="AC12" s="1330" t="s">
        <v>795</v>
      </c>
      <c r="AD12" s="1424">
        <v>0</v>
      </c>
      <c r="AE12" s="1033">
        <f>VLOOKUP(AC12,Düngemittel!$B$6:$E$64,2,FALSE)*(VLOOKUP(AC12,Düngemittel!$B$6:$E$64,3,FALSE))/100*AD12</f>
        <v>0</v>
      </c>
      <c r="AF12" s="1033">
        <f>VLOOKUP(AC12,Düngemittel!$B$6:$E$64,2,FALSE)*AD12</f>
        <v>0</v>
      </c>
      <c r="AG12" s="1033">
        <f>VLOOKUP(AC12,Düngemittel!$B$6:$E$64,4,FALSE)*AD12</f>
        <v>0</v>
      </c>
      <c r="AH12" s="2243"/>
      <c r="AI12" s="1329"/>
      <c r="AJ12" s="1330" t="s">
        <v>795</v>
      </c>
      <c r="AK12" s="1424">
        <v>0</v>
      </c>
      <c r="AL12" s="1033">
        <f>VLOOKUP(AJ12,Düngemittel!$B$6:$E$64,2,FALSE)*(VLOOKUP(AJ12,Düngemittel!$B$6:$E$64,3,FALSE))/100*AK12</f>
        <v>0</v>
      </c>
      <c r="AM12" s="1033">
        <f>VLOOKUP(AJ12,Düngemittel!$B$6:$E$64,2,FALSE)*AK12</f>
        <v>0</v>
      </c>
      <c r="AN12" s="1033">
        <f>VLOOKUP(AJ12,Düngemittel!$B$6:$E$64,4,FALSE)*AK12</f>
        <v>0</v>
      </c>
      <c r="AO12" s="2243"/>
      <c r="AP12" s="1329"/>
      <c r="AQ12" s="1330" t="s">
        <v>795</v>
      </c>
      <c r="AR12" s="1424">
        <v>0</v>
      </c>
      <c r="AS12" s="1033">
        <f>VLOOKUP(AQ12,Düngemittel!$B$6:$E$64,2,FALSE)*(VLOOKUP(AQ12,Düngemittel!$B$6:$E$64,3,FALSE))/100*AR12</f>
        <v>0</v>
      </c>
      <c r="AT12" s="1033">
        <f>VLOOKUP(AQ12,Düngemittel!$B$6:$E$64,2,FALSE)*AR12</f>
        <v>0</v>
      </c>
      <c r="AU12" s="1033">
        <f>VLOOKUP(AQ12,Düngemittel!$B$6:$E$64,4,FALSE)*AR12</f>
        <v>0</v>
      </c>
      <c r="AV12" s="1371"/>
      <c r="AW12" s="1371"/>
      <c r="AX12" s="1372">
        <f t="shared" si="18"/>
        <v>0</v>
      </c>
      <c r="AY12" s="1373">
        <f t="shared" si="19"/>
        <v>0</v>
      </c>
      <c r="AZ12" s="1374">
        <f t="shared" si="20"/>
        <v>0</v>
      </c>
      <c r="BA12" s="1375">
        <f t="shared" si="21"/>
        <v>0</v>
      </c>
      <c r="BB12" s="1373">
        <f t="shared" si="22"/>
        <v>0</v>
      </c>
      <c r="BC12" s="1376"/>
      <c r="BD12" s="1372">
        <f t="shared" si="23"/>
        <v>0</v>
      </c>
      <c r="BE12" s="1372">
        <f t="shared" si="14"/>
        <v>0</v>
      </c>
      <c r="BF12" s="1372">
        <f t="shared" si="14"/>
        <v>0</v>
      </c>
      <c r="BG12" s="1816">
        <f t="shared" si="14"/>
        <v>0</v>
      </c>
      <c r="BH12" s="1372">
        <f t="shared" si="14"/>
        <v>0</v>
      </c>
      <c r="BI12" s="2278"/>
      <c r="BJ12" s="2278"/>
      <c r="BK12" s="2278"/>
      <c r="BL12" s="2152" t="s">
        <v>1479</v>
      </c>
      <c r="BM12" s="33">
        <v>300</v>
      </c>
      <c r="BN12" s="33">
        <v>110</v>
      </c>
      <c r="BO12" s="33">
        <v>10</v>
      </c>
      <c r="BP12" s="2158">
        <v>6</v>
      </c>
      <c r="BQ12" s="2158">
        <v>6</v>
      </c>
      <c r="BR12" s="2317">
        <v>0</v>
      </c>
      <c r="BS12" s="2152">
        <v>0</v>
      </c>
      <c r="BT12" s="2152">
        <v>60</v>
      </c>
      <c r="BU12" s="2155">
        <v>0.05</v>
      </c>
      <c r="BV12" s="357">
        <v>0</v>
      </c>
      <c r="BW12" s="357">
        <v>0</v>
      </c>
      <c r="BY12" s="1354"/>
      <c r="BZ12" s="1358" t="s">
        <v>90</v>
      </c>
      <c r="CA12" s="1366">
        <v>0</v>
      </c>
      <c r="CD12" s="357"/>
    </row>
    <row r="13" spans="1:82" ht="18" customHeight="1">
      <c r="A13" s="468">
        <v>6</v>
      </c>
      <c r="B13" s="1699">
        <v>0</v>
      </c>
      <c r="C13" s="1431" t="s">
        <v>31</v>
      </c>
      <c r="D13" s="2335">
        <f t="shared" si="0"/>
        <v>0</v>
      </c>
      <c r="E13" s="1381">
        <f t="shared" si="1"/>
        <v>0</v>
      </c>
      <c r="F13" s="1966">
        <f t="shared" si="2"/>
        <v>0</v>
      </c>
      <c r="G13" s="1928">
        <f t="shared" si="3"/>
        <v>0</v>
      </c>
      <c r="H13" s="1949">
        <f t="shared" si="4"/>
        <v>0</v>
      </c>
      <c r="I13" s="1949">
        <f t="shared" si="5"/>
        <v>0</v>
      </c>
      <c r="J13" s="1949">
        <f t="shared" si="6"/>
        <v>0</v>
      </c>
      <c r="K13" s="1928">
        <f t="shared" si="15"/>
        <v>0</v>
      </c>
      <c r="L13" s="1702">
        <v>0</v>
      </c>
      <c r="M13" s="2283" t="s">
        <v>31</v>
      </c>
      <c r="N13" s="2284" t="s">
        <v>1314</v>
      </c>
      <c r="O13" s="2285">
        <f t="shared" si="7"/>
        <v>0</v>
      </c>
      <c r="P13" s="2290" t="s">
        <v>1314</v>
      </c>
      <c r="Q13" s="2291">
        <f t="shared" si="8"/>
        <v>0</v>
      </c>
      <c r="R13" s="2288">
        <f t="shared" si="9"/>
        <v>0</v>
      </c>
      <c r="S13" s="2289">
        <v>0</v>
      </c>
      <c r="T13" s="2207">
        <v>0</v>
      </c>
      <c r="U13" s="2229">
        <f t="shared" si="16"/>
        <v>0</v>
      </c>
      <c r="V13" s="2228">
        <f t="shared" si="17"/>
        <v>0</v>
      </c>
      <c r="W13" s="2216">
        <f t="shared" si="10"/>
        <v>0</v>
      </c>
      <c r="X13" s="2213">
        <f t="shared" si="11"/>
        <v>0</v>
      </c>
      <c r="Z13" s="1281">
        <f t="shared" si="12"/>
        <v>6</v>
      </c>
      <c r="AA13" s="2087" t="str">
        <f t="shared" si="13"/>
        <v>keine</v>
      </c>
      <c r="AB13" s="1329"/>
      <c r="AC13" s="1330" t="s">
        <v>795</v>
      </c>
      <c r="AD13" s="1424">
        <v>0</v>
      </c>
      <c r="AE13" s="1033">
        <f>VLOOKUP(AC13,Düngemittel!$B$6:$E$64,2,FALSE)*(VLOOKUP(AC13,Düngemittel!$B$6:$E$64,3,FALSE))/100*AD13</f>
        <v>0</v>
      </c>
      <c r="AF13" s="1033">
        <f>VLOOKUP(AC13,Düngemittel!$B$6:$E$64,2,FALSE)*AD13</f>
        <v>0</v>
      </c>
      <c r="AG13" s="1033">
        <f>VLOOKUP(AC13,Düngemittel!$B$6:$E$64,4,FALSE)*AD13</f>
        <v>0</v>
      </c>
      <c r="AH13" s="2243"/>
      <c r="AI13" s="1329"/>
      <c r="AJ13" s="1330" t="s">
        <v>795</v>
      </c>
      <c r="AK13" s="1424">
        <v>0</v>
      </c>
      <c r="AL13" s="1033">
        <f>VLOOKUP(AJ13,Düngemittel!$B$6:$E$64,2,FALSE)*(VLOOKUP(AJ13,Düngemittel!$B$6:$E$64,3,FALSE))/100*AK13</f>
        <v>0</v>
      </c>
      <c r="AM13" s="1033">
        <f>VLOOKUP(AJ13,Düngemittel!$B$6:$E$64,2,FALSE)*AK13</f>
        <v>0</v>
      </c>
      <c r="AN13" s="1033">
        <f>VLOOKUP(AJ13,Düngemittel!$B$6:$E$64,4,FALSE)*AK13</f>
        <v>0</v>
      </c>
      <c r="AO13" s="2243"/>
      <c r="AP13" s="1329"/>
      <c r="AQ13" s="1330" t="s">
        <v>795</v>
      </c>
      <c r="AR13" s="1424">
        <v>0</v>
      </c>
      <c r="AS13" s="1033">
        <f>VLOOKUP(AQ13,Düngemittel!$B$6:$E$64,2,FALSE)*(VLOOKUP(AQ13,Düngemittel!$B$6:$E$64,3,FALSE))/100*AR13</f>
        <v>0</v>
      </c>
      <c r="AT13" s="1033">
        <f>VLOOKUP(AQ13,Düngemittel!$B$6:$E$64,2,FALSE)*AR13</f>
        <v>0</v>
      </c>
      <c r="AU13" s="1033">
        <f>VLOOKUP(AQ13,Düngemittel!$B$6:$E$64,4,FALSE)*AR13</f>
        <v>0</v>
      </c>
      <c r="AV13" s="1371"/>
      <c r="AW13" s="1371"/>
      <c r="AX13" s="1372">
        <f t="shared" si="18"/>
        <v>0</v>
      </c>
      <c r="AY13" s="1373">
        <f t="shared" si="19"/>
        <v>0</v>
      </c>
      <c r="AZ13" s="1374">
        <f t="shared" si="20"/>
        <v>0</v>
      </c>
      <c r="BA13" s="1375">
        <f t="shared" si="21"/>
        <v>0</v>
      </c>
      <c r="BB13" s="1373">
        <f t="shared" si="22"/>
        <v>0</v>
      </c>
      <c r="BC13" s="1376"/>
      <c r="BD13" s="1372">
        <f t="shared" si="23"/>
        <v>0</v>
      </c>
      <c r="BE13" s="1372">
        <f t="shared" si="14"/>
        <v>0</v>
      </c>
      <c r="BF13" s="1372">
        <f t="shared" si="14"/>
        <v>0</v>
      </c>
      <c r="BG13" s="1816">
        <f t="shared" si="14"/>
        <v>0</v>
      </c>
      <c r="BH13" s="1372">
        <f t="shared" si="14"/>
        <v>0</v>
      </c>
      <c r="BI13" s="2278"/>
      <c r="BJ13" s="2278"/>
      <c r="BK13" s="2278"/>
      <c r="BL13" s="2152" t="s">
        <v>1484</v>
      </c>
      <c r="BM13" s="33">
        <v>120</v>
      </c>
      <c r="BN13" s="33">
        <v>125</v>
      </c>
      <c r="BO13" s="33">
        <v>10</v>
      </c>
      <c r="BP13" s="2153">
        <v>12.5</v>
      </c>
      <c r="BQ13" s="2153">
        <v>12.5</v>
      </c>
      <c r="BR13" s="2318">
        <v>0</v>
      </c>
      <c r="BS13" s="2152">
        <v>0</v>
      </c>
      <c r="BT13" s="2152">
        <v>30</v>
      </c>
      <c r="BU13" s="2155">
        <v>0.15</v>
      </c>
      <c r="BV13" s="357">
        <v>0</v>
      </c>
      <c r="BW13" s="357">
        <v>0</v>
      </c>
      <c r="BY13" s="1354"/>
      <c r="BZ13" s="1358" t="s">
        <v>88</v>
      </c>
      <c r="CA13" s="1366">
        <v>20</v>
      </c>
      <c r="CD13" s="357"/>
    </row>
    <row r="14" spans="1:82" ht="18" customHeight="1">
      <c r="A14" s="468">
        <v>7</v>
      </c>
      <c r="B14" s="1699">
        <v>0</v>
      </c>
      <c r="C14" s="2336" t="s">
        <v>31</v>
      </c>
      <c r="D14" s="2335">
        <f t="shared" si="0"/>
        <v>0</v>
      </c>
      <c r="E14" s="1381">
        <f t="shared" si="1"/>
        <v>0</v>
      </c>
      <c r="F14" s="1966">
        <f t="shared" si="2"/>
        <v>0</v>
      </c>
      <c r="G14" s="1928">
        <f t="shared" si="3"/>
        <v>0</v>
      </c>
      <c r="H14" s="1949">
        <f t="shared" si="4"/>
        <v>0</v>
      </c>
      <c r="I14" s="1949">
        <f t="shared" si="5"/>
        <v>0</v>
      </c>
      <c r="J14" s="1949">
        <f t="shared" si="6"/>
        <v>0</v>
      </c>
      <c r="K14" s="1928">
        <f t="shared" si="15"/>
        <v>0</v>
      </c>
      <c r="L14" s="1702">
        <v>0</v>
      </c>
      <c r="M14" s="2283" t="s">
        <v>31</v>
      </c>
      <c r="N14" s="2284" t="s">
        <v>1314</v>
      </c>
      <c r="O14" s="2285">
        <f t="shared" si="7"/>
        <v>0</v>
      </c>
      <c r="P14" s="2290" t="s">
        <v>1314</v>
      </c>
      <c r="Q14" s="2291">
        <f t="shared" si="8"/>
        <v>0</v>
      </c>
      <c r="R14" s="2288">
        <f t="shared" si="9"/>
        <v>0</v>
      </c>
      <c r="S14" s="2289">
        <v>0</v>
      </c>
      <c r="T14" s="2207">
        <v>0</v>
      </c>
      <c r="U14" s="2229">
        <f t="shared" si="16"/>
        <v>0</v>
      </c>
      <c r="V14" s="2228">
        <f t="shared" si="17"/>
        <v>0</v>
      </c>
      <c r="W14" s="2216">
        <f t="shared" si="10"/>
        <v>0</v>
      </c>
      <c r="X14" s="2213">
        <f t="shared" si="11"/>
        <v>0</v>
      </c>
      <c r="Z14" s="1281">
        <f t="shared" si="12"/>
        <v>7</v>
      </c>
      <c r="AA14" s="2087" t="str">
        <f t="shared" si="13"/>
        <v>keine</v>
      </c>
      <c r="AB14" s="1329"/>
      <c r="AC14" s="1330" t="s">
        <v>795</v>
      </c>
      <c r="AD14" s="1424">
        <v>0</v>
      </c>
      <c r="AE14" s="1033">
        <f>VLOOKUP(AC14,Düngemittel!$B$6:$E$64,2,FALSE)*(VLOOKUP(AC14,Düngemittel!$B$6:$E$64,3,FALSE))/100*AD14</f>
        <v>0</v>
      </c>
      <c r="AF14" s="1033">
        <f>VLOOKUP(AC14,Düngemittel!$B$6:$E$64,2,FALSE)*AD14</f>
        <v>0</v>
      </c>
      <c r="AG14" s="1033">
        <f>VLOOKUP(AC14,Düngemittel!$B$6:$E$64,4,FALSE)*AD14</f>
        <v>0</v>
      </c>
      <c r="AH14" s="2243"/>
      <c r="AI14" s="1329"/>
      <c r="AJ14" s="1330" t="s">
        <v>795</v>
      </c>
      <c r="AK14" s="1424">
        <v>0</v>
      </c>
      <c r="AL14" s="1033">
        <f>VLOOKUP(AJ14,Düngemittel!$B$6:$E$64,2,FALSE)*(VLOOKUP(AJ14,Düngemittel!$B$6:$E$64,3,FALSE))/100*AK14</f>
        <v>0</v>
      </c>
      <c r="AM14" s="1033">
        <f>VLOOKUP(AJ14,Düngemittel!$B$6:$E$64,2,FALSE)*AK14</f>
        <v>0</v>
      </c>
      <c r="AN14" s="1033">
        <f>VLOOKUP(AJ14,Düngemittel!$B$6:$E$64,4,FALSE)*AK14</f>
        <v>0</v>
      </c>
      <c r="AO14" s="2243"/>
      <c r="AP14" s="1329"/>
      <c r="AQ14" s="1330" t="s">
        <v>795</v>
      </c>
      <c r="AR14" s="1424">
        <v>0</v>
      </c>
      <c r="AS14" s="1033">
        <f>VLOOKUP(AQ14,Düngemittel!$B$6:$E$64,2,FALSE)*(VLOOKUP(AQ14,Düngemittel!$B$6:$E$64,3,FALSE))/100*AR14</f>
        <v>0</v>
      </c>
      <c r="AT14" s="1033">
        <f>VLOOKUP(AQ14,Düngemittel!$B$6:$E$64,2,FALSE)*AR14</f>
        <v>0</v>
      </c>
      <c r="AU14" s="1033">
        <f>VLOOKUP(AQ14,Düngemittel!$B$6:$E$64,4,FALSE)*AR14</f>
        <v>0</v>
      </c>
      <c r="AV14" s="1371"/>
      <c r="AW14" s="1371"/>
      <c r="AX14" s="1372">
        <f t="shared" si="18"/>
        <v>0</v>
      </c>
      <c r="AY14" s="1373">
        <f t="shared" si="19"/>
        <v>0</v>
      </c>
      <c r="AZ14" s="1374">
        <f t="shared" si="20"/>
        <v>0</v>
      </c>
      <c r="BA14" s="1375">
        <f t="shared" si="21"/>
        <v>0</v>
      </c>
      <c r="BB14" s="1373">
        <f t="shared" si="22"/>
        <v>0</v>
      </c>
      <c r="BC14" s="1376"/>
      <c r="BD14" s="1372">
        <f t="shared" si="23"/>
        <v>0</v>
      </c>
      <c r="BE14" s="1372">
        <f t="shared" si="14"/>
        <v>0</v>
      </c>
      <c r="BF14" s="1372">
        <f t="shared" si="14"/>
        <v>0</v>
      </c>
      <c r="BG14" s="1816">
        <f t="shared" si="14"/>
        <v>0</v>
      </c>
      <c r="BH14" s="1372">
        <f t="shared" si="14"/>
        <v>0</v>
      </c>
      <c r="BI14" s="2278"/>
      <c r="BJ14" s="2278"/>
      <c r="BK14" s="2278"/>
      <c r="BL14" s="2141" t="s">
        <v>1343</v>
      </c>
      <c r="BM14" s="33">
        <v>150</v>
      </c>
      <c r="BN14" s="33">
        <v>310</v>
      </c>
      <c r="BO14" s="33">
        <v>20</v>
      </c>
      <c r="BP14" s="323">
        <v>20</v>
      </c>
      <c r="BQ14" s="323">
        <v>20</v>
      </c>
      <c r="BR14" s="2318">
        <v>66.666666666666671</v>
      </c>
      <c r="BS14" s="323">
        <v>100</v>
      </c>
      <c r="BT14" s="323">
        <v>60</v>
      </c>
      <c r="BU14" s="1001">
        <v>0.14899999999999999</v>
      </c>
      <c r="BV14" s="357">
        <v>0</v>
      </c>
      <c r="BW14" s="357">
        <v>0</v>
      </c>
      <c r="BY14" s="1354"/>
      <c r="BZ14" s="1358" t="s">
        <v>89</v>
      </c>
      <c r="CA14" s="1366">
        <v>40</v>
      </c>
      <c r="CD14" s="357"/>
    </row>
    <row r="15" spans="1:82" ht="18" customHeight="1">
      <c r="A15" s="468">
        <v>8</v>
      </c>
      <c r="B15" s="1699">
        <v>0</v>
      </c>
      <c r="C15" s="1431" t="s">
        <v>31</v>
      </c>
      <c r="D15" s="2335">
        <f t="shared" si="0"/>
        <v>0</v>
      </c>
      <c r="E15" s="1381">
        <f t="shared" si="1"/>
        <v>0</v>
      </c>
      <c r="F15" s="1966">
        <f t="shared" si="2"/>
        <v>0</v>
      </c>
      <c r="G15" s="1928">
        <f t="shared" si="3"/>
        <v>0</v>
      </c>
      <c r="H15" s="1949">
        <f t="shared" si="4"/>
        <v>0</v>
      </c>
      <c r="I15" s="1949">
        <f t="shared" si="5"/>
        <v>0</v>
      </c>
      <c r="J15" s="1949">
        <f t="shared" si="6"/>
        <v>0</v>
      </c>
      <c r="K15" s="1928">
        <f t="shared" si="15"/>
        <v>0</v>
      </c>
      <c r="L15" s="1702">
        <v>0</v>
      </c>
      <c r="M15" s="2283" t="s">
        <v>31</v>
      </c>
      <c r="N15" s="2284" t="s">
        <v>1314</v>
      </c>
      <c r="O15" s="2285">
        <f t="shared" si="7"/>
        <v>0</v>
      </c>
      <c r="P15" s="2290" t="s">
        <v>1314</v>
      </c>
      <c r="Q15" s="2291">
        <f t="shared" si="8"/>
        <v>0</v>
      </c>
      <c r="R15" s="2288">
        <f t="shared" si="9"/>
        <v>0</v>
      </c>
      <c r="S15" s="2289">
        <v>0</v>
      </c>
      <c r="T15" s="2207">
        <v>0</v>
      </c>
      <c r="U15" s="2229">
        <f t="shared" si="16"/>
        <v>0</v>
      </c>
      <c r="V15" s="2228">
        <f t="shared" si="17"/>
        <v>0</v>
      </c>
      <c r="W15" s="2216">
        <f t="shared" si="10"/>
        <v>0</v>
      </c>
      <c r="X15" s="2213">
        <f t="shared" si="11"/>
        <v>0</v>
      </c>
      <c r="Z15" s="1281">
        <f t="shared" si="12"/>
        <v>8</v>
      </c>
      <c r="AA15" s="2087" t="str">
        <f t="shared" si="13"/>
        <v>keine</v>
      </c>
      <c r="AB15" s="1329"/>
      <c r="AC15" s="1330" t="s">
        <v>795</v>
      </c>
      <c r="AD15" s="1424">
        <v>0</v>
      </c>
      <c r="AE15" s="1033">
        <f>VLOOKUP(AC15,Düngemittel!$B$6:$E$64,2,FALSE)*(VLOOKUP(AC15,Düngemittel!$B$6:$E$64,3,FALSE))/100*AD15</f>
        <v>0</v>
      </c>
      <c r="AF15" s="1033">
        <f>VLOOKUP(AC15,Düngemittel!$B$6:$E$64,2,FALSE)*AD15</f>
        <v>0</v>
      </c>
      <c r="AG15" s="1033">
        <f>VLOOKUP(AC15,Düngemittel!$B$6:$E$64,4,FALSE)*AD15</f>
        <v>0</v>
      </c>
      <c r="AH15" s="2243"/>
      <c r="AI15" s="1329"/>
      <c r="AJ15" s="1330" t="s">
        <v>795</v>
      </c>
      <c r="AK15" s="1424">
        <v>0</v>
      </c>
      <c r="AL15" s="1033">
        <f>VLOOKUP(AJ15,Düngemittel!$B$6:$E$64,2,FALSE)*(VLOOKUP(AJ15,Düngemittel!$B$6:$E$64,3,FALSE))/100*AK15</f>
        <v>0</v>
      </c>
      <c r="AM15" s="1033">
        <f>VLOOKUP(AJ15,Düngemittel!$B$6:$E$64,2,FALSE)*AK15</f>
        <v>0</v>
      </c>
      <c r="AN15" s="1033">
        <f>VLOOKUP(AJ15,Düngemittel!$B$6:$E$64,4,FALSE)*AK15</f>
        <v>0</v>
      </c>
      <c r="AO15" s="2243"/>
      <c r="AP15" s="1329"/>
      <c r="AQ15" s="1330" t="s">
        <v>795</v>
      </c>
      <c r="AR15" s="1424">
        <v>0</v>
      </c>
      <c r="AS15" s="1033">
        <f>VLOOKUP(AQ15,Düngemittel!$B$6:$E$64,2,FALSE)*(VLOOKUP(AQ15,Düngemittel!$B$6:$E$64,3,FALSE))/100*AR15</f>
        <v>0</v>
      </c>
      <c r="AT15" s="1033">
        <f>VLOOKUP(AQ15,Düngemittel!$B$6:$E$64,2,FALSE)*AR15</f>
        <v>0</v>
      </c>
      <c r="AU15" s="1033">
        <f>VLOOKUP(AQ15,Düngemittel!$B$6:$E$64,4,FALSE)*AR15</f>
        <v>0</v>
      </c>
      <c r="AV15" s="1371"/>
      <c r="AW15" s="1371"/>
      <c r="AX15" s="1372">
        <f t="shared" si="18"/>
        <v>0</v>
      </c>
      <c r="AY15" s="1373">
        <f t="shared" si="19"/>
        <v>0</v>
      </c>
      <c r="AZ15" s="1374">
        <f t="shared" si="20"/>
        <v>0</v>
      </c>
      <c r="BA15" s="1375">
        <f t="shared" si="21"/>
        <v>0</v>
      </c>
      <c r="BB15" s="1373">
        <f t="shared" si="22"/>
        <v>0</v>
      </c>
      <c r="BC15" s="1376"/>
      <c r="BD15" s="1372">
        <f t="shared" si="23"/>
        <v>0</v>
      </c>
      <c r="BE15" s="1372">
        <f t="shared" si="14"/>
        <v>0</v>
      </c>
      <c r="BF15" s="1372">
        <f t="shared" si="14"/>
        <v>0</v>
      </c>
      <c r="BG15" s="1816">
        <f t="shared" si="14"/>
        <v>0</v>
      </c>
      <c r="BH15" s="1372">
        <f t="shared" si="14"/>
        <v>0</v>
      </c>
      <c r="BI15" s="2278"/>
      <c r="BJ15" s="2278"/>
      <c r="BK15" s="2278"/>
      <c r="BL15" s="2159" t="s">
        <v>1642</v>
      </c>
      <c r="BM15" s="33">
        <v>150</v>
      </c>
      <c r="BN15" s="33">
        <v>65</v>
      </c>
      <c r="BO15" s="33">
        <v>10</v>
      </c>
      <c r="BP15" s="2160">
        <v>7</v>
      </c>
      <c r="BQ15" s="2160">
        <v>7</v>
      </c>
      <c r="BR15" s="2317">
        <v>0</v>
      </c>
      <c r="BS15" s="2160">
        <v>0</v>
      </c>
      <c r="BT15" s="2160">
        <v>30</v>
      </c>
      <c r="BU15" s="1914">
        <v>9.1999999999999998E-2</v>
      </c>
      <c r="BV15" s="357">
        <v>0</v>
      </c>
      <c r="BW15" s="357">
        <v>0</v>
      </c>
      <c r="BY15" s="1354"/>
      <c r="BZ15" s="1358" t="s">
        <v>227</v>
      </c>
      <c r="CA15" s="1366">
        <v>60</v>
      </c>
      <c r="CD15" s="357"/>
    </row>
    <row r="16" spans="1:82" ht="18" customHeight="1">
      <c r="A16" s="468">
        <v>9</v>
      </c>
      <c r="B16" s="1699">
        <v>0</v>
      </c>
      <c r="C16" s="2338" t="s">
        <v>31</v>
      </c>
      <c r="D16" s="2335">
        <f t="shared" si="0"/>
        <v>0</v>
      </c>
      <c r="E16" s="1381">
        <f t="shared" si="1"/>
        <v>0</v>
      </c>
      <c r="F16" s="1966">
        <f t="shared" si="2"/>
        <v>0</v>
      </c>
      <c r="G16" s="1928">
        <f t="shared" si="3"/>
        <v>0</v>
      </c>
      <c r="H16" s="1949">
        <f t="shared" si="4"/>
        <v>0</v>
      </c>
      <c r="I16" s="1949">
        <f t="shared" si="5"/>
        <v>0</v>
      </c>
      <c r="J16" s="1949">
        <f t="shared" si="6"/>
        <v>0</v>
      </c>
      <c r="K16" s="1928">
        <f t="shared" si="15"/>
        <v>0</v>
      </c>
      <c r="L16" s="1702">
        <v>0</v>
      </c>
      <c r="M16" s="2283" t="s">
        <v>31</v>
      </c>
      <c r="N16" s="2284" t="s">
        <v>1314</v>
      </c>
      <c r="O16" s="2285">
        <f t="shared" si="7"/>
        <v>0</v>
      </c>
      <c r="P16" s="2290" t="s">
        <v>1314</v>
      </c>
      <c r="Q16" s="2291">
        <f t="shared" si="8"/>
        <v>0</v>
      </c>
      <c r="R16" s="2288">
        <f t="shared" si="9"/>
        <v>0</v>
      </c>
      <c r="S16" s="2289">
        <v>0</v>
      </c>
      <c r="T16" s="2207">
        <v>0</v>
      </c>
      <c r="U16" s="2229">
        <f t="shared" si="16"/>
        <v>0</v>
      </c>
      <c r="V16" s="2228">
        <f t="shared" si="17"/>
        <v>0</v>
      </c>
      <c r="W16" s="2216">
        <f t="shared" si="10"/>
        <v>0</v>
      </c>
      <c r="X16" s="2213">
        <f t="shared" si="11"/>
        <v>0</v>
      </c>
      <c r="Z16" s="1281">
        <f t="shared" si="12"/>
        <v>9</v>
      </c>
      <c r="AA16" s="2087" t="str">
        <f t="shared" si="13"/>
        <v>keine</v>
      </c>
      <c r="AB16" s="1329"/>
      <c r="AC16" s="1330" t="s">
        <v>795</v>
      </c>
      <c r="AD16" s="1424">
        <v>0</v>
      </c>
      <c r="AE16" s="1033">
        <f>VLOOKUP(AC16,Düngemittel!$B$6:$E$64,2,FALSE)*(VLOOKUP(AC16,Düngemittel!$B$6:$E$64,3,FALSE))/100*AD16</f>
        <v>0</v>
      </c>
      <c r="AF16" s="1033">
        <f>VLOOKUP(AC16,Düngemittel!$B$6:$E$64,2,FALSE)*AD16</f>
        <v>0</v>
      </c>
      <c r="AG16" s="1033">
        <f>VLOOKUP(AC16,Düngemittel!$B$6:$E$64,4,FALSE)*AD16</f>
        <v>0</v>
      </c>
      <c r="AH16" s="2243"/>
      <c r="AI16" s="1329"/>
      <c r="AJ16" s="1330" t="s">
        <v>795</v>
      </c>
      <c r="AK16" s="1424">
        <v>0</v>
      </c>
      <c r="AL16" s="1033">
        <f>VLOOKUP(AJ16,Düngemittel!$B$6:$E$64,2,FALSE)*(VLOOKUP(AJ16,Düngemittel!$B$6:$E$64,3,FALSE))/100*AK16</f>
        <v>0</v>
      </c>
      <c r="AM16" s="1033">
        <f>VLOOKUP(AJ16,Düngemittel!$B$6:$E$64,2,FALSE)*AK16</f>
        <v>0</v>
      </c>
      <c r="AN16" s="1033">
        <f>VLOOKUP(AJ16,Düngemittel!$B$6:$E$64,4,FALSE)*AK16</f>
        <v>0</v>
      </c>
      <c r="AO16" s="2243"/>
      <c r="AP16" s="1329"/>
      <c r="AQ16" s="1330" t="s">
        <v>795</v>
      </c>
      <c r="AR16" s="1424">
        <v>0</v>
      </c>
      <c r="AS16" s="1033">
        <f>VLOOKUP(AQ16,Düngemittel!$B$6:$E$64,2,FALSE)*(VLOOKUP(AQ16,Düngemittel!$B$6:$E$64,3,FALSE))/100*AR16</f>
        <v>0</v>
      </c>
      <c r="AT16" s="1033">
        <f>VLOOKUP(AQ16,Düngemittel!$B$6:$E$64,2,FALSE)*AR16</f>
        <v>0</v>
      </c>
      <c r="AU16" s="1033">
        <f>VLOOKUP(AQ16,Düngemittel!$B$6:$E$64,4,FALSE)*AR16</f>
        <v>0</v>
      </c>
      <c r="AV16" s="1371"/>
      <c r="AW16" s="1371"/>
      <c r="AX16" s="1372">
        <f t="shared" si="18"/>
        <v>0</v>
      </c>
      <c r="AY16" s="1373">
        <f t="shared" si="19"/>
        <v>0</v>
      </c>
      <c r="AZ16" s="1374">
        <f t="shared" si="20"/>
        <v>0</v>
      </c>
      <c r="BA16" s="1375">
        <f t="shared" si="21"/>
        <v>0</v>
      </c>
      <c r="BB16" s="1373">
        <f t="shared" si="22"/>
        <v>0</v>
      </c>
      <c r="BC16" s="1376"/>
      <c r="BD16" s="1372">
        <f t="shared" si="23"/>
        <v>0</v>
      </c>
      <c r="BE16" s="1372">
        <f t="shared" si="14"/>
        <v>0</v>
      </c>
      <c r="BF16" s="1372">
        <f t="shared" si="14"/>
        <v>0</v>
      </c>
      <c r="BG16" s="1816">
        <f t="shared" si="14"/>
        <v>0</v>
      </c>
      <c r="BH16" s="1372">
        <f t="shared" si="14"/>
        <v>0</v>
      </c>
      <c r="BI16" s="2278"/>
      <c r="BJ16" s="2278"/>
      <c r="BK16" s="2278"/>
      <c r="BL16" s="2141" t="s">
        <v>1344</v>
      </c>
      <c r="BM16" s="33">
        <v>120</v>
      </c>
      <c r="BN16" s="33">
        <v>110</v>
      </c>
      <c r="BO16" s="33">
        <v>20</v>
      </c>
      <c r="BP16" s="323">
        <v>20</v>
      </c>
      <c r="BQ16" s="323">
        <v>20</v>
      </c>
      <c r="BR16" s="2318">
        <v>30</v>
      </c>
      <c r="BS16" s="323">
        <v>45</v>
      </c>
      <c r="BT16" s="323">
        <v>60</v>
      </c>
      <c r="BU16" s="1001">
        <v>9.1999999999999998E-2</v>
      </c>
      <c r="BV16" s="357">
        <v>0</v>
      </c>
      <c r="BW16" s="357">
        <v>0</v>
      </c>
      <c r="CD16" s="357"/>
    </row>
    <row r="17" spans="1:82" ht="18" customHeight="1">
      <c r="A17" s="468">
        <v>10</v>
      </c>
      <c r="B17" s="1699">
        <v>0</v>
      </c>
      <c r="C17" s="2336" t="s">
        <v>31</v>
      </c>
      <c r="D17" s="2335">
        <f t="shared" si="0"/>
        <v>0</v>
      </c>
      <c r="E17" s="1381">
        <f t="shared" si="1"/>
        <v>0</v>
      </c>
      <c r="F17" s="1966">
        <f t="shared" si="2"/>
        <v>0</v>
      </c>
      <c r="G17" s="1928">
        <f t="shared" si="3"/>
        <v>0</v>
      </c>
      <c r="H17" s="1949">
        <f t="shared" si="4"/>
        <v>0</v>
      </c>
      <c r="I17" s="1949">
        <f t="shared" si="5"/>
        <v>0</v>
      </c>
      <c r="J17" s="1949">
        <f t="shared" si="6"/>
        <v>0</v>
      </c>
      <c r="K17" s="1928">
        <f t="shared" si="15"/>
        <v>0</v>
      </c>
      <c r="L17" s="1702">
        <v>0</v>
      </c>
      <c r="M17" s="2283" t="s">
        <v>31</v>
      </c>
      <c r="N17" s="2284" t="s">
        <v>1314</v>
      </c>
      <c r="O17" s="2285">
        <f t="shared" si="7"/>
        <v>0</v>
      </c>
      <c r="P17" s="2290" t="s">
        <v>1314</v>
      </c>
      <c r="Q17" s="2291">
        <f t="shared" si="8"/>
        <v>0</v>
      </c>
      <c r="R17" s="2288">
        <f t="shared" si="9"/>
        <v>0</v>
      </c>
      <c r="S17" s="2289">
        <v>0</v>
      </c>
      <c r="T17" s="2207">
        <v>0</v>
      </c>
      <c r="U17" s="2229">
        <f t="shared" si="16"/>
        <v>0</v>
      </c>
      <c r="V17" s="2228">
        <f t="shared" si="17"/>
        <v>0</v>
      </c>
      <c r="W17" s="2216">
        <f t="shared" si="10"/>
        <v>0</v>
      </c>
      <c r="X17" s="2213">
        <f t="shared" si="11"/>
        <v>0</v>
      </c>
      <c r="Z17" s="1281">
        <f t="shared" si="12"/>
        <v>10</v>
      </c>
      <c r="AA17" s="2087" t="str">
        <f t="shared" si="13"/>
        <v>keine</v>
      </c>
      <c r="AB17" s="1329"/>
      <c r="AC17" s="1330" t="s">
        <v>795</v>
      </c>
      <c r="AD17" s="1424">
        <v>0</v>
      </c>
      <c r="AE17" s="1033">
        <f>VLOOKUP(AC17,Düngemittel!$B$6:$E$64,2,FALSE)*(VLOOKUP(AC17,Düngemittel!$B$6:$E$64,3,FALSE))/100*AD17</f>
        <v>0</v>
      </c>
      <c r="AF17" s="1033">
        <f>VLOOKUP(AC17,Düngemittel!$B$6:$E$64,2,FALSE)*AD17</f>
        <v>0</v>
      </c>
      <c r="AG17" s="1033">
        <f>VLOOKUP(AC17,Düngemittel!$B$6:$E$64,4,FALSE)*AD17</f>
        <v>0</v>
      </c>
      <c r="AH17" s="2243"/>
      <c r="AI17" s="1329"/>
      <c r="AJ17" s="1330" t="s">
        <v>795</v>
      </c>
      <c r="AK17" s="1424">
        <v>0</v>
      </c>
      <c r="AL17" s="1033">
        <f>VLOOKUP(AJ17,Düngemittel!$B$6:$E$64,2,FALSE)*(VLOOKUP(AJ17,Düngemittel!$B$6:$E$64,3,FALSE))/100*AK17</f>
        <v>0</v>
      </c>
      <c r="AM17" s="1033">
        <f>VLOOKUP(AJ17,Düngemittel!$B$6:$E$64,2,FALSE)*AK17</f>
        <v>0</v>
      </c>
      <c r="AN17" s="1033">
        <f>VLOOKUP(AJ17,Düngemittel!$B$6:$E$64,4,FALSE)*AK17</f>
        <v>0</v>
      </c>
      <c r="AO17" s="2243"/>
      <c r="AP17" s="1329"/>
      <c r="AQ17" s="1330" t="s">
        <v>795</v>
      </c>
      <c r="AR17" s="1424">
        <v>0</v>
      </c>
      <c r="AS17" s="1033">
        <f>VLOOKUP(AQ17,Düngemittel!$B$6:$E$64,2,FALSE)*(VLOOKUP(AQ17,Düngemittel!$B$6:$E$64,3,FALSE))/100*AR17</f>
        <v>0</v>
      </c>
      <c r="AT17" s="1033">
        <f>VLOOKUP(AQ17,Düngemittel!$B$6:$E$64,2,FALSE)*AR17</f>
        <v>0</v>
      </c>
      <c r="AU17" s="1033">
        <f>VLOOKUP(AQ17,Düngemittel!$B$6:$E$64,4,FALSE)*AR17</f>
        <v>0</v>
      </c>
      <c r="AV17" s="1371"/>
      <c r="AW17" s="1371"/>
      <c r="AX17" s="1372">
        <f t="shared" si="18"/>
        <v>0</v>
      </c>
      <c r="AY17" s="1373">
        <f t="shared" si="19"/>
        <v>0</v>
      </c>
      <c r="AZ17" s="1374">
        <f t="shared" si="20"/>
        <v>0</v>
      </c>
      <c r="BA17" s="1375">
        <f t="shared" si="21"/>
        <v>0</v>
      </c>
      <c r="BB17" s="1373">
        <f t="shared" si="22"/>
        <v>0</v>
      </c>
      <c r="BC17" s="1376"/>
      <c r="BD17" s="1372">
        <f t="shared" si="23"/>
        <v>0</v>
      </c>
      <c r="BE17" s="1372">
        <f t="shared" si="14"/>
        <v>0</v>
      </c>
      <c r="BF17" s="1372">
        <f t="shared" si="14"/>
        <v>0</v>
      </c>
      <c r="BG17" s="1816">
        <f t="shared" si="14"/>
        <v>0</v>
      </c>
      <c r="BH17" s="1372">
        <f t="shared" si="14"/>
        <v>0</v>
      </c>
      <c r="BI17" s="2278"/>
      <c r="BJ17" s="2278"/>
      <c r="BK17" s="2278"/>
      <c r="BL17" s="2141" t="s">
        <v>1345</v>
      </c>
      <c r="BM17" s="33">
        <v>450</v>
      </c>
      <c r="BN17" s="33">
        <v>135</v>
      </c>
      <c r="BO17" s="33">
        <v>20</v>
      </c>
      <c r="BP17" s="323">
        <v>20</v>
      </c>
      <c r="BQ17" s="323">
        <v>20</v>
      </c>
      <c r="BR17" s="2318">
        <v>26.666666666666668</v>
      </c>
      <c r="BS17" s="323">
        <v>40</v>
      </c>
      <c r="BT17" s="323">
        <v>90</v>
      </c>
      <c r="BU17" s="1001">
        <v>0.121</v>
      </c>
      <c r="BV17" s="357">
        <v>0</v>
      </c>
      <c r="BW17" s="357">
        <v>0</v>
      </c>
      <c r="CD17" s="357"/>
    </row>
    <row r="18" spans="1:82" ht="18" customHeight="1">
      <c r="A18" s="468">
        <v>11</v>
      </c>
      <c r="B18" s="1699">
        <v>0</v>
      </c>
      <c r="C18" s="1431" t="s">
        <v>31</v>
      </c>
      <c r="D18" s="2335">
        <f t="shared" si="0"/>
        <v>0</v>
      </c>
      <c r="E18" s="1381">
        <f t="shared" si="1"/>
        <v>0</v>
      </c>
      <c r="F18" s="1966">
        <f t="shared" si="2"/>
        <v>0</v>
      </c>
      <c r="G18" s="1928">
        <f t="shared" si="3"/>
        <v>0</v>
      </c>
      <c r="H18" s="1949">
        <f t="shared" si="4"/>
        <v>0</v>
      </c>
      <c r="I18" s="1949">
        <f t="shared" si="5"/>
        <v>0</v>
      </c>
      <c r="J18" s="1949">
        <f t="shared" si="6"/>
        <v>0</v>
      </c>
      <c r="K18" s="1928">
        <f t="shared" si="15"/>
        <v>0</v>
      </c>
      <c r="L18" s="1702">
        <v>0</v>
      </c>
      <c r="M18" s="2283" t="s">
        <v>31</v>
      </c>
      <c r="N18" s="2284" t="s">
        <v>1314</v>
      </c>
      <c r="O18" s="2285">
        <f t="shared" si="7"/>
        <v>0</v>
      </c>
      <c r="P18" s="2290" t="s">
        <v>1314</v>
      </c>
      <c r="Q18" s="2291">
        <f t="shared" si="8"/>
        <v>0</v>
      </c>
      <c r="R18" s="2288">
        <f t="shared" si="9"/>
        <v>0</v>
      </c>
      <c r="S18" s="2289">
        <v>0</v>
      </c>
      <c r="T18" s="2207">
        <v>0</v>
      </c>
      <c r="U18" s="2229">
        <f t="shared" si="16"/>
        <v>0</v>
      </c>
      <c r="V18" s="2228">
        <f t="shared" si="17"/>
        <v>0</v>
      </c>
      <c r="W18" s="2216">
        <f t="shared" si="10"/>
        <v>0</v>
      </c>
      <c r="X18" s="2213">
        <f t="shared" si="11"/>
        <v>0</v>
      </c>
      <c r="Z18" s="1281">
        <f t="shared" si="12"/>
        <v>11</v>
      </c>
      <c r="AA18" s="2087" t="str">
        <f t="shared" si="13"/>
        <v>keine</v>
      </c>
      <c r="AB18" s="1329"/>
      <c r="AC18" s="1330" t="s">
        <v>795</v>
      </c>
      <c r="AD18" s="1424">
        <v>0</v>
      </c>
      <c r="AE18" s="1033">
        <f>VLOOKUP(AC18,Düngemittel!$B$6:$E$64,2,FALSE)*(VLOOKUP(AC18,Düngemittel!$B$6:$E$64,3,FALSE))/100*AD18</f>
        <v>0</v>
      </c>
      <c r="AF18" s="1033">
        <f>VLOOKUP(AC18,Düngemittel!$B$6:$E$64,2,FALSE)*AD18</f>
        <v>0</v>
      </c>
      <c r="AG18" s="1033">
        <f>VLOOKUP(AC18,Düngemittel!$B$6:$E$64,4,FALSE)*AD18</f>
        <v>0</v>
      </c>
      <c r="AH18" s="2243"/>
      <c r="AI18" s="1329"/>
      <c r="AJ18" s="1330" t="s">
        <v>795</v>
      </c>
      <c r="AK18" s="1424">
        <v>0</v>
      </c>
      <c r="AL18" s="1033">
        <f>VLOOKUP(AJ18,Düngemittel!$B$6:$E$64,2,FALSE)*(VLOOKUP(AJ18,Düngemittel!$B$6:$E$64,3,FALSE))/100*AK18</f>
        <v>0</v>
      </c>
      <c r="AM18" s="1033">
        <f>VLOOKUP(AJ18,Düngemittel!$B$6:$E$64,2,FALSE)*AK18</f>
        <v>0</v>
      </c>
      <c r="AN18" s="1033">
        <f>VLOOKUP(AJ18,Düngemittel!$B$6:$E$64,4,FALSE)*AK18</f>
        <v>0</v>
      </c>
      <c r="AO18" s="2243"/>
      <c r="AP18" s="1329"/>
      <c r="AQ18" s="1330" t="s">
        <v>795</v>
      </c>
      <c r="AR18" s="1424">
        <v>0</v>
      </c>
      <c r="AS18" s="1033">
        <f>VLOOKUP(AQ18,Düngemittel!$B$6:$E$64,2,FALSE)*(VLOOKUP(AQ18,Düngemittel!$B$6:$E$64,3,FALSE))/100*AR18</f>
        <v>0</v>
      </c>
      <c r="AT18" s="1033">
        <f>VLOOKUP(AQ18,Düngemittel!$B$6:$E$64,2,FALSE)*AR18</f>
        <v>0</v>
      </c>
      <c r="AU18" s="1033">
        <f>VLOOKUP(AQ18,Düngemittel!$B$6:$E$64,4,FALSE)*AR18</f>
        <v>0</v>
      </c>
      <c r="AV18" s="1371"/>
      <c r="AW18" s="1371"/>
      <c r="AX18" s="1372">
        <f t="shared" si="18"/>
        <v>0</v>
      </c>
      <c r="AY18" s="1373">
        <f t="shared" si="19"/>
        <v>0</v>
      </c>
      <c r="AZ18" s="1374">
        <f t="shared" si="20"/>
        <v>0</v>
      </c>
      <c r="BA18" s="1375">
        <f t="shared" si="21"/>
        <v>0</v>
      </c>
      <c r="BB18" s="1373">
        <f t="shared" si="22"/>
        <v>0</v>
      </c>
      <c r="BC18" s="1376"/>
      <c r="BD18" s="1372">
        <f t="shared" si="23"/>
        <v>0</v>
      </c>
      <c r="BE18" s="1372">
        <f t="shared" si="14"/>
        <v>0</v>
      </c>
      <c r="BF18" s="1372">
        <f t="shared" si="14"/>
        <v>0</v>
      </c>
      <c r="BG18" s="1816">
        <f t="shared" si="14"/>
        <v>0</v>
      </c>
      <c r="BH18" s="1372">
        <f t="shared" si="14"/>
        <v>0</v>
      </c>
      <c r="BI18" s="2278"/>
      <c r="BJ18" s="2278"/>
      <c r="BK18" s="2278"/>
      <c r="BL18" s="2141" t="s">
        <v>1277</v>
      </c>
      <c r="BM18" s="33">
        <v>700</v>
      </c>
      <c r="BN18" s="33">
        <v>210</v>
      </c>
      <c r="BO18" s="33">
        <v>20</v>
      </c>
      <c r="BP18" s="323">
        <v>20</v>
      </c>
      <c r="BQ18" s="323">
        <v>20</v>
      </c>
      <c r="BR18" s="2318">
        <v>30</v>
      </c>
      <c r="BS18" s="323">
        <v>45</v>
      </c>
      <c r="BT18" s="323">
        <v>60</v>
      </c>
      <c r="BU18" s="1001">
        <v>9.1999999999999998E-2</v>
      </c>
      <c r="BV18" s="357">
        <v>0</v>
      </c>
      <c r="BW18" s="357">
        <v>0</v>
      </c>
      <c r="CD18" s="357"/>
    </row>
    <row r="19" spans="1:82" ht="18" customHeight="1">
      <c r="A19" s="468">
        <v>12</v>
      </c>
      <c r="B19" s="1699">
        <v>0</v>
      </c>
      <c r="C19" s="1431" t="s">
        <v>31</v>
      </c>
      <c r="D19" s="2335">
        <f t="shared" si="0"/>
        <v>0</v>
      </c>
      <c r="E19" s="1381">
        <f t="shared" si="1"/>
        <v>0</v>
      </c>
      <c r="F19" s="1966">
        <f t="shared" si="2"/>
        <v>0</v>
      </c>
      <c r="G19" s="1928">
        <f t="shared" si="3"/>
        <v>0</v>
      </c>
      <c r="H19" s="1949">
        <f t="shared" si="4"/>
        <v>0</v>
      </c>
      <c r="I19" s="1949">
        <f t="shared" si="5"/>
        <v>0</v>
      </c>
      <c r="J19" s="1949">
        <f t="shared" si="6"/>
        <v>0</v>
      </c>
      <c r="K19" s="1928">
        <f t="shared" si="15"/>
        <v>0</v>
      </c>
      <c r="L19" s="1702">
        <v>0</v>
      </c>
      <c r="M19" s="2283" t="s">
        <v>31</v>
      </c>
      <c r="N19" s="2284" t="s">
        <v>1314</v>
      </c>
      <c r="O19" s="2285">
        <f t="shared" si="7"/>
        <v>0</v>
      </c>
      <c r="P19" s="2290" t="s">
        <v>1314</v>
      </c>
      <c r="Q19" s="2291">
        <f t="shared" si="8"/>
        <v>0</v>
      </c>
      <c r="R19" s="2288">
        <f t="shared" si="9"/>
        <v>0</v>
      </c>
      <c r="S19" s="2289">
        <v>0</v>
      </c>
      <c r="T19" s="2207">
        <v>0</v>
      </c>
      <c r="U19" s="2229">
        <f t="shared" si="16"/>
        <v>0</v>
      </c>
      <c r="V19" s="2228">
        <f t="shared" si="17"/>
        <v>0</v>
      </c>
      <c r="W19" s="2216">
        <f t="shared" si="10"/>
        <v>0</v>
      </c>
      <c r="X19" s="2213">
        <f t="shared" si="11"/>
        <v>0</v>
      </c>
      <c r="Z19" s="1281">
        <f t="shared" si="12"/>
        <v>12</v>
      </c>
      <c r="AA19" s="2087" t="str">
        <f t="shared" si="13"/>
        <v>keine</v>
      </c>
      <c r="AB19" s="1329"/>
      <c r="AC19" s="1330" t="s">
        <v>795</v>
      </c>
      <c r="AD19" s="1424">
        <v>0</v>
      </c>
      <c r="AE19" s="1033">
        <f>VLOOKUP(AC19,Düngemittel!$B$6:$E$64,2,FALSE)*(VLOOKUP(AC19,Düngemittel!$B$6:$E$64,3,FALSE))/100*AD19</f>
        <v>0</v>
      </c>
      <c r="AF19" s="1033">
        <f>VLOOKUP(AC19,Düngemittel!$B$6:$E$64,2,FALSE)*AD19</f>
        <v>0</v>
      </c>
      <c r="AG19" s="1033">
        <f>VLOOKUP(AC19,Düngemittel!$B$6:$E$64,4,FALSE)*AD19</f>
        <v>0</v>
      </c>
      <c r="AH19" s="2243"/>
      <c r="AI19" s="1329"/>
      <c r="AJ19" s="1330" t="s">
        <v>795</v>
      </c>
      <c r="AK19" s="1424">
        <v>0</v>
      </c>
      <c r="AL19" s="1033">
        <f>VLOOKUP(AJ19,Düngemittel!$B$6:$E$64,2,FALSE)*(VLOOKUP(AJ19,Düngemittel!$B$6:$E$64,3,FALSE))/100*AK19</f>
        <v>0</v>
      </c>
      <c r="AM19" s="1033">
        <f>VLOOKUP(AJ19,Düngemittel!$B$6:$E$64,2,FALSE)*AK19</f>
        <v>0</v>
      </c>
      <c r="AN19" s="1033">
        <f>VLOOKUP(AJ19,Düngemittel!$B$6:$E$64,4,FALSE)*AK19</f>
        <v>0</v>
      </c>
      <c r="AO19" s="2243"/>
      <c r="AP19" s="1329"/>
      <c r="AQ19" s="1330" t="s">
        <v>795</v>
      </c>
      <c r="AR19" s="1424">
        <v>0</v>
      </c>
      <c r="AS19" s="1033">
        <f>VLOOKUP(AQ19,Düngemittel!$B$6:$E$64,2,FALSE)*(VLOOKUP(AQ19,Düngemittel!$B$6:$E$64,3,FALSE))/100*AR19</f>
        <v>0</v>
      </c>
      <c r="AT19" s="1033">
        <f>VLOOKUP(AQ19,Düngemittel!$B$6:$E$64,2,FALSE)*AR19</f>
        <v>0</v>
      </c>
      <c r="AU19" s="1033">
        <f>VLOOKUP(AQ19,Düngemittel!$B$6:$E$64,4,FALSE)*AR19</f>
        <v>0</v>
      </c>
      <c r="AV19" s="1371"/>
      <c r="AW19" s="1371"/>
      <c r="AX19" s="1372">
        <f t="shared" si="18"/>
        <v>0</v>
      </c>
      <c r="AY19" s="1373">
        <f t="shared" si="19"/>
        <v>0</v>
      </c>
      <c r="AZ19" s="1374">
        <f t="shared" si="20"/>
        <v>0</v>
      </c>
      <c r="BA19" s="1375">
        <f t="shared" si="21"/>
        <v>0</v>
      </c>
      <c r="BB19" s="1373">
        <f t="shared" si="22"/>
        <v>0</v>
      </c>
      <c r="BC19" s="1376"/>
      <c r="BD19" s="1372">
        <f t="shared" si="23"/>
        <v>0</v>
      </c>
      <c r="BE19" s="1372">
        <f t="shared" si="14"/>
        <v>0</v>
      </c>
      <c r="BF19" s="1372">
        <f t="shared" si="14"/>
        <v>0</v>
      </c>
      <c r="BG19" s="1816">
        <f t="shared" si="14"/>
        <v>0</v>
      </c>
      <c r="BH19" s="1372">
        <f t="shared" si="14"/>
        <v>0</v>
      </c>
      <c r="BI19" s="2278"/>
      <c r="BJ19" s="2278"/>
      <c r="BK19" s="2278"/>
      <c r="BL19" s="2140" t="s">
        <v>1643</v>
      </c>
      <c r="BM19" s="33">
        <v>65</v>
      </c>
      <c r="BN19" s="33">
        <v>60</v>
      </c>
      <c r="BO19" s="33">
        <v>20</v>
      </c>
      <c r="BP19" s="2156">
        <v>20</v>
      </c>
      <c r="BQ19" s="2156">
        <v>20</v>
      </c>
      <c r="BR19" s="2318">
        <v>30</v>
      </c>
      <c r="BS19" s="2156">
        <v>45</v>
      </c>
      <c r="BT19" s="323">
        <v>60</v>
      </c>
      <c r="BU19" s="1914">
        <v>0.25</v>
      </c>
      <c r="BV19" s="357">
        <v>0</v>
      </c>
      <c r="BW19" s="357">
        <v>0</v>
      </c>
      <c r="CD19" s="357"/>
    </row>
    <row r="20" spans="1:82" ht="18" customHeight="1">
      <c r="A20" s="468">
        <v>13</v>
      </c>
      <c r="B20" s="1699">
        <v>0</v>
      </c>
      <c r="C20" s="1431" t="s">
        <v>31</v>
      </c>
      <c r="D20" s="2335">
        <f t="shared" si="0"/>
        <v>0</v>
      </c>
      <c r="E20" s="1381">
        <f t="shared" si="1"/>
        <v>0</v>
      </c>
      <c r="F20" s="1966">
        <f t="shared" si="2"/>
        <v>0</v>
      </c>
      <c r="G20" s="1928">
        <f t="shared" si="3"/>
        <v>0</v>
      </c>
      <c r="H20" s="1949">
        <f t="shared" si="4"/>
        <v>0</v>
      </c>
      <c r="I20" s="1949">
        <f t="shared" si="5"/>
        <v>0</v>
      </c>
      <c r="J20" s="1949">
        <f t="shared" si="6"/>
        <v>0</v>
      </c>
      <c r="K20" s="1928">
        <f t="shared" si="15"/>
        <v>0</v>
      </c>
      <c r="L20" s="1702">
        <v>0</v>
      </c>
      <c r="M20" s="2283" t="s">
        <v>31</v>
      </c>
      <c r="N20" s="2284" t="s">
        <v>1314</v>
      </c>
      <c r="O20" s="2285">
        <f t="shared" si="7"/>
        <v>0</v>
      </c>
      <c r="P20" s="2290" t="s">
        <v>1314</v>
      </c>
      <c r="Q20" s="2291">
        <f t="shared" si="8"/>
        <v>0</v>
      </c>
      <c r="R20" s="2288">
        <f t="shared" si="9"/>
        <v>0</v>
      </c>
      <c r="S20" s="2289">
        <v>0</v>
      </c>
      <c r="T20" s="2207">
        <v>0</v>
      </c>
      <c r="U20" s="2229">
        <f t="shared" si="16"/>
        <v>0</v>
      </c>
      <c r="V20" s="2228">
        <f t="shared" si="17"/>
        <v>0</v>
      </c>
      <c r="W20" s="2216">
        <f t="shared" si="10"/>
        <v>0</v>
      </c>
      <c r="X20" s="2213">
        <f t="shared" si="11"/>
        <v>0</v>
      </c>
      <c r="Z20" s="1281">
        <f t="shared" si="12"/>
        <v>13</v>
      </c>
      <c r="AA20" s="2087" t="str">
        <f t="shared" si="13"/>
        <v>keine</v>
      </c>
      <c r="AB20" s="1329"/>
      <c r="AC20" s="1330" t="s">
        <v>795</v>
      </c>
      <c r="AD20" s="1424">
        <v>0</v>
      </c>
      <c r="AE20" s="1033">
        <f>VLOOKUP(AC20,Düngemittel!$B$6:$E$64,2,FALSE)*(VLOOKUP(AC20,Düngemittel!$B$6:$E$64,3,FALSE))/100*AD20</f>
        <v>0</v>
      </c>
      <c r="AF20" s="1033">
        <f>VLOOKUP(AC20,Düngemittel!$B$6:$E$64,2,FALSE)*AD20</f>
        <v>0</v>
      </c>
      <c r="AG20" s="1033">
        <f>VLOOKUP(AC20,Düngemittel!$B$6:$E$64,4,FALSE)*AD20</f>
        <v>0</v>
      </c>
      <c r="AH20" s="2243"/>
      <c r="AI20" s="1329"/>
      <c r="AJ20" s="1330" t="s">
        <v>795</v>
      </c>
      <c r="AK20" s="1424">
        <v>0</v>
      </c>
      <c r="AL20" s="1033">
        <f>VLOOKUP(AJ20,Düngemittel!$B$6:$E$64,2,FALSE)*(VLOOKUP(AJ20,Düngemittel!$B$6:$E$64,3,FALSE))/100*AK20</f>
        <v>0</v>
      </c>
      <c r="AM20" s="1033">
        <f>VLOOKUP(AJ20,Düngemittel!$B$6:$E$64,2,FALSE)*AK20</f>
        <v>0</v>
      </c>
      <c r="AN20" s="1033">
        <f>VLOOKUP(AJ20,Düngemittel!$B$6:$E$64,4,FALSE)*AK20</f>
        <v>0</v>
      </c>
      <c r="AO20" s="2243"/>
      <c r="AP20" s="1329"/>
      <c r="AQ20" s="1330" t="s">
        <v>795</v>
      </c>
      <c r="AR20" s="1424">
        <v>0</v>
      </c>
      <c r="AS20" s="1033">
        <f>VLOOKUP(AQ20,Düngemittel!$B$6:$E$64,2,FALSE)*(VLOOKUP(AQ20,Düngemittel!$B$6:$E$64,3,FALSE))/100*AR20</f>
        <v>0</v>
      </c>
      <c r="AT20" s="1033">
        <f>VLOOKUP(AQ20,Düngemittel!$B$6:$E$64,2,FALSE)*AR20</f>
        <v>0</v>
      </c>
      <c r="AU20" s="1033">
        <f>VLOOKUP(AQ20,Düngemittel!$B$6:$E$64,4,FALSE)*AR20</f>
        <v>0</v>
      </c>
      <c r="AV20" s="1371"/>
      <c r="AW20" s="1371"/>
      <c r="AX20" s="1372">
        <f t="shared" si="18"/>
        <v>0</v>
      </c>
      <c r="AY20" s="1373">
        <f t="shared" si="19"/>
        <v>0</v>
      </c>
      <c r="AZ20" s="1374">
        <f t="shared" si="20"/>
        <v>0</v>
      </c>
      <c r="BA20" s="1375">
        <f t="shared" si="21"/>
        <v>0</v>
      </c>
      <c r="BB20" s="1373">
        <f t="shared" si="22"/>
        <v>0</v>
      </c>
      <c r="BC20" s="1376"/>
      <c r="BD20" s="1372">
        <f t="shared" si="23"/>
        <v>0</v>
      </c>
      <c r="BE20" s="1372">
        <f t="shared" si="14"/>
        <v>0</v>
      </c>
      <c r="BF20" s="1372">
        <f t="shared" si="14"/>
        <v>0</v>
      </c>
      <c r="BG20" s="1816">
        <f t="shared" si="14"/>
        <v>0</v>
      </c>
      <c r="BH20" s="1372">
        <f t="shared" si="14"/>
        <v>0</v>
      </c>
      <c r="BI20" s="2278"/>
      <c r="BJ20" s="2278"/>
      <c r="BK20" s="2278"/>
      <c r="BL20" s="2141" t="s">
        <v>1346</v>
      </c>
      <c r="BM20" s="33">
        <v>200</v>
      </c>
      <c r="BN20" s="33">
        <v>85</v>
      </c>
      <c r="BO20" s="33">
        <v>20</v>
      </c>
      <c r="BP20" s="323">
        <v>20</v>
      </c>
      <c r="BQ20" s="323">
        <v>20</v>
      </c>
      <c r="BR20" s="2318">
        <v>3.3333333333333335</v>
      </c>
      <c r="BS20" s="323">
        <v>5</v>
      </c>
      <c r="BT20" s="323">
        <v>30</v>
      </c>
      <c r="BU20" s="1001">
        <v>9.1999999999999998E-2</v>
      </c>
      <c r="BV20" s="357">
        <v>0</v>
      </c>
      <c r="BW20" s="357">
        <v>0</v>
      </c>
      <c r="CD20" s="357"/>
    </row>
    <row r="21" spans="1:82" ht="18" customHeight="1">
      <c r="A21" s="468">
        <v>14</v>
      </c>
      <c r="B21" s="1699">
        <v>0</v>
      </c>
      <c r="C21" s="1431" t="s">
        <v>31</v>
      </c>
      <c r="D21" s="2335">
        <f t="shared" si="0"/>
        <v>0</v>
      </c>
      <c r="E21" s="1381">
        <f t="shared" si="1"/>
        <v>0</v>
      </c>
      <c r="F21" s="1966">
        <f t="shared" si="2"/>
        <v>0</v>
      </c>
      <c r="G21" s="1928">
        <f t="shared" si="3"/>
        <v>0</v>
      </c>
      <c r="H21" s="1949">
        <f t="shared" si="4"/>
        <v>0</v>
      </c>
      <c r="I21" s="1949">
        <f t="shared" si="5"/>
        <v>0</v>
      </c>
      <c r="J21" s="1949">
        <f t="shared" si="6"/>
        <v>0</v>
      </c>
      <c r="K21" s="1928">
        <f t="shared" si="15"/>
        <v>0</v>
      </c>
      <c r="L21" s="1702">
        <v>0</v>
      </c>
      <c r="M21" s="2283" t="s">
        <v>31</v>
      </c>
      <c r="N21" s="2284" t="s">
        <v>1314</v>
      </c>
      <c r="O21" s="2285">
        <f t="shared" si="7"/>
        <v>0</v>
      </c>
      <c r="P21" s="2290" t="s">
        <v>1314</v>
      </c>
      <c r="Q21" s="2291">
        <f t="shared" si="8"/>
        <v>0</v>
      </c>
      <c r="R21" s="2288">
        <f t="shared" si="9"/>
        <v>0</v>
      </c>
      <c r="S21" s="2289">
        <v>0</v>
      </c>
      <c r="T21" s="2207">
        <v>0</v>
      </c>
      <c r="U21" s="2229">
        <f t="shared" si="16"/>
        <v>0</v>
      </c>
      <c r="V21" s="2228">
        <f t="shared" si="17"/>
        <v>0</v>
      </c>
      <c r="W21" s="2216">
        <f t="shared" si="10"/>
        <v>0</v>
      </c>
      <c r="X21" s="2213">
        <f t="shared" si="11"/>
        <v>0</v>
      </c>
      <c r="Z21" s="1281">
        <f t="shared" si="12"/>
        <v>14</v>
      </c>
      <c r="AA21" s="2087" t="str">
        <f t="shared" si="13"/>
        <v>keine</v>
      </c>
      <c r="AB21" s="1329"/>
      <c r="AC21" s="1330" t="s">
        <v>795</v>
      </c>
      <c r="AD21" s="1424">
        <v>0</v>
      </c>
      <c r="AE21" s="1033">
        <f>VLOOKUP(AC21,Düngemittel!$B$6:$E$64,2,FALSE)*(VLOOKUP(AC21,Düngemittel!$B$6:$E$64,3,FALSE))/100*AD21</f>
        <v>0</v>
      </c>
      <c r="AF21" s="1033">
        <f>VLOOKUP(AC21,Düngemittel!$B$6:$E$64,2,FALSE)*AD21</f>
        <v>0</v>
      </c>
      <c r="AG21" s="1033">
        <f>VLOOKUP(AC21,Düngemittel!$B$6:$E$64,4,FALSE)*AD21</f>
        <v>0</v>
      </c>
      <c r="AH21" s="2243"/>
      <c r="AI21" s="1329"/>
      <c r="AJ21" s="1330" t="s">
        <v>795</v>
      </c>
      <c r="AK21" s="1424">
        <v>0</v>
      </c>
      <c r="AL21" s="1033">
        <f>VLOOKUP(AJ21,Düngemittel!$B$6:$E$64,2,FALSE)*(VLOOKUP(AJ21,Düngemittel!$B$6:$E$64,3,FALSE))/100*AK21</f>
        <v>0</v>
      </c>
      <c r="AM21" s="1033">
        <f>VLOOKUP(AJ21,Düngemittel!$B$6:$E$64,2,FALSE)*AK21</f>
        <v>0</v>
      </c>
      <c r="AN21" s="1033">
        <f>VLOOKUP(AJ21,Düngemittel!$B$6:$E$64,4,FALSE)*AK21</f>
        <v>0</v>
      </c>
      <c r="AO21" s="2243"/>
      <c r="AP21" s="1329"/>
      <c r="AQ21" s="1330" t="s">
        <v>795</v>
      </c>
      <c r="AR21" s="1424">
        <v>0</v>
      </c>
      <c r="AS21" s="1033">
        <f>VLOOKUP(AQ21,Düngemittel!$B$6:$E$64,2,FALSE)*(VLOOKUP(AQ21,Düngemittel!$B$6:$E$64,3,FALSE))/100*AR21</f>
        <v>0</v>
      </c>
      <c r="AT21" s="1033">
        <f>VLOOKUP(AQ21,Düngemittel!$B$6:$E$64,2,FALSE)*AR21</f>
        <v>0</v>
      </c>
      <c r="AU21" s="1033">
        <f>VLOOKUP(AQ21,Düngemittel!$B$6:$E$64,4,FALSE)*AR21</f>
        <v>0</v>
      </c>
      <c r="AV21" s="1371"/>
      <c r="AW21" s="1371"/>
      <c r="AX21" s="1372">
        <f t="shared" si="18"/>
        <v>0</v>
      </c>
      <c r="AY21" s="1373">
        <f t="shared" si="19"/>
        <v>0</v>
      </c>
      <c r="AZ21" s="1374">
        <f t="shared" si="20"/>
        <v>0</v>
      </c>
      <c r="BA21" s="1375">
        <f t="shared" si="21"/>
        <v>0</v>
      </c>
      <c r="BB21" s="1373">
        <f t="shared" si="22"/>
        <v>0</v>
      </c>
      <c r="BC21" s="1376"/>
      <c r="BD21" s="1372">
        <f t="shared" si="23"/>
        <v>0</v>
      </c>
      <c r="BE21" s="1372">
        <f t="shared" si="14"/>
        <v>0</v>
      </c>
      <c r="BF21" s="1372">
        <f t="shared" si="14"/>
        <v>0</v>
      </c>
      <c r="BG21" s="1816">
        <f t="shared" si="14"/>
        <v>0</v>
      </c>
      <c r="BH21" s="1372">
        <f t="shared" si="14"/>
        <v>0</v>
      </c>
      <c r="BI21" s="2278"/>
      <c r="BJ21" s="2278"/>
      <c r="BK21" s="2278"/>
      <c r="BL21" s="2141" t="s">
        <v>1347</v>
      </c>
      <c r="BM21" s="33">
        <v>250</v>
      </c>
      <c r="BN21" s="33">
        <v>105</v>
      </c>
      <c r="BO21" s="33">
        <v>20</v>
      </c>
      <c r="BP21" s="323">
        <v>20</v>
      </c>
      <c r="BQ21" s="323">
        <v>20</v>
      </c>
      <c r="BR21" s="2318">
        <v>16.666666666666668</v>
      </c>
      <c r="BS21" s="323">
        <v>25</v>
      </c>
      <c r="BT21" s="323">
        <v>30</v>
      </c>
      <c r="BU21" s="1001">
        <v>9.1999999999999998E-2</v>
      </c>
      <c r="BV21" s="357">
        <v>0</v>
      </c>
      <c r="BW21" s="357">
        <v>0</v>
      </c>
      <c r="CD21" s="357"/>
    </row>
    <row r="22" spans="1:82" ht="18" customHeight="1">
      <c r="A22" s="468">
        <v>15</v>
      </c>
      <c r="B22" s="1699">
        <v>0</v>
      </c>
      <c r="C22" s="2338" t="s">
        <v>31</v>
      </c>
      <c r="D22" s="2335">
        <f t="shared" si="0"/>
        <v>0</v>
      </c>
      <c r="E22" s="1381">
        <f t="shared" si="1"/>
        <v>0</v>
      </c>
      <c r="F22" s="1966">
        <f t="shared" si="2"/>
        <v>0</v>
      </c>
      <c r="G22" s="1928">
        <f t="shared" si="3"/>
        <v>0</v>
      </c>
      <c r="H22" s="1949">
        <f t="shared" si="4"/>
        <v>0</v>
      </c>
      <c r="I22" s="1949">
        <f t="shared" si="5"/>
        <v>0</v>
      </c>
      <c r="J22" s="1949">
        <f t="shared" si="6"/>
        <v>0</v>
      </c>
      <c r="K22" s="1928">
        <f t="shared" si="15"/>
        <v>0</v>
      </c>
      <c r="L22" s="1702">
        <v>0</v>
      </c>
      <c r="M22" s="2283" t="s">
        <v>31</v>
      </c>
      <c r="N22" s="2284" t="s">
        <v>1314</v>
      </c>
      <c r="O22" s="2285">
        <f t="shared" si="7"/>
        <v>0</v>
      </c>
      <c r="P22" s="2290" t="s">
        <v>1314</v>
      </c>
      <c r="Q22" s="2291">
        <f t="shared" si="8"/>
        <v>0</v>
      </c>
      <c r="R22" s="2288">
        <f t="shared" si="9"/>
        <v>0</v>
      </c>
      <c r="S22" s="2289">
        <v>0</v>
      </c>
      <c r="T22" s="2207">
        <v>0</v>
      </c>
      <c r="U22" s="2229">
        <f t="shared" si="16"/>
        <v>0</v>
      </c>
      <c r="V22" s="2228">
        <f t="shared" si="17"/>
        <v>0</v>
      </c>
      <c r="W22" s="2216">
        <f t="shared" si="10"/>
        <v>0</v>
      </c>
      <c r="X22" s="2213">
        <f t="shared" si="11"/>
        <v>0</v>
      </c>
      <c r="Z22" s="1281">
        <f t="shared" si="12"/>
        <v>15</v>
      </c>
      <c r="AA22" s="2087" t="str">
        <f t="shared" si="13"/>
        <v>keine</v>
      </c>
      <c r="AB22" s="1329"/>
      <c r="AC22" s="1330" t="s">
        <v>795</v>
      </c>
      <c r="AD22" s="1424">
        <v>0</v>
      </c>
      <c r="AE22" s="1033">
        <f>VLOOKUP(AC22,Düngemittel!$B$6:$E$64,2,FALSE)*(VLOOKUP(AC22,Düngemittel!$B$6:$E$64,3,FALSE))/100*AD22</f>
        <v>0</v>
      </c>
      <c r="AF22" s="1033">
        <f>VLOOKUP(AC22,Düngemittel!$B$6:$E$64,2,FALSE)*AD22</f>
        <v>0</v>
      </c>
      <c r="AG22" s="1033">
        <f>VLOOKUP(AC22,Düngemittel!$B$6:$E$64,4,FALSE)*AD22</f>
        <v>0</v>
      </c>
      <c r="AH22" s="2243"/>
      <c r="AI22" s="1329"/>
      <c r="AJ22" s="1330" t="s">
        <v>795</v>
      </c>
      <c r="AK22" s="1424">
        <v>0</v>
      </c>
      <c r="AL22" s="1033">
        <f>VLOOKUP(AJ22,Düngemittel!$B$6:$E$64,2,FALSE)*(VLOOKUP(AJ22,Düngemittel!$B$6:$E$64,3,FALSE))/100*AK22</f>
        <v>0</v>
      </c>
      <c r="AM22" s="1033">
        <f>VLOOKUP(AJ22,Düngemittel!$B$6:$E$64,2,FALSE)*AK22</f>
        <v>0</v>
      </c>
      <c r="AN22" s="1033">
        <f>VLOOKUP(AJ22,Düngemittel!$B$6:$E$64,4,FALSE)*AK22</f>
        <v>0</v>
      </c>
      <c r="AO22" s="2243"/>
      <c r="AP22" s="1329"/>
      <c r="AQ22" s="1330" t="s">
        <v>795</v>
      </c>
      <c r="AR22" s="1424">
        <v>0</v>
      </c>
      <c r="AS22" s="1033">
        <f>VLOOKUP(AQ22,Düngemittel!$B$6:$E$64,2,FALSE)*(VLOOKUP(AQ22,Düngemittel!$B$6:$E$64,3,FALSE))/100*AR22</f>
        <v>0</v>
      </c>
      <c r="AT22" s="1033">
        <f>VLOOKUP(AQ22,Düngemittel!$B$6:$E$64,2,FALSE)*AR22</f>
        <v>0</v>
      </c>
      <c r="AU22" s="1033">
        <f>VLOOKUP(AQ22,Düngemittel!$B$6:$E$64,4,FALSE)*AR22</f>
        <v>0</v>
      </c>
      <c r="AV22" s="1371"/>
      <c r="AW22" s="1371"/>
      <c r="AX22" s="1372">
        <f t="shared" si="18"/>
        <v>0</v>
      </c>
      <c r="AY22" s="1373">
        <f t="shared" si="19"/>
        <v>0</v>
      </c>
      <c r="AZ22" s="1374">
        <f t="shared" si="20"/>
        <v>0</v>
      </c>
      <c r="BA22" s="1375">
        <f t="shared" si="21"/>
        <v>0</v>
      </c>
      <c r="BB22" s="1373">
        <f t="shared" si="22"/>
        <v>0</v>
      </c>
      <c r="BC22" s="1376"/>
      <c r="BD22" s="1372">
        <f t="shared" si="23"/>
        <v>0</v>
      </c>
      <c r="BE22" s="1372">
        <f t="shared" si="14"/>
        <v>0</v>
      </c>
      <c r="BF22" s="1372">
        <f t="shared" si="14"/>
        <v>0</v>
      </c>
      <c r="BG22" s="1816">
        <f t="shared" si="14"/>
        <v>0</v>
      </c>
      <c r="BH22" s="1372">
        <f t="shared" si="14"/>
        <v>0</v>
      </c>
      <c r="BI22" s="2278"/>
      <c r="BJ22" s="2278"/>
      <c r="BK22" s="2278"/>
      <c r="BL22" s="2154" t="s">
        <v>1487</v>
      </c>
      <c r="BM22" s="33">
        <v>50</v>
      </c>
      <c r="BN22" s="33">
        <v>85</v>
      </c>
      <c r="BO22" s="33">
        <v>10</v>
      </c>
      <c r="BP22" s="2153">
        <v>4</v>
      </c>
      <c r="BQ22" s="2153">
        <v>4</v>
      </c>
      <c r="BR22" s="2318">
        <v>0</v>
      </c>
      <c r="BS22" s="2161">
        <v>0</v>
      </c>
      <c r="BT22" s="2161">
        <v>30</v>
      </c>
      <c r="BU22" s="2157">
        <v>0.17</v>
      </c>
      <c r="BV22" s="357">
        <v>0</v>
      </c>
      <c r="BW22" s="357">
        <v>0</v>
      </c>
      <c r="CD22" s="357"/>
    </row>
    <row r="23" spans="1:82" ht="18" customHeight="1">
      <c r="A23" s="468">
        <v>16</v>
      </c>
      <c r="B23" s="1699">
        <v>0</v>
      </c>
      <c r="C23" s="2336" t="s">
        <v>31</v>
      </c>
      <c r="D23" s="2335">
        <f t="shared" si="0"/>
        <v>0</v>
      </c>
      <c r="E23" s="1381">
        <f t="shared" si="1"/>
        <v>0</v>
      </c>
      <c r="F23" s="1966">
        <f t="shared" si="2"/>
        <v>0</v>
      </c>
      <c r="G23" s="1928">
        <f t="shared" si="3"/>
        <v>0</v>
      </c>
      <c r="H23" s="1949">
        <f t="shared" si="4"/>
        <v>0</v>
      </c>
      <c r="I23" s="1949">
        <f t="shared" si="5"/>
        <v>0</v>
      </c>
      <c r="J23" s="1949">
        <f t="shared" si="6"/>
        <v>0</v>
      </c>
      <c r="K23" s="1928">
        <f t="shared" si="15"/>
        <v>0</v>
      </c>
      <c r="L23" s="1702">
        <v>0</v>
      </c>
      <c r="M23" s="2283" t="s">
        <v>31</v>
      </c>
      <c r="N23" s="2284" t="s">
        <v>1314</v>
      </c>
      <c r="O23" s="2285">
        <f t="shared" si="7"/>
        <v>0</v>
      </c>
      <c r="P23" s="2290" t="s">
        <v>1314</v>
      </c>
      <c r="Q23" s="2291">
        <f t="shared" si="8"/>
        <v>0</v>
      </c>
      <c r="R23" s="2288">
        <f t="shared" si="9"/>
        <v>0</v>
      </c>
      <c r="S23" s="2289">
        <v>0</v>
      </c>
      <c r="T23" s="2207">
        <v>0</v>
      </c>
      <c r="U23" s="2229">
        <f t="shared" si="16"/>
        <v>0</v>
      </c>
      <c r="V23" s="2228">
        <f t="shared" si="17"/>
        <v>0</v>
      </c>
      <c r="W23" s="2216">
        <f t="shared" si="10"/>
        <v>0</v>
      </c>
      <c r="X23" s="2213">
        <f t="shared" si="11"/>
        <v>0</v>
      </c>
      <c r="Z23" s="1281">
        <f t="shared" si="12"/>
        <v>16</v>
      </c>
      <c r="AA23" s="2087" t="str">
        <f t="shared" si="13"/>
        <v>keine</v>
      </c>
      <c r="AB23" s="1329"/>
      <c r="AC23" s="1330" t="s">
        <v>795</v>
      </c>
      <c r="AD23" s="1424">
        <v>0</v>
      </c>
      <c r="AE23" s="1033">
        <f>VLOOKUP(AC23,Düngemittel!$B$6:$E$64,2,FALSE)*(VLOOKUP(AC23,Düngemittel!$B$6:$E$64,3,FALSE))/100*AD23</f>
        <v>0</v>
      </c>
      <c r="AF23" s="1033">
        <f>VLOOKUP(AC23,Düngemittel!$B$6:$E$64,2,FALSE)*AD23</f>
        <v>0</v>
      </c>
      <c r="AG23" s="1033">
        <f>VLOOKUP(AC23,Düngemittel!$B$6:$E$64,4,FALSE)*AD23</f>
        <v>0</v>
      </c>
      <c r="AH23" s="2243"/>
      <c r="AI23" s="1329"/>
      <c r="AJ23" s="1330" t="s">
        <v>795</v>
      </c>
      <c r="AK23" s="1424">
        <v>0</v>
      </c>
      <c r="AL23" s="1033">
        <f>VLOOKUP(AJ23,Düngemittel!$B$6:$E$64,2,FALSE)*(VLOOKUP(AJ23,Düngemittel!$B$6:$E$64,3,FALSE))/100*AK23</f>
        <v>0</v>
      </c>
      <c r="AM23" s="1033">
        <f>VLOOKUP(AJ23,Düngemittel!$B$6:$E$64,2,FALSE)*AK23</f>
        <v>0</v>
      </c>
      <c r="AN23" s="1033">
        <f>VLOOKUP(AJ23,Düngemittel!$B$6:$E$64,4,FALSE)*AK23</f>
        <v>0</v>
      </c>
      <c r="AO23" s="2243"/>
      <c r="AP23" s="1329"/>
      <c r="AQ23" s="1330" t="s">
        <v>795</v>
      </c>
      <c r="AR23" s="1424">
        <v>0</v>
      </c>
      <c r="AS23" s="1033">
        <f>VLOOKUP(AQ23,Düngemittel!$B$6:$E$64,2,FALSE)*(VLOOKUP(AQ23,Düngemittel!$B$6:$E$64,3,FALSE))/100*AR23</f>
        <v>0</v>
      </c>
      <c r="AT23" s="1033">
        <f>VLOOKUP(AQ23,Düngemittel!$B$6:$E$64,2,FALSE)*AR23</f>
        <v>0</v>
      </c>
      <c r="AU23" s="1033">
        <f>VLOOKUP(AQ23,Düngemittel!$B$6:$E$64,4,FALSE)*AR23</f>
        <v>0</v>
      </c>
      <c r="AV23" s="1371"/>
      <c r="AW23" s="1371"/>
      <c r="AX23" s="1372">
        <f t="shared" si="18"/>
        <v>0</v>
      </c>
      <c r="AY23" s="1373">
        <f t="shared" si="19"/>
        <v>0</v>
      </c>
      <c r="AZ23" s="1374">
        <f t="shared" si="20"/>
        <v>0</v>
      </c>
      <c r="BA23" s="1375">
        <f t="shared" si="21"/>
        <v>0</v>
      </c>
      <c r="BB23" s="1373">
        <f t="shared" si="22"/>
        <v>0</v>
      </c>
      <c r="BC23" s="1376"/>
      <c r="BD23" s="1372">
        <f t="shared" si="23"/>
        <v>0</v>
      </c>
      <c r="BE23" s="1372">
        <f t="shared" si="14"/>
        <v>0</v>
      </c>
      <c r="BF23" s="1372">
        <f t="shared" si="14"/>
        <v>0</v>
      </c>
      <c r="BG23" s="1816">
        <f t="shared" si="14"/>
        <v>0</v>
      </c>
      <c r="BH23" s="1372">
        <f t="shared" si="14"/>
        <v>0</v>
      </c>
      <c r="BI23" s="2278"/>
      <c r="BJ23" s="2278"/>
      <c r="BK23" s="2278"/>
      <c r="BL23" s="2141" t="s">
        <v>1348</v>
      </c>
      <c r="BM23" s="33">
        <v>140</v>
      </c>
      <c r="BN23" s="33">
        <v>60</v>
      </c>
      <c r="BO23" s="33">
        <v>20</v>
      </c>
      <c r="BP23" s="323">
        <v>20</v>
      </c>
      <c r="BQ23" s="323">
        <v>20</v>
      </c>
      <c r="BR23" s="2318">
        <v>0</v>
      </c>
      <c r="BS23" s="323">
        <v>0</v>
      </c>
      <c r="BT23" s="323">
        <v>30</v>
      </c>
      <c r="BU23" s="1001">
        <v>0.05</v>
      </c>
      <c r="BV23" s="357">
        <v>0</v>
      </c>
      <c r="BW23" s="357">
        <v>0</v>
      </c>
      <c r="CD23" s="357"/>
    </row>
    <row r="24" spans="1:82" ht="18" customHeight="1">
      <c r="A24" s="468">
        <v>17</v>
      </c>
      <c r="B24" s="1699">
        <v>0</v>
      </c>
      <c r="C24" s="1431" t="s">
        <v>31</v>
      </c>
      <c r="D24" s="2335">
        <f t="shared" si="0"/>
        <v>0</v>
      </c>
      <c r="E24" s="1381">
        <f t="shared" si="1"/>
        <v>0</v>
      </c>
      <c r="F24" s="1966">
        <f t="shared" si="2"/>
        <v>0</v>
      </c>
      <c r="G24" s="1928">
        <f t="shared" si="3"/>
        <v>0</v>
      </c>
      <c r="H24" s="1949">
        <f t="shared" si="4"/>
        <v>0</v>
      </c>
      <c r="I24" s="1949">
        <f t="shared" si="5"/>
        <v>0</v>
      </c>
      <c r="J24" s="1949">
        <f t="shared" si="6"/>
        <v>0</v>
      </c>
      <c r="K24" s="1928">
        <f t="shared" si="15"/>
        <v>0</v>
      </c>
      <c r="L24" s="1702">
        <v>0</v>
      </c>
      <c r="M24" s="2283" t="s">
        <v>31</v>
      </c>
      <c r="N24" s="2284" t="s">
        <v>1314</v>
      </c>
      <c r="O24" s="2285">
        <f t="shared" si="7"/>
        <v>0</v>
      </c>
      <c r="P24" s="2290" t="s">
        <v>1314</v>
      </c>
      <c r="Q24" s="2291">
        <f t="shared" si="8"/>
        <v>0</v>
      </c>
      <c r="R24" s="2288">
        <f t="shared" si="9"/>
        <v>0</v>
      </c>
      <c r="S24" s="2289">
        <v>0</v>
      </c>
      <c r="T24" s="2207">
        <v>0</v>
      </c>
      <c r="U24" s="2229">
        <f t="shared" si="16"/>
        <v>0</v>
      </c>
      <c r="V24" s="2228">
        <f t="shared" si="17"/>
        <v>0</v>
      </c>
      <c r="W24" s="2216">
        <f t="shared" si="10"/>
        <v>0</v>
      </c>
      <c r="X24" s="2213">
        <f t="shared" si="11"/>
        <v>0</v>
      </c>
      <c r="Z24" s="1281">
        <f t="shared" si="12"/>
        <v>17</v>
      </c>
      <c r="AA24" s="2087" t="str">
        <f t="shared" si="13"/>
        <v>keine</v>
      </c>
      <c r="AB24" s="1329"/>
      <c r="AC24" s="1330" t="s">
        <v>795</v>
      </c>
      <c r="AD24" s="1424">
        <v>0</v>
      </c>
      <c r="AE24" s="1033">
        <f>VLOOKUP(AC24,Düngemittel!$B$6:$E$64,2,FALSE)*(VLOOKUP(AC24,Düngemittel!$B$6:$E$64,3,FALSE))/100*AD24</f>
        <v>0</v>
      </c>
      <c r="AF24" s="1033">
        <f>VLOOKUP(AC24,Düngemittel!$B$6:$E$64,2,FALSE)*AD24</f>
        <v>0</v>
      </c>
      <c r="AG24" s="1033">
        <f>VLOOKUP(AC24,Düngemittel!$B$6:$E$64,4,FALSE)*AD24</f>
        <v>0</v>
      </c>
      <c r="AH24" s="2243"/>
      <c r="AI24" s="1329"/>
      <c r="AJ24" s="1330" t="s">
        <v>795</v>
      </c>
      <c r="AK24" s="1424">
        <v>0</v>
      </c>
      <c r="AL24" s="1033">
        <f>VLOOKUP(AJ24,Düngemittel!$B$6:$E$64,2,FALSE)*(VLOOKUP(AJ24,Düngemittel!$B$6:$E$64,3,FALSE))/100*AK24</f>
        <v>0</v>
      </c>
      <c r="AM24" s="1033">
        <f>VLOOKUP(AJ24,Düngemittel!$B$6:$E$64,2,FALSE)*AK24</f>
        <v>0</v>
      </c>
      <c r="AN24" s="1033">
        <f>VLOOKUP(AJ24,Düngemittel!$B$6:$E$64,4,FALSE)*AK24</f>
        <v>0</v>
      </c>
      <c r="AO24" s="2243"/>
      <c r="AP24" s="1329"/>
      <c r="AQ24" s="1330" t="s">
        <v>795</v>
      </c>
      <c r="AR24" s="1424">
        <v>0</v>
      </c>
      <c r="AS24" s="1033">
        <f>VLOOKUP(AQ24,Düngemittel!$B$6:$E$64,2,FALSE)*(VLOOKUP(AQ24,Düngemittel!$B$6:$E$64,3,FALSE))/100*AR24</f>
        <v>0</v>
      </c>
      <c r="AT24" s="1033">
        <f>VLOOKUP(AQ24,Düngemittel!$B$6:$E$64,2,FALSE)*AR24</f>
        <v>0</v>
      </c>
      <c r="AU24" s="1033">
        <f>VLOOKUP(AQ24,Düngemittel!$B$6:$E$64,4,FALSE)*AR24</f>
        <v>0</v>
      </c>
      <c r="AV24" s="1371"/>
      <c r="AW24" s="1371"/>
      <c r="AX24" s="1372">
        <f t="shared" si="18"/>
        <v>0</v>
      </c>
      <c r="AY24" s="1373">
        <f t="shared" si="19"/>
        <v>0</v>
      </c>
      <c r="AZ24" s="1374">
        <f t="shared" si="20"/>
        <v>0</v>
      </c>
      <c r="BA24" s="1375">
        <f t="shared" si="21"/>
        <v>0</v>
      </c>
      <c r="BB24" s="1373">
        <f t="shared" si="22"/>
        <v>0</v>
      </c>
      <c r="BC24" s="1376"/>
      <c r="BD24" s="1372">
        <f t="shared" si="23"/>
        <v>0</v>
      </c>
      <c r="BE24" s="1372">
        <f t="shared" si="23"/>
        <v>0</v>
      </c>
      <c r="BF24" s="1372">
        <f t="shared" si="23"/>
        <v>0</v>
      </c>
      <c r="BG24" s="1816">
        <f t="shared" si="23"/>
        <v>0</v>
      </c>
      <c r="BH24" s="1372">
        <f t="shared" si="23"/>
        <v>0</v>
      </c>
      <c r="BI24" s="2278"/>
      <c r="BJ24" s="2278"/>
      <c r="BK24" s="2278"/>
      <c r="BL24" s="2141" t="s">
        <v>1278</v>
      </c>
      <c r="BM24" s="33">
        <v>140</v>
      </c>
      <c r="BN24" s="33">
        <v>60</v>
      </c>
      <c r="BO24" s="33">
        <v>20</v>
      </c>
      <c r="BP24" s="323">
        <v>20</v>
      </c>
      <c r="BQ24" s="323">
        <v>20</v>
      </c>
      <c r="BR24" s="2318">
        <v>0</v>
      </c>
      <c r="BS24" s="323">
        <v>0</v>
      </c>
      <c r="BT24" s="323">
        <v>30</v>
      </c>
      <c r="BU24" s="1001"/>
      <c r="BV24" s="357">
        <v>0</v>
      </c>
      <c r="BW24" s="357">
        <v>0</v>
      </c>
      <c r="CD24" s="357"/>
    </row>
    <row r="25" spans="1:82" ht="18" customHeight="1">
      <c r="A25" s="468">
        <v>18</v>
      </c>
      <c r="B25" s="1699">
        <v>0</v>
      </c>
      <c r="C25" s="1431" t="s">
        <v>31</v>
      </c>
      <c r="D25" s="2335">
        <f t="shared" si="0"/>
        <v>0</v>
      </c>
      <c r="E25" s="1381">
        <f t="shared" si="1"/>
        <v>0</v>
      </c>
      <c r="F25" s="1966">
        <f t="shared" si="2"/>
        <v>0</v>
      </c>
      <c r="G25" s="1928">
        <f t="shared" si="3"/>
        <v>0</v>
      </c>
      <c r="H25" s="1949">
        <f t="shared" si="4"/>
        <v>0</v>
      </c>
      <c r="I25" s="1949">
        <f t="shared" si="5"/>
        <v>0</v>
      </c>
      <c r="J25" s="1949">
        <f t="shared" si="6"/>
        <v>0</v>
      </c>
      <c r="K25" s="1928">
        <f t="shared" si="15"/>
        <v>0</v>
      </c>
      <c r="L25" s="1702">
        <v>0</v>
      </c>
      <c r="M25" s="2283" t="s">
        <v>31</v>
      </c>
      <c r="N25" s="2284" t="s">
        <v>1314</v>
      </c>
      <c r="O25" s="2285">
        <f t="shared" si="7"/>
        <v>0</v>
      </c>
      <c r="P25" s="2290" t="s">
        <v>1314</v>
      </c>
      <c r="Q25" s="2291">
        <f t="shared" si="8"/>
        <v>0</v>
      </c>
      <c r="R25" s="2288">
        <f t="shared" si="9"/>
        <v>0</v>
      </c>
      <c r="S25" s="2289">
        <v>0</v>
      </c>
      <c r="T25" s="2207">
        <v>0</v>
      </c>
      <c r="U25" s="2229">
        <f t="shared" si="16"/>
        <v>0</v>
      </c>
      <c r="V25" s="2228">
        <f t="shared" si="17"/>
        <v>0</v>
      </c>
      <c r="W25" s="2216">
        <f t="shared" si="10"/>
        <v>0</v>
      </c>
      <c r="X25" s="2213">
        <f t="shared" si="11"/>
        <v>0</v>
      </c>
      <c r="Z25" s="1281">
        <f t="shared" si="12"/>
        <v>18</v>
      </c>
      <c r="AA25" s="2087" t="str">
        <f t="shared" si="13"/>
        <v>keine</v>
      </c>
      <c r="AB25" s="1329"/>
      <c r="AC25" s="1330" t="s">
        <v>795</v>
      </c>
      <c r="AD25" s="1424">
        <v>0</v>
      </c>
      <c r="AE25" s="1033">
        <f>VLOOKUP(AC25,Düngemittel!$B$6:$E$64,2,FALSE)*(VLOOKUP(AC25,Düngemittel!$B$6:$E$64,3,FALSE))/100*AD25</f>
        <v>0</v>
      </c>
      <c r="AF25" s="1033">
        <f>VLOOKUP(AC25,Düngemittel!$B$6:$E$64,2,FALSE)*AD25</f>
        <v>0</v>
      </c>
      <c r="AG25" s="1033">
        <f>VLOOKUP(AC25,Düngemittel!$B$6:$E$64,4,FALSE)*AD25</f>
        <v>0</v>
      </c>
      <c r="AH25" s="2243"/>
      <c r="AI25" s="1329"/>
      <c r="AJ25" s="1330" t="s">
        <v>795</v>
      </c>
      <c r="AK25" s="1424">
        <v>0</v>
      </c>
      <c r="AL25" s="1033">
        <f>VLOOKUP(AJ25,Düngemittel!$B$6:$E$64,2,FALSE)*(VLOOKUP(AJ25,Düngemittel!$B$6:$E$64,3,FALSE))/100*AK25</f>
        <v>0</v>
      </c>
      <c r="AM25" s="1033">
        <f>VLOOKUP(AJ25,Düngemittel!$B$6:$E$64,2,FALSE)*AK25</f>
        <v>0</v>
      </c>
      <c r="AN25" s="1033">
        <f>VLOOKUP(AJ25,Düngemittel!$B$6:$E$64,4,FALSE)*AK25</f>
        <v>0</v>
      </c>
      <c r="AO25" s="2243"/>
      <c r="AP25" s="1329"/>
      <c r="AQ25" s="1330" t="s">
        <v>795</v>
      </c>
      <c r="AR25" s="1424">
        <v>0</v>
      </c>
      <c r="AS25" s="1033">
        <f>VLOOKUP(AQ25,Düngemittel!$B$6:$E$64,2,FALSE)*(VLOOKUP(AQ25,Düngemittel!$B$6:$E$64,3,FALSE))/100*AR25</f>
        <v>0</v>
      </c>
      <c r="AT25" s="1033">
        <f>VLOOKUP(AQ25,Düngemittel!$B$6:$E$64,2,FALSE)*AR25</f>
        <v>0</v>
      </c>
      <c r="AU25" s="1033">
        <f>VLOOKUP(AQ25,Düngemittel!$B$6:$E$64,4,FALSE)*AR25</f>
        <v>0</v>
      </c>
      <c r="AV25" s="1371"/>
      <c r="AW25" s="1371"/>
      <c r="AX25" s="1372">
        <f t="shared" si="18"/>
        <v>0</v>
      </c>
      <c r="AY25" s="1373">
        <f t="shared" si="19"/>
        <v>0</v>
      </c>
      <c r="AZ25" s="1374">
        <f t="shared" si="20"/>
        <v>0</v>
      </c>
      <c r="BA25" s="1375">
        <f t="shared" si="21"/>
        <v>0</v>
      </c>
      <c r="BB25" s="1373">
        <f t="shared" si="22"/>
        <v>0</v>
      </c>
      <c r="BC25" s="1376"/>
      <c r="BD25" s="1372">
        <f t="shared" si="23"/>
        <v>0</v>
      </c>
      <c r="BE25" s="1372">
        <f t="shared" si="23"/>
        <v>0</v>
      </c>
      <c r="BF25" s="1372">
        <f t="shared" si="23"/>
        <v>0</v>
      </c>
      <c r="BG25" s="1816">
        <f t="shared" si="23"/>
        <v>0</v>
      </c>
      <c r="BH25" s="1372">
        <f t="shared" si="23"/>
        <v>0</v>
      </c>
      <c r="BI25" s="2278"/>
      <c r="BJ25" s="2278"/>
      <c r="BK25" s="2278"/>
      <c r="BL25" s="2141" t="s">
        <v>1279</v>
      </c>
      <c r="BM25" s="33">
        <v>0</v>
      </c>
      <c r="BN25" s="33">
        <v>60</v>
      </c>
      <c r="BO25" s="33">
        <v>20</v>
      </c>
      <c r="BP25" s="323">
        <v>20</v>
      </c>
      <c r="BQ25" s="323">
        <v>20</v>
      </c>
      <c r="BR25" s="2317">
        <v>0</v>
      </c>
      <c r="BS25" s="323">
        <v>0</v>
      </c>
      <c r="BT25" s="323">
        <v>30</v>
      </c>
      <c r="BU25" s="1001">
        <v>0.05</v>
      </c>
      <c r="BV25" s="357">
        <v>0</v>
      </c>
      <c r="BW25" s="357">
        <v>0</v>
      </c>
      <c r="CD25" s="357"/>
    </row>
    <row r="26" spans="1:82" ht="18" customHeight="1">
      <c r="A26" s="468">
        <v>19</v>
      </c>
      <c r="B26" s="1699">
        <v>0</v>
      </c>
      <c r="C26" s="2338" t="s">
        <v>31</v>
      </c>
      <c r="D26" s="2335">
        <f t="shared" si="0"/>
        <v>0</v>
      </c>
      <c r="E26" s="1381">
        <f t="shared" si="1"/>
        <v>0</v>
      </c>
      <c r="F26" s="1966">
        <f t="shared" si="2"/>
        <v>0</v>
      </c>
      <c r="G26" s="1928">
        <f t="shared" si="3"/>
        <v>0</v>
      </c>
      <c r="H26" s="1949">
        <f t="shared" si="4"/>
        <v>0</v>
      </c>
      <c r="I26" s="1949">
        <f t="shared" si="5"/>
        <v>0</v>
      </c>
      <c r="J26" s="1949">
        <f t="shared" si="6"/>
        <v>0</v>
      </c>
      <c r="K26" s="1928">
        <f t="shared" si="15"/>
        <v>0</v>
      </c>
      <c r="L26" s="1702">
        <v>0</v>
      </c>
      <c r="M26" s="2283" t="s">
        <v>31</v>
      </c>
      <c r="N26" s="2284" t="s">
        <v>1314</v>
      </c>
      <c r="O26" s="2285">
        <f t="shared" si="7"/>
        <v>0</v>
      </c>
      <c r="P26" s="2290" t="s">
        <v>1314</v>
      </c>
      <c r="Q26" s="2291">
        <f t="shared" si="8"/>
        <v>0</v>
      </c>
      <c r="R26" s="2288">
        <f t="shared" si="9"/>
        <v>0</v>
      </c>
      <c r="S26" s="2289">
        <v>0</v>
      </c>
      <c r="T26" s="2207">
        <v>0</v>
      </c>
      <c r="U26" s="2229">
        <f t="shared" si="16"/>
        <v>0</v>
      </c>
      <c r="V26" s="2228">
        <f t="shared" si="17"/>
        <v>0</v>
      </c>
      <c r="W26" s="2216">
        <f t="shared" si="10"/>
        <v>0</v>
      </c>
      <c r="X26" s="2213">
        <f t="shared" si="11"/>
        <v>0</v>
      </c>
      <c r="Z26" s="1281">
        <f t="shared" si="12"/>
        <v>19</v>
      </c>
      <c r="AA26" s="2087" t="str">
        <f t="shared" si="13"/>
        <v>keine</v>
      </c>
      <c r="AB26" s="1329"/>
      <c r="AC26" s="1330" t="s">
        <v>795</v>
      </c>
      <c r="AD26" s="1424">
        <v>0</v>
      </c>
      <c r="AE26" s="1033">
        <f>VLOOKUP(AC26,Düngemittel!$B$6:$E$64,2,FALSE)*(VLOOKUP(AC26,Düngemittel!$B$6:$E$64,3,FALSE))/100*AD26</f>
        <v>0</v>
      </c>
      <c r="AF26" s="1033">
        <f>VLOOKUP(AC26,Düngemittel!$B$6:$E$64,2,FALSE)*AD26</f>
        <v>0</v>
      </c>
      <c r="AG26" s="1033">
        <f>VLOOKUP(AC26,Düngemittel!$B$6:$E$64,4,FALSE)*AD26</f>
        <v>0</v>
      </c>
      <c r="AH26" s="2243"/>
      <c r="AI26" s="1329"/>
      <c r="AJ26" s="1330" t="s">
        <v>795</v>
      </c>
      <c r="AK26" s="1424">
        <v>0</v>
      </c>
      <c r="AL26" s="1033">
        <f>VLOOKUP(AJ26,Düngemittel!$B$6:$E$64,2,FALSE)*(VLOOKUP(AJ26,Düngemittel!$B$6:$E$64,3,FALSE))/100*AK26</f>
        <v>0</v>
      </c>
      <c r="AM26" s="1033">
        <f>VLOOKUP(AJ26,Düngemittel!$B$6:$E$64,2,FALSE)*AK26</f>
        <v>0</v>
      </c>
      <c r="AN26" s="1033">
        <f>VLOOKUP(AJ26,Düngemittel!$B$6:$E$64,4,FALSE)*AK26</f>
        <v>0</v>
      </c>
      <c r="AO26" s="2243"/>
      <c r="AP26" s="1329"/>
      <c r="AQ26" s="1330" t="s">
        <v>795</v>
      </c>
      <c r="AR26" s="1424">
        <v>0</v>
      </c>
      <c r="AS26" s="1033">
        <f>VLOOKUP(AQ26,Düngemittel!$B$6:$E$64,2,FALSE)*(VLOOKUP(AQ26,Düngemittel!$B$6:$E$64,3,FALSE))/100*AR26</f>
        <v>0</v>
      </c>
      <c r="AT26" s="1033">
        <f>VLOOKUP(AQ26,Düngemittel!$B$6:$E$64,2,FALSE)*AR26</f>
        <v>0</v>
      </c>
      <c r="AU26" s="1033">
        <f>VLOOKUP(AQ26,Düngemittel!$B$6:$E$64,4,FALSE)*AR26</f>
        <v>0</v>
      </c>
      <c r="AV26" s="1371"/>
      <c r="AW26" s="1371"/>
      <c r="AX26" s="1372">
        <f t="shared" si="18"/>
        <v>0</v>
      </c>
      <c r="AY26" s="1373">
        <f t="shared" si="19"/>
        <v>0</v>
      </c>
      <c r="AZ26" s="1374">
        <f t="shared" si="20"/>
        <v>0</v>
      </c>
      <c r="BA26" s="1375">
        <f t="shared" si="21"/>
        <v>0</v>
      </c>
      <c r="BB26" s="1373">
        <f t="shared" si="22"/>
        <v>0</v>
      </c>
      <c r="BC26" s="1376"/>
      <c r="BD26" s="1372">
        <f t="shared" si="23"/>
        <v>0</v>
      </c>
      <c r="BE26" s="1372">
        <f t="shared" si="23"/>
        <v>0</v>
      </c>
      <c r="BF26" s="1372">
        <f t="shared" si="23"/>
        <v>0</v>
      </c>
      <c r="BG26" s="1816">
        <f t="shared" si="23"/>
        <v>0</v>
      </c>
      <c r="BH26" s="1372">
        <f t="shared" si="23"/>
        <v>0</v>
      </c>
      <c r="BI26" s="2278"/>
      <c r="BJ26" s="2278"/>
      <c r="BK26" s="2278"/>
      <c r="BL26" s="2152" t="s">
        <v>1501</v>
      </c>
      <c r="BM26" s="33">
        <v>150</v>
      </c>
      <c r="BN26" s="33">
        <v>125</v>
      </c>
      <c r="BO26" s="33">
        <v>10</v>
      </c>
      <c r="BP26" s="2153">
        <v>12.5</v>
      </c>
      <c r="BQ26" s="2153">
        <v>12.5</v>
      </c>
      <c r="BR26" s="2318">
        <v>3.3333333333333335</v>
      </c>
      <c r="BS26" s="2152">
        <v>0</v>
      </c>
      <c r="BT26" s="2152">
        <v>30</v>
      </c>
      <c r="BU26" s="2155">
        <v>0.16</v>
      </c>
      <c r="BV26" s="357">
        <v>0</v>
      </c>
      <c r="BW26" s="357">
        <v>0</v>
      </c>
      <c r="CD26" s="357"/>
    </row>
    <row r="27" spans="1:82" ht="18" customHeight="1">
      <c r="A27" s="468">
        <v>20</v>
      </c>
      <c r="B27" s="1699">
        <v>0</v>
      </c>
      <c r="C27" s="1431" t="s">
        <v>31</v>
      </c>
      <c r="D27" s="2335">
        <f t="shared" si="0"/>
        <v>0</v>
      </c>
      <c r="E27" s="1381">
        <f t="shared" si="1"/>
        <v>0</v>
      </c>
      <c r="F27" s="1966">
        <f t="shared" si="2"/>
        <v>0</v>
      </c>
      <c r="G27" s="1928">
        <f t="shared" si="3"/>
        <v>0</v>
      </c>
      <c r="H27" s="1949">
        <f t="shared" si="4"/>
        <v>0</v>
      </c>
      <c r="I27" s="1949">
        <f t="shared" si="5"/>
        <v>0</v>
      </c>
      <c r="J27" s="1949">
        <f t="shared" si="6"/>
        <v>0</v>
      </c>
      <c r="K27" s="1928">
        <f t="shared" si="15"/>
        <v>0</v>
      </c>
      <c r="L27" s="1702">
        <v>0</v>
      </c>
      <c r="M27" s="2283" t="s">
        <v>31</v>
      </c>
      <c r="N27" s="2284" t="s">
        <v>1314</v>
      </c>
      <c r="O27" s="2285">
        <f t="shared" si="7"/>
        <v>0</v>
      </c>
      <c r="P27" s="2290" t="s">
        <v>1314</v>
      </c>
      <c r="Q27" s="2291">
        <f t="shared" si="8"/>
        <v>0</v>
      </c>
      <c r="R27" s="2288">
        <f t="shared" si="9"/>
        <v>0</v>
      </c>
      <c r="S27" s="2289">
        <v>0</v>
      </c>
      <c r="T27" s="2207">
        <v>0</v>
      </c>
      <c r="U27" s="2229">
        <f t="shared" si="16"/>
        <v>0</v>
      </c>
      <c r="V27" s="2228">
        <f t="shared" si="17"/>
        <v>0</v>
      </c>
      <c r="W27" s="2216">
        <f t="shared" si="10"/>
        <v>0</v>
      </c>
      <c r="X27" s="2213">
        <f t="shared" si="11"/>
        <v>0</v>
      </c>
      <c r="Z27" s="1281">
        <f t="shared" si="12"/>
        <v>20</v>
      </c>
      <c r="AA27" s="2087" t="str">
        <f t="shared" si="13"/>
        <v>keine</v>
      </c>
      <c r="AB27" s="1329"/>
      <c r="AC27" s="1330" t="s">
        <v>795</v>
      </c>
      <c r="AD27" s="1424">
        <v>0</v>
      </c>
      <c r="AE27" s="1033">
        <f>VLOOKUP(AC27,Düngemittel!$B$6:$E$64,2,FALSE)*(VLOOKUP(AC27,Düngemittel!$B$6:$E$64,3,FALSE))/100*AD27</f>
        <v>0</v>
      </c>
      <c r="AF27" s="1033">
        <f>VLOOKUP(AC27,Düngemittel!$B$6:$E$64,2,FALSE)*AD27</f>
        <v>0</v>
      </c>
      <c r="AG27" s="1033">
        <f>VLOOKUP(AC27,Düngemittel!$B$6:$E$64,4,FALSE)*AD27</f>
        <v>0</v>
      </c>
      <c r="AH27" s="2243"/>
      <c r="AI27" s="1329"/>
      <c r="AJ27" s="1330" t="s">
        <v>795</v>
      </c>
      <c r="AK27" s="1424">
        <v>0</v>
      </c>
      <c r="AL27" s="1033">
        <f>VLOOKUP(AJ27,Düngemittel!$B$6:$E$64,2,FALSE)*(VLOOKUP(AJ27,Düngemittel!$B$6:$E$64,3,FALSE))/100*AK27</f>
        <v>0</v>
      </c>
      <c r="AM27" s="1033">
        <f>VLOOKUP(AJ27,Düngemittel!$B$6:$E$64,2,FALSE)*AK27</f>
        <v>0</v>
      </c>
      <c r="AN27" s="1033">
        <f>VLOOKUP(AJ27,Düngemittel!$B$6:$E$64,4,FALSE)*AK27</f>
        <v>0</v>
      </c>
      <c r="AO27" s="2243"/>
      <c r="AP27" s="1329"/>
      <c r="AQ27" s="1330" t="s">
        <v>795</v>
      </c>
      <c r="AR27" s="1424">
        <v>0</v>
      </c>
      <c r="AS27" s="1033">
        <f>VLOOKUP(AQ27,Düngemittel!$B$6:$E$64,2,FALSE)*(VLOOKUP(AQ27,Düngemittel!$B$6:$E$64,3,FALSE))/100*AR27</f>
        <v>0</v>
      </c>
      <c r="AT27" s="1033">
        <f>VLOOKUP(AQ27,Düngemittel!$B$6:$E$64,2,FALSE)*AR27</f>
        <v>0</v>
      </c>
      <c r="AU27" s="1033">
        <f>VLOOKUP(AQ27,Düngemittel!$B$6:$E$64,4,FALSE)*AR27</f>
        <v>0</v>
      </c>
      <c r="AV27" s="1371"/>
      <c r="AW27" s="1371"/>
      <c r="AX27" s="1372">
        <f t="shared" si="18"/>
        <v>0</v>
      </c>
      <c r="AY27" s="1373">
        <f t="shared" si="19"/>
        <v>0</v>
      </c>
      <c r="AZ27" s="1374">
        <f t="shared" si="20"/>
        <v>0</v>
      </c>
      <c r="BA27" s="1375">
        <f t="shared" si="21"/>
        <v>0</v>
      </c>
      <c r="BB27" s="1373">
        <f t="shared" si="22"/>
        <v>0</v>
      </c>
      <c r="BC27" s="1376"/>
      <c r="BD27" s="1372">
        <f t="shared" si="23"/>
        <v>0</v>
      </c>
      <c r="BE27" s="1372">
        <f t="shared" si="23"/>
        <v>0</v>
      </c>
      <c r="BF27" s="1372">
        <f t="shared" si="23"/>
        <v>0</v>
      </c>
      <c r="BG27" s="1816">
        <f t="shared" si="23"/>
        <v>0</v>
      </c>
      <c r="BH27" s="1372">
        <f t="shared" si="23"/>
        <v>0</v>
      </c>
      <c r="BI27" s="2278"/>
      <c r="BJ27" s="2278"/>
      <c r="BK27" s="2278"/>
      <c r="BL27" s="2141" t="s">
        <v>1280</v>
      </c>
      <c r="BM27" s="33">
        <v>80</v>
      </c>
      <c r="BN27" s="33">
        <v>85</v>
      </c>
      <c r="BO27" s="33">
        <v>20</v>
      </c>
      <c r="BP27" s="323">
        <v>20</v>
      </c>
      <c r="BQ27" s="323">
        <v>20</v>
      </c>
      <c r="BR27" s="2318">
        <v>3.3333333333333335</v>
      </c>
      <c r="BS27" s="323">
        <v>5</v>
      </c>
      <c r="BT27" s="323">
        <v>15</v>
      </c>
      <c r="BU27" s="1001">
        <v>9.9000000000000005E-2</v>
      </c>
      <c r="BV27" s="357">
        <v>0</v>
      </c>
      <c r="BW27" s="357">
        <v>0</v>
      </c>
      <c r="CD27" s="357"/>
    </row>
    <row r="28" spans="1:82" ht="18" customHeight="1">
      <c r="A28" s="468">
        <v>21</v>
      </c>
      <c r="B28" s="1699">
        <v>0</v>
      </c>
      <c r="C28" s="2336" t="s">
        <v>31</v>
      </c>
      <c r="D28" s="2335">
        <f t="shared" si="0"/>
        <v>0</v>
      </c>
      <c r="E28" s="1381">
        <f t="shared" si="1"/>
        <v>0</v>
      </c>
      <c r="F28" s="1966">
        <f t="shared" si="2"/>
        <v>0</v>
      </c>
      <c r="G28" s="1928">
        <f t="shared" si="3"/>
        <v>0</v>
      </c>
      <c r="H28" s="1949">
        <f t="shared" si="4"/>
        <v>0</v>
      </c>
      <c r="I28" s="1949">
        <f t="shared" si="5"/>
        <v>0</v>
      </c>
      <c r="J28" s="1949">
        <f t="shared" si="6"/>
        <v>0</v>
      </c>
      <c r="K28" s="1928">
        <f t="shared" si="15"/>
        <v>0</v>
      </c>
      <c r="L28" s="1702">
        <v>0</v>
      </c>
      <c r="M28" s="2283" t="s">
        <v>31</v>
      </c>
      <c r="N28" s="2284" t="s">
        <v>1314</v>
      </c>
      <c r="O28" s="2285">
        <f t="shared" si="7"/>
        <v>0</v>
      </c>
      <c r="P28" s="2290" t="s">
        <v>1314</v>
      </c>
      <c r="Q28" s="2291">
        <f t="shared" si="8"/>
        <v>0</v>
      </c>
      <c r="R28" s="2288">
        <f t="shared" si="9"/>
        <v>0</v>
      </c>
      <c r="S28" s="2289">
        <v>0</v>
      </c>
      <c r="T28" s="2207">
        <v>0</v>
      </c>
      <c r="U28" s="2229">
        <f t="shared" si="16"/>
        <v>0</v>
      </c>
      <c r="V28" s="2228">
        <f t="shared" si="17"/>
        <v>0</v>
      </c>
      <c r="W28" s="2216">
        <f t="shared" si="10"/>
        <v>0</v>
      </c>
      <c r="X28" s="2213">
        <f t="shared" si="11"/>
        <v>0</v>
      </c>
      <c r="Z28" s="1281">
        <f t="shared" si="12"/>
        <v>21</v>
      </c>
      <c r="AA28" s="2087" t="str">
        <f t="shared" si="13"/>
        <v>keine</v>
      </c>
      <c r="AB28" s="1329"/>
      <c r="AC28" s="1330" t="s">
        <v>795</v>
      </c>
      <c r="AD28" s="1424">
        <v>0</v>
      </c>
      <c r="AE28" s="1033">
        <f>VLOOKUP(AC28,Düngemittel!$B$6:$E$64,2,FALSE)*(VLOOKUP(AC28,Düngemittel!$B$6:$E$64,3,FALSE))/100*AD28</f>
        <v>0</v>
      </c>
      <c r="AF28" s="1033">
        <f>VLOOKUP(AC28,Düngemittel!$B$6:$E$64,2,FALSE)*AD28</f>
        <v>0</v>
      </c>
      <c r="AG28" s="1033">
        <f>VLOOKUP(AC28,Düngemittel!$B$6:$E$64,4,FALSE)*AD28</f>
        <v>0</v>
      </c>
      <c r="AH28" s="142"/>
      <c r="AI28" s="1329"/>
      <c r="AJ28" s="1330" t="s">
        <v>795</v>
      </c>
      <c r="AK28" s="1424">
        <v>0</v>
      </c>
      <c r="AL28" s="1033">
        <f>VLOOKUP(AJ28,Düngemittel!$B$6:$E$64,2,FALSE)*(VLOOKUP(AJ28,Düngemittel!$B$6:$E$64,3,FALSE))/100*AK28</f>
        <v>0</v>
      </c>
      <c r="AM28" s="1033">
        <f>VLOOKUP(AJ28,Düngemittel!$B$6:$E$64,2,FALSE)*AK28</f>
        <v>0</v>
      </c>
      <c r="AN28" s="1033">
        <f>VLOOKUP(AJ28,Düngemittel!$B$6:$E$64,4,FALSE)*AK28</f>
        <v>0</v>
      </c>
      <c r="AO28" s="142"/>
      <c r="AP28" s="1329"/>
      <c r="AQ28" s="1330" t="s">
        <v>795</v>
      </c>
      <c r="AR28" s="1424">
        <v>0</v>
      </c>
      <c r="AS28" s="1033">
        <f>VLOOKUP(AQ28,Düngemittel!$B$6:$E$64,2,FALSE)*(VLOOKUP(AQ28,Düngemittel!$B$6:$E$64,3,FALSE))/100*AR28</f>
        <v>0</v>
      </c>
      <c r="AT28" s="1033">
        <f>VLOOKUP(AQ28,Düngemittel!$B$6:$E$64,2,FALSE)*AR28</f>
        <v>0</v>
      </c>
      <c r="AU28" s="1033">
        <f>VLOOKUP(AQ28,Düngemittel!$B$6:$E$64,4,FALSE)*AR28</f>
        <v>0</v>
      </c>
      <c r="AV28" s="1371"/>
      <c r="AW28" s="1371"/>
      <c r="AX28" s="1372">
        <f t="shared" si="18"/>
        <v>0</v>
      </c>
      <c r="AY28" s="1373">
        <f t="shared" si="19"/>
        <v>0</v>
      </c>
      <c r="AZ28" s="1374">
        <f t="shared" si="20"/>
        <v>0</v>
      </c>
      <c r="BA28" s="1375">
        <f t="shared" si="21"/>
        <v>0</v>
      </c>
      <c r="BB28" s="1373">
        <f t="shared" si="22"/>
        <v>0</v>
      </c>
      <c r="BC28" s="1376"/>
      <c r="BD28" s="1372">
        <f t="shared" si="23"/>
        <v>0</v>
      </c>
      <c r="BE28" s="1372">
        <f t="shared" si="23"/>
        <v>0</v>
      </c>
      <c r="BF28" s="1372">
        <f t="shared" si="23"/>
        <v>0</v>
      </c>
      <c r="BG28" s="1816">
        <f t="shared" si="23"/>
        <v>0</v>
      </c>
      <c r="BH28" s="1372">
        <f t="shared" si="23"/>
        <v>0</v>
      </c>
      <c r="BI28" s="2278"/>
      <c r="BJ28" s="2278"/>
      <c r="BK28" s="2278"/>
      <c r="BL28" s="2141" t="s">
        <v>1281</v>
      </c>
      <c r="BM28" s="33">
        <v>130</v>
      </c>
      <c r="BN28" s="33">
        <v>110</v>
      </c>
      <c r="BO28" s="33">
        <v>20</v>
      </c>
      <c r="BP28" s="323">
        <v>20</v>
      </c>
      <c r="BQ28" s="323">
        <v>20</v>
      </c>
      <c r="BR28" s="2317">
        <v>0</v>
      </c>
      <c r="BS28" s="323">
        <v>5</v>
      </c>
      <c r="BT28" s="323">
        <v>15</v>
      </c>
      <c r="BU28" s="1001">
        <v>9.9000000000000005E-2</v>
      </c>
      <c r="BV28" s="357">
        <v>0</v>
      </c>
      <c r="BW28" s="357">
        <v>0</v>
      </c>
      <c r="CD28" s="357"/>
    </row>
    <row r="29" spans="1:82" ht="18" customHeight="1">
      <c r="A29" s="468">
        <v>22</v>
      </c>
      <c r="B29" s="1699">
        <v>0</v>
      </c>
      <c r="C29" s="2337" t="s">
        <v>31</v>
      </c>
      <c r="D29" s="2335">
        <f t="shared" si="0"/>
        <v>0</v>
      </c>
      <c r="E29" s="1381">
        <f t="shared" si="1"/>
        <v>0</v>
      </c>
      <c r="F29" s="1966">
        <f t="shared" si="2"/>
        <v>0</v>
      </c>
      <c r="G29" s="1928">
        <f t="shared" si="3"/>
        <v>0</v>
      </c>
      <c r="H29" s="1949">
        <f t="shared" si="4"/>
        <v>0</v>
      </c>
      <c r="I29" s="1949">
        <f t="shared" si="5"/>
        <v>0</v>
      </c>
      <c r="J29" s="1949">
        <f t="shared" si="6"/>
        <v>0</v>
      </c>
      <c r="K29" s="1928">
        <f t="shared" si="15"/>
        <v>0</v>
      </c>
      <c r="L29" s="1702">
        <v>0</v>
      </c>
      <c r="M29" s="2283" t="s">
        <v>31</v>
      </c>
      <c r="N29" s="2284" t="s">
        <v>1314</v>
      </c>
      <c r="O29" s="2285">
        <f t="shared" si="7"/>
        <v>0</v>
      </c>
      <c r="P29" s="2290" t="s">
        <v>1314</v>
      </c>
      <c r="Q29" s="2291">
        <f t="shared" si="8"/>
        <v>0</v>
      </c>
      <c r="R29" s="2288">
        <f t="shared" si="9"/>
        <v>0</v>
      </c>
      <c r="S29" s="2289">
        <v>0</v>
      </c>
      <c r="T29" s="2207">
        <v>0</v>
      </c>
      <c r="U29" s="2229">
        <f t="shared" si="16"/>
        <v>0</v>
      </c>
      <c r="V29" s="2228">
        <f t="shared" si="17"/>
        <v>0</v>
      </c>
      <c r="W29" s="2216">
        <f t="shared" si="10"/>
        <v>0</v>
      </c>
      <c r="X29" s="2213">
        <f t="shared" si="11"/>
        <v>0</v>
      </c>
      <c r="Z29" s="1281">
        <f t="shared" si="12"/>
        <v>22</v>
      </c>
      <c r="AA29" s="2087" t="str">
        <f t="shared" si="13"/>
        <v>keine</v>
      </c>
      <c r="AB29" s="1329"/>
      <c r="AC29" s="1330" t="s">
        <v>795</v>
      </c>
      <c r="AD29" s="1424">
        <v>0</v>
      </c>
      <c r="AE29" s="1033">
        <f>VLOOKUP(AC29,Düngemittel!$B$6:$E$64,2,FALSE)*(VLOOKUP(AC29,Düngemittel!$B$6:$E$64,3,FALSE))/100*AD29</f>
        <v>0</v>
      </c>
      <c r="AF29" s="1033">
        <f>VLOOKUP(AC29,Düngemittel!$B$6:$E$64,2,FALSE)*AD29</f>
        <v>0</v>
      </c>
      <c r="AG29" s="1033">
        <f>VLOOKUP(AC29,Düngemittel!$B$6:$E$64,4,FALSE)*AD29</f>
        <v>0</v>
      </c>
      <c r="AH29" s="2243"/>
      <c r="AI29" s="1329"/>
      <c r="AJ29" s="1330" t="s">
        <v>795</v>
      </c>
      <c r="AK29" s="1424">
        <v>0</v>
      </c>
      <c r="AL29" s="1033">
        <f>VLOOKUP(AJ29,Düngemittel!$B$6:$E$64,2,FALSE)*(VLOOKUP(AJ29,Düngemittel!$B$6:$E$64,3,FALSE))/100*AK29</f>
        <v>0</v>
      </c>
      <c r="AM29" s="1033">
        <f>VLOOKUP(AJ29,Düngemittel!$B$6:$E$64,2,FALSE)*AK29</f>
        <v>0</v>
      </c>
      <c r="AN29" s="1033">
        <f>VLOOKUP(AJ29,Düngemittel!$B$6:$E$64,4,FALSE)*AK29</f>
        <v>0</v>
      </c>
      <c r="AO29" s="2243"/>
      <c r="AP29" s="1329"/>
      <c r="AQ29" s="1330" t="s">
        <v>795</v>
      </c>
      <c r="AR29" s="1424">
        <v>0</v>
      </c>
      <c r="AS29" s="1033">
        <f>VLOOKUP(AQ29,Düngemittel!$B$6:$E$64,2,FALSE)*(VLOOKUP(AQ29,Düngemittel!$B$6:$E$64,3,FALSE))/100*AR29</f>
        <v>0</v>
      </c>
      <c r="AT29" s="1033">
        <f>VLOOKUP(AQ29,Düngemittel!$B$6:$E$64,2,FALSE)*AR29</f>
        <v>0</v>
      </c>
      <c r="AU29" s="1033">
        <f>VLOOKUP(AQ29,Düngemittel!$B$6:$E$64,4,FALSE)*AR29</f>
        <v>0</v>
      </c>
      <c r="AV29" s="1371"/>
      <c r="AW29" s="1371"/>
      <c r="AX29" s="1372">
        <f t="shared" si="18"/>
        <v>0</v>
      </c>
      <c r="AY29" s="1373">
        <f t="shared" si="19"/>
        <v>0</v>
      </c>
      <c r="AZ29" s="1374">
        <f t="shared" si="20"/>
        <v>0</v>
      </c>
      <c r="BA29" s="1375">
        <f t="shared" si="21"/>
        <v>0</v>
      </c>
      <c r="BB29" s="1373">
        <f t="shared" si="22"/>
        <v>0</v>
      </c>
      <c r="BC29" s="1376"/>
      <c r="BD29" s="1372">
        <f t="shared" si="23"/>
        <v>0</v>
      </c>
      <c r="BE29" s="1372">
        <f t="shared" si="23"/>
        <v>0</v>
      </c>
      <c r="BF29" s="1372">
        <f t="shared" si="23"/>
        <v>0</v>
      </c>
      <c r="BG29" s="1816">
        <f t="shared" si="23"/>
        <v>0</v>
      </c>
      <c r="BH29" s="1372">
        <f t="shared" si="23"/>
        <v>0</v>
      </c>
      <c r="BI29" s="2278"/>
      <c r="BJ29" s="2278"/>
      <c r="BK29" s="2278"/>
      <c r="BL29" s="2152" t="s">
        <v>1509</v>
      </c>
      <c r="BM29" s="33">
        <v>150</v>
      </c>
      <c r="BN29" s="33">
        <v>120</v>
      </c>
      <c r="BO29" s="33">
        <v>10</v>
      </c>
      <c r="BP29" s="2153">
        <v>12</v>
      </c>
      <c r="BQ29" s="2153">
        <v>12</v>
      </c>
      <c r="BR29" s="2318">
        <v>43.333333333333336</v>
      </c>
      <c r="BS29" s="2152">
        <v>0</v>
      </c>
      <c r="BT29" s="2152">
        <v>30</v>
      </c>
      <c r="BU29" s="2157">
        <v>0.26</v>
      </c>
      <c r="BV29" s="357">
        <v>0</v>
      </c>
      <c r="BW29" s="357">
        <v>0</v>
      </c>
      <c r="CD29" s="357"/>
    </row>
    <row r="30" spans="1:82" ht="18" customHeight="1">
      <c r="A30" s="468">
        <v>23</v>
      </c>
      <c r="B30" s="1699">
        <v>0</v>
      </c>
      <c r="C30" s="2337" t="s">
        <v>31</v>
      </c>
      <c r="D30" s="2335">
        <f t="shared" si="0"/>
        <v>0</v>
      </c>
      <c r="E30" s="1381">
        <f t="shared" si="1"/>
        <v>0</v>
      </c>
      <c r="F30" s="1966">
        <f t="shared" ref="F30:F40" si="24">L30-D30</f>
        <v>0</v>
      </c>
      <c r="G30" s="1928">
        <f t="shared" ref="G30:G40" si="25">IF(F30=0,0,F30*100/D30)</f>
        <v>0</v>
      </c>
      <c r="H30" s="1949">
        <f t="shared" si="4"/>
        <v>0</v>
      </c>
      <c r="I30" s="1949">
        <f t="shared" si="5"/>
        <v>0</v>
      </c>
      <c r="J30" s="1949">
        <f t="shared" si="6"/>
        <v>0</v>
      </c>
      <c r="K30" s="1928">
        <f t="shared" ref="K30:K40" si="26">IF(H30=0,0,IF(G30&gt;0,ROUNDDOWN(G30/H30,0)*I30,IF(G30&lt;=0,ROUNDDOWN(G30/H30,0)*J30,IF(F30&gt;0,F30*I30/E30,J30*F30/0))))</f>
        <v>0</v>
      </c>
      <c r="L30" s="1702">
        <v>0</v>
      </c>
      <c r="M30" s="2283" t="s">
        <v>31</v>
      </c>
      <c r="N30" s="2284" t="s">
        <v>1314</v>
      </c>
      <c r="O30" s="2285">
        <f t="shared" si="7"/>
        <v>0</v>
      </c>
      <c r="P30" s="2290" t="s">
        <v>1314</v>
      </c>
      <c r="Q30" s="2291">
        <f t="shared" si="8"/>
        <v>0</v>
      </c>
      <c r="R30" s="2288">
        <f t="shared" si="9"/>
        <v>0</v>
      </c>
      <c r="S30" s="2289">
        <v>0</v>
      </c>
      <c r="T30" s="2207">
        <v>0</v>
      </c>
      <c r="U30" s="2229">
        <f t="shared" si="16"/>
        <v>0</v>
      </c>
      <c r="V30" s="2228">
        <f t="shared" si="17"/>
        <v>0</v>
      </c>
      <c r="W30" s="2216">
        <f t="shared" si="10"/>
        <v>0</v>
      </c>
      <c r="X30" s="2213">
        <f t="shared" si="11"/>
        <v>0</v>
      </c>
      <c r="Z30" s="1281">
        <f t="shared" si="12"/>
        <v>23</v>
      </c>
      <c r="AA30" s="2087" t="str">
        <f t="shared" si="13"/>
        <v>keine</v>
      </c>
      <c r="AB30" s="1329"/>
      <c r="AC30" s="1330" t="s">
        <v>795</v>
      </c>
      <c r="AD30" s="1424">
        <v>0</v>
      </c>
      <c r="AE30" s="1033">
        <f>VLOOKUP(AC30,Düngemittel!$B$6:$E$64,2,FALSE)*(VLOOKUP(AC30,Düngemittel!$B$6:$E$64,3,FALSE))/100*AD30</f>
        <v>0</v>
      </c>
      <c r="AF30" s="1033">
        <f>VLOOKUP(AC30,Düngemittel!$B$6:$E$64,2,FALSE)*AD30</f>
        <v>0</v>
      </c>
      <c r="AG30" s="1033">
        <f>VLOOKUP(AC30,Düngemittel!$B$6:$E$64,4,FALSE)*AD30</f>
        <v>0</v>
      </c>
      <c r="AH30" s="2324"/>
      <c r="AI30" s="1329"/>
      <c r="AJ30" s="1330" t="s">
        <v>795</v>
      </c>
      <c r="AK30" s="1424">
        <v>0</v>
      </c>
      <c r="AL30" s="1033">
        <f>VLOOKUP(AJ30,Düngemittel!$B$6:$E$64,2,FALSE)*(VLOOKUP(AJ30,Düngemittel!$B$6:$E$64,3,FALSE))/100*AK30</f>
        <v>0</v>
      </c>
      <c r="AM30" s="1033">
        <f>VLOOKUP(AJ30,Düngemittel!$B$6:$E$64,2,FALSE)*AK30</f>
        <v>0</v>
      </c>
      <c r="AN30" s="1033">
        <f>VLOOKUP(AJ30,Düngemittel!$B$6:$E$64,4,FALSE)*AK30</f>
        <v>0</v>
      </c>
      <c r="AO30" s="2324"/>
      <c r="AP30" s="1329"/>
      <c r="AQ30" s="1330" t="s">
        <v>795</v>
      </c>
      <c r="AR30" s="1424">
        <v>0</v>
      </c>
      <c r="AS30" s="1033">
        <f>VLOOKUP(AQ30,Düngemittel!$B$6:$E$64,2,FALSE)*(VLOOKUP(AQ30,Düngemittel!$B$6:$E$64,3,FALSE))/100*AR30</f>
        <v>0</v>
      </c>
      <c r="AT30" s="1033">
        <f>VLOOKUP(AQ30,Düngemittel!$B$6:$E$64,2,FALSE)*AR30</f>
        <v>0</v>
      </c>
      <c r="AU30" s="1033">
        <f>VLOOKUP(AQ30,Düngemittel!$B$6:$E$64,4,FALSE)*AR30</f>
        <v>0</v>
      </c>
      <c r="AV30" s="1371"/>
      <c r="AW30" s="1371"/>
      <c r="AX30" s="1372">
        <f t="shared" ref="AX30:AX40" si="27">IF(AE30&lt;AF30,0,AE30)+IF(AL30&lt;AM30,0,AL30)+IF(AS30&lt;AT30,0,AS30)</f>
        <v>0</v>
      </c>
      <c r="AY30" s="1373">
        <f t="shared" ref="AY30:AY40" si="28">SUM(AE30+AL30+AS30)</f>
        <v>0</v>
      </c>
      <c r="AZ30" s="1374">
        <f t="shared" ref="AZ30:AZ40" si="29">SUM(AF30+AM30+AT30)</f>
        <v>0</v>
      </c>
      <c r="BA30" s="1375">
        <f t="shared" ref="BA30:BA40" si="30">IF(AE30&lt;AF30,AF30,0)+IF(AL30&lt;AM30,AM30,0)+IF(AS30&lt;AT30,AT30,0)</f>
        <v>0</v>
      </c>
      <c r="BB30" s="1373">
        <f t="shared" ref="BB30:BB40" si="31">SUM(AG30+AN30+AU30)</f>
        <v>0</v>
      </c>
      <c r="BC30" s="1376"/>
      <c r="BD30" s="1372">
        <f t="shared" ref="BD30:BD40" si="32">AX30*$B30</f>
        <v>0</v>
      </c>
      <c r="BE30" s="1372">
        <f t="shared" ref="BE30:BE40" si="33">AY30*$B30</f>
        <v>0</v>
      </c>
      <c r="BF30" s="1372">
        <f t="shared" ref="BF30:BF40" si="34">AZ30*$B30</f>
        <v>0</v>
      </c>
      <c r="BG30" s="1816">
        <f t="shared" ref="BG30:BG40" si="35">BA30*$B30</f>
        <v>0</v>
      </c>
      <c r="BH30" s="1372">
        <f t="shared" ref="BH30:BH40" si="36">BB30*$B30</f>
        <v>0</v>
      </c>
      <c r="BI30" s="2278"/>
      <c r="BJ30" s="2278"/>
      <c r="BK30" s="2278"/>
      <c r="BL30" s="2141" t="s">
        <v>1349</v>
      </c>
      <c r="BM30" s="33">
        <v>80</v>
      </c>
      <c r="BN30" s="33">
        <v>85</v>
      </c>
      <c r="BO30" s="33">
        <v>20</v>
      </c>
      <c r="BP30" s="323">
        <v>20</v>
      </c>
      <c r="BQ30" s="323">
        <v>20</v>
      </c>
      <c r="BR30" s="2318">
        <v>23.333333333333332</v>
      </c>
      <c r="BS30" s="323">
        <v>65</v>
      </c>
      <c r="BT30" s="323">
        <v>60</v>
      </c>
      <c r="BU30" s="1001">
        <v>0.22900000000000001</v>
      </c>
      <c r="BV30" s="357">
        <v>0</v>
      </c>
      <c r="BW30" s="357">
        <v>0</v>
      </c>
      <c r="CD30" s="357"/>
    </row>
    <row r="31" spans="1:82" ht="18" customHeight="1">
      <c r="A31" s="468">
        <v>24</v>
      </c>
      <c r="B31" s="1699">
        <v>0</v>
      </c>
      <c r="C31" s="2337" t="s">
        <v>31</v>
      </c>
      <c r="D31" s="2335">
        <f t="shared" si="0"/>
        <v>0</v>
      </c>
      <c r="E31" s="1381">
        <f t="shared" si="1"/>
        <v>0</v>
      </c>
      <c r="F31" s="1966">
        <f t="shared" si="24"/>
        <v>0</v>
      </c>
      <c r="G31" s="1928">
        <f t="shared" si="25"/>
        <v>0</v>
      </c>
      <c r="H31" s="1949">
        <f t="shared" si="4"/>
        <v>0</v>
      </c>
      <c r="I31" s="1949">
        <f t="shared" si="5"/>
        <v>0</v>
      </c>
      <c r="J31" s="1949">
        <f t="shared" si="6"/>
        <v>0</v>
      </c>
      <c r="K31" s="1928">
        <f t="shared" si="26"/>
        <v>0</v>
      </c>
      <c r="L31" s="1702">
        <v>0</v>
      </c>
      <c r="M31" s="2283" t="s">
        <v>31</v>
      </c>
      <c r="N31" s="2284" t="s">
        <v>1314</v>
      </c>
      <c r="O31" s="2285">
        <f t="shared" si="7"/>
        <v>0</v>
      </c>
      <c r="P31" s="2290" t="s">
        <v>1314</v>
      </c>
      <c r="Q31" s="2291">
        <f t="shared" si="8"/>
        <v>0</v>
      </c>
      <c r="R31" s="2288">
        <f t="shared" si="9"/>
        <v>0</v>
      </c>
      <c r="S31" s="2289">
        <v>0</v>
      </c>
      <c r="T31" s="2207">
        <v>0</v>
      </c>
      <c r="U31" s="2229">
        <f t="shared" si="16"/>
        <v>0</v>
      </c>
      <c r="V31" s="2228">
        <f t="shared" si="17"/>
        <v>0</v>
      </c>
      <c r="W31" s="2216">
        <f t="shared" si="10"/>
        <v>0</v>
      </c>
      <c r="X31" s="2213">
        <f t="shared" si="11"/>
        <v>0</v>
      </c>
      <c r="Z31" s="1281">
        <f t="shared" si="12"/>
        <v>24</v>
      </c>
      <c r="AA31" s="2087" t="str">
        <f t="shared" si="13"/>
        <v>keine</v>
      </c>
      <c r="AB31" s="1329"/>
      <c r="AC31" s="1330" t="s">
        <v>795</v>
      </c>
      <c r="AD31" s="1424">
        <v>0</v>
      </c>
      <c r="AE31" s="1033">
        <f>VLOOKUP(AC31,Düngemittel!$B$6:$E$64,2,FALSE)*(VLOOKUP(AC31,Düngemittel!$B$6:$E$64,3,FALSE))/100*AD31</f>
        <v>0</v>
      </c>
      <c r="AF31" s="1033">
        <f>VLOOKUP(AC31,Düngemittel!$B$6:$E$64,2,FALSE)*AD31</f>
        <v>0</v>
      </c>
      <c r="AG31" s="1033">
        <f>VLOOKUP(AC31,Düngemittel!$B$6:$E$64,4,FALSE)*AD31</f>
        <v>0</v>
      </c>
      <c r="AH31" s="2324"/>
      <c r="AI31" s="1329"/>
      <c r="AJ31" s="1330" t="s">
        <v>795</v>
      </c>
      <c r="AK31" s="1424">
        <v>0</v>
      </c>
      <c r="AL31" s="1033">
        <f>VLOOKUP(AJ31,Düngemittel!$B$6:$E$64,2,FALSE)*(VLOOKUP(AJ31,Düngemittel!$B$6:$E$64,3,FALSE))/100*AK31</f>
        <v>0</v>
      </c>
      <c r="AM31" s="1033">
        <f>VLOOKUP(AJ31,Düngemittel!$B$6:$E$64,2,FALSE)*AK31</f>
        <v>0</v>
      </c>
      <c r="AN31" s="1033">
        <f>VLOOKUP(AJ31,Düngemittel!$B$6:$E$64,4,FALSE)*AK31</f>
        <v>0</v>
      </c>
      <c r="AO31" s="2324"/>
      <c r="AP31" s="1329"/>
      <c r="AQ31" s="1330" t="s">
        <v>795</v>
      </c>
      <c r="AR31" s="1424">
        <v>0</v>
      </c>
      <c r="AS31" s="1033">
        <f>VLOOKUP(AQ31,Düngemittel!$B$6:$E$64,2,FALSE)*(VLOOKUP(AQ31,Düngemittel!$B$6:$E$64,3,FALSE))/100*AR31</f>
        <v>0</v>
      </c>
      <c r="AT31" s="1033">
        <f>VLOOKUP(AQ31,Düngemittel!$B$6:$E$64,2,FALSE)*AR31</f>
        <v>0</v>
      </c>
      <c r="AU31" s="1033">
        <f>VLOOKUP(AQ31,Düngemittel!$B$6:$E$64,4,FALSE)*AR31</f>
        <v>0</v>
      </c>
      <c r="AV31" s="1371"/>
      <c r="AW31" s="1371"/>
      <c r="AX31" s="1372">
        <f t="shared" si="27"/>
        <v>0</v>
      </c>
      <c r="AY31" s="1373">
        <f t="shared" si="28"/>
        <v>0</v>
      </c>
      <c r="AZ31" s="1374">
        <f t="shared" si="29"/>
        <v>0</v>
      </c>
      <c r="BA31" s="1375">
        <f t="shared" si="30"/>
        <v>0</v>
      </c>
      <c r="BB31" s="1373">
        <f t="shared" si="31"/>
        <v>0</v>
      </c>
      <c r="BC31" s="1376"/>
      <c r="BD31" s="1372">
        <f t="shared" si="32"/>
        <v>0</v>
      </c>
      <c r="BE31" s="1372">
        <f t="shared" si="33"/>
        <v>0</v>
      </c>
      <c r="BF31" s="1372">
        <f t="shared" si="34"/>
        <v>0</v>
      </c>
      <c r="BG31" s="1816">
        <f t="shared" si="35"/>
        <v>0</v>
      </c>
      <c r="BH31" s="1372">
        <f t="shared" si="36"/>
        <v>0</v>
      </c>
      <c r="BI31" s="2278"/>
      <c r="BJ31" s="2278"/>
      <c r="BK31" s="2278"/>
      <c r="BL31" s="2141" t="s">
        <v>1282</v>
      </c>
      <c r="BM31" s="33">
        <v>400</v>
      </c>
      <c r="BN31" s="33">
        <v>200</v>
      </c>
      <c r="BO31" s="33">
        <v>20</v>
      </c>
      <c r="BP31" s="323">
        <v>20</v>
      </c>
      <c r="BQ31" s="323">
        <v>20</v>
      </c>
      <c r="BR31" s="2318">
        <v>33.333333333333336</v>
      </c>
      <c r="BS31" s="323">
        <v>35</v>
      </c>
      <c r="BT31" s="323">
        <v>60</v>
      </c>
      <c r="BU31" s="1001">
        <v>0.16300000000000001</v>
      </c>
      <c r="BV31" s="357">
        <v>0</v>
      </c>
      <c r="BW31" s="357">
        <v>0</v>
      </c>
      <c r="CD31" s="357"/>
    </row>
    <row r="32" spans="1:82" ht="18" customHeight="1">
      <c r="A32" s="468">
        <v>25</v>
      </c>
      <c r="B32" s="1699">
        <v>0</v>
      </c>
      <c r="C32" s="2337" t="s">
        <v>31</v>
      </c>
      <c r="D32" s="2335">
        <f t="shared" si="0"/>
        <v>0</v>
      </c>
      <c r="E32" s="1381">
        <f t="shared" si="1"/>
        <v>0</v>
      </c>
      <c r="F32" s="1966">
        <f t="shared" si="24"/>
        <v>0</v>
      </c>
      <c r="G32" s="1928">
        <f t="shared" si="25"/>
        <v>0</v>
      </c>
      <c r="H32" s="1949">
        <f t="shared" si="4"/>
        <v>0</v>
      </c>
      <c r="I32" s="1949">
        <f t="shared" si="5"/>
        <v>0</v>
      </c>
      <c r="J32" s="1949">
        <f t="shared" si="6"/>
        <v>0</v>
      </c>
      <c r="K32" s="1928">
        <f t="shared" si="26"/>
        <v>0</v>
      </c>
      <c r="L32" s="1702">
        <v>0</v>
      </c>
      <c r="M32" s="2283" t="s">
        <v>31</v>
      </c>
      <c r="N32" s="2284" t="s">
        <v>1314</v>
      </c>
      <c r="O32" s="2285">
        <f t="shared" si="7"/>
        <v>0</v>
      </c>
      <c r="P32" s="2290" t="s">
        <v>1314</v>
      </c>
      <c r="Q32" s="2291">
        <f t="shared" si="8"/>
        <v>0</v>
      </c>
      <c r="R32" s="2288">
        <f t="shared" si="9"/>
        <v>0</v>
      </c>
      <c r="S32" s="2289">
        <v>0</v>
      </c>
      <c r="T32" s="2207">
        <v>0</v>
      </c>
      <c r="U32" s="2229">
        <f t="shared" si="16"/>
        <v>0</v>
      </c>
      <c r="V32" s="2228">
        <f t="shared" si="17"/>
        <v>0</v>
      </c>
      <c r="W32" s="2216">
        <f t="shared" si="10"/>
        <v>0</v>
      </c>
      <c r="X32" s="2213">
        <f t="shared" si="11"/>
        <v>0</v>
      </c>
      <c r="Z32" s="1281">
        <f t="shared" si="12"/>
        <v>25</v>
      </c>
      <c r="AA32" s="2087" t="str">
        <f t="shared" si="13"/>
        <v>keine</v>
      </c>
      <c r="AB32" s="1329"/>
      <c r="AC32" s="1330" t="s">
        <v>795</v>
      </c>
      <c r="AD32" s="1424">
        <v>0</v>
      </c>
      <c r="AE32" s="1033">
        <f>VLOOKUP(AC32,Düngemittel!$B$6:$E$64,2,FALSE)*(VLOOKUP(AC32,Düngemittel!$B$6:$E$64,3,FALSE))/100*AD32</f>
        <v>0</v>
      </c>
      <c r="AF32" s="1033">
        <f>VLOOKUP(AC32,Düngemittel!$B$6:$E$64,2,FALSE)*AD32</f>
        <v>0</v>
      </c>
      <c r="AG32" s="1033">
        <f>VLOOKUP(AC32,Düngemittel!$B$6:$E$64,4,FALSE)*AD32</f>
        <v>0</v>
      </c>
      <c r="AH32" s="2324"/>
      <c r="AI32" s="1329"/>
      <c r="AJ32" s="1330" t="s">
        <v>795</v>
      </c>
      <c r="AK32" s="1424">
        <v>0</v>
      </c>
      <c r="AL32" s="1033">
        <f>VLOOKUP(AJ32,Düngemittel!$B$6:$E$64,2,FALSE)*(VLOOKUP(AJ32,Düngemittel!$B$6:$E$64,3,FALSE))/100*AK32</f>
        <v>0</v>
      </c>
      <c r="AM32" s="1033">
        <f>VLOOKUP(AJ32,Düngemittel!$B$6:$E$64,2,FALSE)*AK32</f>
        <v>0</v>
      </c>
      <c r="AN32" s="1033">
        <f>VLOOKUP(AJ32,Düngemittel!$B$6:$E$64,4,FALSE)*AK32</f>
        <v>0</v>
      </c>
      <c r="AO32" s="2324"/>
      <c r="AP32" s="1329"/>
      <c r="AQ32" s="1330" t="s">
        <v>795</v>
      </c>
      <c r="AR32" s="1424">
        <v>0</v>
      </c>
      <c r="AS32" s="1033">
        <f>VLOOKUP(AQ32,Düngemittel!$B$6:$E$64,2,FALSE)*(VLOOKUP(AQ32,Düngemittel!$B$6:$E$64,3,FALSE))/100*AR32</f>
        <v>0</v>
      </c>
      <c r="AT32" s="1033">
        <f>VLOOKUP(AQ32,Düngemittel!$B$6:$E$64,2,FALSE)*AR32</f>
        <v>0</v>
      </c>
      <c r="AU32" s="1033">
        <f>VLOOKUP(AQ32,Düngemittel!$B$6:$E$64,4,FALSE)*AR32</f>
        <v>0</v>
      </c>
      <c r="AV32" s="1371"/>
      <c r="AW32" s="1371"/>
      <c r="AX32" s="1372">
        <f t="shared" si="27"/>
        <v>0</v>
      </c>
      <c r="AY32" s="1373">
        <f t="shared" si="28"/>
        <v>0</v>
      </c>
      <c r="AZ32" s="1374">
        <f t="shared" si="29"/>
        <v>0</v>
      </c>
      <c r="BA32" s="1375">
        <f t="shared" si="30"/>
        <v>0</v>
      </c>
      <c r="BB32" s="1373">
        <f t="shared" si="31"/>
        <v>0</v>
      </c>
      <c r="BC32" s="1376"/>
      <c r="BD32" s="1372">
        <f t="shared" si="32"/>
        <v>0</v>
      </c>
      <c r="BE32" s="1372">
        <f t="shared" si="33"/>
        <v>0</v>
      </c>
      <c r="BF32" s="1372">
        <f t="shared" si="34"/>
        <v>0</v>
      </c>
      <c r="BG32" s="1816">
        <f t="shared" si="35"/>
        <v>0</v>
      </c>
      <c r="BH32" s="1372">
        <f t="shared" si="36"/>
        <v>0</v>
      </c>
      <c r="BI32" s="2278"/>
      <c r="BJ32" s="2278"/>
      <c r="BK32" s="2278"/>
      <c r="BL32" s="2141" t="s">
        <v>1350</v>
      </c>
      <c r="BM32" s="33">
        <v>800</v>
      </c>
      <c r="BN32" s="33">
        <v>210</v>
      </c>
      <c r="BO32" s="33">
        <v>20</v>
      </c>
      <c r="BP32" s="323">
        <v>40</v>
      </c>
      <c r="BQ32" s="323">
        <v>40</v>
      </c>
      <c r="BR32" s="2317">
        <v>0</v>
      </c>
      <c r="BS32" s="323">
        <v>50</v>
      </c>
      <c r="BT32" s="323">
        <v>30</v>
      </c>
      <c r="BU32" s="1001">
        <v>6.9000000000000006E-2</v>
      </c>
      <c r="BV32" s="357">
        <v>0</v>
      </c>
      <c r="BW32" s="357">
        <v>0</v>
      </c>
      <c r="CD32" s="357"/>
    </row>
    <row r="33" spans="1:82" ht="18" customHeight="1">
      <c r="A33" s="468">
        <v>26</v>
      </c>
      <c r="B33" s="1699">
        <v>0</v>
      </c>
      <c r="C33" s="2337" t="s">
        <v>31</v>
      </c>
      <c r="D33" s="2335">
        <f t="shared" si="0"/>
        <v>0</v>
      </c>
      <c r="E33" s="1381">
        <f t="shared" si="1"/>
        <v>0</v>
      </c>
      <c r="F33" s="1966">
        <f t="shared" si="24"/>
        <v>0</v>
      </c>
      <c r="G33" s="1928">
        <f t="shared" si="25"/>
        <v>0</v>
      </c>
      <c r="H33" s="1949">
        <f t="shared" si="4"/>
        <v>0</v>
      </c>
      <c r="I33" s="1949">
        <f t="shared" si="5"/>
        <v>0</v>
      </c>
      <c r="J33" s="1949">
        <f t="shared" si="6"/>
        <v>0</v>
      </c>
      <c r="K33" s="1928">
        <f t="shared" si="26"/>
        <v>0</v>
      </c>
      <c r="L33" s="1702">
        <v>0</v>
      </c>
      <c r="M33" s="2283" t="s">
        <v>31</v>
      </c>
      <c r="N33" s="2284" t="s">
        <v>1314</v>
      </c>
      <c r="O33" s="2285">
        <f t="shared" si="7"/>
        <v>0</v>
      </c>
      <c r="P33" s="2290" t="s">
        <v>1314</v>
      </c>
      <c r="Q33" s="2291">
        <f t="shared" si="8"/>
        <v>0</v>
      </c>
      <c r="R33" s="2288">
        <f t="shared" si="9"/>
        <v>0</v>
      </c>
      <c r="S33" s="2289">
        <v>0</v>
      </c>
      <c r="T33" s="2207">
        <v>0</v>
      </c>
      <c r="U33" s="2229">
        <f t="shared" si="16"/>
        <v>0</v>
      </c>
      <c r="V33" s="2228">
        <f t="shared" si="17"/>
        <v>0</v>
      </c>
      <c r="W33" s="2216">
        <f t="shared" si="10"/>
        <v>0</v>
      </c>
      <c r="X33" s="2213">
        <f t="shared" si="11"/>
        <v>0</v>
      </c>
      <c r="Z33" s="1281">
        <f t="shared" si="12"/>
        <v>26</v>
      </c>
      <c r="AA33" s="2087" t="str">
        <f t="shared" si="13"/>
        <v>keine</v>
      </c>
      <c r="AB33" s="1329"/>
      <c r="AC33" s="1330" t="s">
        <v>795</v>
      </c>
      <c r="AD33" s="1424">
        <v>0</v>
      </c>
      <c r="AE33" s="1033">
        <f>VLOOKUP(AC33,Düngemittel!$B$6:$E$64,2,FALSE)*(VLOOKUP(AC33,Düngemittel!$B$6:$E$64,3,FALSE))/100*AD33</f>
        <v>0</v>
      </c>
      <c r="AF33" s="1033">
        <f>VLOOKUP(AC33,Düngemittel!$B$6:$E$64,2,FALSE)*AD33</f>
        <v>0</v>
      </c>
      <c r="AG33" s="1033">
        <f>VLOOKUP(AC33,Düngemittel!$B$6:$E$64,4,FALSE)*AD33</f>
        <v>0</v>
      </c>
      <c r="AH33" s="2324"/>
      <c r="AI33" s="1329"/>
      <c r="AJ33" s="1330" t="s">
        <v>795</v>
      </c>
      <c r="AK33" s="1424">
        <v>0</v>
      </c>
      <c r="AL33" s="1033">
        <f>VLOOKUP(AJ33,Düngemittel!$B$6:$E$64,2,FALSE)*(VLOOKUP(AJ33,Düngemittel!$B$6:$E$64,3,FALSE))/100*AK33</f>
        <v>0</v>
      </c>
      <c r="AM33" s="1033">
        <f>VLOOKUP(AJ33,Düngemittel!$B$6:$E$64,2,FALSE)*AK33</f>
        <v>0</v>
      </c>
      <c r="AN33" s="1033">
        <f>VLOOKUP(AJ33,Düngemittel!$B$6:$E$64,4,FALSE)*AK33</f>
        <v>0</v>
      </c>
      <c r="AO33" s="2324"/>
      <c r="AP33" s="1329"/>
      <c r="AQ33" s="1330" t="s">
        <v>795</v>
      </c>
      <c r="AR33" s="1424">
        <v>0</v>
      </c>
      <c r="AS33" s="1033">
        <f>VLOOKUP(AQ33,Düngemittel!$B$6:$E$64,2,FALSE)*(VLOOKUP(AQ33,Düngemittel!$B$6:$E$64,3,FALSE))/100*AR33</f>
        <v>0</v>
      </c>
      <c r="AT33" s="1033">
        <f>VLOOKUP(AQ33,Düngemittel!$B$6:$E$64,2,FALSE)*AR33</f>
        <v>0</v>
      </c>
      <c r="AU33" s="1033">
        <f>VLOOKUP(AQ33,Düngemittel!$B$6:$E$64,4,FALSE)*AR33</f>
        <v>0</v>
      </c>
      <c r="AV33" s="1371"/>
      <c r="AW33" s="1371"/>
      <c r="AX33" s="1372">
        <f t="shared" si="27"/>
        <v>0</v>
      </c>
      <c r="AY33" s="1373">
        <f t="shared" si="28"/>
        <v>0</v>
      </c>
      <c r="AZ33" s="1374">
        <f t="shared" si="29"/>
        <v>0</v>
      </c>
      <c r="BA33" s="1375">
        <f t="shared" si="30"/>
        <v>0</v>
      </c>
      <c r="BB33" s="1373">
        <f t="shared" si="31"/>
        <v>0</v>
      </c>
      <c r="BC33" s="1376"/>
      <c r="BD33" s="1372">
        <f t="shared" si="32"/>
        <v>0</v>
      </c>
      <c r="BE33" s="1372">
        <f t="shared" si="33"/>
        <v>0</v>
      </c>
      <c r="BF33" s="1372">
        <f t="shared" si="34"/>
        <v>0</v>
      </c>
      <c r="BG33" s="1816">
        <f t="shared" si="35"/>
        <v>0</v>
      </c>
      <c r="BH33" s="1372">
        <f t="shared" si="36"/>
        <v>0</v>
      </c>
      <c r="BI33" s="2278"/>
      <c r="BJ33" s="2278"/>
      <c r="BK33" s="2278"/>
      <c r="BL33" s="2152" t="s">
        <v>1520</v>
      </c>
      <c r="BM33" s="33">
        <v>185</v>
      </c>
      <c r="BN33" s="33">
        <v>135</v>
      </c>
      <c r="BO33" s="33">
        <v>10</v>
      </c>
      <c r="BP33" s="2153">
        <v>13.5</v>
      </c>
      <c r="BQ33" s="2153">
        <v>13.5</v>
      </c>
      <c r="BR33" s="2317">
        <v>0</v>
      </c>
      <c r="BS33" s="2152">
        <v>0</v>
      </c>
      <c r="BT33" s="2152">
        <v>30</v>
      </c>
      <c r="BU33" s="2157">
        <v>0.16</v>
      </c>
      <c r="BV33" s="357">
        <v>0</v>
      </c>
      <c r="CD33" s="357"/>
    </row>
    <row r="34" spans="1:82" ht="18" customHeight="1">
      <c r="A34" s="468">
        <v>27</v>
      </c>
      <c r="B34" s="1699">
        <v>0</v>
      </c>
      <c r="C34" s="2337" t="s">
        <v>31</v>
      </c>
      <c r="D34" s="2335">
        <f t="shared" si="0"/>
        <v>0</v>
      </c>
      <c r="E34" s="1381">
        <f t="shared" si="1"/>
        <v>0</v>
      </c>
      <c r="F34" s="1966">
        <f t="shared" si="24"/>
        <v>0</v>
      </c>
      <c r="G34" s="1928">
        <f t="shared" si="25"/>
        <v>0</v>
      </c>
      <c r="H34" s="1949">
        <f t="shared" si="4"/>
        <v>0</v>
      </c>
      <c r="I34" s="1949">
        <f t="shared" si="5"/>
        <v>0</v>
      </c>
      <c r="J34" s="1949">
        <f t="shared" si="6"/>
        <v>0</v>
      </c>
      <c r="K34" s="1928">
        <f t="shared" si="26"/>
        <v>0</v>
      </c>
      <c r="L34" s="1702">
        <v>0</v>
      </c>
      <c r="M34" s="2283" t="s">
        <v>31</v>
      </c>
      <c r="N34" s="2284" t="s">
        <v>1314</v>
      </c>
      <c r="O34" s="2285">
        <f t="shared" si="7"/>
        <v>0</v>
      </c>
      <c r="P34" s="2290" t="s">
        <v>1314</v>
      </c>
      <c r="Q34" s="2291">
        <f t="shared" si="8"/>
        <v>0</v>
      </c>
      <c r="R34" s="2288">
        <f t="shared" si="9"/>
        <v>0</v>
      </c>
      <c r="S34" s="2289">
        <v>0</v>
      </c>
      <c r="T34" s="2207">
        <v>0</v>
      </c>
      <c r="U34" s="2229">
        <f t="shared" si="16"/>
        <v>0</v>
      </c>
      <c r="V34" s="2228">
        <f t="shared" si="17"/>
        <v>0</v>
      </c>
      <c r="W34" s="2216">
        <f t="shared" si="10"/>
        <v>0</v>
      </c>
      <c r="X34" s="2213">
        <f t="shared" si="11"/>
        <v>0</v>
      </c>
      <c r="Z34" s="1281">
        <f t="shared" si="12"/>
        <v>27</v>
      </c>
      <c r="AA34" s="2087" t="str">
        <f t="shared" si="13"/>
        <v>keine</v>
      </c>
      <c r="AB34" s="1329"/>
      <c r="AC34" s="1330" t="s">
        <v>795</v>
      </c>
      <c r="AD34" s="1424">
        <v>0</v>
      </c>
      <c r="AE34" s="1033">
        <f>VLOOKUP(AC34,Düngemittel!$B$6:$E$64,2,FALSE)*(VLOOKUP(AC34,Düngemittel!$B$6:$E$64,3,FALSE))/100*AD34</f>
        <v>0</v>
      </c>
      <c r="AF34" s="1033">
        <f>VLOOKUP(AC34,Düngemittel!$B$6:$E$64,2,FALSE)*AD34</f>
        <v>0</v>
      </c>
      <c r="AG34" s="1033">
        <f>VLOOKUP(AC34,Düngemittel!$B$6:$E$64,4,FALSE)*AD34</f>
        <v>0</v>
      </c>
      <c r="AH34" s="2324"/>
      <c r="AI34" s="1329"/>
      <c r="AJ34" s="1330" t="s">
        <v>795</v>
      </c>
      <c r="AK34" s="1424">
        <v>0</v>
      </c>
      <c r="AL34" s="1033">
        <f>VLOOKUP(AJ34,Düngemittel!$B$6:$E$64,2,FALSE)*(VLOOKUP(AJ34,Düngemittel!$B$6:$E$64,3,FALSE))/100*AK34</f>
        <v>0</v>
      </c>
      <c r="AM34" s="1033">
        <f>VLOOKUP(AJ34,Düngemittel!$B$6:$E$64,2,FALSE)*AK34</f>
        <v>0</v>
      </c>
      <c r="AN34" s="1033">
        <f>VLOOKUP(AJ34,Düngemittel!$B$6:$E$64,4,FALSE)*AK34</f>
        <v>0</v>
      </c>
      <c r="AO34" s="2324"/>
      <c r="AP34" s="1329"/>
      <c r="AQ34" s="1330" t="s">
        <v>795</v>
      </c>
      <c r="AR34" s="1424">
        <v>0</v>
      </c>
      <c r="AS34" s="1033">
        <f>VLOOKUP(AQ34,Düngemittel!$B$6:$E$64,2,FALSE)*(VLOOKUP(AQ34,Düngemittel!$B$6:$E$64,3,FALSE))/100*AR34</f>
        <v>0</v>
      </c>
      <c r="AT34" s="1033">
        <f>VLOOKUP(AQ34,Düngemittel!$B$6:$E$64,2,FALSE)*AR34</f>
        <v>0</v>
      </c>
      <c r="AU34" s="1033">
        <f>VLOOKUP(AQ34,Düngemittel!$B$6:$E$64,4,FALSE)*AR34</f>
        <v>0</v>
      </c>
      <c r="AV34" s="1371"/>
      <c r="AW34" s="1371"/>
      <c r="AX34" s="1372">
        <f t="shared" si="27"/>
        <v>0</v>
      </c>
      <c r="AY34" s="1373">
        <f t="shared" si="28"/>
        <v>0</v>
      </c>
      <c r="AZ34" s="1374">
        <f t="shared" si="29"/>
        <v>0</v>
      </c>
      <c r="BA34" s="1375">
        <f t="shared" si="30"/>
        <v>0</v>
      </c>
      <c r="BB34" s="1373">
        <f t="shared" si="31"/>
        <v>0</v>
      </c>
      <c r="BC34" s="1376"/>
      <c r="BD34" s="1372">
        <f t="shared" si="32"/>
        <v>0</v>
      </c>
      <c r="BE34" s="1372">
        <f t="shared" si="33"/>
        <v>0</v>
      </c>
      <c r="BF34" s="1372">
        <f t="shared" si="34"/>
        <v>0</v>
      </c>
      <c r="BG34" s="1816">
        <f t="shared" si="35"/>
        <v>0</v>
      </c>
      <c r="BH34" s="1372">
        <f t="shared" si="36"/>
        <v>0</v>
      </c>
      <c r="BI34" s="2278"/>
      <c r="BJ34" s="2278"/>
      <c r="BK34" s="2278"/>
      <c r="BL34" s="2152" t="s">
        <v>1522</v>
      </c>
      <c r="BM34" s="33">
        <v>190</v>
      </c>
      <c r="BN34" s="33">
        <v>120</v>
      </c>
      <c r="BO34" s="33">
        <v>10</v>
      </c>
      <c r="BP34" s="2153">
        <v>12</v>
      </c>
      <c r="BQ34" s="2153">
        <v>12</v>
      </c>
      <c r="BR34" s="2317">
        <v>0</v>
      </c>
      <c r="BS34" s="2152">
        <v>0</v>
      </c>
      <c r="BT34" s="2152">
        <v>30</v>
      </c>
      <c r="BU34" s="2155">
        <v>0.1</v>
      </c>
      <c r="BV34" s="357">
        <v>0</v>
      </c>
      <c r="CD34" s="357"/>
    </row>
    <row r="35" spans="1:82" ht="18" customHeight="1">
      <c r="A35" s="468">
        <v>28</v>
      </c>
      <c r="B35" s="1699">
        <v>0</v>
      </c>
      <c r="C35" s="2337" t="s">
        <v>31</v>
      </c>
      <c r="D35" s="2335">
        <f t="shared" si="0"/>
        <v>0</v>
      </c>
      <c r="E35" s="1381">
        <f t="shared" si="1"/>
        <v>0</v>
      </c>
      <c r="F35" s="1966">
        <f t="shared" si="24"/>
        <v>0</v>
      </c>
      <c r="G35" s="1928">
        <f t="shared" si="25"/>
        <v>0</v>
      </c>
      <c r="H35" s="1949">
        <f t="shared" si="4"/>
        <v>0</v>
      </c>
      <c r="I35" s="1949">
        <f t="shared" si="5"/>
        <v>0</v>
      </c>
      <c r="J35" s="1949">
        <f t="shared" si="6"/>
        <v>0</v>
      </c>
      <c r="K35" s="1928">
        <f t="shared" si="26"/>
        <v>0</v>
      </c>
      <c r="L35" s="1702">
        <v>0</v>
      </c>
      <c r="M35" s="2283" t="s">
        <v>31</v>
      </c>
      <c r="N35" s="2284" t="s">
        <v>1314</v>
      </c>
      <c r="O35" s="2285">
        <f t="shared" si="7"/>
        <v>0</v>
      </c>
      <c r="P35" s="2290" t="s">
        <v>1314</v>
      </c>
      <c r="Q35" s="2291">
        <f t="shared" si="8"/>
        <v>0</v>
      </c>
      <c r="R35" s="2288">
        <f t="shared" si="9"/>
        <v>0</v>
      </c>
      <c r="S35" s="2289">
        <v>0</v>
      </c>
      <c r="T35" s="2207">
        <v>0</v>
      </c>
      <c r="U35" s="2229">
        <f t="shared" si="16"/>
        <v>0</v>
      </c>
      <c r="V35" s="2228">
        <f t="shared" si="17"/>
        <v>0</v>
      </c>
      <c r="W35" s="2216">
        <f t="shared" si="10"/>
        <v>0</v>
      </c>
      <c r="X35" s="2213">
        <f t="shared" si="11"/>
        <v>0</v>
      </c>
      <c r="Z35" s="1281">
        <f t="shared" si="12"/>
        <v>28</v>
      </c>
      <c r="AA35" s="2087" t="str">
        <f t="shared" si="13"/>
        <v>keine</v>
      </c>
      <c r="AB35" s="1329"/>
      <c r="AC35" s="1330" t="s">
        <v>795</v>
      </c>
      <c r="AD35" s="1424">
        <v>0</v>
      </c>
      <c r="AE35" s="1033">
        <f>VLOOKUP(AC35,Düngemittel!$B$6:$E$64,2,FALSE)*(VLOOKUP(AC35,Düngemittel!$B$6:$E$64,3,FALSE))/100*AD35</f>
        <v>0</v>
      </c>
      <c r="AF35" s="1033">
        <f>VLOOKUP(AC35,Düngemittel!$B$6:$E$64,2,FALSE)*AD35</f>
        <v>0</v>
      </c>
      <c r="AG35" s="1033">
        <f>VLOOKUP(AC35,Düngemittel!$B$6:$E$64,4,FALSE)*AD35</f>
        <v>0</v>
      </c>
      <c r="AH35" s="2324"/>
      <c r="AI35" s="1329"/>
      <c r="AJ35" s="1330" t="s">
        <v>795</v>
      </c>
      <c r="AK35" s="1424">
        <v>0</v>
      </c>
      <c r="AL35" s="1033">
        <f>VLOOKUP(AJ35,Düngemittel!$B$6:$E$64,2,FALSE)*(VLOOKUP(AJ35,Düngemittel!$B$6:$E$64,3,FALSE))/100*AK35</f>
        <v>0</v>
      </c>
      <c r="AM35" s="1033">
        <f>VLOOKUP(AJ35,Düngemittel!$B$6:$E$64,2,FALSE)*AK35</f>
        <v>0</v>
      </c>
      <c r="AN35" s="1033">
        <f>VLOOKUP(AJ35,Düngemittel!$B$6:$E$64,4,FALSE)*AK35</f>
        <v>0</v>
      </c>
      <c r="AO35" s="2324"/>
      <c r="AP35" s="1329"/>
      <c r="AQ35" s="1330" t="s">
        <v>795</v>
      </c>
      <c r="AR35" s="1424">
        <v>0</v>
      </c>
      <c r="AS35" s="1033">
        <f>VLOOKUP(AQ35,Düngemittel!$B$6:$E$64,2,FALSE)*(VLOOKUP(AQ35,Düngemittel!$B$6:$E$64,3,FALSE))/100*AR35</f>
        <v>0</v>
      </c>
      <c r="AT35" s="1033">
        <f>VLOOKUP(AQ35,Düngemittel!$B$6:$E$64,2,FALSE)*AR35</f>
        <v>0</v>
      </c>
      <c r="AU35" s="1033">
        <f>VLOOKUP(AQ35,Düngemittel!$B$6:$E$64,4,FALSE)*AR35</f>
        <v>0</v>
      </c>
      <c r="AV35" s="1371"/>
      <c r="AW35" s="1371"/>
      <c r="AX35" s="1372">
        <f t="shared" si="27"/>
        <v>0</v>
      </c>
      <c r="AY35" s="1373">
        <f t="shared" si="28"/>
        <v>0</v>
      </c>
      <c r="AZ35" s="1374">
        <f t="shared" si="29"/>
        <v>0</v>
      </c>
      <c r="BA35" s="1375">
        <f t="shared" si="30"/>
        <v>0</v>
      </c>
      <c r="BB35" s="1373">
        <f t="shared" si="31"/>
        <v>0</v>
      </c>
      <c r="BC35" s="1376"/>
      <c r="BD35" s="1372">
        <f t="shared" si="32"/>
        <v>0</v>
      </c>
      <c r="BE35" s="1372">
        <f t="shared" si="33"/>
        <v>0</v>
      </c>
      <c r="BF35" s="1372">
        <f t="shared" si="34"/>
        <v>0</v>
      </c>
      <c r="BG35" s="1816">
        <f t="shared" si="35"/>
        <v>0</v>
      </c>
      <c r="BH35" s="1372">
        <f t="shared" si="36"/>
        <v>0</v>
      </c>
      <c r="BI35" s="2278"/>
      <c r="BJ35" s="2278"/>
      <c r="BK35" s="2278"/>
      <c r="BL35" s="2140" t="s">
        <v>1644</v>
      </c>
      <c r="BM35" s="33">
        <v>100</v>
      </c>
      <c r="BN35" s="33">
        <v>120</v>
      </c>
      <c r="BO35" s="33">
        <v>10</v>
      </c>
      <c r="BP35" s="2153">
        <v>8.5</v>
      </c>
      <c r="BQ35" s="2153">
        <v>8.5</v>
      </c>
      <c r="BR35" s="2318">
        <v>30</v>
      </c>
      <c r="BS35" s="2160">
        <v>0</v>
      </c>
      <c r="BT35" s="2160">
        <v>30</v>
      </c>
      <c r="BU35" s="2157">
        <v>0.17</v>
      </c>
      <c r="BV35" s="357">
        <v>0</v>
      </c>
      <c r="CD35" s="357"/>
    </row>
    <row r="36" spans="1:82" ht="18" customHeight="1">
      <c r="A36" s="468">
        <v>29</v>
      </c>
      <c r="B36" s="1699">
        <v>0</v>
      </c>
      <c r="C36" s="2337" t="s">
        <v>31</v>
      </c>
      <c r="D36" s="2335">
        <f t="shared" si="0"/>
        <v>0</v>
      </c>
      <c r="E36" s="1381">
        <f t="shared" si="1"/>
        <v>0</v>
      </c>
      <c r="F36" s="1966">
        <f t="shared" si="24"/>
        <v>0</v>
      </c>
      <c r="G36" s="1928">
        <f t="shared" si="25"/>
        <v>0</v>
      </c>
      <c r="H36" s="1949">
        <f t="shared" si="4"/>
        <v>0</v>
      </c>
      <c r="I36" s="1949">
        <f t="shared" si="5"/>
        <v>0</v>
      </c>
      <c r="J36" s="1949">
        <f t="shared" si="6"/>
        <v>0</v>
      </c>
      <c r="K36" s="1928">
        <f t="shared" si="26"/>
        <v>0</v>
      </c>
      <c r="L36" s="1702">
        <v>0</v>
      </c>
      <c r="M36" s="2283" t="s">
        <v>31</v>
      </c>
      <c r="N36" s="2284" t="s">
        <v>1314</v>
      </c>
      <c r="O36" s="2285">
        <f t="shared" si="7"/>
        <v>0</v>
      </c>
      <c r="P36" s="2290" t="s">
        <v>1314</v>
      </c>
      <c r="Q36" s="2291">
        <f t="shared" si="8"/>
        <v>0</v>
      </c>
      <c r="R36" s="2288">
        <f t="shared" si="9"/>
        <v>0</v>
      </c>
      <c r="S36" s="2289">
        <v>0</v>
      </c>
      <c r="T36" s="2207">
        <v>0</v>
      </c>
      <c r="U36" s="2229">
        <f t="shared" si="16"/>
        <v>0</v>
      </c>
      <c r="V36" s="2228">
        <f t="shared" si="17"/>
        <v>0</v>
      </c>
      <c r="W36" s="2216">
        <f t="shared" si="10"/>
        <v>0</v>
      </c>
      <c r="X36" s="2213">
        <f t="shared" si="11"/>
        <v>0</v>
      </c>
      <c r="Z36" s="1281">
        <f t="shared" si="12"/>
        <v>29</v>
      </c>
      <c r="AA36" s="2087" t="str">
        <f t="shared" si="13"/>
        <v>keine</v>
      </c>
      <c r="AB36" s="1329"/>
      <c r="AC36" s="1330" t="s">
        <v>795</v>
      </c>
      <c r="AD36" s="1424">
        <v>0</v>
      </c>
      <c r="AE36" s="1033">
        <f>VLOOKUP(AC36,Düngemittel!$B$6:$E$64,2,FALSE)*(VLOOKUP(AC36,Düngemittel!$B$6:$E$64,3,FALSE))/100*AD36</f>
        <v>0</v>
      </c>
      <c r="AF36" s="1033">
        <f>VLOOKUP(AC36,Düngemittel!$B$6:$E$64,2,FALSE)*AD36</f>
        <v>0</v>
      </c>
      <c r="AG36" s="1033">
        <f>VLOOKUP(AC36,Düngemittel!$B$6:$E$64,4,FALSE)*AD36</f>
        <v>0</v>
      </c>
      <c r="AH36" s="2324"/>
      <c r="AI36" s="1329"/>
      <c r="AJ36" s="1330" t="s">
        <v>795</v>
      </c>
      <c r="AK36" s="1424">
        <v>0</v>
      </c>
      <c r="AL36" s="1033">
        <f>VLOOKUP(AJ36,Düngemittel!$B$6:$E$64,2,FALSE)*(VLOOKUP(AJ36,Düngemittel!$B$6:$E$64,3,FALSE))/100*AK36</f>
        <v>0</v>
      </c>
      <c r="AM36" s="1033">
        <f>VLOOKUP(AJ36,Düngemittel!$B$6:$E$64,2,FALSE)*AK36</f>
        <v>0</v>
      </c>
      <c r="AN36" s="1033">
        <f>VLOOKUP(AJ36,Düngemittel!$B$6:$E$64,4,FALSE)*AK36</f>
        <v>0</v>
      </c>
      <c r="AO36" s="2324"/>
      <c r="AP36" s="1329"/>
      <c r="AQ36" s="1330" t="s">
        <v>795</v>
      </c>
      <c r="AR36" s="1424">
        <v>0</v>
      </c>
      <c r="AS36" s="1033">
        <f>VLOOKUP(AQ36,Düngemittel!$B$6:$E$64,2,FALSE)*(VLOOKUP(AQ36,Düngemittel!$B$6:$E$64,3,FALSE))/100*AR36</f>
        <v>0</v>
      </c>
      <c r="AT36" s="1033">
        <f>VLOOKUP(AQ36,Düngemittel!$B$6:$E$64,2,FALSE)*AR36</f>
        <v>0</v>
      </c>
      <c r="AU36" s="1033">
        <f>VLOOKUP(AQ36,Düngemittel!$B$6:$E$64,4,FALSE)*AR36</f>
        <v>0</v>
      </c>
      <c r="AV36" s="1371"/>
      <c r="AW36" s="1371"/>
      <c r="AX36" s="1372">
        <f t="shared" si="27"/>
        <v>0</v>
      </c>
      <c r="AY36" s="1373">
        <f t="shared" si="28"/>
        <v>0</v>
      </c>
      <c r="AZ36" s="1374">
        <f t="shared" si="29"/>
        <v>0</v>
      </c>
      <c r="BA36" s="1375">
        <f t="shared" si="30"/>
        <v>0</v>
      </c>
      <c r="BB36" s="1373">
        <f t="shared" si="31"/>
        <v>0</v>
      </c>
      <c r="BC36" s="1376"/>
      <c r="BD36" s="1372">
        <f t="shared" si="32"/>
        <v>0</v>
      </c>
      <c r="BE36" s="1372">
        <f t="shared" si="33"/>
        <v>0</v>
      </c>
      <c r="BF36" s="1372">
        <f t="shared" si="34"/>
        <v>0</v>
      </c>
      <c r="BG36" s="1816">
        <f t="shared" si="35"/>
        <v>0</v>
      </c>
      <c r="BH36" s="1372">
        <f t="shared" si="36"/>
        <v>0</v>
      </c>
      <c r="BI36" s="2278"/>
      <c r="BJ36" s="2278"/>
      <c r="BK36" s="2278"/>
      <c r="BL36" s="2141" t="s">
        <v>1283</v>
      </c>
      <c r="BM36" s="33">
        <v>400</v>
      </c>
      <c r="BN36" s="33">
        <v>200</v>
      </c>
      <c r="BO36" s="33">
        <v>20</v>
      </c>
      <c r="BP36" s="323">
        <v>20</v>
      </c>
      <c r="BQ36" s="323">
        <v>20</v>
      </c>
      <c r="BR36" s="2318">
        <v>20</v>
      </c>
      <c r="BS36" s="323">
        <v>45</v>
      </c>
      <c r="BT36" s="323">
        <v>60</v>
      </c>
      <c r="BU36" s="1001">
        <v>6.9000000000000006E-2</v>
      </c>
      <c r="BV36" s="357">
        <v>0</v>
      </c>
      <c r="CD36" s="357"/>
    </row>
    <row r="37" spans="1:82" ht="18" customHeight="1">
      <c r="A37" s="468">
        <v>30</v>
      </c>
      <c r="B37" s="1699">
        <v>0</v>
      </c>
      <c r="C37" s="2337" t="s">
        <v>31</v>
      </c>
      <c r="D37" s="2335">
        <f t="shared" si="0"/>
        <v>0</v>
      </c>
      <c r="E37" s="1381">
        <f t="shared" si="1"/>
        <v>0</v>
      </c>
      <c r="F37" s="1966">
        <f t="shared" si="24"/>
        <v>0</v>
      </c>
      <c r="G37" s="1928">
        <f t="shared" si="25"/>
        <v>0</v>
      </c>
      <c r="H37" s="1949">
        <f t="shared" si="4"/>
        <v>0</v>
      </c>
      <c r="I37" s="1949">
        <f t="shared" si="5"/>
        <v>0</v>
      </c>
      <c r="J37" s="1949">
        <f t="shared" si="6"/>
        <v>0</v>
      </c>
      <c r="K37" s="1928">
        <f t="shared" si="26"/>
        <v>0</v>
      </c>
      <c r="L37" s="1702">
        <v>0</v>
      </c>
      <c r="M37" s="2283" t="s">
        <v>31</v>
      </c>
      <c r="N37" s="2284" t="s">
        <v>1314</v>
      </c>
      <c r="O37" s="2285">
        <f t="shared" si="7"/>
        <v>0</v>
      </c>
      <c r="P37" s="2290" t="s">
        <v>1314</v>
      </c>
      <c r="Q37" s="2291">
        <f t="shared" si="8"/>
        <v>0</v>
      </c>
      <c r="R37" s="2288">
        <f t="shared" si="9"/>
        <v>0</v>
      </c>
      <c r="S37" s="2289">
        <v>0</v>
      </c>
      <c r="T37" s="2207">
        <v>0</v>
      </c>
      <c r="U37" s="2229">
        <f t="shared" si="16"/>
        <v>0</v>
      </c>
      <c r="V37" s="2228">
        <f t="shared" si="17"/>
        <v>0</v>
      </c>
      <c r="W37" s="2216">
        <f t="shared" si="10"/>
        <v>0</v>
      </c>
      <c r="X37" s="2213">
        <f t="shared" si="11"/>
        <v>0</v>
      </c>
      <c r="Z37" s="1281">
        <f t="shared" si="12"/>
        <v>30</v>
      </c>
      <c r="AA37" s="2087" t="str">
        <f t="shared" si="13"/>
        <v>keine</v>
      </c>
      <c r="AB37" s="1329"/>
      <c r="AC37" s="1330" t="s">
        <v>795</v>
      </c>
      <c r="AD37" s="1424">
        <v>0</v>
      </c>
      <c r="AE37" s="1033">
        <f>VLOOKUP(AC37,Düngemittel!$B$6:$E$64,2,FALSE)*(VLOOKUP(AC37,Düngemittel!$B$6:$E$64,3,FALSE))/100*AD37</f>
        <v>0</v>
      </c>
      <c r="AF37" s="1033">
        <f>VLOOKUP(AC37,Düngemittel!$B$6:$E$64,2,FALSE)*AD37</f>
        <v>0</v>
      </c>
      <c r="AG37" s="1033">
        <f>VLOOKUP(AC37,Düngemittel!$B$6:$E$64,4,FALSE)*AD37</f>
        <v>0</v>
      </c>
      <c r="AH37" s="2324"/>
      <c r="AI37" s="1329"/>
      <c r="AJ37" s="1330" t="s">
        <v>795</v>
      </c>
      <c r="AK37" s="1424">
        <v>0</v>
      </c>
      <c r="AL37" s="1033">
        <f>VLOOKUP(AJ37,Düngemittel!$B$6:$E$64,2,FALSE)*(VLOOKUP(AJ37,Düngemittel!$B$6:$E$64,3,FALSE))/100*AK37</f>
        <v>0</v>
      </c>
      <c r="AM37" s="1033">
        <f>VLOOKUP(AJ37,Düngemittel!$B$6:$E$64,2,FALSE)*AK37</f>
        <v>0</v>
      </c>
      <c r="AN37" s="1033">
        <f>VLOOKUP(AJ37,Düngemittel!$B$6:$E$64,4,FALSE)*AK37</f>
        <v>0</v>
      </c>
      <c r="AO37" s="2324"/>
      <c r="AP37" s="1329"/>
      <c r="AQ37" s="1330" t="s">
        <v>795</v>
      </c>
      <c r="AR37" s="1424">
        <v>0</v>
      </c>
      <c r="AS37" s="1033">
        <f>VLOOKUP(AQ37,Düngemittel!$B$6:$E$64,2,FALSE)*(VLOOKUP(AQ37,Düngemittel!$B$6:$E$64,3,FALSE))/100*AR37</f>
        <v>0</v>
      </c>
      <c r="AT37" s="1033">
        <f>VLOOKUP(AQ37,Düngemittel!$B$6:$E$64,2,FALSE)*AR37</f>
        <v>0</v>
      </c>
      <c r="AU37" s="1033">
        <f>VLOOKUP(AQ37,Düngemittel!$B$6:$E$64,4,FALSE)*AR37</f>
        <v>0</v>
      </c>
      <c r="AV37" s="1371"/>
      <c r="AW37" s="1371"/>
      <c r="AX37" s="1372">
        <f t="shared" si="27"/>
        <v>0</v>
      </c>
      <c r="AY37" s="1373">
        <f t="shared" si="28"/>
        <v>0</v>
      </c>
      <c r="AZ37" s="1374">
        <f t="shared" si="29"/>
        <v>0</v>
      </c>
      <c r="BA37" s="1375">
        <f t="shared" si="30"/>
        <v>0</v>
      </c>
      <c r="BB37" s="1373">
        <f t="shared" si="31"/>
        <v>0</v>
      </c>
      <c r="BC37" s="1376"/>
      <c r="BD37" s="1372">
        <f t="shared" si="32"/>
        <v>0</v>
      </c>
      <c r="BE37" s="1372">
        <f t="shared" si="33"/>
        <v>0</v>
      </c>
      <c r="BF37" s="1372">
        <f t="shared" si="34"/>
        <v>0</v>
      </c>
      <c r="BG37" s="1816">
        <f t="shared" si="35"/>
        <v>0</v>
      </c>
      <c r="BH37" s="1372">
        <f t="shared" si="36"/>
        <v>0</v>
      </c>
      <c r="BI37" s="2278"/>
      <c r="BJ37" s="2278"/>
      <c r="BK37" s="2278"/>
      <c r="BL37" s="2141" t="s">
        <v>1284</v>
      </c>
      <c r="BM37" s="33">
        <v>450</v>
      </c>
      <c r="BN37" s="33">
        <v>230</v>
      </c>
      <c r="BO37" s="33">
        <v>20</v>
      </c>
      <c r="BP37" s="323">
        <v>20</v>
      </c>
      <c r="BQ37" s="323">
        <v>20</v>
      </c>
      <c r="BR37" s="2317">
        <v>23.333333333333332</v>
      </c>
      <c r="BS37" s="323">
        <v>30</v>
      </c>
      <c r="BT37" s="323">
        <v>30</v>
      </c>
      <c r="BU37" s="1001">
        <v>0.10299999999999999</v>
      </c>
      <c r="BV37" s="357">
        <v>0</v>
      </c>
      <c r="CD37" s="357"/>
    </row>
    <row r="38" spans="1:82" ht="18" customHeight="1">
      <c r="A38" s="468">
        <v>31</v>
      </c>
      <c r="B38" s="1699">
        <v>0</v>
      </c>
      <c r="C38" s="2337" t="s">
        <v>31</v>
      </c>
      <c r="D38" s="2335">
        <f t="shared" si="0"/>
        <v>0</v>
      </c>
      <c r="E38" s="1381">
        <f t="shared" si="1"/>
        <v>0</v>
      </c>
      <c r="F38" s="1966">
        <f t="shared" si="24"/>
        <v>0</v>
      </c>
      <c r="G38" s="1928">
        <f t="shared" si="25"/>
        <v>0</v>
      </c>
      <c r="H38" s="1949">
        <f t="shared" si="4"/>
        <v>0</v>
      </c>
      <c r="I38" s="1949">
        <f t="shared" si="5"/>
        <v>0</v>
      </c>
      <c r="J38" s="1949">
        <f t="shared" si="6"/>
        <v>0</v>
      </c>
      <c r="K38" s="1928">
        <f t="shared" si="26"/>
        <v>0</v>
      </c>
      <c r="L38" s="1702">
        <v>0</v>
      </c>
      <c r="M38" s="2283" t="s">
        <v>31</v>
      </c>
      <c r="N38" s="2284" t="s">
        <v>1314</v>
      </c>
      <c r="O38" s="2285">
        <f t="shared" si="7"/>
        <v>0</v>
      </c>
      <c r="P38" s="2290" t="s">
        <v>1314</v>
      </c>
      <c r="Q38" s="2291">
        <f t="shared" si="8"/>
        <v>0</v>
      </c>
      <c r="R38" s="2288">
        <f t="shared" si="9"/>
        <v>0</v>
      </c>
      <c r="S38" s="2289">
        <v>0</v>
      </c>
      <c r="T38" s="2207">
        <v>0</v>
      </c>
      <c r="U38" s="2229">
        <f t="shared" si="16"/>
        <v>0</v>
      </c>
      <c r="V38" s="2228">
        <f t="shared" si="17"/>
        <v>0</v>
      </c>
      <c r="W38" s="2216">
        <f t="shared" si="10"/>
        <v>0</v>
      </c>
      <c r="X38" s="2213">
        <f t="shared" si="11"/>
        <v>0</v>
      </c>
      <c r="Z38" s="1281">
        <f t="shared" si="12"/>
        <v>31</v>
      </c>
      <c r="AA38" s="2087" t="str">
        <f t="shared" si="13"/>
        <v>keine</v>
      </c>
      <c r="AB38" s="1329"/>
      <c r="AC38" s="1330" t="s">
        <v>795</v>
      </c>
      <c r="AD38" s="1424">
        <v>0</v>
      </c>
      <c r="AE38" s="1033">
        <f>VLOOKUP(AC38,Düngemittel!$B$6:$E$64,2,FALSE)*(VLOOKUP(AC38,Düngemittel!$B$6:$E$64,3,FALSE))/100*AD38</f>
        <v>0</v>
      </c>
      <c r="AF38" s="1033">
        <f>VLOOKUP(AC38,Düngemittel!$B$6:$E$64,2,FALSE)*AD38</f>
        <v>0</v>
      </c>
      <c r="AG38" s="1033">
        <f>VLOOKUP(AC38,Düngemittel!$B$6:$E$64,4,FALSE)*AD38</f>
        <v>0</v>
      </c>
      <c r="AH38" s="2324"/>
      <c r="AI38" s="1329"/>
      <c r="AJ38" s="1330" t="s">
        <v>795</v>
      </c>
      <c r="AK38" s="1424">
        <v>0</v>
      </c>
      <c r="AL38" s="1033">
        <f>VLOOKUP(AJ38,Düngemittel!$B$6:$E$64,2,FALSE)*(VLOOKUP(AJ38,Düngemittel!$B$6:$E$64,3,FALSE))/100*AK38</f>
        <v>0</v>
      </c>
      <c r="AM38" s="1033">
        <f>VLOOKUP(AJ38,Düngemittel!$B$6:$E$64,2,FALSE)*AK38</f>
        <v>0</v>
      </c>
      <c r="AN38" s="1033">
        <f>VLOOKUP(AJ38,Düngemittel!$B$6:$E$64,4,FALSE)*AK38</f>
        <v>0</v>
      </c>
      <c r="AO38" s="2324"/>
      <c r="AP38" s="1329"/>
      <c r="AQ38" s="1330" t="s">
        <v>795</v>
      </c>
      <c r="AR38" s="1424">
        <v>0</v>
      </c>
      <c r="AS38" s="1033">
        <f>VLOOKUP(AQ38,Düngemittel!$B$6:$E$64,2,FALSE)*(VLOOKUP(AQ38,Düngemittel!$B$6:$E$64,3,FALSE))/100*AR38</f>
        <v>0</v>
      </c>
      <c r="AT38" s="1033">
        <f>VLOOKUP(AQ38,Düngemittel!$B$6:$E$64,2,FALSE)*AR38</f>
        <v>0</v>
      </c>
      <c r="AU38" s="1033">
        <f>VLOOKUP(AQ38,Düngemittel!$B$6:$E$64,4,FALSE)*AR38</f>
        <v>0</v>
      </c>
      <c r="AV38" s="1371"/>
      <c r="AW38" s="1371"/>
      <c r="AX38" s="1372">
        <f t="shared" si="27"/>
        <v>0</v>
      </c>
      <c r="AY38" s="1373">
        <f t="shared" si="28"/>
        <v>0</v>
      </c>
      <c r="AZ38" s="1374">
        <f t="shared" si="29"/>
        <v>0</v>
      </c>
      <c r="BA38" s="1375">
        <f t="shared" si="30"/>
        <v>0</v>
      </c>
      <c r="BB38" s="1373">
        <f t="shared" si="31"/>
        <v>0</v>
      </c>
      <c r="BC38" s="1376"/>
      <c r="BD38" s="1372">
        <f t="shared" si="32"/>
        <v>0</v>
      </c>
      <c r="BE38" s="1372">
        <f t="shared" si="33"/>
        <v>0</v>
      </c>
      <c r="BF38" s="1372">
        <f t="shared" si="34"/>
        <v>0</v>
      </c>
      <c r="BG38" s="1816">
        <f t="shared" si="35"/>
        <v>0</v>
      </c>
      <c r="BH38" s="1372">
        <f t="shared" si="36"/>
        <v>0</v>
      </c>
      <c r="BI38" s="2278"/>
      <c r="BJ38" s="2278"/>
      <c r="BK38" s="2278"/>
      <c r="BL38" s="2140" t="s">
        <v>1645</v>
      </c>
      <c r="BM38" s="33">
        <v>600</v>
      </c>
      <c r="BN38" s="33">
        <v>100</v>
      </c>
      <c r="BO38" s="33">
        <v>20</v>
      </c>
      <c r="BP38" s="2156">
        <v>20</v>
      </c>
      <c r="BQ38" s="2156">
        <v>20</v>
      </c>
      <c r="BR38" s="2317">
        <v>0</v>
      </c>
      <c r="BS38" s="2156">
        <v>35</v>
      </c>
      <c r="BT38" s="2156">
        <v>60</v>
      </c>
      <c r="BU38" s="1914">
        <v>0.115</v>
      </c>
      <c r="BV38" s="357">
        <v>0</v>
      </c>
      <c r="CD38" s="357"/>
    </row>
    <row r="39" spans="1:82" ht="18" customHeight="1">
      <c r="A39" s="468">
        <v>32</v>
      </c>
      <c r="B39" s="1699">
        <v>0</v>
      </c>
      <c r="C39" s="2337" t="s">
        <v>31</v>
      </c>
      <c r="D39" s="2335">
        <f t="shared" si="0"/>
        <v>0</v>
      </c>
      <c r="E39" s="1381">
        <f t="shared" si="1"/>
        <v>0</v>
      </c>
      <c r="F39" s="1966">
        <f t="shared" si="24"/>
        <v>0</v>
      </c>
      <c r="G39" s="1928">
        <f t="shared" si="25"/>
        <v>0</v>
      </c>
      <c r="H39" s="1949">
        <f t="shared" si="4"/>
        <v>0</v>
      </c>
      <c r="I39" s="1949">
        <f t="shared" si="5"/>
        <v>0</v>
      </c>
      <c r="J39" s="1949">
        <f t="shared" si="6"/>
        <v>0</v>
      </c>
      <c r="K39" s="1928">
        <f t="shared" si="26"/>
        <v>0</v>
      </c>
      <c r="L39" s="1702">
        <v>0</v>
      </c>
      <c r="M39" s="2283" t="s">
        <v>31</v>
      </c>
      <c r="N39" s="2284" t="s">
        <v>1314</v>
      </c>
      <c r="O39" s="2285">
        <f t="shared" si="7"/>
        <v>0</v>
      </c>
      <c r="P39" s="2290" t="s">
        <v>1314</v>
      </c>
      <c r="Q39" s="2291">
        <f t="shared" si="8"/>
        <v>0</v>
      </c>
      <c r="R39" s="2288">
        <f t="shared" si="9"/>
        <v>0</v>
      </c>
      <c r="S39" s="2289">
        <v>0</v>
      </c>
      <c r="T39" s="2207">
        <v>0</v>
      </c>
      <c r="U39" s="2229">
        <f t="shared" si="16"/>
        <v>0</v>
      </c>
      <c r="V39" s="2228">
        <f t="shared" si="17"/>
        <v>0</v>
      </c>
      <c r="W39" s="2216">
        <f t="shared" si="10"/>
        <v>0</v>
      </c>
      <c r="X39" s="2213">
        <f t="shared" si="11"/>
        <v>0</v>
      </c>
      <c r="Z39" s="1281">
        <f t="shared" si="12"/>
        <v>32</v>
      </c>
      <c r="AA39" s="2087" t="str">
        <f t="shared" si="13"/>
        <v>keine</v>
      </c>
      <c r="AB39" s="1329"/>
      <c r="AC39" s="1330" t="s">
        <v>795</v>
      </c>
      <c r="AD39" s="1424">
        <v>0</v>
      </c>
      <c r="AE39" s="1033">
        <f>VLOOKUP(AC39,Düngemittel!$B$6:$E$64,2,FALSE)*(VLOOKUP(AC39,Düngemittel!$B$6:$E$64,3,FALSE))/100*AD39</f>
        <v>0</v>
      </c>
      <c r="AF39" s="1033">
        <f>VLOOKUP(AC39,Düngemittel!$B$6:$E$64,2,FALSE)*AD39</f>
        <v>0</v>
      </c>
      <c r="AG39" s="1033">
        <f>VLOOKUP(AC39,Düngemittel!$B$6:$E$64,4,FALSE)*AD39</f>
        <v>0</v>
      </c>
      <c r="AH39" s="2324"/>
      <c r="AI39" s="1329"/>
      <c r="AJ39" s="1330" t="s">
        <v>795</v>
      </c>
      <c r="AK39" s="1424">
        <v>0</v>
      </c>
      <c r="AL39" s="1033">
        <f>VLOOKUP(AJ39,Düngemittel!$B$6:$E$64,2,FALSE)*(VLOOKUP(AJ39,Düngemittel!$B$6:$E$64,3,FALSE))/100*AK39</f>
        <v>0</v>
      </c>
      <c r="AM39" s="1033">
        <f>VLOOKUP(AJ39,Düngemittel!$B$6:$E$64,2,FALSE)*AK39</f>
        <v>0</v>
      </c>
      <c r="AN39" s="1033">
        <f>VLOOKUP(AJ39,Düngemittel!$B$6:$E$64,4,FALSE)*AK39</f>
        <v>0</v>
      </c>
      <c r="AO39" s="2324"/>
      <c r="AP39" s="1329"/>
      <c r="AQ39" s="1330" t="s">
        <v>795</v>
      </c>
      <c r="AR39" s="1424">
        <v>0</v>
      </c>
      <c r="AS39" s="1033">
        <f>VLOOKUP(AQ39,Düngemittel!$B$6:$E$64,2,FALSE)*(VLOOKUP(AQ39,Düngemittel!$B$6:$E$64,3,FALSE))/100*AR39</f>
        <v>0</v>
      </c>
      <c r="AT39" s="1033">
        <f>VLOOKUP(AQ39,Düngemittel!$B$6:$E$64,2,FALSE)*AR39</f>
        <v>0</v>
      </c>
      <c r="AU39" s="1033">
        <f>VLOOKUP(AQ39,Düngemittel!$B$6:$E$64,4,FALSE)*AR39</f>
        <v>0</v>
      </c>
      <c r="AV39" s="1371"/>
      <c r="AW39" s="1371"/>
      <c r="AX39" s="1372">
        <f t="shared" si="27"/>
        <v>0</v>
      </c>
      <c r="AY39" s="1373">
        <f t="shared" si="28"/>
        <v>0</v>
      </c>
      <c r="AZ39" s="1374">
        <f t="shared" si="29"/>
        <v>0</v>
      </c>
      <c r="BA39" s="1375">
        <f t="shared" si="30"/>
        <v>0</v>
      </c>
      <c r="BB39" s="1373">
        <f t="shared" si="31"/>
        <v>0</v>
      </c>
      <c r="BC39" s="1376"/>
      <c r="BD39" s="1372">
        <f t="shared" si="32"/>
        <v>0</v>
      </c>
      <c r="BE39" s="1372">
        <f t="shared" si="33"/>
        <v>0</v>
      </c>
      <c r="BF39" s="1372">
        <f t="shared" si="34"/>
        <v>0</v>
      </c>
      <c r="BG39" s="1816">
        <f t="shared" si="35"/>
        <v>0</v>
      </c>
      <c r="BH39" s="1372">
        <f t="shared" si="36"/>
        <v>0</v>
      </c>
      <c r="BI39" s="2278"/>
      <c r="BJ39" s="2278"/>
      <c r="BK39" s="2278"/>
      <c r="BL39" s="2159" t="s">
        <v>1646</v>
      </c>
      <c r="BM39" s="33">
        <v>120</v>
      </c>
      <c r="BN39" s="33">
        <v>100</v>
      </c>
      <c r="BO39" s="33">
        <v>10</v>
      </c>
      <c r="BP39" s="2153">
        <v>5</v>
      </c>
      <c r="BQ39" s="2153">
        <v>5</v>
      </c>
      <c r="BR39" s="2318">
        <v>33.333333333333336</v>
      </c>
      <c r="BS39" s="2152">
        <v>0</v>
      </c>
      <c r="BT39" s="2152">
        <v>30</v>
      </c>
      <c r="BU39" s="2157">
        <v>0.14000000000000001</v>
      </c>
      <c r="BV39" s="357">
        <v>0</v>
      </c>
      <c r="CD39" s="357"/>
    </row>
    <row r="40" spans="1:82" ht="18" customHeight="1">
      <c r="A40" s="468">
        <v>33</v>
      </c>
      <c r="B40" s="1699">
        <v>0</v>
      </c>
      <c r="C40" s="2337" t="s">
        <v>31</v>
      </c>
      <c r="D40" s="2335">
        <f t="shared" si="0"/>
        <v>0</v>
      </c>
      <c r="E40" s="1381">
        <f t="shared" si="1"/>
        <v>0</v>
      </c>
      <c r="F40" s="1966">
        <f t="shared" si="24"/>
        <v>0</v>
      </c>
      <c r="G40" s="1928">
        <f t="shared" si="25"/>
        <v>0</v>
      </c>
      <c r="H40" s="1949">
        <f t="shared" si="4"/>
        <v>0</v>
      </c>
      <c r="I40" s="1949">
        <f t="shared" si="5"/>
        <v>0</v>
      </c>
      <c r="J40" s="1949">
        <f t="shared" si="6"/>
        <v>0</v>
      </c>
      <c r="K40" s="1928">
        <f t="shared" si="26"/>
        <v>0</v>
      </c>
      <c r="L40" s="1702">
        <v>0</v>
      </c>
      <c r="M40" s="2283" t="s">
        <v>31</v>
      </c>
      <c r="N40" s="2284" t="s">
        <v>1314</v>
      </c>
      <c r="O40" s="2285">
        <f t="shared" si="7"/>
        <v>0</v>
      </c>
      <c r="P40" s="2290" t="s">
        <v>1314</v>
      </c>
      <c r="Q40" s="2291">
        <f t="shared" si="8"/>
        <v>0</v>
      </c>
      <c r="R40" s="2288">
        <f t="shared" si="9"/>
        <v>0</v>
      </c>
      <c r="S40" s="2289">
        <v>0</v>
      </c>
      <c r="T40" s="2207">
        <v>0</v>
      </c>
      <c r="U40" s="2229">
        <f t="shared" si="16"/>
        <v>0</v>
      </c>
      <c r="V40" s="2228">
        <f t="shared" si="17"/>
        <v>0</v>
      </c>
      <c r="W40" s="2216">
        <f t="shared" si="10"/>
        <v>0</v>
      </c>
      <c r="X40" s="2213">
        <f t="shared" si="11"/>
        <v>0</v>
      </c>
      <c r="Z40" s="1281">
        <f t="shared" si="12"/>
        <v>33</v>
      </c>
      <c r="AA40" s="2087" t="str">
        <f t="shared" si="13"/>
        <v>keine</v>
      </c>
      <c r="AB40" s="1329"/>
      <c r="AC40" s="1330" t="s">
        <v>795</v>
      </c>
      <c r="AD40" s="1424">
        <v>0</v>
      </c>
      <c r="AE40" s="1033">
        <f>VLOOKUP(AC40,Düngemittel!$B$6:$E$64,2,FALSE)*(VLOOKUP(AC40,Düngemittel!$B$6:$E$64,3,FALSE))/100*AD40</f>
        <v>0</v>
      </c>
      <c r="AF40" s="1033">
        <f>VLOOKUP(AC40,Düngemittel!$B$6:$E$64,2,FALSE)*AD40</f>
        <v>0</v>
      </c>
      <c r="AG40" s="1033">
        <f>VLOOKUP(AC40,Düngemittel!$B$6:$E$64,4,FALSE)*AD40</f>
        <v>0</v>
      </c>
      <c r="AH40" s="2324"/>
      <c r="AI40" s="1329"/>
      <c r="AJ40" s="1330" t="s">
        <v>795</v>
      </c>
      <c r="AK40" s="1424">
        <v>0</v>
      </c>
      <c r="AL40" s="1033">
        <f>VLOOKUP(AJ40,Düngemittel!$B$6:$E$64,2,FALSE)*(VLOOKUP(AJ40,Düngemittel!$B$6:$E$64,3,FALSE))/100*AK40</f>
        <v>0</v>
      </c>
      <c r="AM40" s="1033">
        <f>VLOOKUP(AJ40,Düngemittel!$B$6:$E$64,2,FALSE)*AK40</f>
        <v>0</v>
      </c>
      <c r="AN40" s="1033">
        <f>VLOOKUP(AJ40,Düngemittel!$B$6:$E$64,4,FALSE)*AK40</f>
        <v>0</v>
      </c>
      <c r="AO40" s="2324"/>
      <c r="AP40" s="1329"/>
      <c r="AQ40" s="1330" t="s">
        <v>795</v>
      </c>
      <c r="AR40" s="1424">
        <v>0</v>
      </c>
      <c r="AS40" s="1033">
        <f>VLOOKUP(AQ40,Düngemittel!$B$6:$E$64,2,FALSE)*(VLOOKUP(AQ40,Düngemittel!$B$6:$E$64,3,FALSE))/100*AR40</f>
        <v>0</v>
      </c>
      <c r="AT40" s="1033">
        <f>VLOOKUP(AQ40,Düngemittel!$B$6:$E$64,2,FALSE)*AR40</f>
        <v>0</v>
      </c>
      <c r="AU40" s="1033">
        <f>VLOOKUP(AQ40,Düngemittel!$B$6:$E$64,4,FALSE)*AR40</f>
        <v>0</v>
      </c>
      <c r="AV40" s="1371"/>
      <c r="AW40" s="1371"/>
      <c r="AX40" s="1372">
        <f t="shared" si="27"/>
        <v>0</v>
      </c>
      <c r="AY40" s="1373">
        <f t="shared" si="28"/>
        <v>0</v>
      </c>
      <c r="AZ40" s="1374">
        <f t="shared" si="29"/>
        <v>0</v>
      </c>
      <c r="BA40" s="1375">
        <f t="shared" si="30"/>
        <v>0</v>
      </c>
      <c r="BB40" s="1373">
        <f t="shared" si="31"/>
        <v>0</v>
      </c>
      <c r="BC40" s="1376"/>
      <c r="BD40" s="1372">
        <f t="shared" si="32"/>
        <v>0</v>
      </c>
      <c r="BE40" s="1372">
        <f t="shared" si="33"/>
        <v>0</v>
      </c>
      <c r="BF40" s="1372">
        <f t="shared" si="34"/>
        <v>0</v>
      </c>
      <c r="BG40" s="1816">
        <f t="shared" si="35"/>
        <v>0</v>
      </c>
      <c r="BH40" s="1372">
        <f t="shared" si="36"/>
        <v>0</v>
      </c>
      <c r="BI40" s="2278"/>
      <c r="BJ40" s="2278"/>
      <c r="BK40" s="2278"/>
      <c r="BL40" s="2141" t="s">
        <v>472</v>
      </c>
      <c r="BM40" s="33">
        <v>400</v>
      </c>
      <c r="BN40" s="33">
        <v>140</v>
      </c>
      <c r="BO40" s="33">
        <v>20</v>
      </c>
      <c r="BP40" s="323">
        <v>20</v>
      </c>
      <c r="BQ40" s="323">
        <v>20</v>
      </c>
      <c r="BR40" s="2318">
        <v>33.333333333333336</v>
      </c>
      <c r="BS40" s="323">
        <v>50</v>
      </c>
      <c r="BT40" s="323">
        <v>60</v>
      </c>
      <c r="BU40" s="1001">
        <v>0.20599999999999999</v>
      </c>
      <c r="BV40" s="357">
        <v>0</v>
      </c>
      <c r="CD40" s="357"/>
    </row>
    <row r="41" spans="1:82" ht="18" customHeight="1">
      <c r="A41" s="468">
        <v>34</v>
      </c>
      <c r="B41" s="1699">
        <v>0</v>
      </c>
      <c r="C41" s="2337" t="s">
        <v>31</v>
      </c>
      <c r="D41" s="2335">
        <f t="shared" si="0"/>
        <v>0</v>
      </c>
      <c r="E41" s="1381">
        <f t="shared" si="1"/>
        <v>0</v>
      </c>
      <c r="F41" s="1966">
        <f t="shared" si="2"/>
        <v>0</v>
      </c>
      <c r="G41" s="1928">
        <f t="shared" si="3"/>
        <v>0</v>
      </c>
      <c r="H41" s="1949">
        <f t="shared" si="4"/>
        <v>0</v>
      </c>
      <c r="I41" s="1949">
        <f t="shared" si="5"/>
        <v>0</v>
      </c>
      <c r="J41" s="1949">
        <f t="shared" si="6"/>
        <v>0</v>
      </c>
      <c r="K41" s="1928">
        <f t="shared" si="15"/>
        <v>0</v>
      </c>
      <c r="L41" s="1702">
        <v>0</v>
      </c>
      <c r="M41" s="2283" t="s">
        <v>31</v>
      </c>
      <c r="N41" s="2284" t="s">
        <v>1314</v>
      </c>
      <c r="O41" s="2285">
        <f t="shared" si="7"/>
        <v>0</v>
      </c>
      <c r="P41" s="2290" t="s">
        <v>1314</v>
      </c>
      <c r="Q41" s="2291">
        <f t="shared" si="8"/>
        <v>0</v>
      </c>
      <c r="R41" s="2288">
        <f t="shared" si="9"/>
        <v>0</v>
      </c>
      <c r="S41" s="2289">
        <v>0</v>
      </c>
      <c r="T41" s="2207">
        <v>0</v>
      </c>
      <c r="U41" s="2229">
        <f t="shared" si="16"/>
        <v>0</v>
      </c>
      <c r="V41" s="2228">
        <f t="shared" si="17"/>
        <v>0</v>
      </c>
      <c r="W41" s="2216">
        <f t="shared" si="10"/>
        <v>0</v>
      </c>
      <c r="X41" s="2213">
        <f t="shared" si="11"/>
        <v>0</v>
      </c>
      <c r="Z41" s="1281">
        <f t="shared" si="12"/>
        <v>34</v>
      </c>
      <c r="AA41" s="2087" t="str">
        <f t="shared" si="13"/>
        <v>keine</v>
      </c>
      <c r="AB41" s="1329"/>
      <c r="AC41" s="1330" t="s">
        <v>795</v>
      </c>
      <c r="AD41" s="1424">
        <v>0</v>
      </c>
      <c r="AE41" s="1033">
        <f>VLOOKUP(AC41,Düngemittel!$B$6:$E$64,2,FALSE)*(VLOOKUP(AC41,Düngemittel!$B$6:$E$64,3,FALSE))/100*AD41</f>
        <v>0</v>
      </c>
      <c r="AF41" s="1033">
        <f>VLOOKUP(AC41,Düngemittel!$B$6:$E$64,2,FALSE)*AD41</f>
        <v>0</v>
      </c>
      <c r="AG41" s="1033">
        <f>VLOOKUP(AC41,Düngemittel!$B$6:$E$64,4,FALSE)*AD41</f>
        <v>0</v>
      </c>
      <c r="AH41" s="2243"/>
      <c r="AI41" s="1329"/>
      <c r="AJ41" s="1330" t="s">
        <v>795</v>
      </c>
      <c r="AK41" s="1424">
        <v>0</v>
      </c>
      <c r="AL41" s="1033">
        <f>VLOOKUP(AJ41,Düngemittel!$B$6:$E$64,2,FALSE)*(VLOOKUP(AJ41,Düngemittel!$B$6:$E$64,3,FALSE))/100*AK41</f>
        <v>0</v>
      </c>
      <c r="AM41" s="1033">
        <f>VLOOKUP(AJ41,Düngemittel!$B$6:$E$64,2,FALSE)*AK41</f>
        <v>0</v>
      </c>
      <c r="AN41" s="1033">
        <f>VLOOKUP(AJ41,Düngemittel!$B$6:$E$64,4,FALSE)*AK41</f>
        <v>0</v>
      </c>
      <c r="AO41" s="2243"/>
      <c r="AP41" s="1329"/>
      <c r="AQ41" s="1330" t="s">
        <v>795</v>
      </c>
      <c r="AR41" s="1424">
        <v>0</v>
      </c>
      <c r="AS41" s="1033">
        <f>VLOOKUP(AQ41,Düngemittel!$B$6:$E$64,2,FALSE)*(VLOOKUP(AQ41,Düngemittel!$B$6:$E$64,3,FALSE))/100*AR41</f>
        <v>0</v>
      </c>
      <c r="AT41" s="1033">
        <f>VLOOKUP(AQ41,Düngemittel!$B$6:$E$64,2,FALSE)*AR41</f>
        <v>0</v>
      </c>
      <c r="AU41" s="1033">
        <f>VLOOKUP(AQ41,Düngemittel!$B$6:$E$64,4,FALSE)*AR41</f>
        <v>0</v>
      </c>
      <c r="AV41" s="1371"/>
      <c r="AW41" s="1371"/>
      <c r="AX41" s="1372">
        <f t="shared" si="18"/>
        <v>0</v>
      </c>
      <c r="AY41" s="1373">
        <f t="shared" si="19"/>
        <v>0</v>
      </c>
      <c r="AZ41" s="1374">
        <f t="shared" si="20"/>
        <v>0</v>
      </c>
      <c r="BA41" s="1375">
        <f t="shared" si="21"/>
        <v>0</v>
      </c>
      <c r="BB41" s="1373">
        <f t="shared" si="22"/>
        <v>0</v>
      </c>
      <c r="BC41" s="1376"/>
      <c r="BD41" s="1372">
        <f t="shared" si="23"/>
        <v>0</v>
      </c>
      <c r="BE41" s="1372">
        <f t="shared" si="23"/>
        <v>0</v>
      </c>
      <c r="BF41" s="1372">
        <f t="shared" si="23"/>
        <v>0</v>
      </c>
      <c r="BG41" s="1816">
        <f t="shared" si="23"/>
        <v>0</v>
      </c>
      <c r="BH41" s="1372">
        <f t="shared" si="23"/>
        <v>0</v>
      </c>
      <c r="BI41" s="2278"/>
      <c r="BJ41" s="2278"/>
      <c r="BK41" s="2278"/>
      <c r="BL41" s="2140" t="s">
        <v>1647</v>
      </c>
      <c r="BM41" s="33">
        <v>300</v>
      </c>
      <c r="BN41" s="33">
        <v>140</v>
      </c>
      <c r="BO41" s="33">
        <v>20</v>
      </c>
      <c r="BP41" s="323">
        <v>20</v>
      </c>
      <c r="BQ41" s="323">
        <v>20</v>
      </c>
      <c r="BR41" s="2317">
        <v>0</v>
      </c>
      <c r="BS41" s="323">
        <v>50</v>
      </c>
      <c r="BT41" s="2156">
        <v>60</v>
      </c>
      <c r="BU41" s="1001">
        <v>0.20599999999999999</v>
      </c>
      <c r="BV41" s="357">
        <v>0</v>
      </c>
      <c r="CD41" s="357"/>
    </row>
    <row r="42" spans="1:82" ht="18" customHeight="1" thickBot="1">
      <c r="A42" s="468">
        <v>35</v>
      </c>
      <c r="B42" s="1699">
        <v>0</v>
      </c>
      <c r="C42" s="2205" t="s">
        <v>31</v>
      </c>
      <c r="D42" s="2339">
        <f t="shared" si="0"/>
        <v>0</v>
      </c>
      <c r="E42" s="1525">
        <f t="shared" si="1"/>
        <v>0</v>
      </c>
      <c r="F42" s="2340">
        <f t="shared" si="2"/>
        <v>0</v>
      </c>
      <c r="G42" s="1930">
        <f t="shared" si="3"/>
        <v>0</v>
      </c>
      <c r="H42" s="2341">
        <f t="shared" si="4"/>
        <v>0</v>
      </c>
      <c r="I42" s="2341">
        <f t="shared" si="5"/>
        <v>0</v>
      </c>
      <c r="J42" s="2341">
        <f t="shared" si="6"/>
        <v>0</v>
      </c>
      <c r="K42" s="1930">
        <f t="shared" si="15"/>
        <v>0</v>
      </c>
      <c r="L42" s="1702">
        <v>0</v>
      </c>
      <c r="M42" s="2283" t="s">
        <v>31</v>
      </c>
      <c r="N42" s="2292" t="s">
        <v>1314</v>
      </c>
      <c r="O42" s="2285">
        <f t="shared" si="7"/>
        <v>0</v>
      </c>
      <c r="P42" s="2293" t="s">
        <v>1314</v>
      </c>
      <c r="Q42" s="2294">
        <f t="shared" si="8"/>
        <v>0</v>
      </c>
      <c r="R42" s="2295">
        <f t="shared" si="9"/>
        <v>0</v>
      </c>
      <c r="S42" s="2296">
        <v>0</v>
      </c>
      <c r="T42" s="2207">
        <v>0</v>
      </c>
      <c r="U42" s="2384">
        <f t="shared" si="16"/>
        <v>0</v>
      </c>
      <c r="V42" s="2385">
        <f t="shared" si="17"/>
        <v>0</v>
      </c>
      <c r="W42" s="2217">
        <f t="shared" si="10"/>
        <v>0</v>
      </c>
      <c r="X42" s="2214">
        <f t="shared" si="11"/>
        <v>0</v>
      </c>
      <c r="Z42" s="1281">
        <f t="shared" si="12"/>
        <v>35</v>
      </c>
      <c r="AA42" s="2087" t="str">
        <f t="shared" si="13"/>
        <v>keine</v>
      </c>
      <c r="AB42" s="1329"/>
      <c r="AC42" s="1330" t="s">
        <v>795</v>
      </c>
      <c r="AD42" s="1424">
        <v>0</v>
      </c>
      <c r="AE42" s="1033">
        <f>VLOOKUP(AC42,Düngemittel!$B$6:$E$64,2,FALSE)*(VLOOKUP(AC42,Düngemittel!$B$6:$E$64,3,FALSE))/100*AD42</f>
        <v>0</v>
      </c>
      <c r="AF42" s="1033">
        <f>VLOOKUP(AC42,Düngemittel!$B$6:$E$64,2,FALSE)*AD42</f>
        <v>0</v>
      </c>
      <c r="AG42" s="1033">
        <f>VLOOKUP(AC42,Düngemittel!$B$6:$E$64,4,FALSE)*AD42</f>
        <v>0</v>
      </c>
      <c r="AH42" s="2243"/>
      <c r="AI42" s="1329"/>
      <c r="AJ42" s="1330" t="s">
        <v>795</v>
      </c>
      <c r="AK42" s="1424">
        <v>0</v>
      </c>
      <c r="AL42" s="1033">
        <f>VLOOKUP(AJ42,Düngemittel!$B$6:$E$64,2,FALSE)*(VLOOKUP(AJ42,Düngemittel!$B$6:$E$64,3,FALSE))/100*AK42</f>
        <v>0</v>
      </c>
      <c r="AM42" s="1033">
        <f>VLOOKUP(AJ42,Düngemittel!$B$6:$E$64,2,FALSE)*AK42</f>
        <v>0</v>
      </c>
      <c r="AN42" s="1033">
        <f>VLOOKUP(AJ42,Düngemittel!$B$6:$E$64,4,FALSE)*AK42</f>
        <v>0</v>
      </c>
      <c r="AO42" s="2243"/>
      <c r="AP42" s="1329"/>
      <c r="AQ42" s="1330" t="s">
        <v>795</v>
      </c>
      <c r="AR42" s="1424">
        <v>0</v>
      </c>
      <c r="AS42" s="1033">
        <f>VLOOKUP(AQ42,Düngemittel!$B$6:$E$64,2,FALSE)*(VLOOKUP(AQ42,Düngemittel!$B$6:$E$64,3,FALSE))/100*AR42</f>
        <v>0</v>
      </c>
      <c r="AT42" s="1033">
        <f>VLOOKUP(AQ42,Düngemittel!$B$6:$E$64,2,FALSE)*AR42</f>
        <v>0</v>
      </c>
      <c r="AU42" s="1033">
        <f>VLOOKUP(AQ42,Düngemittel!$B$6:$E$64,4,FALSE)*AR42</f>
        <v>0</v>
      </c>
      <c r="AV42" s="1371"/>
      <c r="AW42" s="1371"/>
      <c r="AX42" s="1372">
        <f t="shared" si="18"/>
        <v>0</v>
      </c>
      <c r="AY42" s="1373">
        <f t="shared" si="19"/>
        <v>0</v>
      </c>
      <c r="AZ42" s="1374">
        <f t="shared" si="20"/>
        <v>0</v>
      </c>
      <c r="BA42" s="1375">
        <f t="shared" si="21"/>
        <v>0</v>
      </c>
      <c r="BB42" s="1373">
        <f t="shared" si="22"/>
        <v>0</v>
      </c>
      <c r="BC42" s="1376"/>
      <c r="BD42" s="1372">
        <f t="shared" si="23"/>
        <v>0</v>
      </c>
      <c r="BE42" s="1372">
        <f t="shared" si="23"/>
        <v>0</v>
      </c>
      <c r="BF42" s="1372">
        <f t="shared" si="23"/>
        <v>0</v>
      </c>
      <c r="BG42" s="1816">
        <f t="shared" si="23"/>
        <v>0</v>
      </c>
      <c r="BH42" s="1372">
        <f t="shared" si="23"/>
        <v>0</v>
      </c>
      <c r="BI42" s="2278"/>
      <c r="BJ42" s="2278"/>
      <c r="BK42" s="2278"/>
      <c r="BL42" s="2159" t="s">
        <v>1538</v>
      </c>
      <c r="BM42" s="33">
        <v>25</v>
      </c>
      <c r="BN42" s="33">
        <v>90</v>
      </c>
      <c r="BO42" s="33">
        <v>10</v>
      </c>
      <c r="BP42" s="2158">
        <v>9</v>
      </c>
      <c r="BQ42" s="2158">
        <v>9</v>
      </c>
      <c r="BR42" s="2317">
        <v>0</v>
      </c>
      <c r="BS42" s="2152">
        <v>0</v>
      </c>
      <c r="BT42" s="2154">
        <v>60</v>
      </c>
      <c r="BU42" s="2155">
        <v>0.13</v>
      </c>
      <c r="BV42" s="357">
        <v>0</v>
      </c>
      <c r="CD42" s="357"/>
    </row>
    <row r="43" spans="1:82" ht="19.5" thickBot="1">
      <c r="A43" s="1385" t="s">
        <v>286</v>
      </c>
      <c r="B43" s="2204">
        <f>SUM(B8:B42)</f>
        <v>0</v>
      </c>
      <c r="C43" s="2198"/>
      <c r="D43" s="594"/>
      <c r="E43" s="594"/>
      <c r="F43" s="594"/>
      <c r="G43" s="594"/>
      <c r="H43" s="594"/>
      <c r="I43" s="594"/>
      <c r="J43" s="594"/>
      <c r="K43" s="594"/>
      <c r="L43" s="551"/>
      <c r="M43" s="2297"/>
      <c r="N43" s="2297"/>
      <c r="O43" s="2297"/>
      <c r="P43" s="2298"/>
      <c r="Q43" s="2298"/>
      <c r="R43" s="2298"/>
      <c r="S43" s="2298"/>
      <c r="T43" s="550"/>
      <c r="U43" s="2218"/>
      <c r="V43" s="2211">
        <f>SUM(V8:V42)</f>
        <v>0</v>
      </c>
      <c r="W43" s="2210"/>
      <c r="X43" s="2211">
        <f>SUM(X8:X42)</f>
        <v>0</v>
      </c>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543"/>
      <c r="AY43" s="1386"/>
      <c r="AZ43" s="1386"/>
      <c r="BA43" s="1387"/>
      <c r="BB43" s="1386"/>
      <c r="BC43" s="1388"/>
      <c r="BD43" s="414">
        <f>SUM(BD5:BD42)</f>
        <v>0</v>
      </c>
      <c r="BE43" s="414">
        <f>SUM(BE5:BE42)</f>
        <v>0</v>
      </c>
      <c r="BF43" s="414">
        <f>SUM(BF5:BF42)</f>
        <v>0</v>
      </c>
      <c r="BG43" s="1157">
        <f>SUM(BG5:BG42)</f>
        <v>0</v>
      </c>
      <c r="BH43" s="414">
        <f>SUM(BH5:BH42)</f>
        <v>0</v>
      </c>
      <c r="BI43" s="1389" t="s">
        <v>1081</v>
      </c>
      <c r="BJ43" s="1397"/>
      <c r="BL43" s="2159" t="s">
        <v>1648</v>
      </c>
      <c r="BM43" s="33">
        <v>550</v>
      </c>
      <c r="BN43" s="33">
        <v>245</v>
      </c>
      <c r="BO43" s="33">
        <v>10</v>
      </c>
      <c r="BP43" s="2153">
        <v>25</v>
      </c>
      <c r="BQ43" s="2153">
        <v>25</v>
      </c>
      <c r="BR43" s="2317">
        <v>0</v>
      </c>
      <c r="BS43" s="2152">
        <v>0</v>
      </c>
      <c r="BT43" s="2152">
        <v>60</v>
      </c>
      <c r="BU43" s="2155">
        <v>0.11</v>
      </c>
      <c r="BV43" s="357">
        <v>0</v>
      </c>
      <c r="CD43" s="357"/>
    </row>
    <row r="44" spans="1:82" ht="18.75" customHeight="1">
      <c r="A44" s="1391"/>
      <c r="B44" s="1392"/>
      <c r="C44" s="1353"/>
      <c r="D44" s="2248"/>
      <c r="E44" s="2248"/>
      <c r="F44" s="2248"/>
      <c r="G44" s="2248"/>
      <c r="H44" s="2248"/>
      <c r="I44" s="2248"/>
      <c r="J44" s="2248"/>
      <c r="K44" s="2248"/>
      <c r="L44" s="1353"/>
      <c r="M44" s="2248"/>
      <c r="N44" s="2248"/>
      <c r="O44" s="2248"/>
      <c r="P44" s="2248"/>
      <c r="Q44" s="2248"/>
      <c r="R44" s="2248"/>
      <c r="S44" s="2248"/>
      <c r="T44" s="2248"/>
      <c r="V44" s="2638" t="s">
        <v>1100</v>
      </c>
      <c r="W44" s="2248"/>
      <c r="X44" s="2638" t="s">
        <v>1101</v>
      </c>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441" t="e">
        <f>BD44</f>
        <v>#DIV/0!</v>
      </c>
      <c r="AY44" s="1441" t="e">
        <f t="shared" ref="AY44:BB44" si="37">BE44</f>
        <v>#DIV/0!</v>
      </c>
      <c r="AZ44" s="1441" t="e">
        <f t="shared" si="37"/>
        <v>#DIV/0!</v>
      </c>
      <c r="BA44" s="1157" t="e">
        <f t="shared" si="37"/>
        <v>#DIV/0!</v>
      </c>
      <c r="BB44" s="1441" t="e">
        <f t="shared" si="37"/>
        <v>#DIV/0!</v>
      </c>
      <c r="BC44" s="1388"/>
      <c r="BD44" s="1441" t="e">
        <f>BD43/$B43</f>
        <v>#DIV/0!</v>
      </c>
      <c r="BE44" s="1441" t="e">
        <f>BE43/$B43</f>
        <v>#DIV/0!</v>
      </c>
      <c r="BF44" s="1441" t="e">
        <f>BF43/$B43</f>
        <v>#DIV/0!</v>
      </c>
      <c r="BG44" s="1157" t="e">
        <f>BG43/$B43</f>
        <v>#DIV/0!</v>
      </c>
      <c r="BH44" s="414" t="e">
        <f>BH43/$B43</f>
        <v>#DIV/0!</v>
      </c>
      <c r="BI44" s="1389"/>
      <c r="BJ44" s="1389"/>
      <c r="BK44" s="1389"/>
      <c r="BL44" s="2152" t="s">
        <v>1543</v>
      </c>
      <c r="BM44" s="33">
        <v>275</v>
      </c>
      <c r="BN44" s="33">
        <v>135</v>
      </c>
      <c r="BO44" s="33">
        <v>10</v>
      </c>
      <c r="BP44" s="2153">
        <v>14</v>
      </c>
      <c r="BQ44" s="2153">
        <v>14</v>
      </c>
      <c r="BR44" s="2318">
        <v>10</v>
      </c>
      <c r="BS44" s="2152">
        <v>0</v>
      </c>
      <c r="BT44" s="2154">
        <v>60</v>
      </c>
      <c r="BU44" s="2155">
        <v>0.11</v>
      </c>
      <c r="BV44" s="357">
        <v>0</v>
      </c>
    </row>
    <row r="45" spans="1:82" ht="45.75" thickBot="1">
      <c r="A45" s="1355"/>
      <c r="B45" s="1394"/>
      <c r="C45" s="1353"/>
      <c r="D45" s="2248"/>
      <c r="E45" s="2248"/>
      <c r="F45" s="2248"/>
      <c r="G45" s="2248"/>
      <c r="H45" s="2248"/>
      <c r="I45" s="2248"/>
      <c r="J45" s="2248"/>
      <c r="K45" s="2248"/>
      <c r="L45" s="1353"/>
      <c r="M45" s="2248"/>
      <c r="N45" s="2248"/>
      <c r="O45" s="2248"/>
      <c r="P45" s="2248"/>
      <c r="Q45" s="2248"/>
      <c r="R45" s="2248"/>
      <c r="S45" s="2248"/>
      <c r="T45" s="2248"/>
      <c r="V45" s="2639"/>
      <c r="W45" s="2248"/>
      <c r="X45" s="2840"/>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63" t="s">
        <v>1080</v>
      </c>
      <c r="AY45" s="2252" t="s">
        <v>1066</v>
      </c>
      <c r="AZ45" s="2252" t="s">
        <v>1067</v>
      </c>
      <c r="BA45" s="1364" t="s">
        <v>1241</v>
      </c>
      <c r="BB45" s="2252" t="s">
        <v>284</v>
      </c>
      <c r="BC45" s="1355"/>
      <c r="BD45" s="1821" t="s">
        <v>1080</v>
      </c>
      <c r="BE45" s="1822" t="s">
        <v>1307</v>
      </c>
      <c r="BF45" s="1822" t="s">
        <v>1308</v>
      </c>
      <c r="BG45" s="1364" t="s">
        <v>1241</v>
      </c>
      <c r="BH45" s="2252" t="s">
        <v>284</v>
      </c>
      <c r="BL45" s="2143" t="s">
        <v>1351</v>
      </c>
      <c r="BM45" s="31">
        <v>650</v>
      </c>
      <c r="BN45" s="31">
        <v>170</v>
      </c>
      <c r="BO45" s="31">
        <v>20</v>
      </c>
      <c r="BP45" s="2144">
        <v>20</v>
      </c>
      <c r="BQ45" s="2144">
        <v>20</v>
      </c>
      <c r="BR45" s="2317">
        <v>0</v>
      </c>
      <c r="BS45" s="2144">
        <v>15</v>
      </c>
      <c r="BT45" s="2144">
        <v>30</v>
      </c>
      <c r="BU45" s="2148">
        <v>0.10299999999999999</v>
      </c>
      <c r="BV45" s="2220">
        <v>0</v>
      </c>
      <c r="BW45" s="2220"/>
    </row>
    <row r="46" spans="1:82" ht="18.75">
      <c r="B46" s="546"/>
      <c r="D46" s="357"/>
      <c r="V46" s="2248"/>
      <c r="W46" s="2248"/>
      <c r="X46" s="2248"/>
      <c r="Z46" s="138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96"/>
      <c r="BD46" s="1396"/>
      <c r="BE46" s="1397"/>
      <c r="BF46" s="1397"/>
      <c r="BG46" s="1397"/>
      <c r="BH46" s="1397"/>
      <c r="BL46" s="2309" t="s">
        <v>1649</v>
      </c>
      <c r="BM46" s="31">
        <v>200</v>
      </c>
      <c r="BN46" s="31">
        <v>135</v>
      </c>
      <c r="BO46" s="31">
        <v>10</v>
      </c>
      <c r="BP46" s="2153">
        <v>14</v>
      </c>
      <c r="BQ46" s="2153">
        <v>14</v>
      </c>
      <c r="BR46" s="2317">
        <v>16.666666666666668</v>
      </c>
      <c r="BS46" s="2154">
        <v>0</v>
      </c>
      <c r="BT46" s="2154">
        <v>30</v>
      </c>
      <c r="BU46" s="2157">
        <v>0.14000000000000001</v>
      </c>
      <c r="BV46" s="2220">
        <v>0</v>
      </c>
      <c r="BW46" s="2220"/>
    </row>
    <row r="47" spans="1:82" ht="15.75">
      <c r="A47" s="2624" t="s">
        <v>1068</v>
      </c>
      <c r="B47" s="2625"/>
      <c r="C47" s="2627" t="s">
        <v>1072</v>
      </c>
      <c r="D47" s="2628"/>
      <c r="E47" s="2628"/>
      <c r="F47" s="2628"/>
      <c r="G47" s="2628"/>
      <c r="H47" s="2628"/>
      <c r="I47" s="2628"/>
      <c r="J47" s="2628"/>
      <c r="K47" s="2628"/>
      <c r="L47" s="2628"/>
      <c r="M47" s="2628"/>
      <c r="N47" s="2628"/>
      <c r="O47" s="2628"/>
      <c r="P47" s="2628"/>
      <c r="Q47" s="2628"/>
      <c r="R47" s="2628"/>
      <c r="S47" s="2599"/>
      <c r="T47" s="2599"/>
      <c r="U47" s="2599"/>
      <c r="V47" s="2629"/>
      <c r="W47" s="2630"/>
      <c r="X47" s="661"/>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557"/>
      <c r="BJ47" s="557"/>
      <c r="BK47" s="557"/>
      <c r="BL47" s="2142" t="s">
        <v>1650</v>
      </c>
      <c r="BM47" s="31">
        <v>180</v>
      </c>
      <c r="BN47" s="31">
        <v>180</v>
      </c>
      <c r="BO47" s="31">
        <v>20</v>
      </c>
      <c r="BP47" s="2162">
        <v>20</v>
      </c>
      <c r="BQ47" s="2162">
        <v>20</v>
      </c>
      <c r="BR47" s="2318">
        <v>0</v>
      </c>
      <c r="BS47" s="2162">
        <v>25</v>
      </c>
      <c r="BT47" s="2162">
        <v>60</v>
      </c>
      <c r="BU47" s="2163">
        <v>0.09</v>
      </c>
      <c r="BV47" s="2220">
        <v>0</v>
      </c>
      <c r="BW47" s="2220"/>
    </row>
    <row r="48" spans="1:82" ht="15.75">
      <c r="A48" s="2625"/>
      <c r="B48" s="2625"/>
      <c r="C48" s="2631"/>
      <c r="D48" s="2632"/>
      <c r="E48" s="2632"/>
      <c r="F48" s="2632"/>
      <c r="G48" s="2632"/>
      <c r="H48" s="2632"/>
      <c r="I48" s="2632"/>
      <c r="J48" s="2632"/>
      <c r="K48" s="2632"/>
      <c r="L48" s="2632"/>
      <c r="M48" s="2632"/>
      <c r="N48" s="2632"/>
      <c r="O48" s="2632"/>
      <c r="P48" s="2632"/>
      <c r="Q48" s="2632"/>
      <c r="R48" s="2632"/>
      <c r="S48" s="2633"/>
      <c r="T48" s="2633"/>
      <c r="U48" s="2633"/>
      <c r="V48" s="2587"/>
      <c r="W48" s="2634"/>
      <c r="X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2248"/>
      <c r="BJ48" s="2248"/>
      <c r="BK48" s="2248"/>
      <c r="BL48" s="2309" t="s">
        <v>1553</v>
      </c>
      <c r="BM48" s="31">
        <v>200</v>
      </c>
      <c r="BN48" s="31">
        <v>255</v>
      </c>
      <c r="BO48" s="31">
        <v>10</v>
      </c>
      <c r="BP48" s="2153">
        <v>26</v>
      </c>
      <c r="BQ48" s="2153">
        <v>26</v>
      </c>
      <c r="BR48" s="2318">
        <v>0</v>
      </c>
      <c r="BS48" s="2154">
        <v>0</v>
      </c>
      <c r="BT48" s="2154">
        <v>60</v>
      </c>
      <c r="BU48" s="2157">
        <v>0.22</v>
      </c>
      <c r="BV48" s="2220">
        <v>0</v>
      </c>
      <c r="BW48" s="2220"/>
    </row>
    <row r="49" spans="1:81" ht="15.75">
      <c r="A49" s="2626"/>
      <c r="B49" s="2626"/>
      <c r="C49" s="2635"/>
      <c r="D49" s="2636"/>
      <c r="E49" s="2636"/>
      <c r="F49" s="2636"/>
      <c r="G49" s="2636"/>
      <c r="H49" s="2636"/>
      <c r="I49" s="2636"/>
      <c r="J49" s="2636"/>
      <c r="K49" s="2636"/>
      <c r="L49" s="2636"/>
      <c r="M49" s="2636"/>
      <c r="N49" s="2636"/>
      <c r="O49" s="2636"/>
      <c r="P49" s="2636"/>
      <c r="Q49" s="2636"/>
      <c r="R49" s="2636"/>
      <c r="S49" s="2636"/>
      <c r="T49" s="2636"/>
      <c r="U49" s="2636"/>
      <c r="V49" s="2636"/>
      <c r="W49" s="2637"/>
      <c r="X49" s="661"/>
      <c r="Z49" s="2248"/>
      <c r="AA49" s="2248"/>
      <c r="AB49" s="2248"/>
      <c r="AC49" s="2248"/>
      <c r="AD49" s="2248"/>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8"/>
      <c r="BC49" s="2248"/>
      <c r="BD49" s="2248"/>
      <c r="BE49" s="2248"/>
      <c r="BF49" s="2248"/>
      <c r="BG49" s="2248"/>
      <c r="BH49" s="2248"/>
      <c r="BL49" s="2142" t="s">
        <v>1651</v>
      </c>
      <c r="BM49" s="31">
        <v>150</v>
      </c>
      <c r="BN49" s="31">
        <v>90</v>
      </c>
      <c r="BO49" s="31">
        <v>10</v>
      </c>
      <c r="BP49" s="2153">
        <v>5</v>
      </c>
      <c r="BQ49" s="2153">
        <v>5</v>
      </c>
      <c r="BR49" s="2318">
        <v>56.666666666666664</v>
      </c>
      <c r="BS49" s="2154">
        <v>0</v>
      </c>
      <c r="BT49" s="2154">
        <v>30</v>
      </c>
      <c r="BU49" s="2157">
        <v>0.11</v>
      </c>
      <c r="BV49" s="2220">
        <v>0</v>
      </c>
      <c r="BW49" s="2220"/>
    </row>
    <row r="50" spans="1:81" ht="21">
      <c r="B50" s="546"/>
      <c r="D50" s="357"/>
      <c r="V50" s="2248"/>
      <c r="W50" s="2248"/>
      <c r="X50" s="1044"/>
      <c r="Z50" s="1400"/>
      <c r="AA50" s="1400"/>
      <c r="AB50" s="1400"/>
      <c r="AC50" s="1400"/>
      <c r="AD50" s="1400"/>
      <c r="AE50" s="1400"/>
      <c r="AF50" s="1400"/>
      <c r="AG50" s="1400"/>
      <c r="AH50" s="1400"/>
      <c r="AI50" s="1400"/>
      <c r="AJ50" s="1400"/>
      <c r="AK50" s="1400"/>
      <c r="AL50" s="1400"/>
      <c r="AM50" s="1400"/>
      <c r="AN50" s="1400"/>
      <c r="AO50" s="1400"/>
      <c r="AP50" s="1400"/>
      <c r="AQ50" s="1400"/>
      <c r="AR50" s="1400"/>
      <c r="AS50" s="1400"/>
      <c r="AT50" s="1400"/>
      <c r="AU50" s="1400"/>
      <c r="AV50" s="1400"/>
      <c r="AW50" s="1400"/>
      <c r="AX50" s="1400"/>
      <c r="AY50" s="1400"/>
      <c r="AZ50" s="1400"/>
      <c r="BA50" s="1400"/>
      <c r="BB50" s="1400"/>
      <c r="BC50" s="1400"/>
      <c r="BD50" s="1400"/>
      <c r="BE50" s="1400"/>
      <c r="BF50" s="1400"/>
      <c r="BG50" s="1400"/>
      <c r="BH50" s="1400"/>
      <c r="BI50" s="2248"/>
      <c r="BJ50" s="2248"/>
      <c r="BK50" s="2248"/>
      <c r="BL50" s="2142" t="s">
        <v>1652</v>
      </c>
      <c r="BM50" s="31">
        <v>200</v>
      </c>
      <c r="BN50" s="31">
        <v>185</v>
      </c>
      <c r="BO50" s="31">
        <v>20</v>
      </c>
      <c r="BP50" s="2162">
        <v>20</v>
      </c>
      <c r="BQ50" s="2162">
        <v>20</v>
      </c>
      <c r="BR50" s="2318">
        <v>6.666666666666667</v>
      </c>
      <c r="BS50" s="2162">
        <v>85</v>
      </c>
      <c r="BT50" s="2162">
        <v>60</v>
      </c>
      <c r="BU50" s="2163">
        <v>7.0000000000000007E-2</v>
      </c>
      <c r="BV50" s="2220">
        <v>0</v>
      </c>
      <c r="BW50" s="2220"/>
    </row>
    <row r="51" spans="1:81" ht="15.75">
      <c r="A51" s="2481" t="s">
        <v>609</v>
      </c>
      <c r="B51" s="2482"/>
      <c r="C51" s="2615" t="s">
        <v>1073</v>
      </c>
      <c r="D51" s="2616"/>
      <c r="E51" s="2616"/>
      <c r="F51" s="2616"/>
      <c r="G51" s="2616"/>
      <c r="H51" s="2616"/>
      <c r="I51" s="2616"/>
      <c r="J51" s="2616"/>
      <c r="K51" s="2616"/>
      <c r="L51" s="2616"/>
      <c r="M51" s="2616"/>
      <c r="N51" s="2616"/>
      <c r="O51" s="2616"/>
      <c r="P51" s="2616"/>
      <c r="Q51" s="2616"/>
      <c r="R51" s="2616"/>
      <c r="S51" s="2616"/>
      <c r="T51" s="2616"/>
      <c r="U51" s="2616"/>
      <c r="V51" s="2617"/>
      <c r="W51" s="2617"/>
      <c r="X51" s="557"/>
      <c r="Z51" s="661"/>
      <c r="AA51" s="661"/>
      <c r="AB51" s="661"/>
      <c r="AC51" s="661"/>
      <c r="AD51" s="661"/>
      <c r="AE51" s="661"/>
      <c r="AF51" s="661"/>
      <c r="AG51" s="661"/>
      <c r="AH51" s="661"/>
      <c r="AI51" s="661"/>
      <c r="AJ51" s="661"/>
      <c r="AK51" s="661"/>
      <c r="AL51" s="661"/>
      <c r="AM51" s="661"/>
      <c r="AN51" s="661"/>
      <c r="AO51" s="661"/>
      <c r="AP51" s="661"/>
      <c r="AQ51" s="661"/>
      <c r="AR51" s="661"/>
      <c r="AS51" s="661"/>
      <c r="AT51" s="661"/>
      <c r="AU51" s="661"/>
      <c r="AV51" s="661"/>
      <c r="AW51" s="661"/>
      <c r="AX51" s="661"/>
      <c r="AY51" s="661"/>
      <c r="AZ51" s="661"/>
      <c r="BA51" s="661"/>
      <c r="BB51" s="661"/>
      <c r="BC51" s="661"/>
      <c r="BD51" s="661"/>
      <c r="BE51" s="661"/>
      <c r="BF51" s="661"/>
      <c r="BG51" s="661"/>
      <c r="BH51" s="661"/>
      <c r="BI51" s="2248"/>
      <c r="BJ51" s="2248"/>
      <c r="BK51" s="2248"/>
      <c r="BL51" s="2143" t="s">
        <v>1352</v>
      </c>
      <c r="BM51" s="31">
        <v>600</v>
      </c>
      <c r="BN51" s="31">
        <v>115</v>
      </c>
      <c r="BO51" s="31">
        <v>20</v>
      </c>
      <c r="BP51" s="2144">
        <v>20</v>
      </c>
      <c r="BQ51" s="2144">
        <v>20</v>
      </c>
      <c r="BR51" s="2318">
        <v>30</v>
      </c>
      <c r="BS51" s="2144">
        <v>10</v>
      </c>
      <c r="BT51" s="2144">
        <v>60</v>
      </c>
      <c r="BU51" s="2148">
        <v>8.2000000000000003E-2</v>
      </c>
      <c r="BV51" s="2220">
        <v>0</v>
      </c>
      <c r="BW51" s="2220"/>
    </row>
    <row r="52" spans="1:81" ht="15.75">
      <c r="A52" s="2483"/>
      <c r="B52" s="2484"/>
      <c r="C52" s="2616"/>
      <c r="D52" s="2616"/>
      <c r="E52" s="2616"/>
      <c r="F52" s="2616"/>
      <c r="G52" s="2616"/>
      <c r="H52" s="2616"/>
      <c r="I52" s="2616"/>
      <c r="J52" s="2616"/>
      <c r="K52" s="2616"/>
      <c r="L52" s="2616"/>
      <c r="M52" s="2616"/>
      <c r="N52" s="2616"/>
      <c r="O52" s="2616"/>
      <c r="P52" s="2616"/>
      <c r="Q52" s="2616"/>
      <c r="R52" s="2616"/>
      <c r="S52" s="2616"/>
      <c r="T52" s="2616"/>
      <c r="U52" s="2616"/>
      <c r="V52" s="2617"/>
      <c r="W52" s="2617"/>
      <c r="X52" s="2248"/>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2248"/>
      <c r="BJ52" s="2248"/>
      <c r="BK52" s="2248"/>
      <c r="BL52" s="2143" t="s">
        <v>1353</v>
      </c>
      <c r="BM52" s="31">
        <v>900</v>
      </c>
      <c r="BN52" s="31">
        <v>165</v>
      </c>
      <c r="BO52" s="31">
        <v>20</v>
      </c>
      <c r="BP52" s="2144">
        <v>20</v>
      </c>
      <c r="BQ52" s="2144">
        <v>20</v>
      </c>
      <c r="BR52" s="2318">
        <v>20</v>
      </c>
      <c r="BS52" s="2144">
        <v>45</v>
      </c>
      <c r="BT52" s="2144">
        <v>90</v>
      </c>
      <c r="BU52" s="2148">
        <v>0.08</v>
      </c>
      <c r="BV52" s="2220">
        <v>0</v>
      </c>
      <c r="BW52" s="2220"/>
    </row>
    <row r="53" spans="1:81" ht="15.75">
      <c r="A53" s="2613"/>
      <c r="B53" s="2614"/>
      <c r="C53" s="2616"/>
      <c r="D53" s="2616"/>
      <c r="E53" s="2616"/>
      <c r="F53" s="2616"/>
      <c r="G53" s="2616"/>
      <c r="H53" s="2616"/>
      <c r="I53" s="2616"/>
      <c r="J53" s="2616"/>
      <c r="K53" s="2616"/>
      <c r="L53" s="2616"/>
      <c r="M53" s="2616"/>
      <c r="N53" s="2616"/>
      <c r="O53" s="2616"/>
      <c r="P53" s="2616"/>
      <c r="Q53" s="2616"/>
      <c r="R53" s="2616"/>
      <c r="S53" s="2616"/>
      <c r="T53" s="2616"/>
      <c r="U53" s="2616"/>
      <c r="V53" s="2617"/>
      <c r="W53" s="2617"/>
      <c r="X53" s="2248"/>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AY53" s="661"/>
      <c r="AZ53" s="661"/>
      <c r="BA53" s="661"/>
      <c r="BB53" s="661"/>
      <c r="BC53" s="661"/>
      <c r="BD53" s="661"/>
      <c r="BE53" s="661"/>
      <c r="BF53" s="661"/>
      <c r="BG53" s="661"/>
      <c r="BH53" s="661"/>
      <c r="BI53" s="2248"/>
      <c r="BJ53" s="2248"/>
      <c r="BK53" s="2248"/>
      <c r="BL53" s="2143" t="s">
        <v>1354</v>
      </c>
      <c r="BM53" s="31">
        <v>700</v>
      </c>
      <c r="BN53" s="31">
        <v>125</v>
      </c>
      <c r="BO53" s="31">
        <v>20</v>
      </c>
      <c r="BP53" s="2144">
        <v>20</v>
      </c>
      <c r="BQ53" s="2144">
        <v>20</v>
      </c>
      <c r="BR53" s="2317">
        <v>0</v>
      </c>
      <c r="BS53" s="2144">
        <v>30</v>
      </c>
      <c r="BT53" s="2144">
        <v>60</v>
      </c>
      <c r="BU53" s="2148">
        <v>0.08</v>
      </c>
      <c r="BV53" s="2220">
        <v>0</v>
      </c>
      <c r="BW53" s="2220"/>
    </row>
    <row r="54" spans="1:81" ht="21">
      <c r="A54" s="2601"/>
      <c r="B54" s="2603"/>
      <c r="C54" s="2615" t="s">
        <v>588</v>
      </c>
      <c r="D54" s="2616"/>
      <c r="E54" s="2616"/>
      <c r="F54" s="2616"/>
      <c r="G54" s="2616"/>
      <c r="H54" s="2616"/>
      <c r="I54" s="2616"/>
      <c r="J54" s="2616"/>
      <c r="K54" s="2616"/>
      <c r="L54" s="2616"/>
      <c r="M54" s="2616"/>
      <c r="N54" s="2616"/>
      <c r="O54" s="2616"/>
      <c r="P54" s="2616"/>
      <c r="Q54" s="2616"/>
      <c r="R54" s="2616"/>
      <c r="S54" s="2616"/>
      <c r="T54" s="2616"/>
      <c r="U54" s="2617"/>
      <c r="V54" s="2617"/>
      <c r="W54" s="2617"/>
      <c r="X54" s="2248"/>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44"/>
      <c r="AV54" s="1044"/>
      <c r="AW54" s="1044"/>
      <c r="AX54" s="1044"/>
      <c r="AY54" s="1044"/>
      <c r="AZ54" s="1044"/>
      <c r="BA54" s="1044"/>
      <c r="BB54" s="1044"/>
      <c r="BC54" s="1044"/>
      <c r="BD54" s="1044"/>
      <c r="BE54" s="1044"/>
      <c r="BF54" s="1044"/>
      <c r="BG54" s="1044"/>
      <c r="BH54" s="1044"/>
      <c r="BI54" s="2248"/>
      <c r="BJ54" s="2248"/>
      <c r="BK54" s="2248"/>
      <c r="BL54" s="2309" t="s">
        <v>1653</v>
      </c>
      <c r="BM54" s="31">
        <v>120</v>
      </c>
      <c r="BN54" s="31">
        <v>100</v>
      </c>
      <c r="BO54" s="31">
        <v>10</v>
      </c>
      <c r="BP54" s="2314">
        <v>5</v>
      </c>
      <c r="BQ54" s="2314">
        <v>5</v>
      </c>
      <c r="BR54" s="2318">
        <v>3.3333333333333335</v>
      </c>
      <c r="BS54" s="2162">
        <v>0</v>
      </c>
      <c r="BT54" s="2162">
        <v>30</v>
      </c>
      <c r="BU54" s="2163">
        <v>0.14000000000000001</v>
      </c>
      <c r="BV54" s="2220">
        <v>0</v>
      </c>
      <c r="BW54" s="2220"/>
    </row>
    <row r="55" spans="1:81">
      <c r="V55" s="2248"/>
      <c r="W55" s="2248"/>
      <c r="X55" s="2248"/>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2248"/>
      <c r="BJ55" s="2248"/>
      <c r="BK55" s="2248"/>
      <c r="BL55" s="2142" t="s">
        <v>1654</v>
      </c>
      <c r="BM55" s="31">
        <v>700</v>
      </c>
      <c r="BN55" s="31">
        <v>180</v>
      </c>
      <c r="BO55" s="31">
        <v>20</v>
      </c>
      <c r="BP55" s="2162">
        <v>20</v>
      </c>
      <c r="BQ55" s="2162">
        <v>20</v>
      </c>
      <c r="BR55" s="2318">
        <v>33.333333333333336</v>
      </c>
      <c r="BS55" s="2162">
        <v>5</v>
      </c>
      <c r="BT55" s="2162">
        <v>60</v>
      </c>
      <c r="BU55" s="2163">
        <v>6.9000000000000006E-2</v>
      </c>
      <c r="BV55" s="2220">
        <v>0</v>
      </c>
      <c r="BW55" s="2220"/>
    </row>
    <row r="56" spans="1:81" s="186" customFormat="1">
      <c r="A56" s="2219"/>
      <c r="B56" s="2220"/>
      <c r="C56" s="2220"/>
      <c r="D56" s="2219"/>
      <c r="E56" s="2220"/>
      <c r="F56" s="2220"/>
      <c r="G56" s="2220"/>
      <c r="H56" s="2220"/>
      <c r="I56" s="2220"/>
      <c r="J56" s="2220"/>
      <c r="K56" s="2220"/>
      <c r="L56" s="2220"/>
      <c r="M56" s="2220"/>
      <c r="N56" s="2220"/>
      <c r="O56" s="2220"/>
      <c r="P56" s="2220"/>
      <c r="Q56" s="2220"/>
      <c r="R56" s="2220"/>
      <c r="S56" s="2220"/>
      <c r="T56" s="2220"/>
      <c r="U56" s="2221"/>
      <c r="V56" s="2259"/>
      <c r="W56" s="2259"/>
      <c r="X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T56" s="2259"/>
      <c r="AU56" s="2259"/>
      <c r="AV56" s="2259"/>
      <c r="AW56" s="2259"/>
      <c r="AX56" s="2259"/>
      <c r="AY56" s="2259"/>
      <c r="AZ56" s="2259"/>
      <c r="BA56" s="2259"/>
      <c r="BB56" s="2259"/>
      <c r="BC56" s="2259"/>
      <c r="BD56" s="2259"/>
      <c r="BE56" s="2259"/>
      <c r="BF56" s="2259"/>
      <c r="BG56" s="2259"/>
      <c r="BH56" s="2259"/>
      <c r="BI56" s="2259"/>
      <c r="BJ56" s="2259"/>
      <c r="BK56" s="2259"/>
      <c r="BL56" s="2142" t="s">
        <v>1655</v>
      </c>
      <c r="BM56" s="31">
        <v>600</v>
      </c>
      <c r="BN56" s="31">
        <v>160</v>
      </c>
      <c r="BO56" s="31">
        <v>20</v>
      </c>
      <c r="BP56" s="2162">
        <v>20</v>
      </c>
      <c r="BQ56" s="2162">
        <v>20</v>
      </c>
      <c r="BR56" s="2318">
        <v>6.666666666666667</v>
      </c>
      <c r="BS56" s="2162">
        <v>5</v>
      </c>
      <c r="BT56" s="2162">
        <v>60</v>
      </c>
      <c r="BU56" s="2163">
        <v>6.9000000000000006E-2</v>
      </c>
      <c r="BV56" s="2220">
        <v>0</v>
      </c>
      <c r="BW56" s="2220"/>
      <c r="BX56" s="2220"/>
      <c r="BY56" s="2220"/>
      <c r="BZ56" s="2220"/>
      <c r="CA56" s="2220"/>
      <c r="CB56" s="2220"/>
      <c r="CC56" s="2220"/>
    </row>
    <row r="57" spans="1:81" s="186" customFormat="1" ht="15.75">
      <c r="A57" s="2219"/>
      <c r="B57" s="2220"/>
      <c r="C57" s="2220"/>
      <c r="D57" s="2219"/>
      <c r="E57" s="2220"/>
      <c r="F57" s="2220"/>
      <c r="G57" s="2220"/>
      <c r="H57" s="2220"/>
      <c r="I57" s="2220"/>
      <c r="J57" s="2220"/>
      <c r="K57" s="2220"/>
      <c r="L57" s="2220"/>
      <c r="M57" s="2220"/>
      <c r="N57" s="2220"/>
      <c r="O57" s="2220"/>
      <c r="P57" s="2220"/>
      <c r="Q57" s="2220"/>
      <c r="R57" s="2220"/>
      <c r="S57" s="2220"/>
      <c r="T57" s="2220"/>
      <c r="U57" s="2221"/>
      <c r="V57" s="2259"/>
      <c r="W57" s="2220"/>
      <c r="X57" s="2258"/>
      <c r="Z57" s="2259"/>
      <c r="AA57" s="2259"/>
      <c r="AB57" s="2259"/>
      <c r="AC57" s="2259"/>
      <c r="AD57" s="2259"/>
      <c r="AE57" s="2259"/>
      <c r="AF57" s="2259"/>
      <c r="AG57" s="2259"/>
      <c r="AH57" s="2259"/>
      <c r="AI57" s="2259"/>
      <c r="AJ57" s="2259"/>
      <c r="AK57" s="2259"/>
      <c r="AL57" s="2259"/>
      <c r="AM57" s="2259"/>
      <c r="AN57" s="2259"/>
      <c r="AO57" s="2259"/>
      <c r="AP57" s="2259"/>
      <c r="AQ57" s="2259"/>
      <c r="AR57" s="2259"/>
      <c r="AS57" s="2259"/>
      <c r="AT57" s="2259"/>
      <c r="AU57" s="2259"/>
      <c r="AV57" s="2259"/>
      <c r="AW57" s="2259"/>
      <c r="AX57" s="2259"/>
      <c r="AY57" s="2259"/>
      <c r="AZ57" s="2259"/>
      <c r="BA57" s="2259"/>
      <c r="BB57" s="2259"/>
      <c r="BC57" s="2259"/>
      <c r="BD57" s="2259"/>
      <c r="BE57" s="2259"/>
      <c r="BF57" s="2259"/>
      <c r="BG57" s="2259"/>
      <c r="BH57" s="2259"/>
      <c r="BI57" s="2259"/>
      <c r="BJ57" s="2259"/>
      <c r="BK57" s="2259"/>
      <c r="BL57" s="2142" t="s">
        <v>1656</v>
      </c>
      <c r="BM57" s="31">
        <v>500</v>
      </c>
      <c r="BN57" s="31">
        <v>250</v>
      </c>
      <c r="BO57" s="31">
        <v>20</v>
      </c>
      <c r="BP57" s="2315">
        <v>20</v>
      </c>
      <c r="BQ57" s="2315">
        <v>20</v>
      </c>
      <c r="BR57" s="2318">
        <v>6.666666666666667</v>
      </c>
      <c r="BS57" s="2315">
        <v>100</v>
      </c>
      <c r="BT57" s="2315">
        <v>60</v>
      </c>
      <c r="BU57" s="2316">
        <v>7.0000000000000007E-2</v>
      </c>
      <c r="BV57" s="2220">
        <v>0</v>
      </c>
      <c r="BW57" s="2220"/>
      <c r="BX57" s="2220"/>
      <c r="BY57" s="2220"/>
      <c r="BZ57" s="2220"/>
      <c r="CA57" s="2220"/>
      <c r="CB57" s="2220"/>
      <c r="CC57" s="2220"/>
    </row>
    <row r="58" spans="1:81" s="186" customFormat="1" ht="15.75">
      <c r="A58" s="2219"/>
      <c r="B58" s="2220"/>
      <c r="C58" s="2220"/>
      <c r="D58" s="2219"/>
      <c r="E58" s="2220"/>
      <c r="F58" s="2220"/>
      <c r="G58" s="2220"/>
      <c r="H58" s="2220"/>
      <c r="I58" s="2220"/>
      <c r="J58" s="2220"/>
      <c r="K58" s="2220"/>
      <c r="L58" s="2220"/>
      <c r="M58" s="2220"/>
      <c r="N58" s="2220"/>
      <c r="O58" s="2220"/>
      <c r="P58" s="2220"/>
      <c r="Q58" s="2220"/>
      <c r="R58" s="2220"/>
      <c r="S58" s="2220"/>
      <c r="T58" s="2220"/>
      <c r="U58" s="2221"/>
      <c r="V58" s="2280"/>
      <c r="W58" s="2220"/>
      <c r="X58" s="2258"/>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T58" s="2259"/>
      <c r="AU58" s="2259"/>
      <c r="AV58" s="2259"/>
      <c r="AW58" s="2259"/>
      <c r="AX58" s="2259"/>
      <c r="AY58" s="2259"/>
      <c r="AZ58" s="2259"/>
      <c r="BA58" s="2259"/>
      <c r="BB58" s="2259"/>
      <c r="BC58" s="2259"/>
      <c r="BD58" s="2259"/>
      <c r="BE58" s="2259"/>
      <c r="BF58" s="2259"/>
      <c r="BG58" s="2259"/>
      <c r="BH58" s="2259"/>
      <c r="BI58" s="2259"/>
      <c r="BJ58" s="2259"/>
      <c r="BK58" s="2259"/>
      <c r="BL58" s="2143" t="s">
        <v>1285</v>
      </c>
      <c r="BM58" s="31">
        <v>400</v>
      </c>
      <c r="BN58" s="31">
        <v>140</v>
      </c>
      <c r="BO58" s="31">
        <v>20</v>
      </c>
      <c r="BP58" s="2144">
        <v>20</v>
      </c>
      <c r="BQ58" s="2144">
        <v>20</v>
      </c>
      <c r="BR58" s="2318">
        <v>30</v>
      </c>
      <c r="BS58" s="2144">
        <v>50</v>
      </c>
      <c r="BT58" s="2144">
        <v>60</v>
      </c>
      <c r="BU58" s="2148">
        <v>0.23599999999999999</v>
      </c>
      <c r="BV58" s="2220">
        <v>0</v>
      </c>
      <c r="BW58" s="2220"/>
      <c r="BX58" s="2220"/>
      <c r="BY58" s="2220"/>
      <c r="BZ58" s="2220"/>
      <c r="CA58" s="2220"/>
      <c r="CB58" s="2220"/>
      <c r="CC58" s="2220"/>
    </row>
    <row r="59" spans="1:81" s="186" customFormat="1" ht="18.75">
      <c r="A59" s="2219"/>
      <c r="B59" s="2220"/>
      <c r="C59" s="2220"/>
      <c r="D59" s="2219"/>
      <c r="E59" s="2220"/>
      <c r="F59" s="2220"/>
      <c r="G59" s="2220"/>
      <c r="H59" s="2220"/>
      <c r="I59" s="2220"/>
      <c r="J59" s="2220"/>
      <c r="K59" s="2220"/>
      <c r="L59" s="2220"/>
      <c r="M59" s="2220"/>
      <c r="N59" s="2220"/>
      <c r="O59" s="2220"/>
      <c r="P59" s="2220"/>
      <c r="Q59" s="2220"/>
      <c r="R59" s="2220"/>
      <c r="S59" s="2220"/>
      <c r="T59" s="2220"/>
      <c r="U59" s="2221"/>
      <c r="V59" s="2280"/>
      <c r="W59" s="2220"/>
      <c r="X59" s="2258"/>
      <c r="Z59" s="2259"/>
      <c r="AA59" s="2259"/>
      <c r="AB59" s="2310"/>
      <c r="AC59" s="2310"/>
      <c r="AD59" s="2259"/>
      <c r="AE59" s="2259"/>
      <c r="AF59" s="2259"/>
      <c r="AG59" s="2259"/>
      <c r="AH59" s="2259"/>
      <c r="AI59" s="2259"/>
      <c r="AJ59" s="2259"/>
      <c r="AK59" s="2259"/>
      <c r="AL59" s="2259"/>
      <c r="AM59" s="2259"/>
      <c r="AN59" s="2259"/>
      <c r="AO59" s="2259"/>
      <c r="AP59" s="2259"/>
      <c r="AQ59" s="2259"/>
      <c r="AR59" s="2259"/>
      <c r="AS59" s="2259"/>
      <c r="AT59" s="2259"/>
      <c r="AU59" s="2259"/>
      <c r="AV59" s="2259"/>
      <c r="AW59" s="2259"/>
      <c r="AX59" s="2259"/>
      <c r="AY59" s="2259"/>
      <c r="AZ59" s="2259"/>
      <c r="BA59" s="2259"/>
      <c r="BB59" s="2259"/>
      <c r="BC59" s="2259"/>
      <c r="BD59" s="2259"/>
      <c r="BE59" s="2259"/>
      <c r="BF59" s="2259"/>
      <c r="BG59" s="2259"/>
      <c r="BH59" s="2259"/>
      <c r="BI59" s="2259"/>
      <c r="BJ59" s="2259"/>
      <c r="BK59" s="2259"/>
      <c r="BL59" s="2143" t="s">
        <v>1355</v>
      </c>
      <c r="BM59" s="31">
        <v>240</v>
      </c>
      <c r="BN59" s="31">
        <v>160</v>
      </c>
      <c r="BO59" s="31">
        <v>20</v>
      </c>
      <c r="BP59" s="2144">
        <v>20</v>
      </c>
      <c r="BQ59" s="2144">
        <v>20</v>
      </c>
      <c r="BR59" s="2317">
        <v>0</v>
      </c>
      <c r="BS59" s="2144">
        <v>10</v>
      </c>
      <c r="BT59" s="2144">
        <v>60</v>
      </c>
      <c r="BU59" s="2148">
        <v>0.115</v>
      </c>
      <c r="BV59" s="2220">
        <v>0</v>
      </c>
      <c r="BW59" s="2220"/>
      <c r="BX59" s="2220"/>
      <c r="BY59" s="2220"/>
      <c r="BZ59" s="2220"/>
      <c r="CA59" s="2220"/>
      <c r="CB59" s="2220"/>
      <c r="CC59" s="2220"/>
    </row>
    <row r="60" spans="1:81" s="186" customFormat="1" ht="15.75">
      <c r="A60" s="2219"/>
      <c r="B60" s="2220"/>
      <c r="C60" s="2220"/>
      <c r="D60" s="2219"/>
      <c r="E60" s="2220"/>
      <c r="F60" s="2220"/>
      <c r="G60" s="2220"/>
      <c r="H60" s="2220"/>
      <c r="I60" s="2220"/>
      <c r="J60" s="2220"/>
      <c r="K60" s="2220"/>
      <c r="L60" s="2220"/>
      <c r="M60" s="2220"/>
      <c r="N60" s="2220"/>
      <c r="O60" s="2220"/>
      <c r="P60" s="2220"/>
      <c r="Q60" s="2220"/>
      <c r="R60" s="2220"/>
      <c r="S60" s="2220"/>
      <c r="T60" s="2220"/>
      <c r="U60" s="2221"/>
      <c r="V60" s="2220"/>
      <c r="W60" s="2259"/>
      <c r="X60" s="2258"/>
      <c r="Z60" s="2259"/>
      <c r="AA60" s="2259"/>
      <c r="AB60" s="2311"/>
      <c r="AC60" s="2311"/>
      <c r="AD60" s="2222"/>
      <c r="AE60" s="2222"/>
      <c r="AF60" s="2222"/>
      <c r="AG60" s="2222"/>
      <c r="AH60" s="2222"/>
      <c r="AI60" s="2222"/>
      <c r="AJ60" s="2222"/>
      <c r="AK60" s="2222"/>
      <c r="AL60" s="2222"/>
      <c r="AM60" s="2222"/>
      <c r="AN60" s="2222"/>
      <c r="AO60" s="2222"/>
      <c r="AP60" s="2222"/>
      <c r="AQ60" s="2222"/>
      <c r="AR60" s="2222"/>
      <c r="AS60" s="2222"/>
      <c r="AT60" s="2222"/>
      <c r="AU60" s="2222"/>
      <c r="AV60" s="2222"/>
      <c r="AW60" s="2222"/>
      <c r="AX60" s="2222"/>
      <c r="AY60" s="2222"/>
      <c r="AZ60" s="2222"/>
      <c r="BA60" s="2222"/>
      <c r="BB60" s="2222"/>
      <c r="BC60" s="2222"/>
      <c r="BD60" s="2222"/>
      <c r="BE60" s="2222"/>
      <c r="BF60" s="2222"/>
      <c r="BG60" s="2222"/>
      <c r="BH60" s="2222"/>
      <c r="BI60" s="2222"/>
      <c r="BJ60" s="2222"/>
      <c r="BK60" s="2222"/>
      <c r="BL60" s="2143" t="s">
        <v>1356</v>
      </c>
      <c r="BM60" s="31">
        <v>160</v>
      </c>
      <c r="BN60" s="31">
        <v>100</v>
      </c>
      <c r="BO60" s="31">
        <v>20</v>
      </c>
      <c r="BP60" s="2144">
        <v>20</v>
      </c>
      <c r="BQ60" s="2144">
        <v>20</v>
      </c>
      <c r="BR60" s="2318">
        <v>20</v>
      </c>
      <c r="BS60" s="2144">
        <v>10</v>
      </c>
      <c r="BT60" s="2144">
        <v>60</v>
      </c>
      <c r="BU60" s="2148">
        <v>0.115</v>
      </c>
      <c r="BV60" s="2220">
        <v>0</v>
      </c>
      <c r="BW60" s="2220"/>
      <c r="BX60" s="2220"/>
      <c r="BY60" s="2220"/>
      <c r="BZ60" s="2220"/>
      <c r="CA60" s="2220"/>
      <c r="CB60" s="2220"/>
      <c r="CC60" s="2220"/>
    </row>
    <row r="61" spans="1:81" s="186" customFormat="1" ht="15.75">
      <c r="A61" s="2219"/>
      <c r="B61" s="2220"/>
      <c r="C61" s="2220"/>
      <c r="D61" s="2219"/>
      <c r="E61" s="2220"/>
      <c r="F61" s="2220"/>
      <c r="G61" s="2220"/>
      <c r="H61" s="2220"/>
      <c r="I61" s="2220"/>
      <c r="J61" s="2220"/>
      <c r="K61" s="2220"/>
      <c r="L61" s="2220"/>
      <c r="M61" s="2220"/>
      <c r="N61" s="2220"/>
      <c r="O61" s="2220"/>
      <c r="P61" s="2220"/>
      <c r="Q61" s="2220"/>
      <c r="R61" s="2220"/>
      <c r="S61" s="2220"/>
      <c r="T61" s="2220"/>
      <c r="U61" s="2221"/>
      <c r="V61" s="2259"/>
      <c r="W61" s="2259"/>
      <c r="X61" s="2259"/>
      <c r="Z61" s="2258"/>
      <c r="AA61" s="2258"/>
      <c r="AB61" s="2222"/>
      <c r="AC61" s="2222"/>
      <c r="AD61" s="2222"/>
      <c r="AE61" s="2222"/>
      <c r="AF61" s="2222"/>
      <c r="AG61" s="2222"/>
      <c r="AH61" s="2222"/>
      <c r="AI61" s="2222"/>
      <c r="AJ61" s="2222"/>
      <c r="AK61" s="2222"/>
      <c r="AL61" s="2222"/>
      <c r="AM61" s="2222"/>
      <c r="AN61" s="2222"/>
      <c r="AO61" s="2222"/>
      <c r="AP61" s="2222"/>
      <c r="AQ61" s="2222"/>
      <c r="AR61" s="2222"/>
      <c r="AS61" s="2222"/>
      <c r="AT61" s="2222"/>
      <c r="AU61" s="2222"/>
      <c r="AV61" s="2222"/>
      <c r="AW61" s="2222"/>
      <c r="AX61" s="2222"/>
      <c r="AY61" s="2222"/>
      <c r="AZ61" s="2222"/>
      <c r="BA61" s="2222"/>
      <c r="BB61" s="2222"/>
      <c r="BC61" s="2222"/>
      <c r="BD61" s="2222"/>
      <c r="BE61" s="2222"/>
      <c r="BF61" s="2222"/>
      <c r="BG61" s="2222"/>
      <c r="BH61" s="2222"/>
      <c r="BI61" s="2222"/>
      <c r="BJ61" s="2222"/>
      <c r="BK61" s="2222"/>
      <c r="BL61" s="2154" t="s">
        <v>1573</v>
      </c>
      <c r="BM61" s="31">
        <v>500</v>
      </c>
      <c r="BN61" s="31">
        <v>285</v>
      </c>
      <c r="BO61" s="31">
        <v>10</v>
      </c>
      <c r="BP61" s="2153">
        <v>29</v>
      </c>
      <c r="BQ61" s="2153">
        <v>14</v>
      </c>
      <c r="BR61" s="2318">
        <v>36.666666666666664</v>
      </c>
      <c r="BS61" s="2161">
        <v>0</v>
      </c>
      <c r="BT61" s="2161">
        <v>60</v>
      </c>
      <c r="BU61" s="2157">
        <v>0.13</v>
      </c>
      <c r="BV61" s="2220">
        <v>0</v>
      </c>
      <c r="BW61" s="2220"/>
      <c r="BX61" s="2220"/>
      <c r="BY61" s="2220"/>
      <c r="BZ61" s="2220"/>
      <c r="CA61" s="2220"/>
      <c r="CB61" s="2220"/>
      <c r="CC61" s="2220"/>
    </row>
    <row r="62" spans="1:81" s="186" customFormat="1" ht="15.75">
      <c r="A62" s="2219"/>
      <c r="B62" s="2220"/>
      <c r="C62" s="2220"/>
      <c r="D62" s="2219"/>
      <c r="E62" s="2220"/>
      <c r="F62" s="2220"/>
      <c r="G62" s="2220"/>
      <c r="H62" s="2220"/>
      <c r="I62" s="2220"/>
      <c r="J62" s="2220"/>
      <c r="K62" s="2220"/>
      <c r="L62" s="2220"/>
      <c r="M62" s="2220"/>
      <c r="N62" s="2220"/>
      <c r="O62" s="2220"/>
      <c r="P62" s="2220"/>
      <c r="Q62" s="2220"/>
      <c r="R62" s="2220"/>
      <c r="S62" s="2220"/>
      <c r="T62" s="2220"/>
      <c r="U62" s="2221"/>
      <c r="V62" s="2220"/>
      <c r="W62" s="2259"/>
      <c r="X62" s="2259"/>
      <c r="Z62" s="2258"/>
      <c r="AA62" s="2258"/>
      <c r="AB62" s="2259"/>
      <c r="AC62" s="2259"/>
      <c r="AD62" s="2259"/>
      <c r="AE62" s="2259"/>
      <c r="AF62" s="2259"/>
      <c r="AG62" s="2259"/>
      <c r="AH62" s="2259"/>
      <c r="AI62" s="2259"/>
      <c r="AJ62" s="2259"/>
      <c r="AK62" s="2259"/>
      <c r="AL62" s="2259"/>
      <c r="AM62" s="2259"/>
      <c r="AN62" s="2259"/>
      <c r="AO62" s="2259"/>
      <c r="AP62" s="2259"/>
      <c r="AQ62" s="2259"/>
      <c r="AR62" s="2259"/>
      <c r="AS62" s="2259"/>
      <c r="AT62" s="2259"/>
      <c r="AU62" s="2259"/>
      <c r="AV62" s="2259"/>
      <c r="AW62" s="2259"/>
      <c r="AX62" s="2259"/>
      <c r="AY62" s="2259"/>
      <c r="AZ62" s="2259"/>
      <c r="BA62" s="2259"/>
      <c r="BB62" s="2259"/>
      <c r="BC62" s="2259"/>
      <c r="BD62" s="2259"/>
      <c r="BE62" s="2259"/>
      <c r="BF62" s="2259"/>
      <c r="BG62" s="2259"/>
      <c r="BH62" s="2259"/>
      <c r="BI62" s="2259"/>
      <c r="BJ62" s="2259"/>
      <c r="BK62" s="2259"/>
      <c r="BL62" s="2141" t="s">
        <v>1357</v>
      </c>
      <c r="BM62" s="33">
        <v>400</v>
      </c>
      <c r="BN62" s="33">
        <v>130</v>
      </c>
      <c r="BO62" s="33">
        <v>20</v>
      </c>
      <c r="BP62" s="323">
        <v>20</v>
      </c>
      <c r="BQ62" s="323">
        <v>20</v>
      </c>
      <c r="BR62" s="2318">
        <v>0</v>
      </c>
      <c r="BS62" s="323">
        <v>45</v>
      </c>
      <c r="BT62" s="323">
        <v>60</v>
      </c>
      <c r="BU62" s="1001">
        <v>0.13700000000000001</v>
      </c>
      <c r="BV62" s="357">
        <v>0</v>
      </c>
      <c r="BW62" s="357"/>
      <c r="BX62" s="2220"/>
      <c r="BY62" s="2220"/>
      <c r="BZ62" s="2220"/>
      <c r="CA62" s="2220"/>
      <c r="CB62" s="2220"/>
      <c r="CC62" s="2220"/>
    </row>
    <row r="63" spans="1:81" s="186" customFormat="1" ht="15.75">
      <c r="A63" s="2219"/>
      <c r="B63" s="2220"/>
      <c r="C63" s="2220"/>
      <c r="D63" s="2219"/>
      <c r="E63" s="2220"/>
      <c r="F63" s="2220"/>
      <c r="G63" s="2220"/>
      <c r="H63" s="2220"/>
      <c r="I63" s="2220"/>
      <c r="J63" s="2220"/>
      <c r="K63" s="2220"/>
      <c r="L63" s="2220"/>
      <c r="M63" s="2220"/>
      <c r="N63" s="2220"/>
      <c r="O63" s="2220"/>
      <c r="P63" s="2220"/>
      <c r="Q63" s="2220"/>
      <c r="R63" s="2220"/>
      <c r="S63" s="2220"/>
      <c r="T63" s="2220"/>
      <c r="U63" s="2221"/>
      <c r="V63" s="2220"/>
      <c r="W63" s="2220"/>
      <c r="X63" s="2220"/>
      <c r="Z63" s="2258"/>
      <c r="AA63" s="2258"/>
      <c r="AB63" s="2312"/>
      <c r="AC63" s="2312"/>
      <c r="AD63" s="2258"/>
      <c r="AE63" s="2841"/>
      <c r="AF63" s="2842"/>
      <c r="AG63" s="2258"/>
      <c r="AH63" s="2258"/>
      <c r="AI63" s="2258"/>
      <c r="AJ63" s="2258"/>
      <c r="AK63" s="2258"/>
      <c r="AL63" s="2258"/>
      <c r="AM63" s="2258"/>
      <c r="AN63" s="2258"/>
      <c r="AO63" s="2258"/>
      <c r="AP63" s="2258"/>
      <c r="AQ63" s="2258"/>
      <c r="AR63" s="2258"/>
      <c r="AS63" s="2258"/>
      <c r="AT63" s="2258"/>
      <c r="AU63" s="2258"/>
      <c r="AV63" s="2258"/>
      <c r="AW63" s="2258"/>
      <c r="AX63" s="2258"/>
      <c r="AY63" s="2258"/>
      <c r="AZ63" s="2258"/>
      <c r="BA63" s="2258"/>
      <c r="BB63" s="2258"/>
      <c r="BC63" s="2258"/>
      <c r="BD63" s="2258"/>
      <c r="BE63" s="2258"/>
      <c r="BF63" s="2258"/>
      <c r="BG63" s="2258"/>
      <c r="BH63" s="2258"/>
      <c r="BI63" s="2258"/>
      <c r="BJ63" s="2258"/>
      <c r="BK63" s="2258"/>
      <c r="BL63" s="2159" t="s">
        <v>1657</v>
      </c>
      <c r="BM63" s="33">
        <v>400</v>
      </c>
      <c r="BN63" s="33">
        <v>210</v>
      </c>
      <c r="BO63" s="33">
        <v>10</v>
      </c>
      <c r="BP63" s="2158">
        <v>21</v>
      </c>
      <c r="BQ63" s="2158">
        <v>21</v>
      </c>
      <c r="BR63" s="2318">
        <v>0</v>
      </c>
      <c r="BS63" s="2152">
        <v>0</v>
      </c>
      <c r="BT63" s="2152">
        <v>30</v>
      </c>
      <c r="BU63" s="2155">
        <v>0.11</v>
      </c>
      <c r="BV63" s="357">
        <v>0</v>
      </c>
      <c r="BW63" s="357"/>
      <c r="BX63" s="2220"/>
      <c r="BY63" s="2220"/>
      <c r="BZ63" s="2220"/>
      <c r="CA63" s="2220"/>
      <c r="CB63" s="2220"/>
      <c r="CC63" s="2220"/>
    </row>
    <row r="64" spans="1:81" s="186" customFormat="1" ht="15.75">
      <c r="A64" s="2219"/>
      <c r="B64" s="2220"/>
      <c r="C64" s="2220"/>
      <c r="D64" s="2219"/>
      <c r="E64" s="2220"/>
      <c r="F64" s="2220"/>
      <c r="G64" s="2220"/>
      <c r="H64" s="2220"/>
      <c r="I64" s="2220"/>
      <c r="J64" s="2220"/>
      <c r="K64" s="2220"/>
      <c r="L64" s="2220"/>
      <c r="M64" s="2220"/>
      <c r="N64" s="2220"/>
      <c r="O64" s="2220"/>
      <c r="P64" s="2220"/>
      <c r="Q64" s="2220"/>
      <c r="R64" s="2220"/>
      <c r="S64" s="2220"/>
      <c r="T64" s="2220"/>
      <c r="U64" s="2221"/>
      <c r="V64" s="2220"/>
      <c r="W64" s="2220"/>
      <c r="X64" s="2220"/>
      <c r="Z64" s="2258"/>
      <c r="AA64" s="2258"/>
      <c r="AB64" s="2312"/>
      <c r="AC64" s="2312"/>
      <c r="AD64" s="2258"/>
      <c r="AE64" s="1404"/>
      <c r="AF64" s="1404"/>
      <c r="AG64" s="1404"/>
      <c r="AH64" s="1404"/>
      <c r="AI64" s="1404"/>
      <c r="AJ64" s="1404"/>
      <c r="AK64" s="1404"/>
      <c r="AL64" s="1404"/>
      <c r="AM64" s="1404"/>
      <c r="AN64" s="1404"/>
      <c r="AO64" s="1404"/>
      <c r="AP64" s="1404"/>
      <c r="AQ64" s="1404"/>
      <c r="AR64" s="1404"/>
      <c r="AS64" s="1404"/>
      <c r="AT64" s="1404"/>
      <c r="AU64" s="1404"/>
      <c r="AV64" s="1404"/>
      <c r="AW64" s="1404"/>
      <c r="AX64" s="1404"/>
      <c r="AY64" s="1404"/>
      <c r="AZ64" s="1404"/>
      <c r="BA64" s="1404"/>
      <c r="BB64" s="1404"/>
      <c r="BC64" s="1404"/>
      <c r="BD64" s="1404"/>
      <c r="BE64" s="1404"/>
      <c r="BF64" s="1404"/>
      <c r="BG64" s="1404"/>
      <c r="BH64" s="1404"/>
      <c r="BI64" s="1404"/>
      <c r="BJ64" s="1404"/>
      <c r="BK64" s="1404"/>
      <c r="BL64" s="2141" t="s">
        <v>1658</v>
      </c>
      <c r="BM64" s="33">
        <v>150</v>
      </c>
      <c r="BN64" s="33">
        <v>150</v>
      </c>
      <c r="BO64" s="33">
        <v>10</v>
      </c>
      <c r="BP64" s="323">
        <v>10</v>
      </c>
      <c r="BQ64" s="323">
        <v>10</v>
      </c>
      <c r="BR64" s="2318">
        <v>0</v>
      </c>
      <c r="BS64" s="323">
        <v>30</v>
      </c>
      <c r="BT64" s="323">
        <v>30</v>
      </c>
      <c r="BU64" s="2146">
        <v>7.0000000000000007E-2</v>
      </c>
      <c r="BV64" s="357">
        <v>0</v>
      </c>
      <c r="BW64" s="357"/>
      <c r="BX64" s="2220"/>
      <c r="BY64" s="2220"/>
      <c r="BZ64" s="2220"/>
      <c r="CA64" s="2220"/>
      <c r="CB64" s="2220"/>
      <c r="CC64" s="2220"/>
    </row>
    <row r="65" spans="1:81" s="186" customFormat="1" ht="15.75">
      <c r="A65" s="2219"/>
      <c r="B65" s="2220"/>
      <c r="C65" s="2220"/>
      <c r="D65" s="2219"/>
      <c r="E65" s="2220"/>
      <c r="F65" s="2220"/>
      <c r="G65" s="2220"/>
      <c r="H65" s="2220"/>
      <c r="I65" s="2220"/>
      <c r="J65" s="2220"/>
      <c r="K65" s="2220"/>
      <c r="L65" s="2220"/>
      <c r="M65" s="2220"/>
      <c r="N65" s="2220"/>
      <c r="O65" s="2220"/>
      <c r="P65" s="2220"/>
      <c r="Q65" s="2220"/>
      <c r="R65" s="2220"/>
      <c r="S65" s="2220"/>
      <c r="T65" s="2220"/>
      <c r="U65" s="2221"/>
      <c r="V65" s="2220"/>
      <c r="W65" s="2220"/>
      <c r="X65" s="2220"/>
      <c r="Z65" s="2259"/>
      <c r="AA65" s="2259"/>
      <c r="AB65" s="2313"/>
      <c r="AC65" s="2313"/>
      <c r="AD65" s="2258"/>
      <c r="AE65" s="1406"/>
      <c r="AF65" s="1406"/>
      <c r="AG65" s="1406"/>
      <c r="AH65" s="1406"/>
      <c r="AI65" s="1406"/>
      <c r="AJ65" s="1406"/>
      <c r="AK65" s="1406"/>
      <c r="AL65" s="1406"/>
      <c r="AM65" s="1406"/>
      <c r="AN65" s="1406"/>
      <c r="AO65" s="1406"/>
      <c r="AP65" s="1406"/>
      <c r="AQ65" s="1406"/>
      <c r="AR65" s="1406"/>
      <c r="AS65" s="1406"/>
      <c r="AT65" s="1406"/>
      <c r="AU65" s="1406"/>
      <c r="AV65" s="1406"/>
      <c r="AW65" s="1406"/>
      <c r="AX65" s="1406"/>
      <c r="AY65" s="1406"/>
      <c r="AZ65" s="1406"/>
      <c r="BA65" s="1406"/>
      <c r="BB65" s="1406"/>
      <c r="BC65" s="1406"/>
      <c r="BD65" s="1406"/>
      <c r="BE65" s="1406"/>
      <c r="BF65" s="1406"/>
      <c r="BG65" s="1406"/>
      <c r="BH65" s="1406"/>
      <c r="BI65" s="1406"/>
      <c r="BJ65" s="1406"/>
      <c r="BK65" s="1406"/>
      <c r="BL65" s="2141" t="s">
        <v>1358</v>
      </c>
      <c r="BM65" s="33">
        <v>600</v>
      </c>
      <c r="BN65" s="33">
        <v>250</v>
      </c>
      <c r="BO65" s="33">
        <v>20</v>
      </c>
      <c r="BP65" s="323">
        <v>40</v>
      </c>
      <c r="BQ65" s="323">
        <v>40</v>
      </c>
      <c r="BR65" s="2318">
        <v>0</v>
      </c>
      <c r="BS65" s="323">
        <v>55</v>
      </c>
      <c r="BT65" s="323">
        <v>60</v>
      </c>
      <c r="BU65" s="1001">
        <v>0.08</v>
      </c>
      <c r="BV65" s="357">
        <v>0</v>
      </c>
      <c r="BW65" s="357"/>
      <c r="BX65" s="2220"/>
      <c r="BY65" s="2220"/>
      <c r="BZ65" s="2220"/>
      <c r="CA65" s="2220"/>
      <c r="CB65" s="2220"/>
      <c r="CC65" s="2220"/>
    </row>
    <row r="66" spans="1:81" s="186" customFormat="1" ht="15.75">
      <c r="A66" s="2219"/>
      <c r="B66" s="2220"/>
      <c r="C66" s="2220"/>
      <c r="D66" s="2219"/>
      <c r="E66" s="2220"/>
      <c r="F66" s="2220"/>
      <c r="G66" s="2220"/>
      <c r="H66" s="2220"/>
      <c r="I66" s="2220"/>
      <c r="J66" s="2220"/>
      <c r="K66" s="2220"/>
      <c r="L66" s="2220"/>
      <c r="M66" s="2220"/>
      <c r="N66" s="2220"/>
      <c r="O66" s="2220"/>
      <c r="P66" s="2220"/>
      <c r="Q66" s="2220"/>
      <c r="R66" s="2220"/>
      <c r="S66" s="2220"/>
      <c r="T66" s="2220"/>
      <c r="U66" s="2221"/>
      <c r="V66" s="2220"/>
      <c r="W66" s="2220"/>
      <c r="X66" s="2259"/>
      <c r="Z66" s="2259"/>
      <c r="AA66" s="2259"/>
      <c r="AB66" s="2313"/>
      <c r="AC66" s="2313"/>
      <c r="AD66" s="2258"/>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D66" s="1406"/>
      <c r="BE66" s="1406"/>
      <c r="BF66" s="1406"/>
      <c r="BG66" s="1406"/>
      <c r="BH66" s="1406"/>
      <c r="BI66" s="1406"/>
      <c r="BJ66" s="1406"/>
      <c r="BK66" s="1406"/>
      <c r="BL66" s="2140" t="s">
        <v>1659</v>
      </c>
      <c r="BM66" s="33">
        <v>150</v>
      </c>
      <c r="BN66" s="33">
        <v>90</v>
      </c>
      <c r="BO66" s="33">
        <v>20</v>
      </c>
      <c r="BP66" s="323">
        <v>20</v>
      </c>
      <c r="BQ66" s="323">
        <v>20</v>
      </c>
      <c r="BR66" s="2318">
        <v>3.3333333333333335</v>
      </c>
      <c r="BS66" s="2156">
        <v>0</v>
      </c>
      <c r="BT66" s="2156">
        <v>30</v>
      </c>
      <c r="BU66" s="1914">
        <v>0.11</v>
      </c>
      <c r="BV66" s="357">
        <v>0</v>
      </c>
      <c r="BW66" s="357"/>
      <c r="BX66" s="2220"/>
      <c r="BY66" s="2220"/>
      <c r="BZ66" s="2220"/>
      <c r="CA66" s="2220"/>
      <c r="CB66" s="2220"/>
      <c r="CC66" s="2220"/>
    </row>
    <row r="67" spans="1:81" s="186" customFormat="1" ht="15.75">
      <c r="A67" s="2219"/>
      <c r="B67" s="2220"/>
      <c r="C67" s="2220"/>
      <c r="D67" s="2219"/>
      <c r="E67" s="2220"/>
      <c r="F67" s="2220"/>
      <c r="G67" s="2220"/>
      <c r="H67" s="2220"/>
      <c r="I67" s="2220"/>
      <c r="J67" s="2220"/>
      <c r="K67" s="2220"/>
      <c r="L67" s="2220"/>
      <c r="M67" s="2220"/>
      <c r="N67" s="2220"/>
      <c r="O67" s="2220"/>
      <c r="P67" s="2220"/>
      <c r="Q67" s="2220"/>
      <c r="R67" s="2220"/>
      <c r="S67" s="2220"/>
      <c r="T67" s="2220"/>
      <c r="U67" s="2221"/>
      <c r="V67" s="2220"/>
      <c r="W67" s="2220"/>
      <c r="X67" s="2259"/>
      <c r="Z67" s="2220"/>
      <c r="AA67" s="2220"/>
      <c r="AB67" s="2313"/>
      <c r="AC67" s="2313"/>
      <c r="AD67" s="2258"/>
      <c r="AE67" s="1406"/>
      <c r="AF67" s="1406"/>
      <c r="AG67" s="1406"/>
      <c r="AH67" s="1406"/>
      <c r="AI67" s="1406"/>
      <c r="AJ67" s="1406"/>
      <c r="AK67" s="1406"/>
      <c r="AL67" s="1406"/>
      <c r="AM67" s="1406"/>
      <c r="AN67" s="1406"/>
      <c r="AO67" s="1406"/>
      <c r="AP67" s="1406"/>
      <c r="AQ67" s="1406"/>
      <c r="AR67" s="1406"/>
      <c r="AS67" s="1406"/>
      <c r="AT67" s="1406"/>
      <c r="AU67" s="1406"/>
      <c r="AV67" s="1406"/>
      <c r="AW67" s="1406"/>
      <c r="AX67" s="1406"/>
      <c r="AY67" s="1406"/>
      <c r="AZ67" s="1406"/>
      <c r="BA67" s="1406"/>
      <c r="BB67" s="1406"/>
      <c r="BC67" s="1406"/>
      <c r="BD67" s="1406"/>
      <c r="BE67" s="1406"/>
      <c r="BF67" s="1406"/>
      <c r="BG67" s="1406"/>
      <c r="BH67" s="1406"/>
      <c r="BI67" s="1406"/>
      <c r="BJ67" s="1406"/>
      <c r="BK67" s="1406"/>
      <c r="BL67" s="2140" t="s">
        <v>1660</v>
      </c>
      <c r="BM67" s="33">
        <v>100</v>
      </c>
      <c r="BN67" s="33">
        <v>70</v>
      </c>
      <c r="BO67" s="33">
        <v>20</v>
      </c>
      <c r="BP67" s="323">
        <v>20</v>
      </c>
      <c r="BQ67" s="323">
        <v>20</v>
      </c>
      <c r="BR67" s="2318">
        <v>6.666666666666667</v>
      </c>
      <c r="BS67" s="2156">
        <v>0</v>
      </c>
      <c r="BT67" s="2156">
        <v>30</v>
      </c>
      <c r="BU67" s="1914">
        <v>0.11</v>
      </c>
      <c r="BV67" s="357">
        <v>0</v>
      </c>
      <c r="BW67" s="357"/>
      <c r="BX67" s="2220"/>
      <c r="BY67" s="2220"/>
      <c r="BZ67" s="2220"/>
      <c r="CA67" s="2220"/>
      <c r="CB67" s="2220"/>
      <c r="CC67" s="2220"/>
    </row>
    <row r="68" spans="1:81" s="186" customFormat="1" ht="15.75">
      <c r="A68" s="2219"/>
      <c r="B68" s="2220"/>
      <c r="C68" s="2220"/>
      <c r="D68" s="2219"/>
      <c r="E68" s="2220"/>
      <c r="F68" s="2220"/>
      <c r="G68" s="2220"/>
      <c r="H68" s="2220"/>
      <c r="I68" s="2220"/>
      <c r="J68" s="2220"/>
      <c r="K68" s="2220"/>
      <c r="L68" s="2220"/>
      <c r="M68" s="2220"/>
      <c r="N68" s="2220"/>
      <c r="O68" s="2220"/>
      <c r="P68" s="2220"/>
      <c r="Q68" s="2220"/>
      <c r="R68" s="2220"/>
      <c r="S68" s="2220"/>
      <c r="T68" s="2220"/>
      <c r="U68" s="2221"/>
      <c r="V68" s="2220"/>
      <c r="W68" s="2220"/>
      <c r="X68" s="2259"/>
      <c r="Z68" s="2220"/>
      <c r="AA68" s="2220"/>
      <c r="AB68" s="2313"/>
      <c r="AC68" s="2313"/>
      <c r="AD68" s="2258"/>
      <c r="AE68" s="1406"/>
      <c r="AF68" s="1406"/>
      <c r="AG68" s="1406"/>
      <c r="AH68" s="1406"/>
      <c r="AI68" s="1406"/>
      <c r="AJ68" s="1406"/>
      <c r="AK68" s="1406"/>
      <c r="AL68" s="1406"/>
      <c r="AM68" s="1406"/>
      <c r="AN68" s="1406"/>
      <c r="AO68" s="1406"/>
      <c r="AP68" s="1406"/>
      <c r="AQ68" s="1406"/>
      <c r="AR68" s="1406"/>
      <c r="AS68" s="1406"/>
      <c r="AT68" s="1406"/>
      <c r="AU68" s="1406"/>
      <c r="AV68" s="1406"/>
      <c r="AW68" s="1406"/>
      <c r="AX68" s="1406"/>
      <c r="AY68" s="1406"/>
      <c r="AZ68" s="1406"/>
      <c r="BA68" s="1406"/>
      <c r="BB68" s="1406"/>
      <c r="BC68" s="1406"/>
      <c r="BD68" s="1406"/>
      <c r="BE68" s="1406"/>
      <c r="BF68" s="1406"/>
      <c r="BG68" s="1406"/>
      <c r="BH68" s="1406"/>
      <c r="BI68" s="1406"/>
      <c r="BJ68" s="1406"/>
      <c r="BK68" s="1406"/>
      <c r="BL68" s="2140" t="s">
        <v>1661</v>
      </c>
      <c r="BM68" s="33">
        <v>150</v>
      </c>
      <c r="BN68" s="33">
        <v>90</v>
      </c>
      <c r="BO68" s="33">
        <v>20</v>
      </c>
      <c r="BP68" s="323">
        <v>20</v>
      </c>
      <c r="BQ68" s="323">
        <v>20</v>
      </c>
      <c r="BR68" s="2318">
        <v>20</v>
      </c>
      <c r="BS68" s="2156">
        <v>0</v>
      </c>
      <c r="BT68" s="2156">
        <v>30</v>
      </c>
      <c r="BU68" s="1914">
        <v>0.11</v>
      </c>
      <c r="BV68" s="357">
        <v>0</v>
      </c>
      <c r="BW68" s="357"/>
      <c r="BX68" s="2220"/>
      <c r="BY68" s="2220"/>
      <c r="BZ68" s="2220"/>
      <c r="CA68" s="2220"/>
      <c r="CB68" s="2220"/>
      <c r="CC68" s="2220"/>
    </row>
    <row r="69" spans="1:81" s="186" customFormat="1" ht="15.75">
      <c r="A69" s="2219"/>
      <c r="B69" s="2220"/>
      <c r="C69" s="2220"/>
      <c r="D69" s="2219"/>
      <c r="E69" s="2220"/>
      <c r="F69" s="2220"/>
      <c r="G69" s="2220"/>
      <c r="H69" s="2220"/>
      <c r="I69" s="2220"/>
      <c r="J69" s="2220"/>
      <c r="K69" s="2220"/>
      <c r="L69" s="2220"/>
      <c r="M69" s="2220"/>
      <c r="N69" s="2220"/>
      <c r="O69" s="2220"/>
      <c r="P69" s="2220"/>
      <c r="Q69" s="2220"/>
      <c r="R69" s="2220"/>
      <c r="S69" s="2220"/>
      <c r="T69" s="2220"/>
      <c r="U69" s="2221"/>
      <c r="V69" s="2220"/>
      <c r="W69" s="2220"/>
      <c r="X69" s="2220"/>
      <c r="Z69" s="2220"/>
      <c r="AA69" s="2220"/>
      <c r="AB69" s="2313"/>
      <c r="AC69" s="2313"/>
      <c r="AD69" s="2258"/>
      <c r="AE69" s="1406"/>
      <c r="AF69" s="1406"/>
      <c r="AG69" s="1406"/>
      <c r="AH69" s="1406"/>
      <c r="AI69" s="1406"/>
      <c r="AJ69" s="1406"/>
      <c r="AK69" s="1406"/>
      <c r="AL69" s="1406"/>
      <c r="AM69" s="1406"/>
      <c r="AN69" s="1406"/>
      <c r="AO69" s="1406"/>
      <c r="AP69" s="1406"/>
      <c r="AQ69" s="1406"/>
      <c r="AR69" s="1406"/>
      <c r="AS69" s="1406"/>
      <c r="AT69" s="1406"/>
      <c r="AU69" s="1406"/>
      <c r="AV69" s="1406"/>
      <c r="AW69" s="1406"/>
      <c r="AX69" s="1406"/>
      <c r="AY69" s="1406"/>
      <c r="AZ69" s="1406"/>
      <c r="BA69" s="1406"/>
      <c r="BB69" s="1406"/>
      <c r="BC69" s="1406"/>
      <c r="BD69" s="1406"/>
      <c r="BE69" s="1406"/>
      <c r="BF69" s="1406"/>
      <c r="BG69" s="1406"/>
      <c r="BH69" s="1406"/>
      <c r="BI69" s="1406"/>
      <c r="BJ69" s="1406"/>
      <c r="BK69" s="1406"/>
      <c r="BL69" s="2140" t="s">
        <v>1662</v>
      </c>
      <c r="BM69" s="33">
        <v>100</v>
      </c>
      <c r="BN69" s="33">
        <v>70</v>
      </c>
      <c r="BO69" s="33">
        <v>20</v>
      </c>
      <c r="BP69" s="323">
        <v>20</v>
      </c>
      <c r="BQ69" s="323">
        <v>20</v>
      </c>
      <c r="BR69" s="2318">
        <v>30</v>
      </c>
      <c r="BS69" s="2156">
        <v>0</v>
      </c>
      <c r="BT69" s="2156">
        <v>30</v>
      </c>
      <c r="BU69" s="1914">
        <v>0.11</v>
      </c>
      <c r="BV69" s="357">
        <v>0</v>
      </c>
      <c r="BW69" s="357"/>
      <c r="BX69" s="2220"/>
      <c r="BY69" s="2220"/>
      <c r="BZ69" s="2220"/>
      <c r="CA69" s="2220"/>
      <c r="CB69" s="2220"/>
      <c r="CC69" s="2220"/>
    </row>
    <row r="70" spans="1:81" s="186" customFormat="1" ht="15.75">
      <c r="A70" s="2219"/>
      <c r="B70" s="2220"/>
      <c r="C70" s="2220"/>
      <c r="D70" s="2219"/>
      <c r="E70" s="2220"/>
      <c r="F70" s="2220"/>
      <c r="G70" s="2220"/>
      <c r="H70" s="2220"/>
      <c r="I70" s="2220"/>
      <c r="J70" s="2220"/>
      <c r="K70" s="2220"/>
      <c r="L70" s="2220"/>
      <c r="M70" s="2220"/>
      <c r="N70" s="2220"/>
      <c r="O70" s="2220"/>
      <c r="P70" s="2220"/>
      <c r="Q70" s="2220"/>
      <c r="R70" s="2220"/>
      <c r="S70" s="2220"/>
      <c r="T70" s="2220"/>
      <c r="U70" s="2221"/>
      <c r="V70" s="2220"/>
      <c r="W70" s="2220"/>
      <c r="X70" s="2220"/>
      <c r="Z70" s="2259"/>
      <c r="AA70" s="2259"/>
      <c r="AB70" s="2313"/>
      <c r="AC70" s="2313"/>
      <c r="AD70" s="2258"/>
      <c r="AE70" s="1406"/>
      <c r="AF70" s="1406"/>
      <c r="AG70" s="1406"/>
      <c r="AH70" s="1406"/>
      <c r="AI70" s="1406"/>
      <c r="AJ70" s="1406"/>
      <c r="AK70" s="1406"/>
      <c r="AL70" s="1406"/>
      <c r="AM70" s="1406"/>
      <c r="AN70" s="1406"/>
      <c r="AO70" s="1406"/>
      <c r="AP70" s="1406"/>
      <c r="AQ70" s="1406"/>
      <c r="AR70" s="1406"/>
      <c r="AS70" s="1406"/>
      <c r="AT70" s="1406"/>
      <c r="AU70" s="1406"/>
      <c r="AV70" s="1406"/>
      <c r="AW70" s="1406"/>
      <c r="AX70" s="1406"/>
      <c r="AY70" s="1406"/>
      <c r="AZ70" s="1406"/>
      <c r="BA70" s="1406"/>
      <c r="BB70" s="1406"/>
      <c r="BC70" s="1406"/>
      <c r="BD70" s="1406"/>
      <c r="BE70" s="1406"/>
      <c r="BF70" s="1406"/>
      <c r="BG70" s="1406"/>
      <c r="BH70" s="1406"/>
      <c r="BI70" s="1406"/>
      <c r="BJ70" s="1406"/>
      <c r="BK70" s="1406"/>
      <c r="BL70" s="2141" t="s">
        <v>1359</v>
      </c>
      <c r="BM70" s="33">
        <v>300</v>
      </c>
      <c r="BN70" s="33">
        <v>110</v>
      </c>
      <c r="BO70" s="33">
        <v>20</v>
      </c>
      <c r="BP70" s="323">
        <v>20</v>
      </c>
      <c r="BQ70" s="323">
        <v>20</v>
      </c>
      <c r="BR70" s="2318">
        <v>0</v>
      </c>
      <c r="BS70" s="323">
        <v>5</v>
      </c>
      <c r="BT70" s="323">
        <v>30</v>
      </c>
      <c r="BU70" s="1001">
        <v>6.9000000000000006E-2</v>
      </c>
      <c r="BV70" s="357">
        <v>0</v>
      </c>
      <c r="BW70" s="357"/>
      <c r="BX70" s="2220"/>
      <c r="BY70" s="2220"/>
      <c r="BZ70" s="2220"/>
      <c r="CA70" s="2220"/>
      <c r="CB70" s="2220"/>
      <c r="CC70" s="2220"/>
    </row>
    <row r="71" spans="1:81" s="186" customFormat="1" ht="15.75">
      <c r="A71" s="2219"/>
      <c r="B71" s="2220"/>
      <c r="C71" s="2220"/>
      <c r="D71" s="2219"/>
      <c r="E71" s="2220"/>
      <c r="F71" s="2220"/>
      <c r="G71" s="2220"/>
      <c r="H71" s="2220"/>
      <c r="I71" s="2220"/>
      <c r="J71" s="2220"/>
      <c r="K71" s="2220"/>
      <c r="L71" s="2220"/>
      <c r="M71" s="2220"/>
      <c r="N71" s="2220"/>
      <c r="O71" s="2220"/>
      <c r="P71" s="2220"/>
      <c r="Q71" s="2220"/>
      <c r="R71" s="2220"/>
      <c r="S71" s="2220"/>
      <c r="T71" s="2220"/>
      <c r="U71" s="2221"/>
      <c r="V71" s="2220"/>
      <c r="W71" s="2220"/>
      <c r="X71" s="2220"/>
      <c r="Z71" s="2259"/>
      <c r="AA71" s="2259"/>
      <c r="AB71" s="2313"/>
      <c r="AC71" s="2313"/>
      <c r="AD71" s="2258"/>
      <c r="AE71" s="1406"/>
      <c r="AF71" s="1406"/>
      <c r="AG71" s="1406"/>
      <c r="AH71" s="1406"/>
      <c r="AI71" s="1406"/>
      <c r="AJ71" s="1406"/>
      <c r="AK71" s="1406"/>
      <c r="AL71" s="1406"/>
      <c r="AM71" s="1406"/>
      <c r="AN71" s="1406"/>
      <c r="AO71" s="1406"/>
      <c r="AP71" s="1406"/>
      <c r="AQ71" s="1406"/>
      <c r="AR71" s="1406"/>
      <c r="AS71" s="1406"/>
      <c r="AT71" s="1406"/>
      <c r="AU71" s="1406"/>
      <c r="AV71" s="1406"/>
      <c r="AW71" s="1406"/>
      <c r="AX71" s="1406"/>
      <c r="AY71" s="1406"/>
      <c r="AZ71" s="1406"/>
      <c r="BA71" s="1406"/>
      <c r="BB71" s="1406"/>
      <c r="BC71" s="1406"/>
      <c r="BD71" s="1406"/>
      <c r="BE71" s="1406"/>
      <c r="BF71" s="1406"/>
      <c r="BG71" s="1406"/>
      <c r="BH71" s="1406"/>
      <c r="BI71" s="1406"/>
      <c r="BJ71" s="1406"/>
      <c r="BK71" s="1406"/>
      <c r="BL71" s="2141" t="s">
        <v>1360</v>
      </c>
      <c r="BM71" s="33">
        <v>500</v>
      </c>
      <c r="BN71" s="33">
        <v>140</v>
      </c>
      <c r="BO71" s="33">
        <v>20</v>
      </c>
      <c r="BP71" s="323">
        <v>40</v>
      </c>
      <c r="BQ71" s="323">
        <v>40</v>
      </c>
      <c r="BR71" s="2318">
        <v>0</v>
      </c>
      <c r="BS71" s="323">
        <v>10</v>
      </c>
      <c r="BT71" s="323">
        <v>30</v>
      </c>
      <c r="BU71" s="1001">
        <v>7.5999999999999998E-2</v>
      </c>
      <c r="BV71" s="357">
        <v>0</v>
      </c>
      <c r="BW71" s="357"/>
      <c r="BX71" s="2220"/>
      <c r="BY71" s="2220"/>
      <c r="BZ71" s="2220"/>
      <c r="CA71" s="2220"/>
      <c r="CB71" s="2220"/>
      <c r="CC71" s="2220"/>
    </row>
    <row r="72" spans="1:81" s="186" customFormat="1" ht="15.75">
      <c r="A72" s="2219"/>
      <c r="B72" s="2220"/>
      <c r="C72" s="2220"/>
      <c r="D72" s="2219"/>
      <c r="E72" s="2220"/>
      <c r="F72" s="2220"/>
      <c r="G72" s="2220"/>
      <c r="H72" s="2220"/>
      <c r="I72" s="2220"/>
      <c r="J72" s="2220"/>
      <c r="K72" s="2220"/>
      <c r="L72" s="2220"/>
      <c r="M72" s="2220"/>
      <c r="N72" s="2220"/>
      <c r="O72" s="2220"/>
      <c r="P72" s="2220"/>
      <c r="Q72" s="2220"/>
      <c r="R72" s="2220"/>
      <c r="S72" s="2220"/>
      <c r="T72" s="2220"/>
      <c r="U72" s="2221"/>
      <c r="V72" s="2220"/>
      <c r="W72" s="2220"/>
      <c r="X72" s="2220"/>
      <c r="Z72" s="2259"/>
      <c r="AA72" s="2259"/>
      <c r="AB72" s="2313"/>
      <c r="AC72" s="2313"/>
      <c r="AD72" s="2258"/>
      <c r="AE72" s="1406"/>
      <c r="AF72" s="1406"/>
      <c r="AG72" s="1406"/>
      <c r="AH72" s="1406"/>
      <c r="AI72" s="1406"/>
      <c r="AJ72" s="1406"/>
      <c r="AK72" s="1406"/>
      <c r="AL72" s="1406"/>
      <c r="AM72" s="1406"/>
      <c r="AN72" s="1406"/>
      <c r="AO72" s="1406"/>
      <c r="AP72" s="1406"/>
      <c r="AQ72" s="1406"/>
      <c r="AR72" s="1406"/>
      <c r="AS72" s="1406"/>
      <c r="AT72" s="1406"/>
      <c r="AU72" s="1406"/>
      <c r="AV72" s="1406"/>
      <c r="AW72" s="1406"/>
      <c r="AX72" s="1406"/>
      <c r="AY72" s="1406"/>
      <c r="AZ72" s="1406"/>
      <c r="BA72" s="1406"/>
      <c r="BB72" s="1406"/>
      <c r="BC72" s="1406"/>
      <c r="BD72" s="1406"/>
      <c r="BE72" s="1406"/>
      <c r="BF72" s="1406"/>
      <c r="BG72" s="1406"/>
      <c r="BH72" s="1406"/>
      <c r="BI72" s="1406"/>
      <c r="BJ72" s="1406"/>
      <c r="BK72" s="1406"/>
      <c r="BL72" s="2141" t="s">
        <v>1286</v>
      </c>
      <c r="BM72" s="33">
        <v>550</v>
      </c>
      <c r="BN72" s="33">
        <v>175</v>
      </c>
      <c r="BO72" s="33">
        <v>20</v>
      </c>
      <c r="BP72" s="323">
        <v>40</v>
      </c>
      <c r="BQ72" s="323">
        <v>40</v>
      </c>
      <c r="BR72" s="2318">
        <v>0</v>
      </c>
      <c r="BS72" s="323">
        <v>30</v>
      </c>
      <c r="BT72" s="323">
        <v>60</v>
      </c>
      <c r="BU72" s="1001">
        <v>0.08</v>
      </c>
      <c r="BV72" s="357">
        <v>0</v>
      </c>
      <c r="BW72" s="357"/>
      <c r="BX72" s="2220"/>
      <c r="BY72" s="2220"/>
      <c r="BZ72" s="2220"/>
      <c r="CA72" s="2220"/>
      <c r="CB72" s="2220"/>
      <c r="CC72" s="2220"/>
    </row>
    <row r="73" spans="1:81" ht="15.75">
      <c r="AB73" s="1405"/>
      <c r="AC73" s="1405"/>
      <c r="AD73" s="2255"/>
      <c r="AE73" s="1407"/>
      <c r="AF73" s="1350"/>
      <c r="AG73" s="1406"/>
      <c r="AH73" s="1406"/>
      <c r="AI73" s="1406"/>
      <c r="AJ73" s="1406"/>
      <c r="AK73" s="1406"/>
      <c r="AL73" s="1406"/>
      <c r="AM73" s="1406"/>
      <c r="AN73" s="1406"/>
      <c r="AO73" s="1406"/>
      <c r="AP73" s="1406"/>
      <c r="AQ73" s="1406"/>
      <c r="AR73" s="1406"/>
      <c r="AS73" s="1406"/>
      <c r="AT73" s="1406"/>
      <c r="AU73" s="1406"/>
      <c r="AV73" s="1406"/>
      <c r="AW73" s="1406"/>
      <c r="AX73" s="1406"/>
      <c r="AY73" s="1406"/>
      <c r="AZ73" s="1406"/>
      <c r="BA73" s="1406"/>
      <c r="BB73" s="1406"/>
      <c r="BC73" s="1406"/>
      <c r="BD73" s="1406"/>
      <c r="BE73" s="1406"/>
      <c r="BF73" s="1406"/>
      <c r="BG73" s="1406"/>
      <c r="BH73" s="1406"/>
      <c r="BI73" s="1406"/>
      <c r="BJ73" s="1406"/>
      <c r="BK73" s="1406"/>
      <c r="BL73" s="2141" t="s">
        <v>1287</v>
      </c>
      <c r="BM73" s="33">
        <v>1000</v>
      </c>
      <c r="BN73" s="33">
        <v>230</v>
      </c>
      <c r="BO73" s="33">
        <v>20</v>
      </c>
      <c r="BP73" s="323">
        <v>40</v>
      </c>
      <c r="BQ73" s="323">
        <v>40</v>
      </c>
      <c r="BR73" s="2318">
        <v>0</v>
      </c>
      <c r="BS73" s="323">
        <v>45</v>
      </c>
      <c r="BT73" s="323">
        <v>60</v>
      </c>
      <c r="BU73" s="1001">
        <v>0.06</v>
      </c>
      <c r="BV73" s="357">
        <v>0</v>
      </c>
    </row>
    <row r="74" spans="1:81" ht="15.75">
      <c r="AB74" s="1405"/>
      <c r="AC74" s="1405"/>
      <c r="AD74" s="2255"/>
      <c r="AE74" s="1350"/>
      <c r="AF74" s="1350"/>
      <c r="AG74" s="1406"/>
      <c r="AH74" s="1406"/>
      <c r="AI74" s="1406"/>
      <c r="AJ74" s="1406"/>
      <c r="AK74" s="1406"/>
      <c r="AL74" s="1406"/>
      <c r="AM74" s="1406"/>
      <c r="AN74" s="1406"/>
      <c r="AO74" s="1406"/>
      <c r="AP74" s="1406"/>
      <c r="AQ74" s="1406"/>
      <c r="AR74" s="1406"/>
      <c r="AS74" s="1406"/>
      <c r="AT74" s="1406"/>
      <c r="AU74" s="1406"/>
      <c r="AV74" s="1406"/>
      <c r="AW74" s="1406"/>
      <c r="AX74" s="1406"/>
      <c r="AY74" s="1406"/>
      <c r="AZ74" s="1406"/>
      <c r="BA74" s="1406"/>
      <c r="BB74" s="1406"/>
      <c r="BC74" s="1406"/>
      <c r="BD74" s="1406"/>
      <c r="BE74" s="1406"/>
      <c r="BF74" s="1406"/>
      <c r="BG74" s="1406"/>
      <c r="BH74" s="1406"/>
      <c r="BI74" s="1406"/>
      <c r="BJ74" s="1406"/>
      <c r="BK74" s="1406"/>
      <c r="BL74" s="2141" t="s">
        <v>1361</v>
      </c>
      <c r="BM74" s="33">
        <v>0</v>
      </c>
      <c r="BN74" s="33">
        <v>130</v>
      </c>
      <c r="BO74" s="33">
        <v>20</v>
      </c>
      <c r="BP74" s="323">
        <v>20</v>
      </c>
      <c r="BQ74" s="323">
        <v>20</v>
      </c>
      <c r="BR74" s="2318">
        <v>0</v>
      </c>
      <c r="BS74" s="323"/>
      <c r="BT74" s="323">
        <v>30</v>
      </c>
      <c r="BU74" s="1001">
        <v>9.1999999999999998E-2</v>
      </c>
      <c r="BV74" s="357">
        <v>0</v>
      </c>
    </row>
    <row r="75" spans="1:81" ht="15.75">
      <c r="AB75" s="1405"/>
      <c r="AC75" s="1405"/>
      <c r="AD75" s="2255"/>
      <c r="AE75" s="1350"/>
      <c r="AF75" s="1350"/>
      <c r="AG75" s="1406"/>
      <c r="AH75" s="1406"/>
      <c r="AI75" s="1406"/>
      <c r="AJ75" s="1406"/>
      <c r="AK75" s="1406"/>
      <c r="AL75" s="1406"/>
      <c r="AM75" s="1406"/>
      <c r="AN75" s="1406"/>
      <c r="AO75" s="1406"/>
      <c r="AP75" s="1406"/>
      <c r="AQ75" s="1406"/>
      <c r="AR75" s="1406"/>
      <c r="AS75" s="1406"/>
      <c r="AT75" s="1406"/>
      <c r="AU75" s="1406"/>
      <c r="AV75" s="1406"/>
      <c r="AW75" s="1406"/>
      <c r="AX75" s="1406"/>
      <c r="AY75" s="1406"/>
      <c r="AZ75" s="1406"/>
      <c r="BA75" s="1406"/>
      <c r="BB75" s="1406"/>
      <c r="BC75" s="1406"/>
      <c r="BD75" s="1406"/>
      <c r="BE75" s="1406"/>
      <c r="BF75" s="1406"/>
      <c r="BG75" s="1406"/>
      <c r="BH75" s="1406"/>
      <c r="BI75" s="1406"/>
      <c r="BJ75" s="1406"/>
      <c r="BK75" s="1406"/>
      <c r="BL75" s="2141" t="s">
        <v>1362</v>
      </c>
      <c r="BM75" s="33"/>
      <c r="BN75" s="33">
        <v>150</v>
      </c>
      <c r="BO75" s="33">
        <v>20</v>
      </c>
      <c r="BP75" s="323">
        <v>20</v>
      </c>
      <c r="BQ75" s="323">
        <v>20</v>
      </c>
      <c r="BR75" s="2318">
        <v>0</v>
      </c>
      <c r="BS75" s="323"/>
      <c r="BT75" s="323">
        <v>60</v>
      </c>
      <c r="BU75" s="1001">
        <v>9.1999999999999998E-2</v>
      </c>
      <c r="BV75" s="357">
        <v>0</v>
      </c>
    </row>
    <row r="76" spans="1:81" ht="15.75">
      <c r="AB76" s="1405"/>
      <c r="AC76" s="1405"/>
      <c r="AD76" s="2255"/>
      <c r="AE76" s="1407"/>
      <c r="AF76" s="1350"/>
      <c r="AG76" s="1406"/>
      <c r="AH76" s="1406"/>
      <c r="AI76" s="1406"/>
      <c r="AJ76" s="1406"/>
      <c r="AK76" s="1406"/>
      <c r="AL76" s="1406"/>
      <c r="AM76" s="1406"/>
      <c r="AN76" s="1406"/>
      <c r="AO76" s="1406"/>
      <c r="AP76" s="1406"/>
      <c r="AQ76" s="1406"/>
      <c r="AR76" s="1406"/>
      <c r="AS76" s="1406"/>
      <c r="AT76" s="1406"/>
      <c r="AU76" s="1406"/>
      <c r="AV76" s="1406"/>
      <c r="AW76" s="1406"/>
      <c r="AX76" s="1406"/>
      <c r="AY76" s="1406"/>
      <c r="AZ76" s="1406"/>
      <c r="BA76" s="1406"/>
      <c r="BB76" s="1406"/>
      <c r="BC76" s="1406"/>
      <c r="BD76" s="1406"/>
      <c r="BE76" s="1406"/>
      <c r="BF76" s="1406"/>
      <c r="BG76" s="1406"/>
      <c r="BH76" s="1406"/>
      <c r="BI76" s="1406"/>
      <c r="BJ76" s="1406"/>
      <c r="BK76" s="1406"/>
      <c r="BL76" s="2141" t="s">
        <v>1363</v>
      </c>
      <c r="BM76" s="33">
        <v>100</v>
      </c>
      <c r="BN76" s="33">
        <v>100</v>
      </c>
      <c r="BO76" s="33">
        <v>20</v>
      </c>
      <c r="BP76" s="323">
        <v>20</v>
      </c>
      <c r="BQ76" s="323">
        <v>20</v>
      </c>
      <c r="BR76" s="2318">
        <v>0</v>
      </c>
      <c r="BS76" s="323"/>
      <c r="BT76" s="323">
        <v>30</v>
      </c>
      <c r="BU76" s="1001">
        <v>9.1999999999999998E-2</v>
      </c>
      <c r="BV76" s="357">
        <v>0</v>
      </c>
    </row>
    <row r="77" spans="1:81" ht="15.75">
      <c r="AB77" s="1405"/>
      <c r="AC77" s="1405"/>
      <c r="AD77" s="2255"/>
      <c r="AE77" s="1350"/>
      <c r="AF77" s="1350"/>
      <c r="AG77" s="1406"/>
      <c r="AH77" s="1406"/>
      <c r="AI77" s="1406"/>
      <c r="AJ77" s="1406"/>
      <c r="AK77" s="1406"/>
      <c r="AL77" s="1406"/>
      <c r="AM77" s="1406"/>
      <c r="AN77" s="1406"/>
      <c r="AO77" s="1406"/>
      <c r="AP77" s="1406"/>
      <c r="AQ77" s="1406"/>
      <c r="AR77" s="1406"/>
      <c r="AS77" s="1406"/>
      <c r="AT77" s="1406"/>
      <c r="AU77" s="1406"/>
      <c r="AV77" s="1406"/>
      <c r="AW77" s="1406"/>
      <c r="AX77" s="1406"/>
      <c r="AY77" s="1406"/>
      <c r="AZ77" s="1406"/>
      <c r="BA77" s="1406"/>
      <c r="BB77" s="1406"/>
      <c r="BC77" s="1406"/>
      <c r="BD77" s="1406"/>
      <c r="BE77" s="1406"/>
      <c r="BF77" s="1406"/>
      <c r="BG77" s="1406"/>
      <c r="BH77" s="1406"/>
      <c r="BI77" s="1406"/>
      <c r="BJ77" s="1406"/>
      <c r="BK77" s="1406"/>
      <c r="BL77" s="2141" t="s">
        <v>1364</v>
      </c>
      <c r="BM77" s="33"/>
      <c r="BN77" s="33">
        <v>170</v>
      </c>
      <c r="BO77" s="33">
        <v>20</v>
      </c>
      <c r="BP77" s="323">
        <v>20</v>
      </c>
      <c r="BQ77" s="323">
        <v>20</v>
      </c>
      <c r="BR77" s="2318">
        <v>86.666666666666671</v>
      </c>
      <c r="BS77" s="323"/>
      <c r="BT77" s="323">
        <v>90</v>
      </c>
      <c r="BU77" s="1001">
        <v>9.1999999999999998E-2</v>
      </c>
      <c r="BV77" s="357">
        <v>0</v>
      </c>
    </row>
    <row r="78" spans="1:81" ht="15.75">
      <c r="AB78" s="1405"/>
      <c r="AC78" s="1405"/>
      <c r="AD78" s="2255"/>
      <c r="AE78" s="1350"/>
      <c r="AF78" s="1350"/>
      <c r="AG78" s="1406"/>
      <c r="AH78" s="1406"/>
      <c r="AI78" s="1406"/>
      <c r="AJ78" s="1406"/>
      <c r="AK78" s="1406"/>
      <c r="AL78" s="1406"/>
      <c r="AM78" s="1406"/>
      <c r="AN78" s="1406"/>
      <c r="AO78" s="1406"/>
      <c r="AP78" s="1406"/>
      <c r="AQ78" s="1406"/>
      <c r="AR78" s="1406"/>
      <c r="AS78" s="1406"/>
      <c r="AT78" s="1406"/>
      <c r="AU78" s="1406"/>
      <c r="AV78" s="1406"/>
      <c r="AW78" s="1406"/>
      <c r="AX78" s="1406"/>
      <c r="AY78" s="1406"/>
      <c r="AZ78" s="1406"/>
      <c r="BA78" s="1406"/>
      <c r="BB78" s="1406"/>
      <c r="BC78" s="1406"/>
      <c r="BD78" s="1406"/>
      <c r="BE78" s="1406"/>
      <c r="BF78" s="1406"/>
      <c r="BG78" s="1406"/>
      <c r="BH78" s="1406"/>
      <c r="BI78" s="1406"/>
      <c r="BJ78" s="1406"/>
      <c r="BK78" s="1406"/>
      <c r="BL78" s="2141" t="s">
        <v>1365</v>
      </c>
      <c r="BM78" s="33">
        <v>200</v>
      </c>
      <c r="BN78" s="33">
        <v>120</v>
      </c>
      <c r="BO78" s="33">
        <v>20</v>
      </c>
      <c r="BP78" s="323">
        <v>20</v>
      </c>
      <c r="BQ78" s="323">
        <v>20</v>
      </c>
      <c r="BR78" s="2317">
        <v>0</v>
      </c>
      <c r="BS78" s="323"/>
      <c r="BT78" s="323">
        <v>60</v>
      </c>
      <c r="BU78" s="1001">
        <v>9.1999999999999998E-2</v>
      </c>
      <c r="BV78" s="357">
        <v>0</v>
      </c>
    </row>
    <row r="79" spans="1:81" ht="15.75">
      <c r="AB79" s="1405"/>
      <c r="AC79" s="1405"/>
      <c r="AD79" s="2255"/>
      <c r="AE79" s="1350"/>
      <c r="AF79" s="1350"/>
      <c r="AG79" s="1406"/>
      <c r="AH79" s="1406"/>
      <c r="AI79" s="1406"/>
      <c r="AJ79" s="1406"/>
      <c r="AK79" s="1406"/>
      <c r="AL79" s="1406"/>
      <c r="AM79" s="1406"/>
      <c r="AN79" s="1406"/>
      <c r="AO79" s="1406"/>
      <c r="AP79" s="1406"/>
      <c r="AQ79" s="1406"/>
      <c r="AR79" s="1406"/>
      <c r="AS79" s="1406"/>
      <c r="AT79" s="1406"/>
      <c r="AU79" s="1406"/>
      <c r="AV79" s="1406"/>
      <c r="AW79" s="1406"/>
      <c r="AX79" s="1406"/>
      <c r="AY79" s="1406"/>
      <c r="AZ79" s="1406"/>
      <c r="BA79" s="1406"/>
      <c r="BB79" s="1406"/>
      <c r="BC79" s="1406"/>
      <c r="BD79" s="1406"/>
      <c r="BE79" s="1406"/>
      <c r="BF79" s="1406"/>
      <c r="BG79" s="1406"/>
      <c r="BH79" s="1406"/>
      <c r="BI79" s="1406"/>
      <c r="BJ79" s="1406"/>
      <c r="BK79" s="1406"/>
      <c r="BL79" s="2141" t="s">
        <v>1366</v>
      </c>
      <c r="BM79" s="33"/>
      <c r="BN79" s="33">
        <v>140</v>
      </c>
      <c r="BO79" s="33">
        <v>20</v>
      </c>
      <c r="BP79" s="323">
        <v>20</v>
      </c>
      <c r="BQ79" s="323">
        <v>20</v>
      </c>
      <c r="BR79" s="2318">
        <v>33.333333333333336</v>
      </c>
      <c r="BS79" s="323"/>
      <c r="BT79" s="323">
        <v>90</v>
      </c>
      <c r="BU79" s="1001">
        <v>9.1999999999999998E-2</v>
      </c>
      <c r="BV79" s="357">
        <v>0</v>
      </c>
    </row>
    <row r="80" spans="1:81" ht="15.75">
      <c r="AB80" s="1405"/>
      <c r="AC80" s="1405"/>
      <c r="AD80" s="2255"/>
      <c r="AE80" s="1350"/>
      <c r="AF80" s="1350"/>
      <c r="AG80" s="1406"/>
      <c r="AH80" s="1406"/>
      <c r="AI80" s="1406"/>
      <c r="AJ80" s="1406"/>
      <c r="AK80" s="1406"/>
      <c r="AL80" s="1406"/>
      <c r="AM80" s="1406"/>
      <c r="AN80" s="1406"/>
      <c r="AO80" s="1406"/>
      <c r="AP80" s="1406"/>
      <c r="AQ80" s="1406"/>
      <c r="AR80" s="1406"/>
      <c r="AS80" s="1406"/>
      <c r="AT80" s="1406"/>
      <c r="AU80" s="1406"/>
      <c r="AV80" s="1406"/>
      <c r="AW80" s="1406"/>
      <c r="AX80" s="1406"/>
      <c r="AY80" s="1406"/>
      <c r="AZ80" s="1406"/>
      <c r="BA80" s="1406"/>
      <c r="BB80" s="1406"/>
      <c r="BC80" s="1406"/>
      <c r="BD80" s="1406"/>
      <c r="BE80" s="1406"/>
      <c r="BF80" s="1406"/>
      <c r="BG80" s="1406"/>
      <c r="BH80" s="1406"/>
      <c r="BI80" s="1406"/>
      <c r="BJ80" s="1406"/>
      <c r="BK80" s="1406"/>
      <c r="BL80" s="2141" t="s">
        <v>1367</v>
      </c>
      <c r="BM80" s="33">
        <v>350</v>
      </c>
      <c r="BN80" s="33">
        <v>140</v>
      </c>
      <c r="BO80" s="33">
        <v>20</v>
      </c>
      <c r="BP80" s="323">
        <v>20</v>
      </c>
      <c r="BQ80" s="323">
        <v>20</v>
      </c>
      <c r="BR80" s="2318">
        <v>16.666666666666668</v>
      </c>
      <c r="BS80" s="323"/>
      <c r="BT80" s="323">
        <v>60</v>
      </c>
      <c r="BU80" s="1001">
        <v>9.1999999999999998E-2</v>
      </c>
      <c r="BV80" s="357">
        <v>0</v>
      </c>
    </row>
    <row r="81" spans="28:74" ht="15.75">
      <c r="AB81" s="1405"/>
      <c r="AC81" s="1405"/>
      <c r="AD81" s="2255"/>
      <c r="AE81" s="1350"/>
      <c r="AF81" s="1350"/>
      <c r="AG81" s="1406"/>
      <c r="AH81" s="1406"/>
      <c r="AI81" s="1406"/>
      <c r="AJ81" s="1406"/>
      <c r="AK81" s="1406"/>
      <c r="AL81" s="1406"/>
      <c r="AM81" s="1406"/>
      <c r="AN81" s="1406"/>
      <c r="AO81" s="1406"/>
      <c r="AP81" s="1406"/>
      <c r="AQ81" s="1406"/>
      <c r="AR81" s="1406"/>
      <c r="AS81" s="1406"/>
      <c r="AT81" s="1406"/>
      <c r="AU81" s="1406"/>
      <c r="AV81" s="1406"/>
      <c r="AW81" s="1406"/>
      <c r="AX81" s="1406"/>
      <c r="AY81" s="1406"/>
      <c r="AZ81" s="1406"/>
      <c r="BA81" s="1406"/>
      <c r="BB81" s="1406"/>
      <c r="BC81" s="1406"/>
      <c r="BD81" s="1406"/>
      <c r="BE81" s="1406"/>
      <c r="BF81" s="1406"/>
      <c r="BG81" s="1406"/>
      <c r="BH81" s="1406"/>
      <c r="BI81" s="1406"/>
      <c r="BJ81" s="1406"/>
      <c r="BK81" s="1406"/>
      <c r="BL81" s="2141" t="s">
        <v>1288</v>
      </c>
      <c r="BM81" s="33">
        <v>250</v>
      </c>
      <c r="BN81" s="33">
        <v>310</v>
      </c>
      <c r="BO81" s="33">
        <v>20</v>
      </c>
      <c r="BP81" s="323">
        <v>40</v>
      </c>
      <c r="BQ81" s="323">
        <v>40</v>
      </c>
      <c r="BR81" s="2318">
        <v>10</v>
      </c>
      <c r="BS81" s="323">
        <v>130</v>
      </c>
      <c r="BT81" s="323">
        <v>90</v>
      </c>
      <c r="BU81" s="1001">
        <v>0.19500000000000001</v>
      </c>
      <c r="BV81" s="357">
        <v>0</v>
      </c>
    </row>
    <row r="82" spans="28:74" ht="15.75">
      <c r="AB82" s="1405"/>
      <c r="AC82" s="1405"/>
      <c r="AD82" s="2255"/>
      <c r="AE82" s="1350"/>
      <c r="AF82" s="1350"/>
      <c r="AG82" s="1406"/>
      <c r="AH82" s="1406"/>
      <c r="AI82" s="1406"/>
      <c r="AJ82" s="1406"/>
      <c r="AK82" s="1406"/>
      <c r="AL82" s="1406"/>
      <c r="AM82" s="1406"/>
      <c r="AN82" s="1406"/>
      <c r="AO82" s="1406"/>
      <c r="AP82" s="1406"/>
      <c r="AQ82" s="1406"/>
      <c r="AR82" s="1406"/>
      <c r="AS82" s="1406"/>
      <c r="AT82" s="1406"/>
      <c r="AU82" s="1406"/>
      <c r="AV82" s="1406"/>
      <c r="AW82" s="1406"/>
      <c r="AX82" s="1406"/>
      <c r="AY82" s="1406"/>
      <c r="AZ82" s="1406"/>
      <c r="BA82" s="1406"/>
      <c r="BB82" s="1406"/>
      <c r="BC82" s="1406"/>
      <c r="BD82" s="1406"/>
      <c r="BE82" s="1406"/>
      <c r="BF82" s="1406"/>
      <c r="BG82" s="1406"/>
      <c r="BH82" s="1406"/>
      <c r="BI82" s="1406"/>
      <c r="BJ82" s="1406"/>
      <c r="BK82" s="1406"/>
      <c r="BL82" s="2159" t="s">
        <v>1663</v>
      </c>
      <c r="BM82" s="33">
        <v>80</v>
      </c>
      <c r="BN82" s="33">
        <v>65</v>
      </c>
      <c r="BO82" s="33">
        <v>10</v>
      </c>
      <c r="BP82" s="2153">
        <v>7</v>
      </c>
      <c r="BQ82" s="2153">
        <v>7</v>
      </c>
      <c r="BR82" s="2318">
        <v>40</v>
      </c>
      <c r="BS82" s="2152">
        <v>0</v>
      </c>
      <c r="BT82" s="2152">
        <v>30</v>
      </c>
      <c r="BU82" s="2155">
        <v>0.09</v>
      </c>
      <c r="BV82" s="357">
        <v>0</v>
      </c>
    </row>
    <row r="83" spans="28:74" ht="15.75">
      <c r="AB83" s="1405"/>
      <c r="AC83" s="1405"/>
      <c r="AD83" s="2255"/>
      <c r="AE83" s="1350"/>
      <c r="AF83" s="1350"/>
      <c r="AG83" s="1406"/>
      <c r="AH83" s="1406"/>
      <c r="AI83" s="1406"/>
      <c r="AJ83" s="1406"/>
      <c r="AK83" s="1406"/>
      <c r="AL83" s="1406"/>
      <c r="AM83" s="1406"/>
      <c r="AN83" s="1406"/>
      <c r="AO83" s="1406"/>
      <c r="AP83" s="1406"/>
      <c r="AQ83" s="1406"/>
      <c r="AR83" s="1406"/>
      <c r="AS83" s="1406"/>
      <c r="AT83" s="1406"/>
      <c r="AU83" s="1406"/>
      <c r="AV83" s="1406"/>
      <c r="AW83" s="1406"/>
      <c r="AX83" s="1406"/>
      <c r="AY83" s="1406"/>
      <c r="AZ83" s="1406"/>
      <c r="BA83" s="1406"/>
      <c r="BB83" s="1406"/>
      <c r="BC83" s="1406"/>
      <c r="BD83" s="1406"/>
      <c r="BE83" s="1406"/>
      <c r="BF83" s="1406"/>
      <c r="BG83" s="1406"/>
      <c r="BH83" s="1406"/>
      <c r="BI83" s="1406"/>
      <c r="BJ83" s="1406"/>
      <c r="BK83" s="1406"/>
      <c r="BL83" s="2141" t="s">
        <v>1368</v>
      </c>
      <c r="BM83" s="33">
        <v>600</v>
      </c>
      <c r="BN83" s="33">
        <v>250</v>
      </c>
      <c r="BO83" s="33">
        <v>20</v>
      </c>
      <c r="BP83" s="323">
        <v>20</v>
      </c>
      <c r="BQ83" s="323">
        <v>20</v>
      </c>
      <c r="BR83" s="2318">
        <v>13.333333333333334</v>
      </c>
      <c r="BS83" s="323">
        <v>50</v>
      </c>
      <c r="BT83" s="323">
        <v>60</v>
      </c>
      <c r="BU83" s="1001">
        <v>0.115</v>
      </c>
      <c r="BV83" s="357">
        <v>0</v>
      </c>
    </row>
    <row r="84" spans="28:74" ht="15.75">
      <c r="AB84" s="1405"/>
      <c r="AC84" s="1405"/>
      <c r="AD84" s="2255"/>
      <c r="AE84" s="1407"/>
      <c r="AF84" s="1407"/>
      <c r="AG84" s="1406"/>
      <c r="AH84" s="1406"/>
      <c r="AI84" s="1406"/>
      <c r="AJ84" s="1406"/>
      <c r="AK84" s="1406"/>
      <c r="AL84" s="1406"/>
      <c r="AM84" s="1406"/>
      <c r="AN84" s="1406"/>
      <c r="AO84" s="1406"/>
      <c r="AP84" s="1406"/>
      <c r="AQ84" s="1406"/>
      <c r="AR84" s="1406"/>
      <c r="AS84" s="1406"/>
      <c r="AT84" s="1406"/>
      <c r="AU84" s="1406"/>
      <c r="AV84" s="1406"/>
      <c r="AW84" s="1406"/>
      <c r="AX84" s="1406"/>
      <c r="AY84" s="1406"/>
      <c r="AZ84" s="1406"/>
      <c r="BA84" s="1406"/>
      <c r="BB84" s="1406"/>
      <c r="BC84" s="1406"/>
      <c r="BD84" s="1406"/>
      <c r="BE84" s="1406"/>
      <c r="BF84" s="1406"/>
      <c r="BG84" s="1406"/>
      <c r="BH84" s="1406"/>
      <c r="BI84" s="1406"/>
      <c r="BJ84" s="1406"/>
      <c r="BK84" s="1406"/>
      <c r="BL84" s="2141" t="s">
        <v>1664</v>
      </c>
      <c r="BM84" s="33">
        <v>400</v>
      </c>
      <c r="BN84" s="33">
        <v>150</v>
      </c>
      <c r="BO84" s="33">
        <v>20</v>
      </c>
      <c r="BP84" s="323">
        <v>20</v>
      </c>
      <c r="BQ84" s="323">
        <v>20</v>
      </c>
      <c r="BR84" s="2318">
        <v>13.333333333333334</v>
      </c>
      <c r="BS84" s="323">
        <v>25</v>
      </c>
      <c r="BT84" s="323">
        <v>60</v>
      </c>
      <c r="BU84" s="2146">
        <v>0.115</v>
      </c>
      <c r="BV84" s="357">
        <v>0</v>
      </c>
    </row>
    <row r="85" spans="28:74" ht="15.75">
      <c r="AB85" s="1405"/>
      <c r="AC85" s="1405"/>
      <c r="AD85" s="2255"/>
      <c r="AE85" s="1350"/>
      <c r="AF85" s="1350"/>
      <c r="AG85" s="1406"/>
      <c r="AH85" s="1406"/>
      <c r="AI85" s="1406"/>
      <c r="AJ85" s="1406"/>
      <c r="AK85" s="1406"/>
      <c r="AL85" s="1406"/>
      <c r="AM85" s="1406"/>
      <c r="AN85" s="1406"/>
      <c r="AO85" s="1406"/>
      <c r="AP85" s="1406"/>
      <c r="AQ85" s="1406"/>
      <c r="AR85" s="1406"/>
      <c r="AS85" s="1406"/>
      <c r="AT85" s="1406"/>
      <c r="AU85" s="1406"/>
      <c r="AV85" s="1406"/>
      <c r="AW85" s="1406"/>
      <c r="AX85" s="1406"/>
      <c r="AY85" s="1406"/>
      <c r="AZ85" s="1406"/>
      <c r="BA85" s="1406"/>
      <c r="BB85" s="1406"/>
      <c r="BC85" s="1406"/>
      <c r="BD85" s="1406"/>
      <c r="BE85" s="1406"/>
      <c r="BF85" s="1406"/>
      <c r="BG85" s="1406"/>
      <c r="BH85" s="1406"/>
      <c r="BI85" s="1406"/>
      <c r="BJ85" s="1406"/>
      <c r="BK85" s="1406"/>
      <c r="BL85" s="2141" t="s">
        <v>1665</v>
      </c>
      <c r="BM85" s="33">
        <v>500</v>
      </c>
      <c r="BN85" s="33">
        <v>140</v>
      </c>
      <c r="BO85" s="33">
        <v>20</v>
      </c>
      <c r="BP85" s="323">
        <v>20</v>
      </c>
      <c r="BQ85" s="323">
        <v>20</v>
      </c>
      <c r="BR85" s="2318">
        <v>0</v>
      </c>
      <c r="BS85" s="323">
        <v>15</v>
      </c>
      <c r="BT85" s="323">
        <v>60</v>
      </c>
      <c r="BU85" s="2146">
        <v>0.1</v>
      </c>
      <c r="BV85" s="357">
        <v>0</v>
      </c>
    </row>
    <row r="86" spans="28:74" ht="15.75">
      <c r="AB86" s="1405"/>
      <c r="AC86" s="1405"/>
      <c r="AD86" s="2255"/>
      <c r="AE86" s="2255"/>
      <c r="AF86" s="1350"/>
      <c r="AG86" s="1406"/>
      <c r="AH86" s="1406"/>
      <c r="AI86" s="1406"/>
      <c r="AJ86" s="1406"/>
      <c r="AK86" s="1406"/>
      <c r="AL86" s="1406"/>
      <c r="AM86" s="1406"/>
      <c r="AN86" s="1406"/>
      <c r="AO86" s="1406"/>
      <c r="AP86" s="1406"/>
      <c r="AQ86" s="1406"/>
      <c r="AR86" s="1406"/>
      <c r="AS86" s="1406"/>
      <c r="AT86" s="1406"/>
      <c r="AU86" s="1406"/>
      <c r="AV86" s="1406"/>
      <c r="AW86" s="1406"/>
      <c r="AX86" s="1406"/>
      <c r="AY86" s="1406"/>
      <c r="AZ86" s="1406"/>
      <c r="BA86" s="1406"/>
      <c r="BB86" s="1406"/>
      <c r="BC86" s="1406"/>
      <c r="BD86" s="1406"/>
      <c r="BE86" s="1406"/>
      <c r="BF86" s="1406"/>
      <c r="BG86" s="1406"/>
      <c r="BH86" s="1406"/>
      <c r="BI86" s="1406"/>
      <c r="BJ86" s="1406"/>
      <c r="BK86" s="1406"/>
      <c r="BL86" s="2141" t="s">
        <v>1289</v>
      </c>
      <c r="BM86" s="33">
        <v>600</v>
      </c>
      <c r="BN86" s="33">
        <v>260</v>
      </c>
      <c r="BO86" s="33">
        <v>20</v>
      </c>
      <c r="BP86" s="323">
        <v>40</v>
      </c>
      <c r="BQ86" s="323">
        <v>40</v>
      </c>
      <c r="BR86" s="2318">
        <v>6.666666666666667</v>
      </c>
      <c r="BS86" s="323">
        <v>60</v>
      </c>
      <c r="BT86" s="323">
        <v>60</v>
      </c>
      <c r="BU86" s="1001">
        <v>0.08</v>
      </c>
      <c r="BV86" s="357">
        <v>0</v>
      </c>
    </row>
    <row r="87" spans="28:74" ht="15.75">
      <c r="AB87" s="1405"/>
      <c r="AC87" s="1405"/>
      <c r="AD87" s="2255"/>
      <c r="AE87" s="2255"/>
      <c r="AF87" s="1350"/>
      <c r="AG87" s="1406"/>
      <c r="AH87" s="1406"/>
      <c r="AI87" s="1406"/>
      <c r="AJ87" s="1406"/>
      <c r="AK87" s="1406"/>
      <c r="AL87" s="1406"/>
      <c r="AM87" s="1406"/>
      <c r="AN87" s="1406"/>
      <c r="AO87" s="1406"/>
      <c r="AP87" s="1406"/>
      <c r="AQ87" s="1406"/>
      <c r="AR87" s="1406"/>
      <c r="AS87" s="1406"/>
      <c r="AT87" s="1406"/>
      <c r="AU87" s="1406"/>
      <c r="AV87" s="1406"/>
      <c r="AW87" s="1406"/>
      <c r="AX87" s="1406"/>
      <c r="AY87" s="1406"/>
      <c r="AZ87" s="1406"/>
      <c r="BA87" s="1406"/>
      <c r="BB87" s="1406"/>
      <c r="BC87" s="1406"/>
      <c r="BD87" s="1406"/>
      <c r="BE87" s="1406"/>
      <c r="BF87" s="1406"/>
      <c r="BG87" s="1406"/>
      <c r="BH87" s="1406"/>
      <c r="BI87" s="1406"/>
      <c r="BJ87" s="1406"/>
      <c r="BK87" s="1406"/>
      <c r="BL87" s="2141" t="s">
        <v>1369</v>
      </c>
      <c r="BM87" s="33">
        <v>175</v>
      </c>
      <c r="BN87" s="33">
        <v>150</v>
      </c>
      <c r="BO87" s="33">
        <v>20</v>
      </c>
      <c r="BP87" s="323">
        <v>20</v>
      </c>
      <c r="BQ87" s="323">
        <v>20</v>
      </c>
      <c r="BR87" s="2318">
        <v>6.666666666666667</v>
      </c>
      <c r="BS87" s="323">
        <v>20</v>
      </c>
      <c r="BT87" s="323">
        <v>30</v>
      </c>
      <c r="BU87" s="1001">
        <v>0.10299999999999999</v>
      </c>
      <c r="BV87" s="357">
        <v>0</v>
      </c>
    </row>
    <row r="88" spans="28:74" ht="15.75">
      <c r="AB88" s="1405"/>
      <c r="AC88" s="1405"/>
      <c r="AD88" s="2255"/>
      <c r="AE88" s="2255"/>
      <c r="AF88" s="2255"/>
      <c r="AG88" s="1406"/>
      <c r="AH88" s="1406"/>
      <c r="AI88" s="1406"/>
      <c r="AJ88" s="1406"/>
      <c r="AK88" s="1406"/>
      <c r="AL88" s="1406"/>
      <c r="AM88" s="1406"/>
      <c r="AN88" s="1406"/>
      <c r="AO88" s="1406"/>
      <c r="AP88" s="1406"/>
      <c r="AQ88" s="1406"/>
      <c r="AR88" s="1406"/>
      <c r="AS88" s="1406"/>
      <c r="AT88" s="1406"/>
      <c r="AU88" s="1406"/>
      <c r="AV88" s="1406"/>
      <c r="AW88" s="1406"/>
      <c r="AX88" s="1406"/>
      <c r="AY88" s="1406"/>
      <c r="AZ88" s="1406"/>
      <c r="BA88" s="1406"/>
      <c r="BB88" s="1406"/>
      <c r="BC88" s="1406"/>
      <c r="BD88" s="1406"/>
      <c r="BE88" s="1406"/>
      <c r="BF88" s="1406"/>
      <c r="BG88" s="1406"/>
      <c r="BH88" s="1406"/>
      <c r="BI88" s="1406"/>
      <c r="BJ88" s="1406"/>
      <c r="BK88" s="1406"/>
      <c r="BL88" s="2141" t="s">
        <v>1370</v>
      </c>
      <c r="BM88" s="33">
        <v>300</v>
      </c>
      <c r="BN88" s="33">
        <v>210</v>
      </c>
      <c r="BO88" s="33">
        <v>20</v>
      </c>
      <c r="BP88" s="323">
        <v>20</v>
      </c>
      <c r="BQ88" s="323">
        <v>20</v>
      </c>
      <c r="BR88" s="2318">
        <v>10</v>
      </c>
      <c r="BS88" s="323">
        <v>20</v>
      </c>
      <c r="BT88" s="323">
        <v>30</v>
      </c>
      <c r="BU88" s="1001">
        <v>0.10299999999999999</v>
      </c>
      <c r="BV88" s="357">
        <v>0</v>
      </c>
    </row>
    <row r="89" spans="28:74" ht="15.75">
      <c r="AB89" s="1405"/>
      <c r="AC89" s="1405"/>
      <c r="AD89" s="2255"/>
      <c r="AE89" s="2255"/>
      <c r="AF89" s="2255"/>
      <c r="AG89" s="1406"/>
      <c r="AH89" s="1406"/>
      <c r="AI89" s="1406"/>
      <c r="AJ89" s="1406"/>
      <c r="AK89" s="1406"/>
      <c r="AL89" s="1406"/>
      <c r="AM89" s="1406"/>
      <c r="AN89" s="1406"/>
      <c r="AO89" s="1406"/>
      <c r="AP89" s="1406"/>
      <c r="AQ89" s="1406"/>
      <c r="AR89" s="1406"/>
      <c r="AS89" s="1406"/>
      <c r="AT89" s="1406"/>
      <c r="AU89" s="1406"/>
      <c r="AV89" s="1406"/>
      <c r="AW89" s="1406"/>
      <c r="AX89" s="1406"/>
      <c r="AY89" s="1406"/>
      <c r="AZ89" s="1406"/>
      <c r="BA89" s="1406"/>
      <c r="BB89" s="1406"/>
      <c r="BC89" s="1406"/>
      <c r="BD89" s="1406"/>
      <c r="BE89" s="1406"/>
      <c r="BF89" s="1406"/>
      <c r="BG89" s="1406"/>
      <c r="BH89" s="1406"/>
      <c r="BI89" s="1406"/>
      <c r="BJ89" s="1406"/>
      <c r="BK89" s="1406"/>
      <c r="BL89" s="2141" t="s">
        <v>1371</v>
      </c>
      <c r="BM89" s="33">
        <v>140</v>
      </c>
      <c r="BN89" s="33">
        <v>90</v>
      </c>
      <c r="BO89" s="33">
        <v>20</v>
      </c>
      <c r="BP89" s="323">
        <v>20</v>
      </c>
      <c r="BQ89" s="323">
        <v>20</v>
      </c>
      <c r="BR89" s="2318">
        <v>26.666666666666668</v>
      </c>
      <c r="BS89" s="323">
        <v>0</v>
      </c>
      <c r="BT89" s="323">
        <v>30</v>
      </c>
      <c r="BU89" s="1001">
        <v>0.08</v>
      </c>
      <c r="BV89" s="357">
        <v>0</v>
      </c>
    </row>
    <row r="90" spans="28:74" ht="15.75">
      <c r="AB90" s="1405"/>
      <c r="AC90" s="1405"/>
      <c r="AD90" s="2255"/>
      <c r="AE90" s="2255"/>
      <c r="AF90" s="2255"/>
      <c r="AG90" s="1406"/>
      <c r="AH90" s="1406"/>
      <c r="AI90" s="1406"/>
      <c r="AJ90" s="1406"/>
      <c r="AK90" s="1406"/>
      <c r="AL90" s="1406"/>
      <c r="AM90" s="1406"/>
      <c r="AN90" s="1406"/>
      <c r="AO90" s="1406"/>
      <c r="AP90" s="1406"/>
      <c r="AQ90" s="1406"/>
      <c r="AR90" s="1406"/>
      <c r="AS90" s="1406"/>
      <c r="AT90" s="1406"/>
      <c r="AU90" s="1406"/>
      <c r="AV90" s="1406"/>
      <c r="AW90" s="1406"/>
      <c r="AX90" s="1406"/>
      <c r="AY90" s="1406"/>
      <c r="AZ90" s="1406"/>
      <c r="BA90" s="1406"/>
      <c r="BB90" s="1406"/>
      <c r="BC90" s="1406"/>
      <c r="BD90" s="1406"/>
      <c r="BE90" s="1406"/>
      <c r="BF90" s="1406"/>
      <c r="BG90" s="1406"/>
      <c r="BH90" s="1406"/>
      <c r="BI90" s="1406"/>
      <c r="BJ90" s="1406"/>
      <c r="BK90" s="1406"/>
      <c r="BL90" s="2141" t="s">
        <v>1372</v>
      </c>
      <c r="BM90" s="33">
        <v>350</v>
      </c>
      <c r="BN90" s="33">
        <v>130</v>
      </c>
      <c r="BO90" s="33">
        <v>20</v>
      </c>
      <c r="BP90" s="323">
        <v>20</v>
      </c>
      <c r="BQ90" s="323">
        <v>20</v>
      </c>
      <c r="BR90" s="2318">
        <v>10</v>
      </c>
      <c r="BS90" s="323">
        <v>10</v>
      </c>
      <c r="BT90" s="323">
        <v>30</v>
      </c>
      <c r="BU90" s="1001">
        <v>6.9000000000000006E-2</v>
      </c>
      <c r="BV90" s="357">
        <v>0</v>
      </c>
    </row>
    <row r="91" spans="28:74" ht="15.75">
      <c r="AB91" s="1405"/>
      <c r="AC91" s="1405"/>
      <c r="AD91" s="2255"/>
      <c r="AE91" s="2255"/>
      <c r="AF91" s="2255"/>
      <c r="AG91" s="1406"/>
      <c r="AH91" s="1406"/>
      <c r="AI91" s="1406"/>
      <c r="AJ91" s="1406"/>
      <c r="AK91" s="1406"/>
      <c r="AL91" s="1406"/>
      <c r="AM91" s="1406"/>
      <c r="AN91" s="1406"/>
      <c r="AO91" s="1406"/>
      <c r="AP91" s="1406"/>
      <c r="AQ91" s="1406"/>
      <c r="AR91" s="1406"/>
      <c r="AS91" s="1406"/>
      <c r="AT91" s="1406"/>
      <c r="AU91" s="1406"/>
      <c r="AV91" s="1406"/>
      <c r="AW91" s="1406"/>
      <c r="AX91" s="1406"/>
      <c r="AY91" s="1406"/>
      <c r="AZ91" s="1406"/>
      <c r="BA91" s="1406"/>
      <c r="BB91" s="1406"/>
      <c r="BC91" s="1406"/>
      <c r="BD91" s="1406"/>
      <c r="BE91" s="1406"/>
      <c r="BF91" s="1406"/>
      <c r="BG91" s="1406"/>
      <c r="BH91" s="1406"/>
      <c r="BI91" s="1406"/>
      <c r="BJ91" s="1406"/>
      <c r="BK91" s="1406"/>
      <c r="BL91" s="2141" t="s">
        <v>1373</v>
      </c>
      <c r="BM91" s="33">
        <v>300</v>
      </c>
      <c r="BN91" s="33">
        <v>115</v>
      </c>
      <c r="BO91" s="33">
        <v>20</v>
      </c>
      <c r="BP91" s="323">
        <v>20</v>
      </c>
      <c r="BQ91" s="323">
        <v>20</v>
      </c>
      <c r="BR91" s="2318">
        <v>13.333333333333334</v>
      </c>
      <c r="BS91" s="323">
        <v>10</v>
      </c>
      <c r="BT91" s="323">
        <v>30</v>
      </c>
      <c r="BU91" s="1001">
        <v>6.9000000000000006E-2</v>
      </c>
      <c r="BV91" s="357">
        <v>0</v>
      </c>
    </row>
    <row r="92" spans="28:74" ht="15.75">
      <c r="AB92" s="1408"/>
      <c r="AC92" s="1408"/>
      <c r="AD92" s="2255"/>
      <c r="AE92" s="2255"/>
      <c r="AF92" s="2255"/>
      <c r="AG92" s="1406"/>
      <c r="AH92" s="1406"/>
      <c r="AI92" s="1406"/>
      <c r="AJ92" s="1406"/>
      <c r="AK92" s="1406"/>
      <c r="AL92" s="1406"/>
      <c r="AM92" s="1406"/>
      <c r="AN92" s="1406"/>
      <c r="AO92" s="1406"/>
      <c r="AP92" s="1406"/>
      <c r="AQ92" s="1406"/>
      <c r="AR92" s="1406"/>
      <c r="AS92" s="1406"/>
      <c r="AT92" s="1406"/>
      <c r="AU92" s="1406"/>
      <c r="AV92" s="1406"/>
      <c r="AW92" s="1406"/>
      <c r="AX92" s="1406"/>
      <c r="AY92" s="1406"/>
      <c r="AZ92" s="1406"/>
      <c r="BA92" s="1406"/>
      <c r="BB92" s="1406"/>
      <c r="BC92" s="1406"/>
      <c r="BD92" s="1406"/>
      <c r="BE92" s="1406"/>
      <c r="BF92" s="1406"/>
      <c r="BG92" s="1406"/>
      <c r="BH92" s="1406"/>
      <c r="BI92" s="1406"/>
      <c r="BJ92" s="1406"/>
      <c r="BK92" s="1406"/>
      <c r="BL92" s="2141" t="s">
        <v>1290</v>
      </c>
      <c r="BM92" s="33">
        <v>600</v>
      </c>
      <c r="BN92" s="33">
        <v>175</v>
      </c>
      <c r="BO92" s="33">
        <v>20</v>
      </c>
      <c r="BP92" s="323">
        <v>20</v>
      </c>
      <c r="BQ92" s="323">
        <v>20</v>
      </c>
      <c r="BR92" s="2318">
        <v>6.666666666666667</v>
      </c>
      <c r="BS92" s="323">
        <v>15</v>
      </c>
      <c r="BT92" s="323">
        <v>30</v>
      </c>
      <c r="BU92" s="1001">
        <v>5.7000000000000002E-2</v>
      </c>
      <c r="BV92" s="357">
        <v>0</v>
      </c>
    </row>
    <row r="93" spans="28:74" ht="15.75">
      <c r="AB93" s="1408"/>
      <c r="AC93" s="1408"/>
      <c r="AD93" s="2255"/>
      <c r="AE93" s="2255"/>
      <c r="AF93" s="2255"/>
      <c r="AG93" s="1406"/>
      <c r="AH93" s="1406"/>
      <c r="AI93" s="1406"/>
      <c r="AJ93" s="1406"/>
      <c r="AK93" s="1406"/>
      <c r="AL93" s="1406"/>
      <c r="AM93" s="1406"/>
      <c r="AN93" s="1406"/>
      <c r="AO93" s="1406"/>
      <c r="AP93" s="1406"/>
      <c r="AQ93" s="1406"/>
      <c r="AR93" s="1406"/>
      <c r="AS93" s="1406"/>
      <c r="AT93" s="1406"/>
      <c r="AU93" s="1406"/>
      <c r="AV93" s="1406"/>
      <c r="AW93" s="1406"/>
      <c r="AX93" s="1406"/>
      <c r="AY93" s="1406"/>
      <c r="AZ93" s="1406"/>
      <c r="BA93" s="1406"/>
      <c r="BB93" s="1406"/>
      <c r="BC93" s="1406"/>
      <c r="BD93" s="1406"/>
      <c r="BE93" s="1406"/>
      <c r="BF93" s="1406"/>
      <c r="BG93" s="1406"/>
      <c r="BH93" s="1406"/>
      <c r="BI93" s="1406"/>
      <c r="BJ93" s="1406"/>
      <c r="BK93" s="1406"/>
      <c r="BL93" s="2141" t="s">
        <v>1666</v>
      </c>
      <c r="BM93" s="33">
        <v>600</v>
      </c>
      <c r="BN93" s="33">
        <v>200</v>
      </c>
      <c r="BO93" s="33">
        <v>20</v>
      </c>
      <c r="BP93" s="323">
        <v>20</v>
      </c>
      <c r="BQ93" s="323">
        <v>20</v>
      </c>
      <c r="BR93" s="2318">
        <v>20</v>
      </c>
      <c r="BS93" s="323">
        <v>40</v>
      </c>
      <c r="BT93" s="323">
        <v>30</v>
      </c>
      <c r="BU93" s="2146">
        <v>9.1999999999999998E-2</v>
      </c>
      <c r="BV93" s="357">
        <v>0</v>
      </c>
    </row>
    <row r="94" spans="28:74" ht="15.75">
      <c r="AB94" s="1408"/>
      <c r="AC94" s="1408"/>
      <c r="AD94" s="2255"/>
      <c r="AE94" s="2255"/>
      <c r="AF94" s="1350"/>
      <c r="AG94" s="1406"/>
      <c r="AH94" s="1406"/>
      <c r="AI94" s="1406"/>
      <c r="AJ94" s="1406"/>
      <c r="AK94" s="1406"/>
      <c r="AL94" s="1406"/>
      <c r="AM94" s="1406"/>
      <c r="AN94" s="1406"/>
      <c r="AO94" s="1406"/>
      <c r="AP94" s="1406"/>
      <c r="AQ94" s="1406"/>
      <c r="AR94" s="1406"/>
      <c r="AS94" s="1406"/>
      <c r="AT94" s="1406"/>
      <c r="AU94" s="1406"/>
      <c r="AV94" s="1406"/>
      <c r="AW94" s="1406"/>
      <c r="AX94" s="1406"/>
      <c r="AY94" s="1406"/>
      <c r="AZ94" s="1406"/>
      <c r="BA94" s="1406"/>
      <c r="BB94" s="1406"/>
      <c r="BC94" s="1406"/>
      <c r="BD94" s="1406"/>
      <c r="BE94" s="1406"/>
      <c r="BF94" s="1406"/>
      <c r="BG94" s="1406"/>
      <c r="BH94" s="1406"/>
      <c r="BI94" s="1406"/>
      <c r="BJ94" s="1406"/>
      <c r="BK94" s="1406"/>
      <c r="BL94" s="2141" t="s">
        <v>1374</v>
      </c>
      <c r="BM94" s="33">
        <v>350</v>
      </c>
      <c r="BN94" s="33">
        <v>150</v>
      </c>
      <c r="BO94" s="33">
        <v>20</v>
      </c>
      <c r="BP94" s="323">
        <v>20</v>
      </c>
      <c r="BQ94" s="323">
        <v>20</v>
      </c>
      <c r="BR94" s="2318">
        <v>6.666666666666667</v>
      </c>
      <c r="BS94" s="323">
        <v>15</v>
      </c>
      <c r="BT94" s="323">
        <v>60</v>
      </c>
      <c r="BU94" s="1001">
        <v>0.06</v>
      </c>
      <c r="BV94" s="357">
        <v>0</v>
      </c>
    </row>
    <row r="95" spans="28:74" ht="15.75">
      <c r="AB95" s="1408"/>
      <c r="AC95" s="1408"/>
      <c r="AD95" s="2255"/>
      <c r="AE95" s="2255"/>
      <c r="AF95" s="1350"/>
      <c r="AG95" s="1406"/>
      <c r="AH95" s="1406"/>
      <c r="AI95" s="1406"/>
      <c r="AJ95" s="1406"/>
      <c r="AK95" s="1406"/>
      <c r="AL95" s="1406"/>
      <c r="AM95" s="1406"/>
      <c r="AN95" s="1406"/>
      <c r="AO95" s="1406"/>
      <c r="AP95" s="1406"/>
      <c r="AQ95" s="1406"/>
      <c r="AR95" s="1406"/>
      <c r="AS95" s="1406"/>
      <c r="AT95" s="1406"/>
      <c r="AU95" s="1406"/>
      <c r="AV95" s="1406"/>
      <c r="AW95" s="1406"/>
      <c r="AX95" s="1406"/>
      <c r="AY95" s="1406"/>
      <c r="AZ95" s="1406"/>
      <c r="BA95" s="1406"/>
      <c r="BB95" s="1406"/>
      <c r="BC95" s="1406"/>
      <c r="BD95" s="1406"/>
      <c r="BE95" s="1406"/>
      <c r="BF95" s="1406"/>
      <c r="BG95" s="1406"/>
      <c r="BH95" s="1406"/>
      <c r="BI95" s="1406"/>
      <c r="BJ95" s="1406"/>
      <c r="BK95" s="1406"/>
      <c r="BL95" s="2141" t="s">
        <v>1375</v>
      </c>
      <c r="BM95" s="33">
        <v>600</v>
      </c>
      <c r="BN95" s="33">
        <v>190</v>
      </c>
      <c r="BO95" s="33">
        <v>20</v>
      </c>
      <c r="BP95" s="323">
        <v>20</v>
      </c>
      <c r="BQ95" s="323">
        <v>20</v>
      </c>
      <c r="BR95" s="2318">
        <v>10</v>
      </c>
      <c r="BS95" s="323">
        <v>20</v>
      </c>
      <c r="BT95" s="323">
        <v>60</v>
      </c>
      <c r="BU95" s="1001">
        <v>0.06</v>
      </c>
      <c r="BV95" s="357">
        <v>0</v>
      </c>
    </row>
    <row r="96" spans="28:74" ht="15.75">
      <c r="AB96" s="1408"/>
      <c r="AC96" s="1408"/>
      <c r="AD96" s="2255"/>
      <c r="AE96" s="2255"/>
      <c r="AF96" s="1350"/>
      <c r="AG96" s="1406"/>
      <c r="AH96" s="1406"/>
      <c r="AI96" s="1406"/>
      <c r="AJ96" s="1406"/>
      <c r="AK96" s="1406"/>
      <c r="AL96" s="1406"/>
      <c r="AM96" s="1406"/>
      <c r="AN96" s="1406"/>
      <c r="AO96" s="1406"/>
      <c r="AP96" s="1406"/>
      <c r="AQ96" s="1406"/>
      <c r="AR96" s="1406"/>
      <c r="AS96" s="1406"/>
      <c r="AT96" s="1406"/>
      <c r="AU96" s="1406"/>
      <c r="AV96" s="1406"/>
      <c r="AW96" s="1406"/>
      <c r="AX96" s="1406"/>
      <c r="AY96" s="1406"/>
      <c r="AZ96" s="1406"/>
      <c r="BA96" s="1406"/>
      <c r="BB96" s="1406"/>
      <c r="BC96" s="1406"/>
      <c r="BD96" s="1406"/>
      <c r="BE96" s="1406"/>
      <c r="BF96" s="1406"/>
      <c r="BG96" s="1406"/>
      <c r="BH96" s="1406"/>
      <c r="BI96" s="1406"/>
      <c r="BJ96" s="1406"/>
      <c r="BK96" s="1406"/>
      <c r="BL96" s="2141" t="s">
        <v>1291</v>
      </c>
      <c r="BM96" s="33">
        <v>500</v>
      </c>
      <c r="BN96" s="33">
        <v>150</v>
      </c>
      <c r="BO96" s="33">
        <v>20</v>
      </c>
      <c r="BP96" s="323">
        <v>20</v>
      </c>
      <c r="BQ96" s="323">
        <v>20</v>
      </c>
      <c r="BR96" s="2318">
        <v>6.666666666666667</v>
      </c>
      <c r="BS96" s="323">
        <v>10</v>
      </c>
      <c r="BT96" s="323">
        <v>30</v>
      </c>
      <c r="BU96" s="1001">
        <v>6.9000000000000006E-2</v>
      </c>
      <c r="BV96" s="357">
        <v>0</v>
      </c>
    </row>
    <row r="97" spans="28:74" ht="15.75">
      <c r="AB97" s="1405"/>
      <c r="AC97" s="1405"/>
      <c r="AD97" s="2255"/>
      <c r="AE97" s="2255"/>
      <c r="AF97" s="1350"/>
      <c r="AG97" s="1406"/>
      <c r="AH97" s="1406"/>
      <c r="AI97" s="1406"/>
      <c r="AJ97" s="1406"/>
      <c r="AK97" s="1406"/>
      <c r="AL97" s="1406"/>
      <c r="AM97" s="1406"/>
      <c r="AN97" s="1406"/>
      <c r="AO97" s="1406"/>
      <c r="AP97" s="1406"/>
      <c r="AQ97" s="1406"/>
      <c r="AR97" s="1406"/>
      <c r="AS97" s="1406"/>
      <c r="AT97" s="1406"/>
      <c r="AU97" s="1406"/>
      <c r="AV97" s="1406"/>
      <c r="AW97" s="1406"/>
      <c r="AX97" s="1406"/>
      <c r="AY97" s="1406"/>
      <c r="AZ97" s="1406"/>
      <c r="BA97" s="1406"/>
      <c r="BB97" s="1406"/>
      <c r="BC97" s="1406"/>
      <c r="BD97" s="1406"/>
      <c r="BE97" s="1406"/>
      <c r="BF97" s="1406"/>
      <c r="BG97" s="1406"/>
      <c r="BH97" s="1406"/>
      <c r="BI97" s="1406"/>
      <c r="BJ97" s="1406"/>
      <c r="BK97" s="1406"/>
      <c r="BL97" s="2141" t="s">
        <v>1292</v>
      </c>
      <c r="BM97" s="33">
        <v>280</v>
      </c>
      <c r="BN97" s="33">
        <v>140</v>
      </c>
      <c r="BO97" s="33">
        <v>20</v>
      </c>
      <c r="BP97" s="323">
        <v>20</v>
      </c>
      <c r="BQ97" s="323">
        <v>20</v>
      </c>
      <c r="BR97" s="2318">
        <v>13.333333333333334</v>
      </c>
      <c r="BS97" s="323">
        <v>30</v>
      </c>
      <c r="BT97" s="323">
        <v>60</v>
      </c>
      <c r="BU97" s="1001">
        <v>9.1999999999999998E-2</v>
      </c>
      <c r="BV97" s="357">
        <v>0</v>
      </c>
    </row>
    <row r="98" spans="28:74" ht="15.75">
      <c r="AB98" s="1344"/>
      <c r="AC98" s="1344"/>
      <c r="AD98" s="2255"/>
      <c r="AE98" s="2255"/>
      <c r="AF98" s="1350"/>
      <c r="AG98" s="1406"/>
      <c r="AH98" s="1406"/>
      <c r="AI98" s="1406"/>
      <c r="AJ98" s="1406"/>
      <c r="AK98" s="1406"/>
      <c r="AL98" s="1406"/>
      <c r="AM98" s="1406"/>
      <c r="AN98" s="1406"/>
      <c r="AO98" s="1406"/>
      <c r="AP98" s="1406"/>
      <c r="AQ98" s="1406"/>
      <c r="AR98" s="1406"/>
      <c r="AS98" s="1406"/>
      <c r="AT98" s="1406"/>
      <c r="AU98" s="1406"/>
      <c r="AV98" s="1406"/>
      <c r="AW98" s="1406"/>
      <c r="AX98" s="1406"/>
      <c r="AY98" s="1406"/>
      <c r="AZ98" s="1406"/>
      <c r="BA98" s="1406"/>
      <c r="BB98" s="1406"/>
      <c r="BC98" s="1406"/>
      <c r="BD98" s="1406"/>
      <c r="BE98" s="1406"/>
      <c r="BF98" s="1406"/>
      <c r="BG98" s="1406"/>
      <c r="BH98" s="1406"/>
      <c r="BI98" s="1406"/>
      <c r="BJ98" s="1406"/>
      <c r="BK98" s="1406"/>
      <c r="BL98" s="2141" t="s">
        <v>1294</v>
      </c>
      <c r="BM98" s="33">
        <v>450</v>
      </c>
      <c r="BN98" s="33">
        <v>140</v>
      </c>
      <c r="BO98" s="33">
        <v>20</v>
      </c>
      <c r="BP98" s="323">
        <v>20</v>
      </c>
      <c r="BQ98" s="323">
        <v>20</v>
      </c>
      <c r="BR98" s="2317">
        <v>0</v>
      </c>
      <c r="BS98" s="323">
        <v>10</v>
      </c>
      <c r="BT98" s="323">
        <v>60</v>
      </c>
      <c r="BU98" s="1001">
        <v>9.1999999999999998E-2</v>
      </c>
      <c r="BV98" s="357">
        <v>0</v>
      </c>
    </row>
    <row r="99" spans="28:74" ht="15.75">
      <c r="AB99" s="1344"/>
      <c r="AC99" s="1344"/>
      <c r="AD99" s="2255"/>
      <c r="AE99" s="2255"/>
      <c r="AF99" s="2255"/>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8"/>
      <c r="BE99" s="2258"/>
      <c r="BF99" s="2258"/>
      <c r="BG99" s="2258"/>
      <c r="BH99" s="2258"/>
      <c r="BI99" s="2258"/>
      <c r="BJ99" s="2258"/>
      <c r="BK99" s="2258"/>
      <c r="BL99" s="2141" t="s">
        <v>1376</v>
      </c>
      <c r="BM99" s="33">
        <v>300</v>
      </c>
      <c r="BN99" s="33">
        <v>150</v>
      </c>
      <c r="BO99" s="33">
        <v>20</v>
      </c>
      <c r="BP99" s="323">
        <v>20</v>
      </c>
      <c r="BQ99" s="323">
        <v>20</v>
      </c>
      <c r="BR99" s="2317">
        <v>0</v>
      </c>
      <c r="BS99" s="323">
        <v>15</v>
      </c>
      <c r="BT99" s="323">
        <v>30</v>
      </c>
      <c r="BU99" s="1001">
        <v>9.1999999999999998E-2</v>
      </c>
      <c r="BV99" s="357">
        <v>0</v>
      </c>
    </row>
    <row r="100" spans="28:74" ht="15.75">
      <c r="AB100" s="1344"/>
      <c r="AC100" s="1344"/>
      <c r="AD100" s="2255"/>
      <c r="AE100" s="2255"/>
      <c r="AF100" s="1350"/>
      <c r="AG100" s="1406"/>
      <c r="AH100" s="1406"/>
      <c r="AI100" s="1406"/>
      <c r="AJ100" s="1406"/>
      <c r="AK100" s="1406"/>
      <c r="AL100" s="1406"/>
      <c r="AM100" s="1406"/>
      <c r="AN100" s="1406"/>
      <c r="AO100" s="1406"/>
      <c r="AP100" s="1406"/>
      <c r="AQ100" s="1406"/>
      <c r="AR100" s="1406"/>
      <c r="AS100" s="1406"/>
      <c r="AT100" s="1406"/>
      <c r="AU100" s="1406"/>
      <c r="AV100" s="1406"/>
      <c r="AW100" s="1406"/>
      <c r="AX100" s="1406"/>
      <c r="AY100" s="1406"/>
      <c r="AZ100" s="1406"/>
      <c r="BA100" s="1406"/>
      <c r="BB100" s="1406"/>
      <c r="BC100" s="1406"/>
      <c r="BD100" s="1406"/>
      <c r="BE100" s="1406"/>
      <c r="BF100" s="1406"/>
      <c r="BG100" s="1406"/>
      <c r="BH100" s="1406"/>
      <c r="BI100" s="1406"/>
      <c r="BJ100" s="1406"/>
      <c r="BK100" s="1406"/>
      <c r="BL100" s="2141" t="s">
        <v>1293</v>
      </c>
      <c r="BM100" s="33">
        <v>450</v>
      </c>
      <c r="BN100" s="33">
        <v>150</v>
      </c>
      <c r="BO100" s="33">
        <v>20</v>
      </c>
      <c r="BP100" s="323">
        <v>20</v>
      </c>
      <c r="BQ100" s="323">
        <v>20</v>
      </c>
      <c r="BR100" s="2319">
        <v>0</v>
      </c>
      <c r="BS100" s="323">
        <v>10</v>
      </c>
      <c r="BT100" s="323">
        <v>30</v>
      </c>
      <c r="BU100" s="1001">
        <v>6.9000000000000006E-2</v>
      </c>
      <c r="BV100" s="357">
        <v>0</v>
      </c>
    </row>
    <row r="101" spans="28:74" ht="15.75">
      <c r="AB101" s="1405"/>
      <c r="AC101" s="1405"/>
      <c r="AD101" s="2248"/>
      <c r="AE101" s="2248"/>
      <c r="AF101" s="2248"/>
      <c r="AG101" s="1409"/>
      <c r="AH101" s="1409"/>
      <c r="AI101" s="1409"/>
      <c r="AJ101" s="1409"/>
      <c r="AK101" s="1410"/>
      <c r="AL101" s="1410"/>
      <c r="AM101" s="1410"/>
      <c r="AN101" s="1410"/>
      <c r="AO101" s="1410"/>
      <c r="AP101" s="1410"/>
      <c r="AQ101" s="1410"/>
      <c r="AR101" s="1410"/>
      <c r="AS101" s="1410"/>
      <c r="AT101" s="1410"/>
      <c r="AU101" s="1410"/>
      <c r="AV101" s="1410"/>
      <c r="AW101" s="1410"/>
      <c r="AX101" s="1410"/>
      <c r="AY101" s="1410"/>
      <c r="AZ101" s="1410"/>
      <c r="BA101" s="1410"/>
      <c r="BB101" s="1410"/>
      <c r="BC101" s="1410"/>
      <c r="BD101" s="1410"/>
      <c r="BE101" s="1410"/>
      <c r="BF101" s="1410"/>
      <c r="BG101" s="1410"/>
      <c r="BH101" s="1410"/>
      <c r="BI101" s="1410"/>
      <c r="BJ101" s="1410"/>
      <c r="BK101" s="1410"/>
      <c r="BL101" s="2141" t="s">
        <v>1295</v>
      </c>
      <c r="BM101" s="33">
        <v>600</v>
      </c>
      <c r="BN101" s="33">
        <v>190</v>
      </c>
      <c r="BO101" s="33">
        <v>20</v>
      </c>
      <c r="BP101" s="323">
        <v>20</v>
      </c>
      <c r="BQ101" s="323">
        <v>20</v>
      </c>
      <c r="BR101" s="2318">
        <v>36.666666666666664</v>
      </c>
      <c r="BS101" s="323">
        <v>20</v>
      </c>
      <c r="BT101" s="323">
        <v>60</v>
      </c>
      <c r="BU101" s="1001">
        <v>0.115</v>
      </c>
      <c r="BV101" s="357">
        <v>0</v>
      </c>
    </row>
    <row r="102" spans="28:74" ht="15.75">
      <c r="AB102" s="1405"/>
      <c r="AC102" s="1405"/>
      <c r="AD102" s="2248"/>
      <c r="AE102" s="2248"/>
      <c r="AF102" s="2248"/>
      <c r="AG102" s="1409"/>
      <c r="AH102" s="1409"/>
      <c r="AI102" s="1409"/>
      <c r="AJ102" s="1409"/>
      <c r="AK102" s="1410"/>
      <c r="AL102" s="1410"/>
      <c r="AM102" s="1410"/>
      <c r="AN102" s="1410"/>
      <c r="AO102" s="1410"/>
      <c r="AP102" s="1410"/>
      <c r="AQ102" s="1410"/>
      <c r="AR102" s="1410"/>
      <c r="AS102" s="1410"/>
      <c r="AT102" s="1410"/>
      <c r="AU102" s="1410"/>
      <c r="AV102" s="1410"/>
      <c r="AW102" s="1410"/>
      <c r="AX102" s="1410"/>
      <c r="AY102" s="1410"/>
      <c r="AZ102" s="1410"/>
      <c r="BA102" s="1410"/>
      <c r="BB102" s="1410"/>
      <c r="BC102" s="1410"/>
      <c r="BD102" s="1410"/>
      <c r="BE102" s="1410"/>
      <c r="BF102" s="1410"/>
      <c r="BG102" s="1410"/>
      <c r="BH102" s="1410"/>
      <c r="BI102" s="1410"/>
      <c r="BJ102" s="1410"/>
      <c r="BK102" s="1410"/>
      <c r="BL102" s="2159" t="s">
        <v>1667</v>
      </c>
      <c r="BM102" s="33">
        <v>350</v>
      </c>
      <c r="BN102" s="33">
        <v>210</v>
      </c>
      <c r="BO102" s="33">
        <v>10</v>
      </c>
      <c r="BP102" s="2158">
        <v>21</v>
      </c>
      <c r="BQ102" s="2158">
        <v>21</v>
      </c>
      <c r="BR102" s="2318">
        <v>6.666666666666667</v>
      </c>
      <c r="BS102" s="2152">
        <v>0</v>
      </c>
      <c r="BT102" s="2152">
        <v>60</v>
      </c>
      <c r="BU102" s="2155">
        <v>0.11</v>
      </c>
      <c r="BV102" s="357">
        <v>0</v>
      </c>
    </row>
    <row r="103" spans="28:74">
      <c r="AB103" s="2248"/>
      <c r="AC103" s="2248"/>
      <c r="AD103" s="2248"/>
      <c r="AE103" s="2248"/>
      <c r="AF103" s="2248"/>
      <c r="AG103" s="2248"/>
      <c r="AH103" s="2248"/>
      <c r="AI103" s="2248"/>
      <c r="AJ103" s="2248"/>
      <c r="BL103" s="2159" t="s">
        <v>1668</v>
      </c>
      <c r="BM103" s="33">
        <v>300</v>
      </c>
      <c r="BN103" s="33">
        <v>130</v>
      </c>
      <c r="BO103" s="33">
        <v>10</v>
      </c>
      <c r="BP103" s="2158">
        <v>13</v>
      </c>
      <c r="BQ103" s="2158">
        <v>13</v>
      </c>
      <c r="BR103" s="2318">
        <v>16.666666666666668</v>
      </c>
      <c r="BS103" s="2152">
        <v>0</v>
      </c>
      <c r="BT103" s="2152">
        <v>60</v>
      </c>
      <c r="BU103" s="2155">
        <v>0.08</v>
      </c>
      <c r="BV103" s="357">
        <v>0</v>
      </c>
    </row>
    <row r="104" spans="28:74" ht="15.75">
      <c r="AB104" s="2248"/>
      <c r="AC104" s="2248"/>
      <c r="AD104" s="2248"/>
      <c r="AE104" s="2248"/>
      <c r="AF104" s="1411"/>
      <c r="AG104" s="1412"/>
      <c r="AH104" s="1412"/>
      <c r="AI104" s="1412"/>
      <c r="AJ104" s="1412"/>
      <c r="AK104" s="1413"/>
      <c r="AL104" s="1413"/>
      <c r="AM104" s="1413"/>
      <c r="AN104" s="1413"/>
      <c r="AO104" s="1413"/>
      <c r="AP104" s="1413"/>
      <c r="AQ104" s="1413"/>
      <c r="AR104" s="1413"/>
      <c r="AS104" s="1413"/>
      <c r="AT104" s="1413"/>
      <c r="AU104" s="1413"/>
      <c r="AV104" s="1413"/>
      <c r="AW104" s="1413"/>
      <c r="AX104" s="1413"/>
      <c r="AY104" s="1413"/>
      <c r="AZ104" s="1413"/>
      <c r="BA104" s="1413"/>
      <c r="BB104" s="1413"/>
      <c r="BC104" s="1413"/>
      <c r="BD104" s="1413"/>
      <c r="BE104" s="1413"/>
      <c r="BF104" s="1413"/>
      <c r="BG104" s="1413"/>
      <c r="BH104" s="1413"/>
      <c r="BI104" s="1413"/>
      <c r="BJ104" s="1413"/>
      <c r="BK104" s="1413"/>
      <c r="BL104" s="2141" t="s">
        <v>1669</v>
      </c>
      <c r="BM104" s="33">
        <v>200</v>
      </c>
      <c r="BN104" s="33">
        <v>145</v>
      </c>
      <c r="BO104" s="33">
        <v>10</v>
      </c>
      <c r="BP104" s="2153">
        <v>7</v>
      </c>
      <c r="BQ104" s="2153">
        <v>7</v>
      </c>
      <c r="BR104" s="2318">
        <v>16.666666666666668</v>
      </c>
      <c r="BS104" s="2164">
        <v>0</v>
      </c>
      <c r="BT104" s="2164">
        <v>60</v>
      </c>
      <c r="BU104" s="2157">
        <v>0.09</v>
      </c>
      <c r="BV104" s="357">
        <v>0</v>
      </c>
    </row>
    <row r="105" spans="28:74" ht="15.75">
      <c r="AB105" s="2248"/>
      <c r="AC105" s="2248"/>
      <c r="AD105" s="2248"/>
      <c r="AE105" s="2248"/>
      <c r="AF105" s="1411"/>
      <c r="AG105" s="820"/>
      <c r="AH105" s="820"/>
      <c r="AI105" s="820"/>
      <c r="AJ105" s="820"/>
      <c r="AK105" s="1386"/>
      <c r="AL105" s="1386"/>
      <c r="AM105" s="1386"/>
      <c r="AN105" s="1386"/>
      <c r="AO105" s="1386"/>
      <c r="AP105" s="1386"/>
      <c r="AQ105" s="1386"/>
      <c r="AR105" s="1386"/>
      <c r="AS105" s="1386"/>
      <c r="AT105" s="1386"/>
      <c r="AU105" s="1386"/>
      <c r="AV105" s="1386"/>
      <c r="AW105" s="1386"/>
      <c r="AX105" s="1386"/>
      <c r="AY105" s="1386"/>
      <c r="AZ105" s="1386"/>
      <c r="BA105" s="1386"/>
      <c r="BB105" s="1386"/>
      <c r="BC105" s="1386"/>
      <c r="BD105" s="1386"/>
      <c r="BE105" s="1386"/>
      <c r="BF105" s="1386"/>
      <c r="BG105" s="1386"/>
      <c r="BH105" s="1386"/>
      <c r="BI105" s="1386"/>
      <c r="BJ105" s="1386"/>
      <c r="BK105" s="1386"/>
      <c r="BL105" s="2141" t="s">
        <v>1377</v>
      </c>
      <c r="BM105" s="33">
        <v>280</v>
      </c>
      <c r="BN105" s="33">
        <v>240</v>
      </c>
      <c r="BO105" s="33">
        <v>20</v>
      </c>
      <c r="BP105" s="323">
        <v>20</v>
      </c>
      <c r="BQ105" s="323">
        <v>20</v>
      </c>
      <c r="BR105" s="2318">
        <v>6.666666666666667</v>
      </c>
      <c r="BS105" s="323">
        <v>55</v>
      </c>
      <c r="BT105" s="323">
        <v>60</v>
      </c>
      <c r="BU105" s="1001">
        <v>0.13700000000000001</v>
      </c>
      <c r="BV105" s="357">
        <v>0</v>
      </c>
    </row>
    <row r="106" spans="28:74" ht="15.75">
      <c r="AB106" s="2248"/>
      <c r="AC106" s="2248"/>
      <c r="AD106" s="2248"/>
      <c r="AE106" s="2248"/>
      <c r="AF106" s="1411"/>
      <c r="AG106" s="820"/>
      <c r="AH106" s="820"/>
      <c r="AI106" s="820"/>
      <c r="AJ106" s="820"/>
      <c r="AK106" s="1386"/>
      <c r="AL106" s="1386"/>
      <c r="AM106" s="1386"/>
      <c r="AN106" s="1386"/>
      <c r="AO106" s="1386"/>
      <c r="AP106" s="1386"/>
      <c r="AQ106" s="1386"/>
      <c r="AR106" s="1386"/>
      <c r="AS106" s="1386"/>
      <c r="AT106" s="1386"/>
      <c r="AU106" s="1386"/>
      <c r="AV106" s="1386"/>
      <c r="AW106" s="1386"/>
      <c r="AX106" s="1386"/>
      <c r="AY106" s="1386"/>
      <c r="AZ106" s="1386"/>
      <c r="BA106" s="1386"/>
      <c r="BB106" s="1386"/>
      <c r="BC106" s="1386"/>
      <c r="BD106" s="1386"/>
      <c r="BE106" s="1386"/>
      <c r="BF106" s="1386"/>
      <c r="BG106" s="1386"/>
      <c r="BH106" s="1386"/>
      <c r="BI106" s="1386"/>
      <c r="BJ106" s="1386"/>
      <c r="BK106" s="1386"/>
      <c r="BL106" s="2141" t="s">
        <v>1378</v>
      </c>
      <c r="BM106" s="33">
        <v>300</v>
      </c>
      <c r="BN106" s="33">
        <v>210</v>
      </c>
      <c r="BO106" s="33">
        <v>20</v>
      </c>
      <c r="BP106" s="323">
        <v>20</v>
      </c>
      <c r="BQ106" s="323">
        <v>20</v>
      </c>
      <c r="BR106" s="2318">
        <v>26.666666666666668</v>
      </c>
      <c r="BS106" s="323">
        <v>10</v>
      </c>
      <c r="BT106" s="323">
        <v>60</v>
      </c>
      <c r="BU106" s="1001">
        <v>0.13700000000000001</v>
      </c>
      <c r="BV106" s="357">
        <v>0</v>
      </c>
    </row>
    <row r="107" spans="28:74" ht="15.75">
      <c r="AB107" s="2248"/>
      <c r="AC107" s="2248"/>
      <c r="AD107" s="2248"/>
      <c r="AE107" s="2248"/>
      <c r="AF107" s="1411"/>
      <c r="AG107" s="820"/>
      <c r="AH107" s="820"/>
      <c r="AI107" s="820"/>
      <c r="AJ107" s="820"/>
      <c r="AK107" s="1386"/>
      <c r="AL107" s="1386"/>
      <c r="AM107" s="1386"/>
      <c r="AN107" s="1386"/>
      <c r="AO107" s="1386"/>
      <c r="AP107" s="1386"/>
      <c r="AQ107" s="1386"/>
      <c r="AR107" s="1386"/>
      <c r="AS107" s="1386"/>
      <c r="AT107" s="1386"/>
      <c r="AU107" s="1386"/>
      <c r="AV107" s="1386"/>
      <c r="AW107" s="1386"/>
      <c r="AX107" s="1386"/>
      <c r="AY107" s="1386"/>
      <c r="AZ107" s="1386"/>
      <c r="BA107" s="1386"/>
      <c r="BB107" s="1386"/>
      <c r="BC107" s="1386"/>
      <c r="BD107" s="1386"/>
      <c r="BE107" s="1386"/>
      <c r="BF107" s="1386"/>
      <c r="BG107" s="1386"/>
      <c r="BH107" s="1386"/>
      <c r="BI107" s="1386"/>
      <c r="BJ107" s="1386"/>
      <c r="BK107" s="1386"/>
      <c r="BL107" s="2141" t="s">
        <v>1379</v>
      </c>
      <c r="BM107" s="33">
        <v>200</v>
      </c>
      <c r="BN107" s="33">
        <v>180</v>
      </c>
      <c r="BO107" s="33">
        <v>20</v>
      </c>
      <c r="BP107" s="323">
        <v>20</v>
      </c>
      <c r="BQ107" s="323">
        <v>20</v>
      </c>
      <c r="BR107" s="2319">
        <v>0</v>
      </c>
      <c r="BS107" s="323">
        <v>25</v>
      </c>
      <c r="BT107" s="323">
        <v>60</v>
      </c>
      <c r="BU107" s="1001">
        <v>0.13700000000000001</v>
      </c>
      <c r="BV107" s="357">
        <v>0</v>
      </c>
    </row>
    <row r="108" spans="28:74" ht="15.75">
      <c r="AB108" s="2248"/>
      <c r="AC108" s="2248"/>
      <c r="AD108" s="2248"/>
      <c r="AE108" s="2248"/>
      <c r="AF108" s="1411"/>
      <c r="AG108" s="1355"/>
      <c r="AH108" s="1355"/>
      <c r="AI108" s="1355"/>
      <c r="AJ108" s="1355"/>
      <c r="AK108" s="1414"/>
      <c r="AL108" s="1414"/>
      <c r="AM108" s="1414"/>
      <c r="AN108" s="1414"/>
      <c r="AO108" s="1414"/>
      <c r="AP108" s="1414"/>
      <c r="AQ108" s="1414"/>
      <c r="AR108" s="1414"/>
      <c r="AS108" s="1414"/>
      <c r="AT108" s="1414"/>
      <c r="AU108" s="1414"/>
      <c r="AV108" s="1414"/>
      <c r="AW108" s="1414"/>
      <c r="AX108" s="1414"/>
      <c r="AY108" s="1414"/>
      <c r="AZ108" s="1414"/>
      <c r="BA108" s="1414"/>
      <c r="BB108" s="1414"/>
      <c r="BC108" s="1414"/>
      <c r="BD108" s="1414"/>
      <c r="BE108" s="1414"/>
      <c r="BF108" s="1414"/>
      <c r="BG108" s="1414"/>
      <c r="BH108" s="1414"/>
      <c r="BI108" s="1414"/>
      <c r="BJ108" s="1414"/>
      <c r="BK108" s="1414"/>
      <c r="BL108" s="2154" t="s">
        <v>1597</v>
      </c>
      <c r="BM108" s="33">
        <v>500</v>
      </c>
      <c r="BN108" s="33">
        <v>310</v>
      </c>
      <c r="BO108" s="33">
        <v>10</v>
      </c>
      <c r="BP108" s="2153">
        <v>31</v>
      </c>
      <c r="BQ108" s="2153">
        <v>31</v>
      </c>
      <c r="BR108" s="2318">
        <v>26.666666666666668</v>
      </c>
      <c r="BS108" s="2154">
        <v>0</v>
      </c>
      <c r="BT108" s="2154">
        <v>60</v>
      </c>
      <c r="BU108" s="2157">
        <v>0.13700000000000001</v>
      </c>
      <c r="BV108" s="357">
        <v>0</v>
      </c>
    </row>
    <row r="109" spans="28:74" ht="15.75">
      <c r="AB109" s="1405"/>
      <c r="AC109" s="1405"/>
      <c r="AD109" s="2248"/>
      <c r="AE109" s="2255"/>
      <c r="AF109" s="1411"/>
      <c r="AG109" s="1355"/>
      <c r="AH109" s="1355"/>
      <c r="AI109" s="1355"/>
      <c r="AJ109" s="1355"/>
      <c r="AK109" s="1414"/>
      <c r="AL109" s="1414"/>
      <c r="AM109" s="1414"/>
      <c r="AN109" s="1414"/>
      <c r="AO109" s="1414"/>
      <c r="AP109" s="1414"/>
      <c r="AQ109" s="1414"/>
      <c r="AR109" s="1414"/>
      <c r="AS109" s="1414"/>
      <c r="AT109" s="1414"/>
      <c r="AU109" s="1414"/>
      <c r="AV109" s="1414"/>
      <c r="AW109" s="1414"/>
      <c r="AX109" s="1414"/>
      <c r="AY109" s="1414"/>
      <c r="AZ109" s="1414"/>
      <c r="BA109" s="1414"/>
      <c r="BB109" s="1414"/>
      <c r="BC109" s="1414"/>
      <c r="BD109" s="1414"/>
      <c r="BE109" s="1414"/>
      <c r="BF109" s="1414"/>
      <c r="BG109" s="1414"/>
      <c r="BH109" s="1414"/>
      <c r="BI109" s="1414"/>
      <c r="BJ109" s="1414"/>
      <c r="BK109" s="1414"/>
      <c r="BL109" s="2141" t="s">
        <v>1296</v>
      </c>
      <c r="BM109" s="33">
        <v>200</v>
      </c>
      <c r="BN109" s="33">
        <v>75</v>
      </c>
      <c r="BO109" s="33">
        <v>20</v>
      </c>
      <c r="BP109" s="323">
        <v>20</v>
      </c>
      <c r="BQ109" s="323">
        <v>20</v>
      </c>
      <c r="BR109" s="2318">
        <v>0</v>
      </c>
      <c r="BS109" s="323">
        <v>25</v>
      </c>
      <c r="BT109" s="323">
        <v>90</v>
      </c>
      <c r="BU109" s="1001">
        <v>0.16</v>
      </c>
      <c r="BV109" s="357">
        <v>0</v>
      </c>
    </row>
    <row r="110" spans="28:74" ht="15.75">
      <c r="AB110" s="1405"/>
      <c r="AC110" s="1405"/>
      <c r="AD110" s="2248"/>
      <c r="AE110" s="2255"/>
      <c r="AF110" s="1411"/>
      <c r="AG110" s="1355"/>
      <c r="AH110" s="1355"/>
      <c r="AI110" s="1355"/>
      <c r="AJ110" s="1355"/>
      <c r="AK110" s="1414"/>
      <c r="AL110" s="1414"/>
      <c r="AM110" s="1414"/>
      <c r="AN110" s="1414"/>
      <c r="AO110" s="1414"/>
      <c r="AP110" s="1414"/>
      <c r="AQ110" s="1414"/>
      <c r="AR110" s="1414"/>
      <c r="AS110" s="1414"/>
      <c r="AT110" s="1414"/>
      <c r="AU110" s="1414"/>
      <c r="AV110" s="1414"/>
      <c r="AW110" s="1414"/>
      <c r="AX110" s="1414"/>
      <c r="AY110" s="1414"/>
      <c r="AZ110" s="1414"/>
      <c r="BA110" s="1414"/>
      <c r="BB110" s="1414"/>
      <c r="BC110" s="1414"/>
      <c r="BD110" s="1414"/>
      <c r="BE110" s="1414"/>
      <c r="BF110" s="1414"/>
      <c r="BG110" s="1414"/>
      <c r="BH110" s="1414"/>
      <c r="BI110" s="1414"/>
      <c r="BJ110" s="1414"/>
      <c r="BK110" s="1414"/>
      <c r="BL110" s="2141" t="s">
        <v>1380</v>
      </c>
      <c r="BM110" s="33">
        <v>600</v>
      </c>
      <c r="BN110" s="33">
        <v>205</v>
      </c>
      <c r="BO110" s="33">
        <v>20</v>
      </c>
      <c r="BP110" s="323">
        <v>20</v>
      </c>
      <c r="BQ110" s="323">
        <v>20</v>
      </c>
      <c r="BR110" s="2318">
        <v>0</v>
      </c>
      <c r="BS110" s="323">
        <v>10</v>
      </c>
      <c r="BT110" s="323">
        <v>30</v>
      </c>
      <c r="BU110" s="1001">
        <v>0.126</v>
      </c>
      <c r="BV110" s="357">
        <v>0</v>
      </c>
    </row>
    <row r="111" spans="28:74" ht="15.75">
      <c r="AB111" s="2248"/>
      <c r="AC111" s="2248"/>
      <c r="AD111" s="2248"/>
      <c r="AE111" s="2248"/>
      <c r="AF111" s="1411"/>
      <c r="AG111" s="820"/>
      <c r="AH111" s="820"/>
      <c r="AI111" s="820"/>
      <c r="AJ111" s="820"/>
      <c r="AK111" s="1386"/>
      <c r="AL111" s="1386"/>
      <c r="AM111" s="1386"/>
      <c r="AN111" s="1386"/>
      <c r="AO111" s="1386"/>
      <c r="AP111" s="1386"/>
      <c r="AQ111" s="1386"/>
      <c r="AR111" s="1386"/>
      <c r="AS111" s="1386"/>
      <c r="AT111" s="1386"/>
      <c r="AU111" s="1386"/>
      <c r="AV111" s="1386"/>
      <c r="AW111" s="1386"/>
      <c r="AX111" s="1386"/>
      <c r="AY111" s="1386"/>
      <c r="AZ111" s="1386"/>
      <c r="BA111" s="1386"/>
      <c r="BB111" s="1386"/>
      <c r="BC111" s="1386"/>
      <c r="BD111" s="1386"/>
      <c r="BE111" s="1386"/>
      <c r="BF111" s="1386"/>
      <c r="BG111" s="1386"/>
      <c r="BH111" s="1386"/>
      <c r="BI111" s="1386"/>
      <c r="BJ111" s="1386"/>
      <c r="BK111" s="1386"/>
      <c r="BL111" s="2141" t="s">
        <v>1381</v>
      </c>
      <c r="BM111" s="33">
        <v>650</v>
      </c>
      <c r="BN111" s="33">
        <v>220</v>
      </c>
      <c r="BO111" s="33">
        <v>20</v>
      </c>
      <c r="BP111" s="323">
        <v>40</v>
      </c>
      <c r="BQ111" s="323">
        <v>40</v>
      </c>
      <c r="BR111" s="2318">
        <v>0</v>
      </c>
      <c r="BS111" s="323">
        <v>40</v>
      </c>
      <c r="BT111" s="323">
        <v>60</v>
      </c>
      <c r="BU111" s="1001">
        <v>0.14899999999999999</v>
      </c>
      <c r="BV111" s="357">
        <v>0</v>
      </c>
    </row>
    <row r="112" spans="28:74" ht="15.75">
      <c r="AB112" s="2248"/>
      <c r="AC112" s="2248"/>
      <c r="AD112" s="2248"/>
      <c r="AE112" s="2248"/>
      <c r="AF112" s="1411"/>
      <c r="AG112" s="1355"/>
      <c r="AH112" s="1355"/>
      <c r="AI112" s="1355"/>
      <c r="AJ112" s="1355"/>
      <c r="AK112" s="1414"/>
      <c r="AL112" s="1414"/>
      <c r="AM112" s="1414"/>
      <c r="AN112" s="1414"/>
      <c r="AO112" s="1414"/>
      <c r="AP112" s="1414"/>
      <c r="AQ112" s="1414"/>
      <c r="AR112" s="1414"/>
      <c r="AS112" s="1414"/>
      <c r="AT112" s="1414"/>
      <c r="AU112" s="1414"/>
      <c r="AV112" s="1414"/>
      <c r="AW112" s="1414"/>
      <c r="AX112" s="1414"/>
      <c r="AY112" s="1414"/>
      <c r="AZ112" s="1414"/>
      <c r="BA112" s="1414"/>
      <c r="BB112" s="1414"/>
      <c r="BC112" s="1414"/>
      <c r="BD112" s="1414"/>
      <c r="BE112" s="1414"/>
      <c r="BF112" s="1414"/>
      <c r="BG112" s="1414"/>
      <c r="BH112" s="1414"/>
      <c r="BI112" s="1414"/>
      <c r="BJ112" s="1414"/>
      <c r="BK112" s="1414"/>
      <c r="BL112" s="2141" t="s">
        <v>1670</v>
      </c>
      <c r="BM112" s="33">
        <v>550</v>
      </c>
      <c r="BN112" s="33">
        <v>245</v>
      </c>
      <c r="BO112" s="33">
        <v>10</v>
      </c>
      <c r="BP112" s="2153">
        <v>25</v>
      </c>
      <c r="BQ112" s="2153">
        <v>25</v>
      </c>
      <c r="BR112" s="2318">
        <v>0</v>
      </c>
      <c r="BS112" s="2164">
        <v>0</v>
      </c>
      <c r="BT112" s="2164">
        <v>60</v>
      </c>
      <c r="BU112" s="2155">
        <v>0.11</v>
      </c>
      <c r="BV112" s="357">
        <v>0</v>
      </c>
    </row>
    <row r="113" spans="28:74" ht="15.75">
      <c r="AB113" s="2248"/>
      <c r="AC113" s="2248"/>
      <c r="AD113" s="2248"/>
      <c r="AE113" s="2248"/>
      <c r="AF113" s="1411"/>
      <c r="AG113" s="1355"/>
      <c r="AH113" s="1355"/>
      <c r="AI113" s="1355"/>
      <c r="AJ113" s="1355"/>
      <c r="AK113" s="1414"/>
      <c r="AL113" s="1414"/>
      <c r="AM113" s="1414"/>
      <c r="AN113" s="1414"/>
      <c r="AO113" s="1414"/>
      <c r="AP113" s="1414"/>
      <c r="AQ113" s="1414"/>
      <c r="AR113" s="1414"/>
      <c r="AS113" s="1414"/>
      <c r="AT113" s="1414"/>
      <c r="AU113" s="1414"/>
      <c r="AV113" s="1414"/>
      <c r="AW113" s="1414"/>
      <c r="AX113" s="1414"/>
      <c r="AY113" s="1414"/>
      <c r="AZ113" s="1414"/>
      <c r="BA113" s="1414"/>
      <c r="BB113" s="1414"/>
      <c r="BC113" s="1414"/>
      <c r="BD113" s="1414"/>
      <c r="BE113" s="1414"/>
      <c r="BF113" s="1414"/>
      <c r="BG113" s="1414"/>
      <c r="BH113" s="1414"/>
      <c r="BI113" s="1414"/>
      <c r="BJ113" s="1414"/>
      <c r="BK113" s="1414"/>
      <c r="BL113" s="2141" t="s">
        <v>1382</v>
      </c>
      <c r="BM113" s="33">
        <v>500</v>
      </c>
      <c r="BN113" s="33">
        <v>230</v>
      </c>
      <c r="BO113" s="33">
        <v>20</v>
      </c>
      <c r="BP113" s="323">
        <v>20</v>
      </c>
      <c r="BQ113" s="323">
        <v>20</v>
      </c>
      <c r="BR113" s="2318">
        <v>0</v>
      </c>
      <c r="BS113" s="323">
        <v>40</v>
      </c>
      <c r="BT113" s="323">
        <v>30</v>
      </c>
      <c r="BU113" s="1001">
        <v>0.115</v>
      </c>
      <c r="BV113" s="357">
        <v>0</v>
      </c>
    </row>
    <row r="114" spans="28:74" ht="15.75">
      <c r="AB114" s="2248"/>
      <c r="AC114" s="2248"/>
      <c r="AD114" s="2248"/>
      <c r="AE114" s="2248"/>
      <c r="AF114" s="1411"/>
      <c r="AG114" s="1355"/>
      <c r="AH114" s="1355"/>
      <c r="AI114" s="1355"/>
      <c r="AJ114" s="1355"/>
      <c r="AK114" s="1414"/>
      <c r="AL114" s="1414"/>
      <c r="AM114" s="1414"/>
      <c r="AN114" s="1414"/>
      <c r="AO114" s="1414"/>
      <c r="AP114" s="1414"/>
      <c r="AQ114" s="1414"/>
      <c r="AR114" s="1414"/>
      <c r="AS114" s="1414"/>
      <c r="AT114" s="1414"/>
      <c r="AU114" s="1414"/>
      <c r="AV114" s="1414"/>
      <c r="AW114" s="1414"/>
      <c r="AX114" s="1414"/>
      <c r="AY114" s="1414"/>
      <c r="AZ114" s="1414"/>
      <c r="BA114" s="1414"/>
      <c r="BB114" s="1414"/>
      <c r="BC114" s="1414"/>
      <c r="BD114" s="1414"/>
      <c r="BE114" s="1414"/>
      <c r="BF114" s="1414"/>
      <c r="BG114" s="1414"/>
      <c r="BH114" s="1414"/>
      <c r="BI114" s="1414"/>
      <c r="BJ114" s="1414"/>
      <c r="BK114" s="1414"/>
      <c r="BL114" s="2141" t="s">
        <v>1383</v>
      </c>
      <c r="BM114" s="33">
        <v>0</v>
      </c>
      <c r="BN114" s="33">
        <v>140</v>
      </c>
      <c r="BO114" s="33">
        <v>20</v>
      </c>
      <c r="BP114" s="323">
        <v>20</v>
      </c>
      <c r="BQ114" s="323">
        <v>20</v>
      </c>
      <c r="BR114" s="2318">
        <v>6.666666666666667</v>
      </c>
      <c r="BS114" s="323"/>
      <c r="BT114" s="323">
        <v>60</v>
      </c>
      <c r="BU114" s="1001">
        <v>8.2000000000000003E-2</v>
      </c>
      <c r="BV114" s="357">
        <v>0</v>
      </c>
    </row>
    <row r="115" spans="28:74" ht="15.75">
      <c r="AB115" s="2248"/>
      <c r="AC115" s="2248"/>
      <c r="AD115" s="2248"/>
      <c r="AE115" s="2248"/>
      <c r="AF115" s="1411"/>
      <c r="AG115" s="1355"/>
      <c r="AH115" s="1355"/>
      <c r="AI115" s="1355"/>
      <c r="AJ115" s="1355"/>
      <c r="AK115" s="1414"/>
      <c r="AL115" s="1414"/>
      <c r="AM115" s="1414"/>
      <c r="AN115" s="1414"/>
      <c r="AO115" s="1414"/>
      <c r="AP115" s="1414"/>
      <c r="AQ115" s="1414"/>
      <c r="AR115" s="1414"/>
      <c r="AS115" s="1414"/>
      <c r="AT115" s="1414"/>
      <c r="AU115" s="1414"/>
      <c r="AV115" s="1414"/>
      <c r="AW115" s="1414"/>
      <c r="AX115" s="1414"/>
      <c r="AY115" s="1414"/>
      <c r="AZ115" s="1414"/>
      <c r="BA115" s="1414"/>
      <c r="BB115" s="1414"/>
      <c r="BC115" s="1414"/>
      <c r="BD115" s="1414"/>
      <c r="BE115" s="1414"/>
      <c r="BF115" s="1414"/>
      <c r="BG115" s="1414"/>
      <c r="BH115" s="1414"/>
      <c r="BI115" s="1414"/>
      <c r="BJ115" s="1414"/>
      <c r="BK115" s="1414"/>
      <c r="BL115" s="2141" t="s">
        <v>1384</v>
      </c>
      <c r="BM115" s="33">
        <v>20</v>
      </c>
      <c r="BN115" s="33">
        <v>160</v>
      </c>
      <c r="BO115" s="33">
        <v>20</v>
      </c>
      <c r="BP115" s="323">
        <v>20</v>
      </c>
      <c r="BQ115" s="323">
        <v>20</v>
      </c>
      <c r="BR115" s="2318">
        <v>20</v>
      </c>
      <c r="BS115" s="323"/>
      <c r="BT115" s="323">
        <v>90</v>
      </c>
      <c r="BU115" s="1001">
        <v>8.2000000000000003E-2</v>
      </c>
      <c r="BV115" s="357">
        <v>0</v>
      </c>
    </row>
    <row r="116" spans="28:74" ht="15.75">
      <c r="AB116" s="2248"/>
      <c r="AC116" s="2248"/>
      <c r="AD116" s="2248"/>
      <c r="AE116" s="2248"/>
      <c r="AF116" s="1411"/>
      <c r="AG116" s="1355"/>
      <c r="AH116" s="1355"/>
      <c r="AI116" s="1355"/>
      <c r="AJ116" s="1355"/>
      <c r="AK116" s="1414"/>
      <c r="AL116" s="1414"/>
      <c r="AM116" s="1414"/>
      <c r="AN116" s="1414"/>
      <c r="AO116" s="1414"/>
      <c r="AP116" s="1414"/>
      <c r="AQ116" s="1414"/>
      <c r="AR116" s="1414"/>
      <c r="AS116" s="1414"/>
      <c r="AT116" s="1414"/>
      <c r="AU116" s="1414"/>
      <c r="AV116" s="1414"/>
      <c r="AW116" s="1414"/>
      <c r="AX116" s="1414"/>
      <c r="AY116" s="1414"/>
      <c r="AZ116" s="1414"/>
      <c r="BA116" s="1414"/>
      <c r="BB116" s="1414"/>
      <c r="BC116" s="1414"/>
      <c r="BD116" s="1414"/>
      <c r="BE116" s="1414"/>
      <c r="BF116" s="1414"/>
      <c r="BG116" s="1414"/>
      <c r="BH116" s="1414"/>
      <c r="BI116" s="1414"/>
      <c r="BJ116" s="1414"/>
      <c r="BK116" s="1414"/>
      <c r="BL116" s="2141" t="s">
        <v>1385</v>
      </c>
      <c r="BM116" s="33">
        <v>0</v>
      </c>
      <c r="BN116" s="33">
        <v>160</v>
      </c>
      <c r="BO116" s="33">
        <v>20</v>
      </c>
      <c r="BP116" s="323">
        <v>20</v>
      </c>
      <c r="BQ116" s="323">
        <v>20</v>
      </c>
      <c r="BR116" s="2318">
        <v>20</v>
      </c>
      <c r="BS116" s="323"/>
      <c r="BT116" s="323">
        <v>90</v>
      </c>
      <c r="BU116" s="1001">
        <v>8.2000000000000003E-2</v>
      </c>
      <c r="BV116" s="357">
        <v>0</v>
      </c>
    </row>
    <row r="117" spans="28:74" ht="15.75">
      <c r="AB117" s="2248"/>
      <c r="AC117" s="2248"/>
      <c r="AD117" s="2248"/>
      <c r="AE117" s="2248"/>
      <c r="AF117" s="1411"/>
      <c r="AG117" s="1355"/>
      <c r="AH117" s="1355"/>
      <c r="AI117" s="1355"/>
      <c r="AJ117" s="1355"/>
      <c r="AK117" s="1414"/>
      <c r="AL117" s="1414"/>
      <c r="AM117" s="1414"/>
      <c r="AN117" s="1414"/>
      <c r="AO117" s="1414"/>
      <c r="AP117" s="1414"/>
      <c r="AQ117" s="1414"/>
      <c r="AR117" s="1414"/>
      <c r="AS117" s="1414"/>
      <c r="AT117" s="1414"/>
      <c r="AU117" s="1414"/>
      <c r="AV117" s="1414"/>
      <c r="AW117" s="1414"/>
      <c r="AX117" s="1414"/>
      <c r="AY117" s="1414"/>
      <c r="AZ117" s="1414"/>
      <c r="BA117" s="1414"/>
      <c r="BB117" s="1414"/>
      <c r="BC117" s="1414"/>
      <c r="BD117" s="1414"/>
      <c r="BE117" s="1414"/>
      <c r="BF117" s="1414"/>
      <c r="BG117" s="1414"/>
      <c r="BH117" s="1414"/>
      <c r="BI117" s="1414"/>
      <c r="BJ117" s="1414"/>
      <c r="BK117" s="1414"/>
      <c r="BL117" s="2141" t="s">
        <v>1386</v>
      </c>
      <c r="BM117" s="33">
        <v>80</v>
      </c>
      <c r="BN117" s="33">
        <v>160</v>
      </c>
      <c r="BO117" s="33">
        <v>20</v>
      </c>
      <c r="BP117" s="323">
        <v>20</v>
      </c>
      <c r="BQ117" s="323">
        <v>20</v>
      </c>
      <c r="BR117" s="2320">
        <v>0</v>
      </c>
      <c r="BS117" s="323"/>
      <c r="BT117" s="323">
        <v>90</v>
      </c>
      <c r="BU117" s="1001">
        <v>8.2000000000000003E-2</v>
      </c>
      <c r="BV117" s="357">
        <v>0</v>
      </c>
    </row>
    <row r="118" spans="28:74" ht="15.75">
      <c r="AB118" s="2248"/>
      <c r="AC118" s="2248"/>
      <c r="AD118" s="2248"/>
      <c r="AE118" s="2248"/>
      <c r="AF118" s="1411"/>
      <c r="AG118" s="1355"/>
      <c r="AH118" s="1355"/>
      <c r="AI118" s="1355"/>
      <c r="AJ118" s="1355"/>
      <c r="AK118" s="1414"/>
      <c r="AL118" s="1414"/>
      <c r="AM118" s="1414"/>
      <c r="AN118" s="1414"/>
      <c r="AO118" s="1414"/>
      <c r="AP118" s="1414"/>
      <c r="AQ118" s="1414"/>
      <c r="AR118" s="1414"/>
      <c r="AS118" s="1414"/>
      <c r="AT118" s="1414"/>
      <c r="AU118" s="1414"/>
      <c r="AV118" s="1414"/>
      <c r="AW118" s="1414"/>
      <c r="AX118" s="1414"/>
      <c r="AY118" s="1414"/>
      <c r="AZ118" s="1414"/>
      <c r="BA118" s="1414"/>
      <c r="BB118" s="1414"/>
      <c r="BC118" s="1414"/>
      <c r="BD118" s="1414"/>
      <c r="BE118" s="1414"/>
      <c r="BF118" s="1414"/>
      <c r="BG118" s="1414"/>
      <c r="BH118" s="1414"/>
      <c r="BI118" s="1414"/>
      <c r="BJ118" s="1414"/>
      <c r="BK118" s="1414"/>
      <c r="BL118" s="2141" t="s">
        <v>1387</v>
      </c>
      <c r="BM118" s="33">
        <v>100</v>
      </c>
      <c r="BN118" s="33">
        <v>80</v>
      </c>
      <c r="BO118" s="33">
        <v>20</v>
      </c>
      <c r="BP118" s="323">
        <v>20</v>
      </c>
      <c r="BQ118" s="323">
        <v>20</v>
      </c>
      <c r="BR118" s="2318">
        <v>46.666666666666664</v>
      </c>
      <c r="BS118" s="323"/>
      <c r="BT118" s="323">
        <v>90</v>
      </c>
      <c r="BU118" s="1001">
        <v>8.2000000000000003E-2</v>
      </c>
      <c r="BV118" s="357">
        <v>0</v>
      </c>
    </row>
    <row r="119" spans="28:74" ht="15.75">
      <c r="AB119" s="2248"/>
      <c r="AC119" s="2248"/>
      <c r="AD119" s="2248"/>
      <c r="AE119" s="2248"/>
      <c r="AF119" s="1411"/>
      <c r="AG119" s="1355"/>
      <c r="AH119" s="1355"/>
      <c r="AI119" s="1355"/>
      <c r="AJ119" s="1355"/>
      <c r="AK119" s="1414"/>
      <c r="AL119" s="1414"/>
      <c r="AM119" s="1414"/>
      <c r="AN119" s="1414"/>
      <c r="AO119" s="1414"/>
      <c r="AP119" s="1414"/>
      <c r="AQ119" s="1414"/>
      <c r="AR119" s="1414"/>
      <c r="AS119" s="1414"/>
      <c r="AT119" s="1414"/>
      <c r="AU119" s="1414"/>
      <c r="AV119" s="1414"/>
      <c r="AW119" s="1414"/>
      <c r="AX119" s="1414"/>
      <c r="AY119" s="1414"/>
      <c r="AZ119" s="1414"/>
      <c r="BA119" s="1414"/>
      <c r="BB119" s="1414"/>
      <c r="BC119" s="1414"/>
      <c r="BD119" s="1414"/>
      <c r="BE119" s="1414"/>
      <c r="BF119" s="1414"/>
      <c r="BG119" s="1414"/>
      <c r="BH119" s="1414"/>
      <c r="BI119" s="1414"/>
      <c r="BJ119" s="1414"/>
      <c r="BK119" s="1414"/>
      <c r="BL119" s="2141" t="s">
        <v>1388</v>
      </c>
      <c r="BM119" s="33">
        <v>100</v>
      </c>
      <c r="BN119" s="33">
        <v>100</v>
      </c>
      <c r="BO119" s="33">
        <v>20</v>
      </c>
      <c r="BP119" s="323">
        <v>20</v>
      </c>
      <c r="BQ119" s="323">
        <v>20</v>
      </c>
      <c r="BR119" s="2318">
        <v>20</v>
      </c>
      <c r="BS119" s="323">
        <v>10</v>
      </c>
      <c r="BT119" s="323">
        <v>30</v>
      </c>
      <c r="BU119" s="1001">
        <v>0.115</v>
      </c>
      <c r="BV119" s="357">
        <v>0</v>
      </c>
    </row>
    <row r="120" spans="28:74" ht="15.75">
      <c r="AB120" s="2248"/>
      <c r="AC120" s="2248"/>
      <c r="AD120" s="2248"/>
      <c r="AE120" s="2248"/>
      <c r="AF120" s="1411"/>
      <c r="AG120" s="1355"/>
      <c r="AH120" s="1355"/>
      <c r="AI120" s="1355"/>
      <c r="AJ120" s="1355"/>
      <c r="AK120" s="1414"/>
      <c r="AL120" s="1414"/>
      <c r="AM120" s="1414"/>
      <c r="AN120" s="1414"/>
      <c r="AO120" s="1414"/>
      <c r="AP120" s="1414"/>
      <c r="AQ120" s="1414"/>
      <c r="AR120" s="1414"/>
      <c r="AS120" s="1414"/>
      <c r="AT120" s="1414"/>
      <c r="AU120" s="1414"/>
      <c r="AV120" s="1414"/>
      <c r="AW120" s="1414"/>
      <c r="AX120" s="1414"/>
      <c r="AY120" s="1414"/>
      <c r="AZ120" s="1414"/>
      <c r="BA120" s="1414"/>
      <c r="BB120" s="1414"/>
      <c r="BC120" s="1414"/>
      <c r="BD120" s="1414"/>
      <c r="BE120" s="1414"/>
      <c r="BF120" s="1414"/>
      <c r="BG120" s="1414"/>
      <c r="BH120" s="1414"/>
      <c r="BI120" s="1414"/>
      <c r="BJ120" s="1414"/>
      <c r="BK120" s="1414"/>
      <c r="BL120" s="2141" t="s">
        <v>1297</v>
      </c>
      <c r="BM120" s="33">
        <v>250</v>
      </c>
      <c r="BN120" s="33">
        <v>190</v>
      </c>
      <c r="BO120" s="33">
        <v>20</v>
      </c>
      <c r="BP120" s="323">
        <v>20</v>
      </c>
      <c r="BQ120" s="323">
        <v>20</v>
      </c>
      <c r="BR120" s="2317">
        <v>0</v>
      </c>
      <c r="BS120" s="323">
        <v>30</v>
      </c>
      <c r="BT120" s="323">
        <v>30</v>
      </c>
      <c r="BU120" s="1001">
        <v>0.115</v>
      </c>
      <c r="BV120" s="357">
        <v>0</v>
      </c>
    </row>
    <row r="121" spans="28:74" ht="15.75">
      <c r="AB121" s="2248"/>
      <c r="AC121" s="2248"/>
      <c r="AD121" s="2248"/>
      <c r="AE121" s="2248"/>
      <c r="AF121" s="1411"/>
      <c r="AG121" s="1355"/>
      <c r="AH121" s="1355"/>
      <c r="AI121" s="1355"/>
      <c r="AJ121" s="1355"/>
      <c r="AK121" s="1414"/>
      <c r="AL121" s="1414"/>
      <c r="AM121" s="1414"/>
      <c r="AN121" s="1414"/>
      <c r="AO121" s="1414"/>
      <c r="AP121" s="1414"/>
      <c r="AQ121" s="1414"/>
      <c r="AR121" s="1414"/>
      <c r="AS121" s="1414"/>
      <c r="AT121" s="1414"/>
      <c r="AU121" s="1414"/>
      <c r="AV121" s="1414"/>
      <c r="AW121" s="1414"/>
      <c r="AX121" s="1414"/>
      <c r="AY121" s="1414"/>
      <c r="AZ121" s="1414"/>
      <c r="BA121" s="1414"/>
      <c r="BB121" s="1414"/>
      <c r="BC121" s="1414"/>
      <c r="BD121" s="1414"/>
      <c r="BE121" s="1414"/>
      <c r="BF121" s="1414"/>
      <c r="BG121" s="1414"/>
      <c r="BH121" s="1414"/>
      <c r="BI121" s="1414"/>
      <c r="BJ121" s="1414"/>
      <c r="BK121" s="1414"/>
      <c r="BL121" s="2141" t="s">
        <v>1298</v>
      </c>
      <c r="BM121" s="33">
        <v>300</v>
      </c>
      <c r="BN121" s="33">
        <v>205</v>
      </c>
      <c r="BO121" s="33">
        <v>20</v>
      </c>
      <c r="BP121" s="323">
        <v>20</v>
      </c>
      <c r="BQ121" s="323">
        <v>20</v>
      </c>
      <c r="BR121" s="2318">
        <v>50</v>
      </c>
      <c r="BS121" s="323">
        <v>30</v>
      </c>
      <c r="BT121" s="323">
        <v>30</v>
      </c>
      <c r="BU121" s="1001">
        <v>0.115</v>
      </c>
      <c r="BV121" s="357">
        <v>0</v>
      </c>
    </row>
    <row r="122" spans="28:74" ht="15.75">
      <c r="AB122" s="2248"/>
      <c r="AC122" s="2248"/>
      <c r="AD122" s="2248"/>
      <c r="AE122" s="2248"/>
      <c r="AF122" s="1411"/>
      <c r="AG122" s="1355"/>
      <c r="AH122" s="1355"/>
      <c r="AI122" s="1355"/>
      <c r="AJ122" s="1355"/>
      <c r="AK122" s="1414"/>
      <c r="AL122" s="1414"/>
      <c r="AM122" s="1414"/>
      <c r="AN122" s="1414"/>
      <c r="AO122" s="1414"/>
      <c r="AP122" s="1414"/>
      <c r="AQ122" s="1414"/>
      <c r="AR122" s="1414"/>
      <c r="AS122" s="1414"/>
      <c r="AT122" s="1414"/>
      <c r="AU122" s="1414"/>
      <c r="AV122" s="1414"/>
      <c r="AW122" s="1414"/>
      <c r="AX122" s="1414"/>
      <c r="AY122" s="1414"/>
      <c r="AZ122" s="1414"/>
      <c r="BA122" s="1414"/>
      <c r="BB122" s="1414"/>
      <c r="BC122" s="1414"/>
      <c r="BD122" s="1414"/>
      <c r="BE122" s="1414"/>
      <c r="BF122" s="1414"/>
      <c r="BG122" s="1414"/>
      <c r="BH122" s="1414"/>
      <c r="BI122" s="1414"/>
      <c r="BJ122" s="1414"/>
      <c r="BK122" s="1414"/>
      <c r="BL122" s="2143" t="s">
        <v>1671</v>
      </c>
      <c r="BM122" s="33">
        <v>310</v>
      </c>
      <c r="BN122" s="33">
        <v>240</v>
      </c>
      <c r="BO122" s="33">
        <v>20</v>
      </c>
      <c r="BP122" s="2144">
        <v>20</v>
      </c>
      <c r="BQ122" s="2144">
        <v>20</v>
      </c>
      <c r="BR122" s="2318">
        <v>50</v>
      </c>
      <c r="BS122" s="2144">
        <v>50</v>
      </c>
      <c r="BT122" s="2144">
        <v>30</v>
      </c>
      <c r="BU122" s="2148">
        <v>0.115</v>
      </c>
      <c r="BV122" s="357">
        <v>0</v>
      </c>
    </row>
    <row r="123" spans="28:74" ht="15.75">
      <c r="AB123" s="2248"/>
      <c r="AC123" s="2248"/>
      <c r="AD123" s="2248"/>
      <c r="AE123" s="2248"/>
      <c r="AF123" s="1411"/>
      <c r="AG123" s="1355"/>
      <c r="AH123" s="1355"/>
      <c r="AI123" s="1355"/>
      <c r="AJ123" s="1355"/>
      <c r="AK123" s="1414"/>
      <c r="AL123" s="1414"/>
      <c r="AM123" s="1414"/>
      <c r="AN123" s="1414"/>
      <c r="AO123" s="1414"/>
      <c r="AP123" s="1414"/>
      <c r="AQ123" s="1414"/>
      <c r="AR123" s="1414"/>
      <c r="AS123" s="1414"/>
      <c r="AT123" s="1414"/>
      <c r="AU123" s="1414"/>
      <c r="AV123" s="1414"/>
      <c r="AW123" s="1414"/>
      <c r="AX123" s="1414"/>
      <c r="AY123" s="1414"/>
      <c r="AZ123" s="1414"/>
      <c r="BA123" s="1414"/>
      <c r="BB123" s="1414"/>
      <c r="BC123" s="1414"/>
      <c r="BD123" s="1414"/>
      <c r="BE123" s="1414"/>
      <c r="BF123" s="1414"/>
      <c r="BG123" s="1414"/>
      <c r="BH123" s="1414"/>
      <c r="BI123" s="1414"/>
      <c r="BJ123" s="1414"/>
      <c r="BK123" s="1414"/>
      <c r="BL123" s="2143" t="s">
        <v>1672</v>
      </c>
      <c r="BM123" s="33">
        <v>360</v>
      </c>
      <c r="BN123" s="33">
        <v>300</v>
      </c>
      <c r="BO123" s="33">
        <v>20</v>
      </c>
      <c r="BP123" s="2144">
        <v>20</v>
      </c>
      <c r="BQ123" s="2144">
        <v>20</v>
      </c>
      <c r="BR123" s="2319">
        <v>0</v>
      </c>
      <c r="BS123" s="2144">
        <v>50</v>
      </c>
      <c r="BT123" s="2144">
        <v>30</v>
      </c>
      <c r="BU123" s="2148">
        <v>0.115</v>
      </c>
      <c r="BV123" s="357">
        <v>0</v>
      </c>
    </row>
    <row r="124" spans="28:74" ht="15.75">
      <c r="AB124" s="2248"/>
      <c r="AC124" s="2248"/>
      <c r="AD124" s="2248"/>
      <c r="AE124" s="2248"/>
      <c r="AF124" s="1411"/>
      <c r="AG124" s="1355"/>
      <c r="AH124" s="1355"/>
      <c r="AI124" s="1355"/>
      <c r="AJ124" s="1355"/>
      <c r="AK124" s="1414"/>
      <c r="AL124" s="1414"/>
      <c r="AM124" s="1414"/>
      <c r="AN124" s="1414"/>
      <c r="AO124" s="1414"/>
      <c r="AP124" s="1414"/>
      <c r="AQ124" s="1414"/>
      <c r="AR124" s="1414"/>
      <c r="AS124" s="1414"/>
      <c r="AT124" s="1414"/>
      <c r="AU124" s="1414"/>
      <c r="AV124" s="1414"/>
      <c r="AW124" s="1414"/>
      <c r="AX124" s="1414"/>
      <c r="AY124" s="1414"/>
      <c r="AZ124" s="1414"/>
      <c r="BA124" s="1414"/>
      <c r="BB124" s="1414"/>
      <c r="BC124" s="1414"/>
      <c r="BD124" s="1414"/>
      <c r="BE124" s="1414"/>
      <c r="BF124" s="1414"/>
      <c r="BG124" s="1414"/>
      <c r="BH124" s="1414"/>
      <c r="BI124" s="1414"/>
      <c r="BJ124" s="1414"/>
      <c r="BK124" s="1414"/>
      <c r="BL124" s="2140" t="s">
        <v>1627</v>
      </c>
      <c r="BM124" s="33">
        <v>350</v>
      </c>
      <c r="BN124" s="33">
        <v>185</v>
      </c>
      <c r="BO124" s="33">
        <v>10</v>
      </c>
      <c r="BP124" s="2153">
        <v>19</v>
      </c>
      <c r="BQ124" s="2153">
        <v>19</v>
      </c>
      <c r="BR124" s="2319">
        <v>0</v>
      </c>
      <c r="BS124" s="2152">
        <v>0</v>
      </c>
      <c r="BT124" s="2152">
        <v>60</v>
      </c>
      <c r="BU124" s="2157">
        <v>0.12</v>
      </c>
      <c r="BV124" s="357">
        <v>0</v>
      </c>
    </row>
    <row r="125" spans="28:74">
      <c r="AB125" s="2248"/>
      <c r="AC125" s="2248"/>
      <c r="AD125" s="2248"/>
      <c r="AE125" s="2248"/>
      <c r="AF125" s="2248"/>
      <c r="AG125" s="2248"/>
      <c r="AH125" s="2248"/>
      <c r="AI125" s="2248"/>
      <c r="AJ125" s="2248"/>
      <c r="BL125" s="2141" t="s">
        <v>1389</v>
      </c>
      <c r="BM125" s="33">
        <v>250</v>
      </c>
      <c r="BN125" s="33">
        <v>100</v>
      </c>
      <c r="BO125" s="33">
        <v>20</v>
      </c>
      <c r="BP125" s="323">
        <v>20</v>
      </c>
      <c r="BQ125" s="323">
        <v>20</v>
      </c>
      <c r="BR125" s="2321">
        <v>0</v>
      </c>
      <c r="BS125" s="323">
        <v>70</v>
      </c>
      <c r="BT125" s="323">
        <v>60</v>
      </c>
      <c r="BU125" s="1001">
        <v>9.1999999999999998E-2</v>
      </c>
      <c r="BV125" s="357">
        <v>0</v>
      </c>
    </row>
    <row r="126" spans="28:74">
      <c r="AB126" s="2248"/>
      <c r="AC126" s="2248"/>
      <c r="AD126" s="2248"/>
      <c r="AE126" s="2248"/>
      <c r="AF126" s="2248"/>
      <c r="AG126" s="2248"/>
      <c r="AH126" s="2248"/>
      <c r="AI126" s="2248"/>
      <c r="AJ126" s="2248"/>
      <c r="BL126" s="2141" t="s">
        <v>1299</v>
      </c>
      <c r="BM126" s="33">
        <v>150</v>
      </c>
      <c r="BN126" s="33">
        <v>110</v>
      </c>
      <c r="BO126" s="33">
        <v>20</v>
      </c>
      <c r="BP126" s="323">
        <v>20</v>
      </c>
      <c r="BQ126" s="323">
        <v>20</v>
      </c>
      <c r="BR126" s="2318">
        <v>53.333333333333336</v>
      </c>
      <c r="BS126" s="323">
        <v>30</v>
      </c>
      <c r="BT126" s="323">
        <v>60</v>
      </c>
      <c r="BU126" s="1001">
        <v>0.24099999999999999</v>
      </c>
      <c r="BV126" s="357">
        <v>0</v>
      </c>
    </row>
    <row r="127" spans="28:74">
      <c r="AB127" s="2248"/>
      <c r="AC127" s="2248"/>
      <c r="AD127" s="2248"/>
      <c r="AE127" s="2248"/>
      <c r="AF127" s="2248"/>
      <c r="AG127" s="2248"/>
      <c r="AH127" s="2248"/>
      <c r="AI127" s="2248"/>
      <c r="AJ127" s="2248"/>
      <c r="BL127" s="2159" t="s">
        <v>1673</v>
      </c>
      <c r="BM127" s="33">
        <v>150</v>
      </c>
      <c r="BN127" s="33">
        <v>100</v>
      </c>
      <c r="BO127" s="33">
        <v>10</v>
      </c>
      <c r="BP127" s="2158">
        <v>5</v>
      </c>
      <c r="BQ127" s="2158">
        <v>5</v>
      </c>
      <c r="BR127" s="2317">
        <v>0</v>
      </c>
      <c r="BS127" s="2152">
        <v>0</v>
      </c>
      <c r="BT127" s="2152">
        <v>60</v>
      </c>
      <c r="BU127" s="2155">
        <v>0.12</v>
      </c>
      <c r="BV127" s="357">
        <v>0</v>
      </c>
    </row>
    <row r="128" spans="28:74">
      <c r="BL128" s="2141" t="s">
        <v>1390</v>
      </c>
      <c r="BM128" s="33">
        <v>700</v>
      </c>
      <c r="BN128" s="33">
        <v>260</v>
      </c>
      <c r="BO128" s="33">
        <v>20</v>
      </c>
      <c r="BP128" s="323">
        <v>40</v>
      </c>
      <c r="BQ128" s="323">
        <v>40</v>
      </c>
      <c r="BR128" s="2318">
        <v>56.666666666666664</v>
      </c>
      <c r="BS128" s="323">
        <v>75</v>
      </c>
      <c r="BT128" s="323">
        <v>60</v>
      </c>
      <c r="BU128" s="1001">
        <v>7.2999999999999995E-2</v>
      </c>
      <c r="BV128" s="357">
        <v>0</v>
      </c>
    </row>
    <row r="129" spans="64:74">
      <c r="BL129" s="2141" t="s">
        <v>1391</v>
      </c>
      <c r="BM129" s="33">
        <v>1000</v>
      </c>
      <c r="BN129" s="33">
        <v>320</v>
      </c>
      <c r="BO129" s="33">
        <v>20</v>
      </c>
      <c r="BP129" s="323">
        <v>40</v>
      </c>
      <c r="BQ129" s="323">
        <v>40</v>
      </c>
      <c r="BR129" s="2318">
        <v>40</v>
      </c>
      <c r="BS129" s="323">
        <v>75</v>
      </c>
      <c r="BT129" s="323">
        <v>90</v>
      </c>
      <c r="BU129" s="1001">
        <v>7.2999999999999995E-2</v>
      </c>
      <c r="BV129" s="357">
        <v>0</v>
      </c>
    </row>
    <row r="130" spans="64:74">
      <c r="BL130" s="2159" t="s">
        <v>1674</v>
      </c>
      <c r="BM130" s="33">
        <v>100</v>
      </c>
      <c r="BN130" s="33">
        <v>80</v>
      </c>
      <c r="BO130" s="33">
        <v>10</v>
      </c>
      <c r="BP130" s="2158">
        <v>4</v>
      </c>
      <c r="BQ130" s="2158">
        <v>4</v>
      </c>
      <c r="BR130" s="2318">
        <v>10</v>
      </c>
      <c r="BS130" s="2152">
        <v>0</v>
      </c>
      <c r="BT130" s="2152">
        <v>30</v>
      </c>
      <c r="BU130" s="2165">
        <v>0.1</v>
      </c>
      <c r="BV130" s="357">
        <v>0</v>
      </c>
    </row>
    <row r="131" spans="64:74">
      <c r="BL131" s="2152" t="s">
        <v>1637</v>
      </c>
      <c r="BM131" s="33">
        <v>800</v>
      </c>
      <c r="BN131" s="33">
        <v>440</v>
      </c>
      <c r="BO131" s="33">
        <v>10</v>
      </c>
      <c r="BP131" s="2153">
        <v>44</v>
      </c>
      <c r="BQ131" s="2153">
        <v>44</v>
      </c>
      <c r="BR131" s="2318">
        <v>20</v>
      </c>
      <c r="BS131" s="2152">
        <v>0</v>
      </c>
      <c r="BT131" s="2154">
        <v>60</v>
      </c>
      <c r="BU131" s="2155">
        <v>0.13700000000000001</v>
      </c>
      <c r="BV131" s="357">
        <v>0</v>
      </c>
    </row>
    <row r="132" spans="64:74">
      <c r="BL132" s="2141" t="s">
        <v>1300</v>
      </c>
      <c r="BM132" s="2129">
        <v>400</v>
      </c>
      <c r="BN132" s="2129">
        <v>285</v>
      </c>
      <c r="BO132" s="2129">
        <v>20</v>
      </c>
      <c r="BP132" s="323">
        <v>40</v>
      </c>
      <c r="BQ132" s="323">
        <v>40</v>
      </c>
      <c r="BR132" s="323">
        <f>BQ132*2/3</f>
        <v>26.666666666666668</v>
      </c>
      <c r="BS132" s="323">
        <v>80</v>
      </c>
      <c r="BT132" s="323">
        <v>60</v>
      </c>
      <c r="BU132" s="1001">
        <v>0.115</v>
      </c>
      <c r="BV132" s="357">
        <v>0</v>
      </c>
    </row>
    <row r="133" spans="64:74">
      <c r="BL133" s="2159" t="s">
        <v>1675</v>
      </c>
      <c r="BM133" s="2129">
        <v>300</v>
      </c>
      <c r="BN133" s="2129">
        <v>185</v>
      </c>
      <c r="BO133" s="2129">
        <v>10</v>
      </c>
      <c r="BP133" s="2158">
        <v>19</v>
      </c>
      <c r="BQ133" s="2158">
        <v>19</v>
      </c>
      <c r="BR133" s="2164">
        <v>0</v>
      </c>
      <c r="BS133" s="2164">
        <v>0</v>
      </c>
      <c r="BT133" s="2164">
        <v>60</v>
      </c>
      <c r="BU133" s="2155">
        <v>0.14000000000000001</v>
      </c>
      <c r="BV133" s="357">
        <v>0</v>
      </c>
    </row>
    <row r="134" spans="64:74">
      <c r="BL134" s="2141" t="s">
        <v>1301</v>
      </c>
      <c r="BM134" s="2129">
        <v>650</v>
      </c>
      <c r="BN134" s="2129">
        <v>250</v>
      </c>
      <c r="BO134" s="2129">
        <v>20</v>
      </c>
      <c r="BP134" s="323">
        <v>20</v>
      </c>
      <c r="BQ134" s="323">
        <v>20</v>
      </c>
      <c r="BR134" s="323">
        <f>BQ134*2/3</f>
        <v>13.333333333333334</v>
      </c>
      <c r="BS134" s="323">
        <v>85</v>
      </c>
      <c r="BT134" s="323">
        <v>60</v>
      </c>
      <c r="BU134" s="1001">
        <v>0.06</v>
      </c>
      <c r="BV134" s="357">
        <v>0</v>
      </c>
    </row>
    <row r="135" spans="64:74">
      <c r="BL135" s="2141" t="s">
        <v>1302</v>
      </c>
      <c r="BM135" s="2129">
        <v>200</v>
      </c>
      <c r="BN135" s="2129">
        <v>160</v>
      </c>
      <c r="BO135" s="2129">
        <v>20</v>
      </c>
      <c r="BP135" s="323">
        <v>20</v>
      </c>
      <c r="BQ135" s="323">
        <v>20</v>
      </c>
      <c r="BR135" s="323">
        <f>BQ135*2/3</f>
        <v>13.333333333333334</v>
      </c>
      <c r="BS135" s="323">
        <v>60</v>
      </c>
      <c r="BT135" s="323">
        <v>90</v>
      </c>
      <c r="BU135" s="1001">
        <v>0.16</v>
      </c>
      <c r="BV135" s="357">
        <v>0</v>
      </c>
    </row>
    <row r="136" spans="64:74">
      <c r="BL136" s="2141" t="s">
        <v>1392</v>
      </c>
      <c r="BM136" s="2129">
        <v>680</v>
      </c>
      <c r="BN136" s="2129">
        <v>210</v>
      </c>
      <c r="BO136" s="2129">
        <v>20</v>
      </c>
      <c r="BP136" s="323">
        <v>20</v>
      </c>
      <c r="BQ136" s="323">
        <v>20</v>
      </c>
      <c r="BR136" s="323">
        <f>BQ136*2/3</f>
        <v>13.333333333333334</v>
      </c>
      <c r="BS136" s="323">
        <v>15</v>
      </c>
      <c r="BT136" s="323">
        <v>30</v>
      </c>
      <c r="BU136" s="1001">
        <v>0.06</v>
      </c>
      <c r="BV136" s="357">
        <v>0</v>
      </c>
    </row>
    <row r="137" spans="64:74">
      <c r="BL137" s="2141" t="s">
        <v>1676</v>
      </c>
      <c r="BM137" s="2129">
        <v>250</v>
      </c>
      <c r="BN137" s="2129">
        <v>130</v>
      </c>
      <c r="BO137" s="2129">
        <v>20</v>
      </c>
      <c r="BP137" s="323">
        <v>20</v>
      </c>
      <c r="BQ137" s="323">
        <v>20</v>
      </c>
      <c r="BR137" s="323">
        <f>BQ137*2/3</f>
        <v>13.333333333333334</v>
      </c>
      <c r="BS137" s="323">
        <v>30</v>
      </c>
      <c r="BT137" s="323">
        <v>60</v>
      </c>
      <c r="BU137" s="1001">
        <v>0.12</v>
      </c>
      <c r="BV137" s="357">
        <v>0</v>
      </c>
    </row>
    <row r="138" spans="64:74">
      <c r="BL138" s="2141" t="s">
        <v>1303</v>
      </c>
      <c r="BM138" s="2129">
        <v>600</v>
      </c>
      <c r="BN138" s="2129">
        <v>155</v>
      </c>
      <c r="BO138" s="2129">
        <v>20</v>
      </c>
      <c r="BP138" s="323">
        <v>20</v>
      </c>
      <c r="BQ138" s="323">
        <v>20</v>
      </c>
      <c r="BR138" s="323">
        <f>BQ138*2/3</f>
        <v>13.333333333333334</v>
      </c>
      <c r="BS138" s="323">
        <v>30</v>
      </c>
      <c r="BT138" s="323">
        <v>60</v>
      </c>
      <c r="BU138" s="1001">
        <v>0.08</v>
      </c>
      <c r="BV138" s="357">
        <v>0</v>
      </c>
    </row>
    <row r="139" spans="64:74">
      <c r="BL139" s="1968"/>
      <c r="BM139" s="1421"/>
      <c r="BN139" s="1421"/>
      <c r="BO139" s="1421"/>
      <c r="BP139" s="1421"/>
      <c r="BQ139" s="1421"/>
      <c r="BR139" s="1421"/>
      <c r="BS139" s="1421"/>
      <c r="BT139" s="1421"/>
      <c r="BU139" s="1421"/>
    </row>
    <row r="151" spans="64:73">
      <c r="BL151" s="1968"/>
      <c r="BM151" s="1421"/>
      <c r="BN151" s="1421"/>
      <c r="BO151" s="1421"/>
      <c r="BP151" s="1421"/>
      <c r="BQ151" s="1421"/>
      <c r="BR151" s="1421"/>
      <c r="BS151" s="1421"/>
      <c r="BT151" s="2131"/>
      <c r="BU151" s="2132"/>
    </row>
    <row r="152" spans="64:73">
      <c r="BL152" s="1968"/>
      <c r="BM152" s="1421"/>
      <c r="BN152" s="1421"/>
      <c r="BO152" s="1421"/>
      <c r="BP152" s="1421"/>
      <c r="BQ152" s="1421"/>
      <c r="BR152" s="1421"/>
      <c r="BS152" s="1421"/>
      <c r="BT152" s="2133"/>
      <c r="BU152" s="2134"/>
    </row>
    <row r="153" spans="64:73">
      <c r="BL153" s="1968"/>
      <c r="BM153" s="1421"/>
      <c r="BN153" s="1421"/>
      <c r="BO153" s="1421"/>
      <c r="BP153" s="1421"/>
      <c r="BQ153" s="1421"/>
      <c r="BR153" s="1421"/>
      <c r="BS153" s="1421"/>
      <c r="BT153" s="2135"/>
      <c r="BU153" s="2134"/>
    </row>
    <row r="154" spans="64:73">
      <c r="BL154" s="1968"/>
      <c r="BM154" s="1421"/>
      <c r="BN154" s="1421"/>
      <c r="BO154" s="1421"/>
      <c r="BP154" s="1421"/>
      <c r="BQ154" s="1421"/>
      <c r="BR154" s="1421"/>
      <c r="BS154" s="1421"/>
      <c r="BT154" s="2131"/>
      <c r="BU154" s="2132"/>
    </row>
    <row r="155" spans="64:73">
      <c r="BL155" s="1968"/>
      <c r="BM155" s="1421"/>
      <c r="BN155" s="1421"/>
      <c r="BO155" s="1421"/>
      <c r="BP155" s="1421"/>
      <c r="BQ155" s="1421"/>
      <c r="BR155" s="1421"/>
      <c r="BS155" s="1421"/>
      <c r="BT155" s="2135"/>
      <c r="BU155" s="2132"/>
    </row>
    <row r="156" spans="64:73">
      <c r="BL156" s="1968"/>
      <c r="BM156" s="1421"/>
      <c r="BN156" s="1421"/>
      <c r="BO156" s="1421"/>
      <c r="BP156" s="1421"/>
      <c r="BQ156" s="1421"/>
      <c r="BR156" s="1421"/>
      <c r="BS156" s="1421"/>
      <c r="BT156" s="2131"/>
      <c r="BU156" s="2134"/>
    </row>
    <row r="157" spans="64:73">
      <c r="BL157" s="1968"/>
      <c r="BM157" s="1421"/>
      <c r="BN157" s="1421"/>
      <c r="BO157" s="1421"/>
      <c r="BP157" s="1421"/>
      <c r="BQ157" s="1421"/>
      <c r="BR157" s="1421"/>
      <c r="BS157" s="1421"/>
      <c r="BT157" s="2136"/>
      <c r="BU157" s="2132"/>
    </row>
    <row r="158" spans="64:73">
      <c r="BL158" s="1968"/>
      <c r="BM158" s="1421"/>
      <c r="BN158" s="1421"/>
      <c r="BO158" s="1421"/>
      <c r="BP158" s="1421"/>
      <c r="BQ158" s="1421"/>
      <c r="BR158" s="1421"/>
      <c r="BS158" s="1421"/>
      <c r="BT158" s="2133"/>
      <c r="BU158" s="2134"/>
    </row>
    <row r="159" spans="64:73">
      <c r="BL159" s="1968"/>
      <c r="BM159" s="1421"/>
      <c r="BN159" s="1421"/>
      <c r="BO159" s="1421"/>
      <c r="BP159" s="1421"/>
      <c r="BQ159" s="1421"/>
      <c r="BR159" s="1421"/>
      <c r="BS159" s="1421"/>
      <c r="BT159" s="2131"/>
      <c r="BU159" s="2134"/>
    </row>
    <row r="160" spans="64:73">
      <c r="BL160" s="1968"/>
      <c r="BM160" s="1421"/>
      <c r="BN160" s="1421"/>
      <c r="BO160" s="1421"/>
      <c r="BP160" s="1421"/>
      <c r="BQ160" s="1421"/>
      <c r="BR160" s="1421"/>
      <c r="BS160" s="1421"/>
      <c r="BT160" s="2131"/>
      <c r="BU160" s="2132"/>
    </row>
    <row r="161" spans="64:73">
      <c r="BL161" s="1968"/>
      <c r="BM161" s="1421"/>
      <c r="BN161" s="1421"/>
      <c r="BO161" s="1421"/>
      <c r="BP161" s="1421"/>
      <c r="BQ161" s="1421"/>
      <c r="BR161" s="1421"/>
      <c r="BS161" s="1421"/>
      <c r="BT161" s="2131"/>
      <c r="BU161" s="2132"/>
    </row>
    <row r="162" spans="64:73">
      <c r="BL162" s="1968"/>
      <c r="BM162" s="1421"/>
      <c r="BN162" s="1421"/>
      <c r="BO162" s="1421"/>
      <c r="BP162" s="1421"/>
      <c r="BQ162" s="1421"/>
      <c r="BR162" s="1421"/>
      <c r="BS162" s="1421"/>
      <c r="BT162" s="2131"/>
      <c r="BU162" s="2134"/>
    </row>
    <row r="163" spans="64:73">
      <c r="BL163" s="1968"/>
      <c r="BM163" s="1421"/>
      <c r="BN163" s="1421"/>
      <c r="BO163" s="1421"/>
      <c r="BP163" s="1421"/>
      <c r="BQ163" s="1421"/>
      <c r="BR163" s="1421"/>
      <c r="BS163" s="1421"/>
      <c r="BT163" s="2131"/>
      <c r="BU163" s="2132"/>
    </row>
    <row r="164" spans="64:73">
      <c r="BL164" s="1968"/>
      <c r="BM164" s="1421"/>
      <c r="BN164" s="1421"/>
      <c r="BO164" s="1421"/>
      <c r="BP164" s="1421"/>
      <c r="BQ164" s="1421"/>
      <c r="BR164" s="1421"/>
      <c r="BS164" s="1421"/>
      <c r="BT164" s="2131"/>
      <c r="BU164" s="2132"/>
    </row>
    <row r="165" spans="64:73">
      <c r="BL165" s="1968"/>
      <c r="BM165" s="1421"/>
      <c r="BN165" s="1421"/>
      <c r="BO165" s="1421"/>
      <c r="BP165" s="1421"/>
      <c r="BQ165" s="1421"/>
      <c r="BR165" s="1421"/>
      <c r="BS165" s="1421"/>
      <c r="BT165" s="2131"/>
      <c r="BU165" s="2132"/>
    </row>
    <row r="166" spans="64:73">
      <c r="BL166" s="1968"/>
      <c r="BM166" s="1421"/>
      <c r="BN166" s="1421"/>
      <c r="BO166" s="1421"/>
      <c r="BP166" s="1421"/>
      <c r="BQ166" s="1421"/>
      <c r="BR166" s="1421"/>
      <c r="BS166" s="1421"/>
      <c r="BT166" s="2136"/>
      <c r="BU166" s="2132"/>
    </row>
    <row r="167" spans="64:73">
      <c r="BL167" s="1968"/>
      <c r="BM167" s="1421"/>
      <c r="BN167" s="1421"/>
      <c r="BO167" s="1421"/>
      <c r="BP167" s="1421"/>
      <c r="BQ167" s="1421"/>
      <c r="BR167" s="1421"/>
      <c r="BS167" s="1421"/>
      <c r="BT167" s="2136"/>
      <c r="BU167" s="2132"/>
    </row>
    <row r="168" spans="64:73">
      <c r="BL168" s="1968"/>
      <c r="BM168" s="1421"/>
      <c r="BN168" s="1421"/>
      <c r="BO168" s="1421"/>
      <c r="BP168" s="1421"/>
      <c r="BQ168" s="1421"/>
      <c r="BR168" s="1421"/>
      <c r="BS168" s="1421"/>
      <c r="BT168" s="2131"/>
      <c r="BU168" s="2132"/>
    </row>
    <row r="169" spans="64:73">
      <c r="BL169" s="1968"/>
      <c r="BM169" s="1421"/>
      <c r="BN169" s="1421"/>
      <c r="BO169" s="1421"/>
      <c r="BP169" s="1421"/>
      <c r="BQ169" s="1421"/>
      <c r="BR169" s="1421"/>
      <c r="BS169" s="1421"/>
      <c r="BT169" s="2131"/>
      <c r="BU169" s="2132"/>
    </row>
    <row r="170" spans="64:73">
      <c r="BL170" s="1968"/>
      <c r="BM170" s="1421"/>
      <c r="BN170" s="1421"/>
      <c r="BO170" s="1421"/>
      <c r="BP170" s="1421"/>
      <c r="BQ170" s="1421"/>
      <c r="BR170" s="1421"/>
      <c r="BS170" s="1421"/>
      <c r="BT170" s="2133"/>
      <c r="BU170" s="2134"/>
    </row>
    <row r="171" spans="64:73">
      <c r="BL171" s="1968"/>
      <c r="BM171" s="1421"/>
      <c r="BN171" s="1421"/>
      <c r="BO171" s="1421"/>
      <c r="BP171" s="1421"/>
      <c r="BQ171" s="1421"/>
      <c r="BR171" s="1421"/>
      <c r="BS171" s="1421"/>
      <c r="BT171" s="2131"/>
      <c r="BU171" s="2132"/>
    </row>
    <row r="172" spans="64:73">
      <c r="BL172" s="1968"/>
      <c r="BM172" s="1421"/>
      <c r="BN172" s="1421"/>
      <c r="BO172" s="1421"/>
      <c r="BP172" s="1421"/>
      <c r="BQ172" s="1421"/>
      <c r="BR172" s="1421"/>
      <c r="BS172" s="1421"/>
      <c r="BT172" s="2133"/>
      <c r="BU172" s="2134"/>
    </row>
    <row r="173" spans="64:73">
      <c r="BL173" s="1968"/>
      <c r="BM173" s="1421"/>
      <c r="BN173" s="1421"/>
      <c r="BO173" s="1421"/>
      <c r="BP173" s="1421"/>
      <c r="BQ173" s="1421"/>
      <c r="BR173" s="1421"/>
      <c r="BS173" s="1421"/>
      <c r="BT173" s="2133"/>
      <c r="BU173" s="2134"/>
    </row>
    <row r="174" spans="64:73">
      <c r="BL174" s="1968"/>
      <c r="BM174" s="1421"/>
      <c r="BN174" s="1421"/>
      <c r="BO174" s="1421"/>
      <c r="BP174" s="1421"/>
      <c r="BQ174" s="1421"/>
      <c r="BR174" s="1421"/>
      <c r="BS174" s="1421"/>
      <c r="BT174" s="2131"/>
      <c r="BU174" s="2134"/>
    </row>
    <row r="175" spans="64:73">
      <c r="BL175" s="1968"/>
      <c r="BM175" s="1421"/>
      <c r="BN175" s="1421"/>
      <c r="BO175" s="1421"/>
      <c r="BP175" s="1421"/>
      <c r="BQ175" s="1421"/>
      <c r="BR175" s="1421"/>
      <c r="BS175" s="1421"/>
      <c r="BT175" s="2133"/>
      <c r="BU175" s="2134"/>
    </row>
    <row r="176" spans="64:73">
      <c r="BL176" s="1968"/>
      <c r="BM176" s="1421"/>
      <c r="BN176" s="1421"/>
      <c r="BO176" s="1421"/>
      <c r="BP176" s="1421"/>
      <c r="BQ176" s="1421"/>
      <c r="BR176" s="1421"/>
      <c r="BS176" s="1421"/>
      <c r="BT176" s="2133"/>
      <c r="BU176" s="2134"/>
    </row>
    <row r="177" spans="64:73">
      <c r="BL177" s="1968"/>
      <c r="BM177" s="1421"/>
      <c r="BN177" s="1421"/>
      <c r="BO177" s="1421"/>
      <c r="BP177" s="1421"/>
      <c r="BQ177" s="1421"/>
      <c r="BR177" s="1421"/>
      <c r="BS177" s="1421"/>
      <c r="BT177" s="2136"/>
      <c r="BU177" s="2132"/>
    </row>
    <row r="178" spans="64:73">
      <c r="BL178" s="1968"/>
      <c r="BM178" s="1421"/>
      <c r="BN178" s="1421"/>
      <c r="BO178" s="1421"/>
      <c r="BP178" s="1421"/>
      <c r="BQ178" s="1421"/>
      <c r="BR178" s="1421"/>
      <c r="BS178" s="1421"/>
      <c r="BT178" s="2136"/>
      <c r="BU178" s="2134"/>
    </row>
    <row r="179" spans="64:73">
      <c r="BL179" s="1968"/>
      <c r="BM179" s="1421"/>
      <c r="BN179" s="1421"/>
      <c r="BO179" s="1421"/>
      <c r="BP179" s="1421"/>
      <c r="BQ179" s="1421"/>
      <c r="BR179" s="1421"/>
      <c r="BS179" s="1421"/>
      <c r="BT179" s="2136"/>
      <c r="BU179" s="2134"/>
    </row>
    <row r="180" spans="64:73">
      <c r="BL180" s="1968"/>
      <c r="BM180" s="1421"/>
      <c r="BN180" s="1421"/>
      <c r="BO180" s="1421"/>
      <c r="BP180" s="1421"/>
      <c r="BQ180" s="1421"/>
      <c r="BR180" s="1421"/>
      <c r="BS180" s="1421"/>
      <c r="BT180" s="2136"/>
      <c r="BU180" s="2132"/>
    </row>
    <row r="181" spans="64:73">
      <c r="BL181" s="1968"/>
      <c r="BM181" s="1421"/>
      <c r="BN181" s="1421"/>
      <c r="BO181" s="1421"/>
      <c r="BP181" s="1421"/>
      <c r="BQ181" s="1421"/>
      <c r="BR181" s="1421"/>
      <c r="BS181" s="1421"/>
      <c r="BT181" s="2131"/>
      <c r="BU181" s="2132"/>
    </row>
    <row r="182" spans="64:73">
      <c r="BL182" s="1968"/>
      <c r="BM182" s="1421"/>
      <c r="BN182" s="1421"/>
      <c r="BO182" s="1421"/>
      <c r="BP182" s="1421"/>
      <c r="BQ182" s="1421"/>
      <c r="BR182" s="1421"/>
      <c r="BS182" s="1421"/>
      <c r="BT182" s="2133"/>
      <c r="BU182" s="2134"/>
    </row>
    <row r="183" spans="64:73">
      <c r="BL183" s="1968"/>
      <c r="BM183" s="1421"/>
      <c r="BN183" s="1421"/>
      <c r="BO183" s="1421"/>
      <c r="BP183" s="1421"/>
      <c r="BQ183" s="1421"/>
      <c r="BR183" s="1421"/>
      <c r="BS183" s="1421"/>
      <c r="BT183" s="2133"/>
      <c r="BU183" s="2134"/>
    </row>
    <row r="184" spans="64:73">
      <c r="BL184" s="1968"/>
      <c r="BM184" s="1421"/>
      <c r="BN184" s="1421"/>
      <c r="BO184" s="1421"/>
      <c r="BP184" s="1421"/>
      <c r="BQ184" s="1421"/>
      <c r="BR184" s="1421"/>
      <c r="BS184" s="1421"/>
      <c r="BT184" s="2131"/>
      <c r="BU184" s="2132"/>
    </row>
    <row r="185" spans="64:73">
      <c r="BL185" s="1968"/>
      <c r="BM185" s="1421"/>
      <c r="BN185" s="1421"/>
      <c r="BO185" s="1421"/>
      <c r="BP185" s="1421"/>
      <c r="BQ185" s="1421"/>
      <c r="BR185" s="1421"/>
      <c r="BS185" s="1421"/>
      <c r="BT185" s="2131"/>
      <c r="BU185" s="2132"/>
    </row>
    <row r="186" spans="64:73">
      <c r="BL186" s="1968"/>
      <c r="BM186" s="1421"/>
      <c r="BN186" s="1421"/>
      <c r="BO186" s="1421"/>
      <c r="BP186" s="1421"/>
      <c r="BQ186" s="1421"/>
      <c r="BR186" s="1421"/>
      <c r="BS186" s="1421"/>
      <c r="BT186" s="2131"/>
      <c r="BU186" s="2132"/>
    </row>
    <row r="187" spans="64:73">
      <c r="BL187" s="1968"/>
      <c r="BM187" s="1421"/>
      <c r="BN187" s="1421"/>
      <c r="BO187" s="1421"/>
      <c r="BP187" s="1421"/>
      <c r="BQ187" s="1421"/>
      <c r="BR187" s="1421"/>
      <c r="BS187" s="1421"/>
      <c r="BT187" s="2131"/>
      <c r="BU187" s="2132"/>
    </row>
    <row r="188" spans="64:73">
      <c r="BL188" s="1968"/>
      <c r="BM188" s="1421"/>
      <c r="BN188" s="1421"/>
      <c r="BO188" s="1421"/>
      <c r="BP188" s="1421"/>
      <c r="BQ188" s="1421"/>
      <c r="BR188" s="1421"/>
      <c r="BS188" s="1421"/>
      <c r="BT188" s="2131"/>
      <c r="BU188" s="2132"/>
    </row>
    <row r="189" spans="64:73">
      <c r="BL189" s="1968"/>
      <c r="BM189" s="1421"/>
      <c r="BN189" s="1421"/>
      <c r="BO189" s="1421"/>
      <c r="BP189" s="1421"/>
      <c r="BQ189" s="1421"/>
      <c r="BR189" s="1421"/>
      <c r="BS189" s="1421"/>
      <c r="BT189" s="2131"/>
      <c r="BU189" s="2132"/>
    </row>
    <row r="190" spans="64:73">
      <c r="BL190" s="1968"/>
      <c r="BM190" s="1421"/>
      <c r="BN190" s="1421"/>
      <c r="BO190" s="1421"/>
      <c r="BP190" s="1421"/>
      <c r="BQ190" s="1421"/>
      <c r="BR190" s="1421"/>
      <c r="BS190" s="1421"/>
      <c r="BT190" s="2131"/>
      <c r="BU190" s="2132"/>
    </row>
    <row r="191" spans="64:73">
      <c r="BL191" s="1968"/>
      <c r="BM191" s="1421"/>
      <c r="BN191" s="1421"/>
      <c r="BO191" s="1421"/>
      <c r="BP191" s="1421"/>
      <c r="BQ191" s="1421"/>
      <c r="BR191" s="1421"/>
      <c r="BS191" s="1421"/>
      <c r="BT191" s="2131"/>
      <c r="BU191" s="2132"/>
    </row>
    <row r="192" spans="64:73">
      <c r="BL192" s="1968"/>
      <c r="BM192" s="1421"/>
      <c r="BN192" s="1421"/>
      <c r="BO192" s="1421"/>
      <c r="BP192" s="1421"/>
      <c r="BQ192" s="1421"/>
      <c r="BR192" s="1421"/>
      <c r="BS192" s="1421"/>
      <c r="BT192" s="2131"/>
      <c r="BU192" s="2134"/>
    </row>
    <row r="193" spans="64:73">
      <c r="BL193" s="1968"/>
      <c r="BM193" s="1421"/>
      <c r="BN193" s="1421"/>
      <c r="BO193" s="1421"/>
      <c r="BP193" s="1421"/>
      <c r="BQ193" s="1421"/>
      <c r="BR193" s="1421"/>
      <c r="BS193" s="1421"/>
      <c r="BT193" s="2131"/>
      <c r="BU193" s="2134"/>
    </row>
    <row r="194" spans="64:73">
      <c r="BL194" s="1968"/>
      <c r="BM194" s="1421"/>
      <c r="BN194" s="1421"/>
      <c r="BO194" s="1421"/>
      <c r="BP194" s="1421"/>
      <c r="BQ194" s="1421"/>
      <c r="BR194" s="1421"/>
      <c r="BS194" s="1421"/>
      <c r="BT194" s="2131"/>
      <c r="BU194" s="2132"/>
    </row>
    <row r="195" spans="64:73">
      <c r="BL195" s="1968"/>
      <c r="BM195" s="1421"/>
      <c r="BN195" s="1421"/>
      <c r="BO195" s="1421"/>
      <c r="BP195" s="1421"/>
      <c r="BQ195" s="1421"/>
      <c r="BR195" s="1421"/>
      <c r="BS195" s="1421"/>
      <c r="BT195" s="2131"/>
      <c r="BU195" s="2132"/>
    </row>
    <row r="196" spans="64:73">
      <c r="BL196" s="1968"/>
      <c r="BM196" s="1421"/>
      <c r="BN196" s="1421"/>
      <c r="BO196" s="1421"/>
      <c r="BP196" s="1421"/>
      <c r="BQ196" s="1421"/>
      <c r="BR196" s="1421"/>
      <c r="BS196" s="1421"/>
      <c r="BT196" s="2131"/>
      <c r="BU196" s="2132"/>
    </row>
    <row r="197" spans="64:73">
      <c r="BL197" s="1968"/>
      <c r="BM197" s="1421"/>
      <c r="BN197" s="1421"/>
      <c r="BO197" s="1421"/>
      <c r="BP197" s="1421"/>
      <c r="BQ197" s="1421"/>
      <c r="BR197" s="1421"/>
      <c r="BS197" s="1421"/>
      <c r="BT197" s="2131"/>
      <c r="BU197" s="2132"/>
    </row>
    <row r="198" spans="64:73">
      <c r="BL198" s="1968"/>
      <c r="BM198" s="1421"/>
      <c r="BN198" s="1421"/>
      <c r="BO198" s="1421"/>
      <c r="BP198" s="1421"/>
      <c r="BQ198" s="1421"/>
      <c r="BR198" s="1421"/>
      <c r="BS198" s="1421"/>
      <c r="BT198" s="2133"/>
      <c r="BU198" s="2134"/>
    </row>
    <row r="199" spans="64:73">
      <c r="BL199" s="1968"/>
      <c r="BM199" s="1421"/>
      <c r="BN199" s="1421"/>
      <c r="BO199" s="1421"/>
      <c r="BP199" s="1421"/>
      <c r="BQ199" s="1421"/>
      <c r="BR199" s="1421"/>
      <c r="BS199" s="1421"/>
      <c r="BT199" s="2133"/>
      <c r="BU199" s="2134"/>
    </row>
    <row r="200" spans="64:73">
      <c r="BL200" s="1968"/>
      <c r="BM200" s="1421"/>
      <c r="BN200" s="1421"/>
      <c r="BO200" s="1421"/>
      <c r="BP200" s="1421"/>
      <c r="BQ200" s="1421"/>
      <c r="BR200" s="1421"/>
      <c r="BS200" s="1421"/>
      <c r="BT200" s="2133"/>
      <c r="BU200" s="2134"/>
    </row>
    <row r="201" spans="64:73">
      <c r="BL201" s="1968"/>
      <c r="BM201" s="1421"/>
      <c r="BN201" s="1421"/>
      <c r="BO201" s="1421"/>
      <c r="BP201" s="1421"/>
      <c r="BQ201" s="1421"/>
      <c r="BR201" s="1421"/>
      <c r="BS201" s="1421"/>
      <c r="BT201" s="2131"/>
      <c r="BU201" s="2132"/>
    </row>
    <row r="202" spans="64:73">
      <c r="BL202" s="1968"/>
      <c r="BM202" s="1421"/>
      <c r="BN202" s="1421"/>
      <c r="BO202" s="1421"/>
      <c r="BP202" s="1421"/>
      <c r="BQ202" s="1421"/>
      <c r="BR202" s="1421"/>
      <c r="BS202" s="1421"/>
      <c r="BT202" s="2133"/>
      <c r="BU202" s="2134"/>
    </row>
    <row r="203" spans="64:73">
      <c r="BL203" s="1968"/>
      <c r="BM203" s="1421"/>
      <c r="BN203" s="1421"/>
      <c r="BO203" s="1421"/>
      <c r="BP203" s="1421"/>
      <c r="BQ203" s="1421"/>
      <c r="BR203" s="1421"/>
      <c r="BS203" s="1421"/>
      <c r="BT203" s="2131"/>
      <c r="BU203" s="2132"/>
    </row>
    <row r="204" spans="64:73">
      <c r="BL204" s="1968"/>
      <c r="BM204" s="1421"/>
      <c r="BN204" s="1421"/>
      <c r="BO204" s="1421"/>
      <c r="BP204" s="1421"/>
      <c r="BQ204" s="1421"/>
      <c r="BR204" s="1421"/>
      <c r="BS204" s="1421"/>
      <c r="BT204" s="2131"/>
      <c r="BU204" s="2132"/>
    </row>
    <row r="205" spans="64:73">
      <c r="BL205" s="1968"/>
      <c r="BM205" s="1421"/>
      <c r="BN205" s="1421"/>
      <c r="BO205" s="1421"/>
      <c r="BP205" s="1421"/>
      <c r="BQ205" s="1421"/>
      <c r="BR205" s="1421"/>
      <c r="BS205" s="1421"/>
      <c r="BT205" s="2131"/>
      <c r="BU205" s="2132"/>
    </row>
    <row r="206" spans="64:73">
      <c r="BL206" s="1968"/>
      <c r="BM206" s="1421"/>
      <c r="BN206" s="1421"/>
      <c r="BO206" s="1421"/>
      <c r="BP206" s="1421"/>
      <c r="BQ206" s="1421"/>
      <c r="BR206" s="1421"/>
      <c r="BS206" s="1421"/>
      <c r="BT206" s="2131"/>
      <c r="BU206" s="2132"/>
    </row>
    <row r="207" spans="64:73">
      <c r="BL207" s="1968"/>
      <c r="BM207" s="1421"/>
      <c r="BN207" s="1421"/>
      <c r="BO207" s="1421"/>
      <c r="BP207" s="1421"/>
      <c r="BQ207" s="1421"/>
      <c r="BR207" s="1421"/>
      <c r="BS207" s="1421"/>
      <c r="BT207" s="2131"/>
      <c r="BU207" s="2132"/>
    </row>
    <row r="208" spans="64:73">
      <c r="BL208" s="1968"/>
      <c r="BM208" s="1421"/>
      <c r="BN208" s="1421"/>
      <c r="BO208" s="1421"/>
      <c r="BP208" s="1421"/>
      <c r="BQ208" s="1421"/>
      <c r="BR208" s="1421"/>
      <c r="BS208" s="1421"/>
      <c r="BT208" s="2131"/>
      <c r="BU208" s="2132"/>
    </row>
    <row r="209" spans="64:73">
      <c r="BL209" s="1968"/>
      <c r="BM209" s="1421"/>
      <c r="BN209" s="1421"/>
      <c r="BO209" s="1421"/>
      <c r="BP209" s="1421"/>
      <c r="BQ209" s="1421"/>
      <c r="BR209" s="1421"/>
      <c r="BS209" s="1421"/>
      <c r="BT209" s="2131"/>
      <c r="BU209" s="2132"/>
    </row>
    <row r="210" spans="64:73">
      <c r="BL210" s="1968"/>
      <c r="BM210" s="1421"/>
      <c r="BN210" s="1421"/>
      <c r="BO210" s="1421"/>
      <c r="BP210" s="1421"/>
      <c r="BQ210" s="1421"/>
      <c r="BR210" s="1421"/>
      <c r="BS210" s="1421"/>
      <c r="BT210" s="2133"/>
      <c r="BU210" s="2134"/>
    </row>
    <row r="211" spans="64:73">
      <c r="BL211" s="1968"/>
      <c r="BM211" s="1421"/>
      <c r="BN211" s="1421"/>
      <c r="BO211" s="1421"/>
      <c r="BP211" s="1421"/>
      <c r="BQ211" s="1421"/>
      <c r="BR211" s="1421"/>
      <c r="BS211" s="1421"/>
      <c r="BT211" s="2136"/>
      <c r="BU211" s="2132"/>
    </row>
    <row r="212" spans="64:73">
      <c r="BL212" s="1968"/>
      <c r="BM212" s="1421"/>
      <c r="BN212" s="1421"/>
      <c r="BO212" s="1421"/>
      <c r="BP212" s="1421"/>
      <c r="BQ212" s="1421"/>
      <c r="BR212" s="1421"/>
      <c r="BS212" s="1421"/>
      <c r="BT212" s="2131"/>
      <c r="BU212" s="2132"/>
    </row>
    <row r="213" spans="64:73">
      <c r="BL213" s="1968"/>
      <c r="BM213" s="1421"/>
      <c r="BN213" s="1421"/>
      <c r="BO213" s="1421"/>
      <c r="BP213" s="1421"/>
      <c r="BQ213" s="1421"/>
      <c r="BR213" s="1421"/>
      <c r="BS213" s="1421"/>
      <c r="BT213" s="2131"/>
      <c r="BU213" s="2134"/>
    </row>
    <row r="214" spans="64:73">
      <c r="BL214" s="1968"/>
      <c r="BM214" s="1421"/>
      <c r="BN214" s="1421"/>
      <c r="BO214" s="1421"/>
      <c r="BP214" s="1421"/>
      <c r="BQ214" s="1421"/>
      <c r="BR214" s="1421"/>
      <c r="BS214" s="1421"/>
      <c r="BT214" s="2131"/>
      <c r="BU214" s="2134"/>
    </row>
    <row r="215" spans="64:73">
      <c r="BL215" s="1968"/>
      <c r="BM215" s="1421"/>
      <c r="BN215" s="1421"/>
      <c r="BO215" s="1421"/>
      <c r="BP215" s="1421"/>
      <c r="BQ215" s="1421"/>
      <c r="BR215" s="1421"/>
      <c r="BS215" s="1421"/>
      <c r="BT215" s="2133"/>
      <c r="BU215" s="2134"/>
    </row>
    <row r="216" spans="64:73">
      <c r="BL216" s="1968"/>
      <c r="BM216" s="1421"/>
      <c r="BN216" s="1421"/>
      <c r="BO216" s="1421"/>
      <c r="BP216" s="1421"/>
      <c r="BQ216" s="1421"/>
      <c r="BR216" s="1421"/>
      <c r="BS216" s="1421"/>
      <c r="BT216" s="2135"/>
      <c r="BU216" s="2132"/>
    </row>
    <row r="217" spans="64:73">
      <c r="BL217" s="1968"/>
      <c r="BM217" s="1421"/>
      <c r="BN217" s="1421"/>
      <c r="BO217" s="1421"/>
      <c r="BP217" s="1421"/>
      <c r="BQ217" s="1421"/>
      <c r="BR217" s="1421"/>
      <c r="BS217" s="1421"/>
      <c r="BT217" s="2135"/>
      <c r="BU217" s="2132"/>
    </row>
    <row r="218" spans="64:73">
      <c r="BL218" s="1968"/>
      <c r="BM218" s="1421"/>
      <c r="BN218" s="1421"/>
      <c r="BO218" s="1421"/>
      <c r="BP218" s="1421"/>
      <c r="BQ218" s="1421"/>
      <c r="BR218" s="1421"/>
      <c r="BS218" s="1421"/>
      <c r="BT218" s="2131"/>
      <c r="BU218" s="2132"/>
    </row>
    <row r="219" spans="64:73">
      <c r="BL219" s="1968"/>
      <c r="BM219" s="1421"/>
      <c r="BN219" s="1421"/>
      <c r="BO219" s="1421"/>
      <c r="BP219" s="1421"/>
      <c r="BQ219" s="1421"/>
      <c r="BR219" s="1421"/>
      <c r="BS219" s="1421"/>
      <c r="BT219" s="2131"/>
      <c r="BU219" s="2134"/>
    </row>
    <row r="220" spans="64:73">
      <c r="BL220" s="1968"/>
      <c r="BM220" s="1421"/>
      <c r="BN220" s="1421"/>
      <c r="BO220" s="1421"/>
      <c r="BP220" s="1421"/>
      <c r="BQ220" s="1421"/>
      <c r="BR220" s="1421"/>
      <c r="BS220" s="1421"/>
      <c r="BT220" s="2131"/>
      <c r="BU220" s="2134"/>
    </row>
    <row r="221" spans="64:73">
      <c r="BL221" s="1968"/>
      <c r="BM221" s="1421"/>
      <c r="BN221" s="1421"/>
      <c r="BO221" s="1421"/>
      <c r="BP221" s="1421"/>
      <c r="BQ221" s="1421"/>
      <c r="BR221" s="1421"/>
      <c r="BS221" s="1421"/>
      <c r="BT221" s="2133"/>
      <c r="BU221" s="2134"/>
    </row>
    <row r="222" spans="64:73">
      <c r="BL222" s="1968"/>
      <c r="BM222" s="1421"/>
      <c r="BN222" s="1421"/>
      <c r="BO222" s="1421"/>
      <c r="BP222" s="1421"/>
      <c r="BQ222" s="1421"/>
      <c r="BR222" s="1421"/>
      <c r="BS222" s="1421"/>
      <c r="BT222" s="2133"/>
      <c r="BU222" s="2134"/>
    </row>
    <row r="223" spans="64:73">
      <c r="BL223" s="1968"/>
      <c r="BM223" s="1421"/>
      <c r="BN223" s="1421"/>
      <c r="BO223" s="1421"/>
      <c r="BP223" s="1421"/>
      <c r="BQ223" s="1421"/>
      <c r="BR223" s="1421"/>
      <c r="BS223" s="1421"/>
      <c r="BT223" s="2131"/>
      <c r="BU223" s="2132"/>
    </row>
    <row r="224" spans="64:73">
      <c r="BL224" s="1968"/>
      <c r="BM224" s="1421"/>
      <c r="BN224" s="1421"/>
      <c r="BO224" s="1421"/>
      <c r="BP224" s="1421"/>
      <c r="BQ224" s="1421"/>
      <c r="BR224" s="1421"/>
      <c r="BS224" s="1421"/>
      <c r="BT224" s="2133"/>
      <c r="BU224" s="2134"/>
    </row>
    <row r="225" spans="64:73">
      <c r="BL225" s="1968"/>
      <c r="BM225" s="1421"/>
      <c r="BN225" s="1421"/>
      <c r="BO225" s="1421"/>
      <c r="BP225" s="1421"/>
      <c r="BQ225" s="1421"/>
      <c r="BR225" s="1421"/>
      <c r="BS225" s="1421"/>
      <c r="BT225" s="2133"/>
      <c r="BU225" s="2134"/>
    </row>
    <row r="226" spans="64:73">
      <c r="BL226" s="1968"/>
      <c r="BM226" s="1421"/>
      <c r="BN226" s="1421"/>
      <c r="BO226" s="1421"/>
      <c r="BP226" s="1421"/>
      <c r="BQ226" s="1421"/>
      <c r="BR226" s="1421"/>
      <c r="BS226" s="1421"/>
      <c r="BT226" s="2131"/>
      <c r="BU226" s="2132"/>
    </row>
    <row r="227" spans="64:73">
      <c r="BL227" s="1968"/>
      <c r="BM227" s="1421"/>
      <c r="BN227" s="1421"/>
      <c r="BO227" s="1421"/>
      <c r="BP227" s="1421"/>
      <c r="BQ227" s="1421"/>
      <c r="BR227" s="1421"/>
      <c r="BS227" s="1421"/>
      <c r="BT227" s="2136"/>
      <c r="BU227" s="2134"/>
    </row>
    <row r="228" spans="64:73">
      <c r="BL228" s="1968"/>
      <c r="BM228" s="1421"/>
      <c r="BN228" s="1421"/>
      <c r="BO228" s="1421"/>
      <c r="BP228" s="1421"/>
      <c r="BQ228" s="1421"/>
      <c r="BR228" s="1421"/>
      <c r="BS228" s="1421"/>
      <c r="BT228" s="2136"/>
      <c r="BU228" s="2134"/>
    </row>
    <row r="229" spans="64:73">
      <c r="BL229" s="1968"/>
      <c r="BM229" s="1421"/>
      <c r="BN229" s="1421"/>
      <c r="BO229" s="1421"/>
      <c r="BP229" s="1421"/>
      <c r="BQ229" s="1421"/>
      <c r="BR229" s="1421"/>
      <c r="BS229" s="1421"/>
      <c r="BT229" s="2136"/>
      <c r="BU229" s="2134"/>
    </row>
    <row r="230" spans="64:73">
      <c r="BL230" s="1968"/>
      <c r="BM230" s="1421"/>
      <c r="BN230" s="1421"/>
      <c r="BO230" s="1421"/>
      <c r="BP230" s="1421"/>
      <c r="BQ230" s="1421"/>
      <c r="BR230" s="1421"/>
      <c r="BS230" s="1421"/>
      <c r="BT230" s="2136"/>
      <c r="BU230" s="2132"/>
    </row>
    <row r="231" spans="64:73">
      <c r="BL231" s="1968"/>
      <c r="BM231" s="1421"/>
      <c r="BN231" s="1421"/>
      <c r="BO231" s="1421"/>
      <c r="BP231" s="1421"/>
      <c r="BQ231" s="1421"/>
      <c r="BR231" s="1421"/>
      <c r="BS231" s="1421"/>
      <c r="BT231" s="2131"/>
      <c r="BU231" s="2134"/>
    </row>
    <row r="232" spans="64:73">
      <c r="BL232" s="1968"/>
      <c r="BM232" s="1421"/>
      <c r="BN232" s="1421"/>
      <c r="BO232" s="1421"/>
      <c r="BP232" s="1421"/>
      <c r="BQ232" s="1421"/>
      <c r="BR232" s="1421"/>
      <c r="BS232" s="1421"/>
      <c r="BT232" s="2133"/>
      <c r="BU232" s="2134"/>
    </row>
    <row r="233" spans="64:73">
      <c r="BL233" s="1968"/>
      <c r="BM233" s="1421"/>
      <c r="BN233" s="1421"/>
      <c r="BO233" s="1421"/>
      <c r="BP233" s="1421"/>
      <c r="BQ233" s="1421"/>
      <c r="BR233" s="1421"/>
      <c r="BS233" s="1421"/>
      <c r="BT233" s="2131"/>
      <c r="BU233" s="2132"/>
    </row>
    <row r="234" spans="64:73">
      <c r="BL234" s="1968"/>
      <c r="BM234" s="1421"/>
      <c r="BN234" s="1421"/>
      <c r="BO234" s="1421"/>
      <c r="BP234" s="1421"/>
      <c r="BQ234" s="1421"/>
      <c r="BR234" s="1421"/>
      <c r="BS234" s="1421"/>
      <c r="BT234" s="2131"/>
      <c r="BU234" s="2134"/>
    </row>
    <row r="235" spans="64:73">
      <c r="BL235" s="1968"/>
      <c r="BM235" s="1421"/>
      <c r="BN235" s="1421"/>
      <c r="BO235" s="1421"/>
      <c r="BP235" s="1421"/>
      <c r="BQ235" s="1421"/>
      <c r="BR235" s="1421"/>
      <c r="BS235" s="1421"/>
      <c r="BT235" s="2131"/>
      <c r="BU235" s="2134"/>
    </row>
    <row r="236" spans="64:73">
      <c r="BL236" s="1968"/>
      <c r="BM236" s="1421"/>
      <c r="BN236" s="1421"/>
      <c r="BO236" s="1421"/>
      <c r="BP236" s="1421"/>
      <c r="BQ236" s="1421"/>
      <c r="BR236" s="1421"/>
      <c r="BS236" s="1421"/>
      <c r="BT236" s="2131"/>
      <c r="BU236" s="2134"/>
    </row>
    <row r="237" spans="64:73">
      <c r="BL237" s="1968"/>
      <c r="BM237" s="1421"/>
      <c r="BN237" s="1421"/>
      <c r="BO237" s="1421"/>
      <c r="BP237" s="1421"/>
      <c r="BQ237" s="1421"/>
      <c r="BR237" s="1421"/>
      <c r="BS237" s="1421"/>
      <c r="BT237" s="2136"/>
      <c r="BU237" s="2134"/>
    </row>
    <row r="238" spans="64:73">
      <c r="BL238" s="1968"/>
      <c r="BM238" s="1421"/>
      <c r="BN238" s="1421"/>
      <c r="BO238" s="1421"/>
      <c r="BP238" s="1421"/>
      <c r="BQ238" s="1421"/>
      <c r="BR238" s="1421"/>
      <c r="BS238" s="1421"/>
      <c r="BT238" s="2136"/>
      <c r="BU238" s="2132"/>
    </row>
    <row r="239" spans="64:73">
      <c r="BL239" s="1968"/>
      <c r="BM239" s="1421"/>
      <c r="BN239" s="1421"/>
      <c r="BO239" s="1421"/>
      <c r="BP239" s="1421"/>
      <c r="BQ239" s="1421"/>
      <c r="BR239" s="1421"/>
      <c r="BS239" s="1421"/>
      <c r="BT239" s="2131"/>
      <c r="BU239" s="2132"/>
    </row>
    <row r="240" spans="64:73">
      <c r="BL240" s="1968"/>
      <c r="BM240" s="1421"/>
      <c r="BN240" s="1421"/>
      <c r="BO240" s="1421"/>
      <c r="BP240" s="1421"/>
      <c r="BQ240" s="1421"/>
      <c r="BR240" s="1421"/>
      <c r="BS240" s="1421"/>
      <c r="BT240" s="2131"/>
      <c r="BU240" s="2134"/>
    </row>
    <row r="241" spans="64:73">
      <c r="BL241" s="1968"/>
      <c r="BM241" s="1421"/>
      <c r="BN241" s="1421"/>
      <c r="BO241" s="1421"/>
      <c r="BP241" s="1421"/>
      <c r="BQ241" s="1421"/>
      <c r="BR241" s="1421"/>
      <c r="BS241" s="1421"/>
      <c r="BT241" s="2131"/>
      <c r="BU241" s="2132"/>
    </row>
    <row r="242" spans="64:73">
      <c r="BL242" s="1968"/>
      <c r="BM242" s="1421"/>
      <c r="BN242" s="1421"/>
      <c r="BO242" s="1421"/>
      <c r="BP242" s="1421"/>
      <c r="BQ242" s="1421"/>
      <c r="BR242" s="1421"/>
      <c r="BS242" s="1421"/>
      <c r="BT242" s="2133"/>
      <c r="BU242" s="2134"/>
    </row>
    <row r="243" spans="64:73">
      <c r="BL243" s="1968"/>
      <c r="BM243" s="1421"/>
      <c r="BN243" s="1421"/>
      <c r="BO243" s="1421"/>
      <c r="BP243" s="1421"/>
      <c r="BQ243" s="1421"/>
      <c r="BR243" s="1421"/>
      <c r="BS243" s="1421"/>
      <c r="BT243" s="2133"/>
      <c r="BU243" s="2134"/>
    </row>
    <row r="244" spans="64:73">
      <c r="BL244" s="1968"/>
      <c r="BM244" s="1421"/>
      <c r="BN244" s="1421"/>
      <c r="BO244" s="1421"/>
      <c r="BP244" s="1421"/>
      <c r="BQ244" s="1421"/>
      <c r="BR244" s="1421"/>
      <c r="BS244" s="1421"/>
      <c r="BT244" s="2136"/>
      <c r="BU244" s="2134"/>
    </row>
    <row r="245" spans="64:73">
      <c r="BL245" s="1968"/>
      <c r="BM245" s="1421"/>
      <c r="BN245" s="1421"/>
      <c r="BO245" s="1421"/>
      <c r="BP245" s="1421"/>
      <c r="BQ245" s="1421"/>
      <c r="BR245" s="1421"/>
      <c r="BS245" s="1421"/>
      <c r="BT245" s="2136"/>
      <c r="BU245" s="2134"/>
    </row>
    <row r="246" spans="64:73">
      <c r="BL246" s="1968"/>
      <c r="BM246" s="1421"/>
      <c r="BN246" s="1421"/>
      <c r="BO246" s="1421"/>
      <c r="BP246" s="1421"/>
      <c r="BQ246" s="1421"/>
      <c r="BR246" s="1421"/>
      <c r="BS246" s="1421"/>
      <c r="BT246" s="2131"/>
      <c r="BU246" s="2134"/>
    </row>
    <row r="247" spans="64:73">
      <c r="BL247" s="1968"/>
      <c r="BM247" s="1421"/>
      <c r="BN247" s="1421"/>
      <c r="BO247" s="1421"/>
      <c r="BP247" s="1421"/>
      <c r="BQ247" s="1421"/>
      <c r="BR247" s="1421"/>
      <c r="BS247" s="1421"/>
      <c r="BT247" s="2131"/>
      <c r="BU247" s="2132"/>
    </row>
    <row r="248" spans="64:73">
      <c r="BL248" s="1968"/>
      <c r="BM248" s="1421"/>
      <c r="BN248" s="1421"/>
      <c r="BO248" s="1421"/>
      <c r="BP248" s="1421"/>
      <c r="BQ248" s="1421"/>
      <c r="BR248" s="1421"/>
      <c r="BS248" s="1421"/>
      <c r="BT248" s="2133"/>
      <c r="BU248" s="2134"/>
    </row>
    <row r="249" spans="64:73">
      <c r="BL249" s="1968"/>
      <c r="BM249" s="1421"/>
      <c r="BN249" s="1421"/>
      <c r="BO249" s="1421"/>
      <c r="BP249" s="1421"/>
      <c r="BQ249" s="1421"/>
      <c r="BR249" s="1421"/>
      <c r="BS249" s="1421"/>
      <c r="BT249" s="2136"/>
      <c r="BU249" s="2132"/>
    </row>
    <row r="250" spans="64:73">
      <c r="BL250" s="1968"/>
      <c r="BM250" s="1421"/>
      <c r="BN250" s="1421"/>
      <c r="BO250" s="1421"/>
      <c r="BP250" s="1421"/>
      <c r="BQ250" s="1421"/>
      <c r="BR250" s="1421"/>
      <c r="BS250" s="1421"/>
      <c r="BT250" s="2131"/>
      <c r="BU250" s="2132"/>
    </row>
    <row r="251" spans="64:73">
      <c r="BL251" s="1968"/>
      <c r="BM251" s="1421"/>
      <c r="BN251" s="1421"/>
      <c r="BO251" s="1421"/>
      <c r="BP251" s="1421"/>
      <c r="BQ251" s="1421"/>
      <c r="BR251" s="1421"/>
      <c r="BS251" s="1421"/>
      <c r="BT251" s="2131"/>
      <c r="BU251" s="2132"/>
    </row>
    <row r="252" spans="64:73">
      <c r="BL252" s="1421"/>
      <c r="BM252" s="1421"/>
      <c r="BN252" s="1421"/>
      <c r="BO252" s="1421"/>
      <c r="BP252" s="1421"/>
      <c r="BQ252" s="1421"/>
      <c r="BR252" s="1421"/>
      <c r="BS252" s="1421"/>
      <c r="BT252" s="2131"/>
      <c r="BU252" s="2132"/>
    </row>
    <row r="253" spans="64:73">
      <c r="BL253" s="1421"/>
      <c r="BM253" s="1421"/>
      <c r="BN253" s="1421"/>
      <c r="BO253" s="1421"/>
      <c r="BP253" s="1421"/>
      <c r="BQ253" s="1421"/>
      <c r="BR253" s="1421"/>
      <c r="BS253" s="1421"/>
      <c r="BT253" s="2135"/>
      <c r="BU253" s="2132"/>
    </row>
    <row r="254" spans="64:73">
      <c r="BL254" s="1421"/>
      <c r="BM254" s="1421"/>
      <c r="BN254" s="2137"/>
      <c r="BO254" s="1421"/>
      <c r="BP254" s="1421"/>
      <c r="BQ254" s="1421"/>
      <c r="BR254" s="1421"/>
      <c r="BS254" s="1421"/>
      <c r="BT254" s="2136"/>
      <c r="BU254" s="2132"/>
    </row>
    <row r="255" spans="64:73">
      <c r="BL255" s="1421"/>
      <c r="BM255" s="1421"/>
      <c r="BN255" s="2137"/>
      <c r="BO255" s="1421"/>
      <c r="BP255" s="1421"/>
      <c r="BQ255" s="1421"/>
      <c r="BR255" s="1421"/>
      <c r="BS255" s="1421"/>
      <c r="BT255" s="2131"/>
      <c r="BU255" s="2132"/>
    </row>
    <row r="256" spans="64:73">
      <c r="BL256" s="1421"/>
      <c r="BM256" s="1421"/>
      <c r="BN256" s="2137"/>
      <c r="BO256" s="1421"/>
      <c r="BP256" s="1421"/>
      <c r="BQ256" s="1421"/>
      <c r="BR256" s="1421"/>
      <c r="BS256" s="1421"/>
      <c r="BT256" s="2131"/>
      <c r="BU256" s="2132"/>
    </row>
    <row r="257" spans="64:73">
      <c r="BL257" s="1421"/>
      <c r="BM257" s="1421"/>
      <c r="BN257" s="1967"/>
      <c r="BO257" s="1421"/>
      <c r="BP257" s="1421"/>
      <c r="BQ257" s="1421"/>
      <c r="BR257" s="1421"/>
      <c r="BS257" s="1421"/>
      <c r="BT257" s="2131"/>
      <c r="BU257" s="2132"/>
    </row>
    <row r="258" spans="64:73">
      <c r="BL258" s="1421"/>
      <c r="BM258" s="1421"/>
      <c r="BN258" s="1967"/>
      <c r="BO258" s="1421"/>
      <c r="BP258" s="1421"/>
      <c r="BQ258" s="1421"/>
      <c r="BR258" s="1421"/>
      <c r="BS258" s="1421"/>
      <c r="BT258" s="2131"/>
      <c r="BU258" s="2132"/>
    </row>
    <row r="259" spans="64:73">
      <c r="BL259" s="1421"/>
      <c r="BM259" s="1421"/>
      <c r="BN259" s="1967"/>
      <c r="BO259" s="1421"/>
      <c r="BP259" s="1421"/>
      <c r="BQ259" s="1421"/>
      <c r="BR259" s="1421"/>
      <c r="BS259" s="1421"/>
      <c r="BT259" s="2131"/>
      <c r="BU259" s="2132"/>
    </row>
    <row r="260" spans="64:73">
      <c r="BL260" s="1421"/>
      <c r="BM260" s="1421"/>
      <c r="BN260" s="1967"/>
      <c r="BO260" s="1421"/>
      <c r="BP260" s="1421"/>
      <c r="BQ260" s="1421"/>
      <c r="BR260" s="1421"/>
      <c r="BS260" s="1421"/>
      <c r="BT260" s="2133"/>
      <c r="BU260" s="2134"/>
    </row>
    <row r="261" spans="64:73">
      <c r="BL261" s="1421"/>
      <c r="BM261" s="1421"/>
      <c r="BN261" s="1967"/>
      <c r="BO261" s="1421"/>
      <c r="BP261" s="1421"/>
      <c r="BQ261" s="1421"/>
      <c r="BR261" s="1421"/>
      <c r="BS261" s="1421"/>
      <c r="BT261" s="2133"/>
      <c r="BU261" s="2132"/>
    </row>
    <row r="262" spans="64:73">
      <c r="BL262" s="1421"/>
      <c r="BM262" s="1421"/>
      <c r="BN262" s="1967"/>
      <c r="BO262" s="1421"/>
      <c r="BP262" s="1421"/>
      <c r="BQ262" s="1421"/>
      <c r="BR262" s="1421"/>
      <c r="BS262" s="1421"/>
      <c r="BT262" s="2133"/>
      <c r="BU262" s="2132"/>
    </row>
    <row r="263" spans="64:73">
      <c r="BL263" s="1421"/>
      <c r="BM263" s="1421"/>
      <c r="BN263" s="1967"/>
      <c r="BO263" s="1421"/>
      <c r="BP263" s="1421"/>
      <c r="BQ263" s="1421"/>
      <c r="BR263" s="1421"/>
      <c r="BS263" s="1421"/>
      <c r="BT263" s="2131"/>
      <c r="BU263" s="2132"/>
    </row>
    <row r="264" spans="64:73">
      <c r="BL264" s="1421"/>
      <c r="BM264" s="1421"/>
      <c r="BN264" s="1967"/>
      <c r="BO264" s="1421"/>
      <c r="BP264" s="1421"/>
      <c r="BQ264" s="1421"/>
      <c r="BR264" s="1421"/>
      <c r="BS264" s="1421"/>
      <c r="BT264" s="2131"/>
      <c r="BU264" s="2132"/>
    </row>
    <row r="265" spans="64:73">
      <c r="BL265" s="1421"/>
      <c r="BM265" s="1421"/>
      <c r="BN265" s="1967"/>
      <c r="BO265" s="1421"/>
      <c r="BP265" s="1421"/>
      <c r="BQ265" s="1421"/>
      <c r="BR265" s="1421"/>
      <c r="BS265" s="1421"/>
      <c r="BT265" s="2133"/>
      <c r="BU265" s="2134"/>
    </row>
    <row r="266" spans="64:73">
      <c r="BL266" s="1421"/>
      <c r="BM266" s="1421"/>
      <c r="BN266" s="1967"/>
      <c r="BO266" s="1421"/>
      <c r="BP266" s="1421"/>
      <c r="BQ266" s="1421"/>
      <c r="BR266" s="1421"/>
      <c r="BS266" s="1421"/>
      <c r="BT266" s="2133"/>
      <c r="BU266" s="2134"/>
    </row>
    <row r="267" spans="64:73">
      <c r="BL267" s="1421"/>
      <c r="BM267" s="1421"/>
      <c r="BN267" s="1967"/>
      <c r="BO267" s="1421"/>
      <c r="BP267" s="1421"/>
      <c r="BQ267" s="1421"/>
      <c r="BR267" s="1421"/>
      <c r="BS267" s="1421"/>
      <c r="BT267" s="2131"/>
      <c r="BU267" s="2132"/>
    </row>
    <row r="268" spans="64:73">
      <c r="BL268" s="1421"/>
      <c r="BM268" s="1421"/>
      <c r="BN268" s="1967"/>
      <c r="BO268" s="1421"/>
      <c r="BP268" s="1421"/>
      <c r="BQ268" s="1421"/>
      <c r="BR268" s="1421"/>
      <c r="BS268" s="1421"/>
      <c r="BT268" s="2131"/>
      <c r="BU268" s="2134"/>
    </row>
    <row r="269" spans="64:73">
      <c r="BL269" s="1421"/>
      <c r="BM269" s="1421"/>
      <c r="BN269" s="1967"/>
      <c r="BO269" s="1421"/>
      <c r="BP269" s="1421"/>
      <c r="BQ269" s="1421"/>
      <c r="BR269" s="1421"/>
      <c r="BS269" s="1421"/>
      <c r="BT269" s="2131"/>
      <c r="BU269" s="2132"/>
    </row>
    <row r="270" spans="64:73">
      <c r="BL270" s="1421"/>
      <c r="BM270" s="1421"/>
      <c r="BN270" s="1967"/>
      <c r="BO270" s="1421"/>
      <c r="BP270" s="1421"/>
      <c r="BQ270" s="1421"/>
      <c r="BR270" s="1421"/>
      <c r="BS270" s="1421"/>
      <c r="BT270" s="2131"/>
      <c r="BU270" s="2134"/>
    </row>
    <row r="271" spans="64:73">
      <c r="BL271" s="1421"/>
      <c r="BM271" s="1421"/>
      <c r="BN271" s="1967"/>
      <c r="BO271" s="1421"/>
      <c r="BP271" s="1421"/>
      <c r="BQ271" s="1421"/>
      <c r="BR271" s="1421"/>
      <c r="BS271" s="1421"/>
      <c r="BT271" s="2131"/>
      <c r="BU271" s="2132"/>
    </row>
    <row r="272" spans="64:73">
      <c r="BL272" s="1421"/>
      <c r="BM272" s="1421"/>
      <c r="BN272" s="1967"/>
      <c r="BO272" s="1421"/>
      <c r="BP272" s="1421"/>
      <c r="BQ272" s="1421"/>
      <c r="BR272" s="1421"/>
      <c r="BS272" s="1421"/>
      <c r="BT272" s="2131"/>
      <c r="BU272" s="2132"/>
    </row>
    <row r="273" spans="64:73">
      <c r="BL273" s="1421"/>
      <c r="BM273" s="1421"/>
      <c r="BN273" s="1967"/>
      <c r="BO273" s="1421"/>
      <c r="BP273" s="1421"/>
      <c r="BQ273" s="1421"/>
      <c r="BR273" s="1421"/>
      <c r="BS273" s="1421"/>
      <c r="BT273" s="2131"/>
      <c r="BU273" s="2134"/>
    </row>
    <row r="274" spans="64:73">
      <c r="BL274" s="1421"/>
      <c r="BM274" s="1421"/>
      <c r="BN274" s="1967"/>
      <c r="BO274" s="1421"/>
      <c r="BP274" s="1421"/>
      <c r="BQ274" s="1421"/>
      <c r="BR274" s="1421"/>
      <c r="BS274" s="1421"/>
      <c r="BT274" s="2131"/>
      <c r="BU274" s="2132"/>
    </row>
    <row r="275" spans="64:73">
      <c r="BL275" s="1421"/>
      <c r="BM275" s="1421"/>
      <c r="BN275" s="1967"/>
      <c r="BO275" s="1421"/>
      <c r="BP275" s="1421"/>
      <c r="BQ275" s="1421"/>
      <c r="BR275" s="1421"/>
      <c r="BS275" s="1421"/>
      <c r="BT275" s="2133"/>
      <c r="BU275" s="2134"/>
    </row>
    <row r="276" spans="64:73">
      <c r="BL276" s="1421"/>
      <c r="BM276" s="1421"/>
      <c r="BN276" s="1967"/>
      <c r="BO276" s="1421"/>
      <c r="BP276" s="1421"/>
      <c r="BQ276" s="1421"/>
      <c r="BR276" s="1421"/>
      <c r="BS276" s="1421"/>
      <c r="BT276" s="2133"/>
      <c r="BU276" s="2134"/>
    </row>
    <row r="277" spans="64:73">
      <c r="BL277" s="1421"/>
      <c r="BM277" s="1421"/>
      <c r="BN277" s="1967"/>
      <c r="BO277" s="1421"/>
      <c r="BP277" s="1421"/>
      <c r="BQ277" s="1421"/>
      <c r="BR277" s="1421"/>
      <c r="BS277" s="1421"/>
      <c r="BT277" s="2133"/>
      <c r="BU277" s="2134"/>
    </row>
    <row r="278" spans="64:73">
      <c r="BL278" s="1421"/>
      <c r="BM278" s="1421"/>
      <c r="BN278" s="1967"/>
      <c r="BO278" s="1421"/>
      <c r="BP278" s="1421"/>
      <c r="BQ278" s="1421"/>
      <c r="BR278" s="1421"/>
      <c r="BS278" s="1421"/>
      <c r="BT278" s="2131"/>
      <c r="BU278" s="2132"/>
    </row>
    <row r="279" spans="64:73">
      <c r="BL279" s="1421"/>
      <c r="BM279" s="1421"/>
      <c r="BN279" s="1967"/>
      <c r="BO279" s="1421"/>
      <c r="BP279" s="1421"/>
      <c r="BQ279" s="1421"/>
      <c r="BR279" s="1421"/>
      <c r="BS279" s="1421"/>
      <c r="BT279" s="2133"/>
      <c r="BU279" s="2134"/>
    </row>
    <row r="280" spans="64:73">
      <c r="BL280" s="1421"/>
      <c r="BM280" s="1421"/>
      <c r="BN280" s="1967"/>
      <c r="BO280" s="1421"/>
      <c r="BP280" s="1421"/>
      <c r="BQ280" s="1421"/>
      <c r="BR280" s="1421"/>
      <c r="BS280" s="1421"/>
      <c r="BT280" s="2133"/>
      <c r="BU280" s="2138"/>
    </row>
    <row r="281" spans="64:73">
      <c r="BL281" s="1421"/>
      <c r="BM281" s="1421"/>
      <c r="BN281" s="1967"/>
      <c r="BO281" s="1421"/>
      <c r="BP281" s="1421"/>
      <c r="BQ281" s="1421"/>
      <c r="BR281" s="1421"/>
      <c r="BS281" s="1421"/>
      <c r="BT281" s="2133"/>
      <c r="BU281" s="2138"/>
    </row>
    <row r="282" spans="64:73">
      <c r="BL282" s="1421"/>
      <c r="BM282" s="1421"/>
      <c r="BN282" s="1967"/>
      <c r="BO282" s="1421"/>
      <c r="BP282" s="1421"/>
      <c r="BQ282" s="1421"/>
      <c r="BR282" s="1421"/>
      <c r="BS282" s="1421"/>
      <c r="BT282" s="2131"/>
      <c r="BU282" s="2132"/>
    </row>
    <row r="283" spans="64:73">
      <c r="BL283" s="1421"/>
      <c r="BM283" s="1421"/>
      <c r="BN283" s="1967"/>
      <c r="BO283" s="1421"/>
      <c r="BP283" s="1421"/>
      <c r="BQ283" s="1421"/>
      <c r="BR283" s="1421"/>
      <c r="BS283" s="1421"/>
      <c r="BT283" s="2131"/>
      <c r="BU283" s="2132"/>
    </row>
    <row r="284" spans="64:73">
      <c r="BL284" s="1421"/>
      <c r="BM284" s="1421"/>
      <c r="BN284" s="1967"/>
      <c r="BO284" s="1421"/>
      <c r="BP284" s="1421"/>
      <c r="BQ284" s="1421"/>
      <c r="BR284" s="1421"/>
      <c r="BS284" s="1421"/>
      <c r="BT284" s="2133"/>
      <c r="BU284" s="2134"/>
    </row>
    <row r="285" spans="64:73">
      <c r="BL285" s="1421"/>
      <c r="BM285" s="1421"/>
      <c r="BN285" s="1967"/>
      <c r="BO285" s="1421"/>
      <c r="BP285" s="1421"/>
      <c r="BQ285" s="1421"/>
      <c r="BR285" s="1421"/>
      <c r="BS285" s="1421"/>
      <c r="BT285" s="2131"/>
      <c r="BU285" s="2132"/>
    </row>
    <row r="286" spans="64:73">
      <c r="BL286" s="1421"/>
      <c r="BM286" s="1421"/>
      <c r="BN286" s="1967"/>
      <c r="BO286" s="1421"/>
      <c r="BP286" s="1421"/>
      <c r="BQ286" s="1421"/>
      <c r="BR286" s="1421"/>
      <c r="BS286" s="1421"/>
      <c r="BT286" s="2135"/>
      <c r="BU286" s="2132"/>
    </row>
    <row r="287" spans="64:73">
      <c r="BL287" s="1421"/>
      <c r="BM287" s="1421"/>
      <c r="BN287" s="1421"/>
      <c r="BO287" s="1421"/>
      <c r="BP287" s="1421"/>
      <c r="BQ287" s="1421"/>
      <c r="BR287" s="1421"/>
      <c r="BS287" s="1421"/>
      <c r="BT287" s="2131"/>
      <c r="BU287" s="2132"/>
    </row>
    <row r="288" spans="64:73">
      <c r="BL288" s="1421"/>
      <c r="BM288" s="1421"/>
      <c r="BN288" s="1421"/>
      <c r="BO288" s="1421"/>
      <c r="BP288" s="1421"/>
      <c r="BQ288" s="1421"/>
      <c r="BR288" s="1421"/>
      <c r="BS288" s="1421"/>
      <c r="BT288" s="2131"/>
      <c r="BU288" s="2132"/>
    </row>
    <row r="289" spans="64:73">
      <c r="BL289" s="1421"/>
      <c r="BM289" s="1421"/>
      <c r="BN289" s="1421"/>
      <c r="BO289" s="1421"/>
      <c r="BP289" s="1421"/>
      <c r="BQ289" s="1421"/>
      <c r="BR289" s="1421"/>
      <c r="BS289" s="1421"/>
      <c r="BT289" s="2133"/>
      <c r="BU289" s="2134"/>
    </row>
    <row r="290" spans="64:73">
      <c r="BL290" s="1421"/>
      <c r="BM290" s="1421"/>
      <c r="BN290" s="1421"/>
      <c r="BO290" s="1421"/>
      <c r="BP290" s="1421"/>
      <c r="BQ290" s="1421"/>
      <c r="BR290" s="1421"/>
      <c r="BS290" s="1421"/>
      <c r="BT290" s="2131"/>
      <c r="BU290" s="2132"/>
    </row>
    <row r="291" spans="64:73">
      <c r="BL291" s="1421"/>
      <c r="BM291" s="1421"/>
      <c r="BN291" s="1421"/>
      <c r="BO291" s="1421"/>
      <c r="BP291" s="1421"/>
      <c r="BQ291" s="1421"/>
      <c r="BR291" s="1421"/>
      <c r="BS291" s="1421"/>
      <c r="BT291" s="2131"/>
      <c r="BU291" s="2132"/>
    </row>
    <row r="292" spans="64:73">
      <c r="BL292" s="1421"/>
      <c r="BM292" s="1421"/>
      <c r="BN292" s="1421"/>
      <c r="BO292" s="1421"/>
      <c r="BP292" s="1421"/>
      <c r="BQ292" s="1421"/>
      <c r="BR292" s="1421"/>
      <c r="BS292" s="1421"/>
      <c r="BT292" s="2131"/>
      <c r="BU292" s="2132"/>
    </row>
    <row r="293" spans="64:73">
      <c r="BL293" s="1421"/>
      <c r="BM293" s="1421"/>
      <c r="BN293" s="1421"/>
      <c r="BO293" s="1421"/>
      <c r="BP293" s="1421"/>
      <c r="BQ293" s="1421"/>
      <c r="BR293" s="1421"/>
      <c r="BS293" s="1421"/>
      <c r="BT293" s="2131"/>
      <c r="BU293" s="2132"/>
    </row>
    <row r="294" spans="64:73">
      <c r="BL294" s="1421"/>
      <c r="BM294" s="1421"/>
      <c r="BN294" s="1421"/>
      <c r="BO294" s="1421"/>
      <c r="BP294" s="1421"/>
      <c r="BQ294" s="1421"/>
      <c r="BR294" s="1421"/>
      <c r="BS294" s="1421"/>
      <c r="BT294" s="2131"/>
      <c r="BU294" s="2132"/>
    </row>
    <row r="295" spans="64:73">
      <c r="BL295" s="1421"/>
      <c r="BM295" s="1421"/>
      <c r="BN295" s="1421"/>
      <c r="BO295" s="1421"/>
      <c r="BP295" s="1421"/>
      <c r="BQ295" s="1421"/>
      <c r="BR295" s="1421"/>
      <c r="BS295" s="1421"/>
      <c r="BT295" s="2131"/>
      <c r="BU295" s="2132"/>
    </row>
    <row r="296" spans="64:73">
      <c r="BL296" s="1421"/>
      <c r="BM296" s="1421"/>
      <c r="BN296" s="1421"/>
      <c r="BO296" s="1421"/>
      <c r="BP296" s="1421"/>
      <c r="BQ296" s="1421"/>
      <c r="BR296" s="1421"/>
      <c r="BS296" s="1421"/>
      <c r="BT296" s="2135"/>
      <c r="BU296" s="2132"/>
    </row>
    <row r="297" spans="64:73">
      <c r="BL297" s="1421"/>
      <c r="BM297" s="1421"/>
      <c r="BN297" s="1421"/>
      <c r="BO297" s="1421"/>
      <c r="BP297" s="1421"/>
      <c r="BQ297" s="1421"/>
      <c r="BR297" s="1421"/>
      <c r="BS297" s="1421"/>
      <c r="BT297" s="2131"/>
      <c r="BU297" s="2132"/>
    </row>
    <row r="298" spans="64:73">
      <c r="BL298" s="1421"/>
      <c r="BM298" s="1421"/>
      <c r="BN298" s="1421"/>
      <c r="BO298" s="1421"/>
      <c r="BP298" s="1421"/>
      <c r="BQ298" s="1421"/>
      <c r="BR298" s="1421"/>
      <c r="BS298" s="1421"/>
      <c r="BT298" s="2131"/>
      <c r="BU298" s="2132"/>
    </row>
    <row r="299" spans="64:73">
      <c r="BL299" s="1421"/>
      <c r="BM299" s="1421"/>
      <c r="BN299" s="1421"/>
      <c r="BO299" s="1421"/>
      <c r="BP299" s="1421"/>
      <c r="BQ299" s="1421"/>
      <c r="BR299" s="1421"/>
      <c r="BS299" s="1421"/>
      <c r="BT299" s="2131"/>
      <c r="BU299" s="2132"/>
    </row>
    <row r="300" spans="64:73">
      <c r="BL300" s="1421"/>
      <c r="BM300" s="1421"/>
      <c r="BN300" s="1421"/>
      <c r="BO300" s="1421"/>
      <c r="BP300" s="1421"/>
      <c r="BQ300" s="1421"/>
      <c r="BR300" s="1421"/>
      <c r="BS300" s="1421"/>
      <c r="BT300" s="2133"/>
      <c r="BU300" s="2134"/>
    </row>
    <row r="301" spans="64:73">
      <c r="BL301" s="1421"/>
      <c r="BM301" s="1421"/>
      <c r="BN301" s="1421"/>
      <c r="BO301" s="1421"/>
      <c r="BP301" s="1421"/>
      <c r="BQ301" s="1421"/>
      <c r="BR301" s="1421"/>
      <c r="BS301" s="1421"/>
      <c r="BT301" s="2133"/>
      <c r="BU301" s="2134"/>
    </row>
    <row r="302" spans="64:73">
      <c r="BL302" s="1421"/>
      <c r="BM302" s="1421"/>
      <c r="BN302" s="1421"/>
      <c r="BO302" s="1421"/>
      <c r="BP302" s="1421"/>
      <c r="BQ302" s="1421"/>
      <c r="BR302" s="1421"/>
      <c r="BS302" s="1421"/>
      <c r="BT302" s="2133"/>
      <c r="BU302" s="2134"/>
    </row>
    <row r="303" spans="64:73">
      <c r="BL303" s="1421"/>
      <c r="BM303" s="1421"/>
      <c r="BN303" s="1421"/>
      <c r="BO303" s="1421"/>
      <c r="BP303" s="1421"/>
      <c r="BQ303" s="1421"/>
      <c r="BR303" s="1421"/>
      <c r="BS303" s="1421"/>
      <c r="BT303" s="2131"/>
      <c r="BU303" s="2132"/>
    </row>
    <row r="304" spans="64:73">
      <c r="BL304" s="1421"/>
      <c r="BM304" s="1421"/>
      <c r="BN304" s="1421"/>
      <c r="BO304" s="1421"/>
      <c r="BP304" s="1421"/>
      <c r="BQ304" s="1421"/>
      <c r="BR304" s="1421"/>
      <c r="BS304" s="1421"/>
      <c r="BT304" s="2131"/>
      <c r="BU304" s="2132"/>
    </row>
    <row r="305" spans="64:73">
      <c r="BL305" s="1421"/>
      <c r="BM305" s="1421"/>
      <c r="BN305" s="1421"/>
      <c r="BO305" s="1421"/>
      <c r="BP305" s="1421"/>
      <c r="BQ305" s="1421"/>
      <c r="BR305" s="1421"/>
      <c r="BS305" s="1421"/>
      <c r="BT305" s="2135"/>
      <c r="BU305" s="2134"/>
    </row>
    <row r="306" spans="64:73">
      <c r="BL306" s="1421"/>
      <c r="BM306" s="1421"/>
      <c r="BN306" s="1421"/>
      <c r="BO306" s="1421"/>
      <c r="BP306" s="1421"/>
      <c r="BQ306" s="1421"/>
      <c r="BR306" s="1421"/>
      <c r="BS306" s="1421"/>
      <c r="BT306" s="2131"/>
      <c r="BU306" s="2132"/>
    </row>
    <row r="307" spans="64:73">
      <c r="BL307" s="1421"/>
      <c r="BM307" s="1421"/>
      <c r="BN307" s="1421"/>
      <c r="BO307" s="1421"/>
      <c r="BP307" s="1421"/>
      <c r="BQ307" s="1421"/>
      <c r="BR307" s="1421"/>
      <c r="BS307" s="1421"/>
      <c r="BT307" s="2131"/>
      <c r="BU307" s="2132"/>
    </row>
    <row r="308" spans="64:73">
      <c r="BL308" s="1421"/>
      <c r="BM308" s="1421"/>
      <c r="BN308" s="1421"/>
      <c r="BO308" s="1421"/>
      <c r="BP308" s="1421"/>
      <c r="BQ308" s="1421"/>
      <c r="BR308" s="1421"/>
      <c r="BS308" s="1421"/>
      <c r="BT308" s="2136"/>
      <c r="BU308" s="2134"/>
    </row>
    <row r="309" spans="64:73">
      <c r="BL309" s="1421"/>
      <c r="BM309" s="1421"/>
      <c r="BN309" s="1421"/>
      <c r="BO309" s="1421"/>
      <c r="BP309" s="1421"/>
      <c r="BQ309" s="1421"/>
      <c r="BR309" s="1421"/>
      <c r="BS309" s="1421"/>
      <c r="BT309" s="2131"/>
      <c r="BU309" s="2132"/>
    </row>
    <row r="310" spans="64:73">
      <c r="BL310" s="1421"/>
      <c r="BM310" s="1421"/>
      <c r="BN310" s="1421"/>
      <c r="BO310" s="1421"/>
      <c r="BP310" s="1421"/>
      <c r="BQ310" s="1421"/>
      <c r="BR310" s="1421"/>
      <c r="BS310" s="1421"/>
      <c r="BT310" s="2131"/>
      <c r="BU310" s="2132"/>
    </row>
    <row r="311" spans="64:73">
      <c r="BL311" s="1421"/>
      <c r="BM311" s="1421"/>
      <c r="BN311" s="1421"/>
      <c r="BO311" s="1421"/>
      <c r="BP311" s="1421"/>
      <c r="BQ311" s="1421"/>
      <c r="BR311" s="1421"/>
      <c r="BS311" s="1421"/>
      <c r="BT311" s="2131"/>
      <c r="BU311" s="2132"/>
    </row>
    <row r="312" spans="64:73">
      <c r="BL312" s="1421"/>
      <c r="BM312" s="1421"/>
      <c r="BN312" s="1421"/>
      <c r="BO312" s="1421"/>
      <c r="BP312" s="1421"/>
      <c r="BQ312" s="1421"/>
      <c r="BR312" s="1421"/>
      <c r="BS312" s="1421"/>
      <c r="BT312" s="2131"/>
      <c r="BU312" s="2132"/>
    </row>
    <row r="313" spans="64:73">
      <c r="BL313" s="1421"/>
      <c r="BM313" s="1421"/>
      <c r="BN313" s="1421"/>
      <c r="BO313" s="1421"/>
      <c r="BP313" s="1421"/>
      <c r="BQ313" s="1421"/>
      <c r="BR313" s="1421"/>
      <c r="BS313" s="1421"/>
      <c r="BT313" s="2133"/>
      <c r="BU313" s="2134"/>
    </row>
    <row r="314" spans="64:73">
      <c r="BL314" s="1421"/>
      <c r="BM314" s="1421"/>
      <c r="BN314" s="1421"/>
      <c r="BO314" s="1421"/>
      <c r="BP314" s="1421"/>
      <c r="BQ314" s="1421"/>
      <c r="BR314" s="1421"/>
      <c r="BS314" s="1421"/>
      <c r="BT314" s="2133"/>
      <c r="BU314" s="2134"/>
    </row>
    <row r="315" spans="64:73">
      <c r="BL315" s="1421"/>
      <c r="BM315" s="1421"/>
      <c r="BN315" s="1421"/>
      <c r="BO315" s="1421"/>
      <c r="BP315" s="1421"/>
      <c r="BQ315" s="1421"/>
      <c r="BR315" s="1421"/>
      <c r="BS315" s="1421"/>
      <c r="BT315" s="2135"/>
      <c r="BU315" s="2132"/>
    </row>
    <row r="316" spans="64:73">
      <c r="BL316" s="1421"/>
      <c r="BM316" s="1421"/>
      <c r="BN316" s="1421"/>
      <c r="BO316" s="1421"/>
      <c r="BP316" s="1421"/>
      <c r="BQ316" s="1421"/>
      <c r="BR316" s="1421"/>
      <c r="BS316" s="1421"/>
      <c r="BT316" s="2131"/>
      <c r="BU316" s="2134"/>
    </row>
    <row r="317" spans="64:73">
      <c r="BL317" s="1421"/>
      <c r="BM317" s="1421"/>
      <c r="BN317" s="1421"/>
      <c r="BO317" s="1421"/>
      <c r="BP317" s="1421"/>
      <c r="BQ317" s="1421"/>
      <c r="BR317" s="1421"/>
      <c r="BS317" s="1421"/>
      <c r="BT317" s="2131"/>
      <c r="BU317" s="2134"/>
    </row>
    <row r="318" spans="64:73">
      <c r="BL318" s="1421"/>
      <c r="BM318" s="1421"/>
      <c r="BN318" s="1421"/>
      <c r="BO318" s="1421"/>
      <c r="BP318" s="1421"/>
      <c r="BQ318" s="1421"/>
      <c r="BR318" s="1421"/>
      <c r="BS318" s="1421"/>
      <c r="BT318" s="2131"/>
      <c r="BU318" s="2134"/>
    </row>
    <row r="319" spans="64:73">
      <c r="BL319" s="1421"/>
      <c r="BM319" s="1421"/>
      <c r="BN319" s="1421"/>
      <c r="BO319" s="1421"/>
      <c r="BP319" s="1421"/>
      <c r="BQ319" s="1421"/>
      <c r="BR319" s="1421"/>
      <c r="BS319" s="1421"/>
      <c r="BT319" s="2131"/>
      <c r="BU319" s="2132"/>
    </row>
    <row r="320" spans="64:73">
      <c r="BL320" s="1421"/>
      <c r="BM320" s="1421"/>
      <c r="BN320" s="1421"/>
      <c r="BO320" s="1421"/>
      <c r="BP320" s="1421"/>
      <c r="BQ320" s="1421"/>
      <c r="BR320" s="1421"/>
      <c r="BS320" s="1421"/>
      <c r="BT320" s="2133"/>
      <c r="BU320" s="2134"/>
    </row>
    <row r="321" spans="64:73">
      <c r="BL321" s="1421"/>
      <c r="BM321" s="1421"/>
      <c r="BN321" s="1421"/>
      <c r="BO321" s="1421"/>
      <c r="BP321" s="1421"/>
      <c r="BQ321" s="1421"/>
      <c r="BR321" s="1421"/>
      <c r="BS321" s="1421"/>
      <c r="BT321" s="2133"/>
      <c r="BU321" s="2134"/>
    </row>
    <row r="322" spans="64:73">
      <c r="BL322" s="1421"/>
      <c r="BM322" s="1421"/>
      <c r="BN322" s="1421"/>
      <c r="BO322" s="1421"/>
      <c r="BP322" s="1421"/>
      <c r="BQ322" s="1421"/>
      <c r="BR322" s="1421"/>
      <c r="BS322" s="1421"/>
      <c r="BT322" s="2131"/>
      <c r="BU322" s="2132"/>
    </row>
    <row r="323" spans="64:73">
      <c r="BL323" s="1421"/>
      <c r="BM323" s="1421"/>
      <c r="BN323" s="1421"/>
      <c r="BO323" s="1421"/>
      <c r="BP323" s="1421"/>
      <c r="BQ323" s="1421"/>
      <c r="BR323" s="1421"/>
      <c r="BS323" s="1421"/>
      <c r="BT323" s="2131"/>
      <c r="BU323" s="2132"/>
    </row>
    <row r="324" spans="64:73">
      <c r="BL324" s="1421"/>
      <c r="BM324" s="1421"/>
      <c r="BN324" s="1421"/>
      <c r="BO324" s="1421"/>
      <c r="BP324" s="1421"/>
      <c r="BQ324" s="1421"/>
      <c r="BR324" s="1421"/>
      <c r="BS324" s="1421"/>
      <c r="BT324" s="2131"/>
      <c r="BU324" s="2134"/>
    </row>
    <row r="325" spans="64:73">
      <c r="BL325" s="1421"/>
      <c r="BM325" s="1421"/>
      <c r="BN325" s="1421"/>
      <c r="BO325" s="1421"/>
      <c r="BP325" s="1421"/>
      <c r="BQ325" s="1421"/>
      <c r="BR325" s="1421"/>
      <c r="BS325" s="1421"/>
      <c r="BT325" s="2131"/>
      <c r="BU325" s="2132"/>
    </row>
    <row r="326" spans="64:73">
      <c r="BL326" s="1421"/>
      <c r="BM326" s="1421"/>
      <c r="BN326" s="1421"/>
      <c r="BO326" s="1421"/>
      <c r="BP326" s="1421"/>
      <c r="BQ326" s="1421"/>
      <c r="BR326" s="1421"/>
      <c r="BS326" s="1421"/>
      <c r="BT326" s="2131"/>
      <c r="BU326" s="2134"/>
    </row>
    <row r="327" spans="64:73">
      <c r="BL327" s="1421"/>
      <c r="BM327" s="1421"/>
      <c r="BN327" s="1421"/>
      <c r="BO327" s="1421"/>
      <c r="BP327" s="1421"/>
      <c r="BQ327" s="1421"/>
      <c r="BR327" s="1421"/>
      <c r="BS327" s="1421"/>
      <c r="BT327" s="2131"/>
      <c r="BU327" s="2132"/>
    </row>
    <row r="328" spans="64:73">
      <c r="BL328" s="1421"/>
      <c r="BM328" s="1421"/>
      <c r="BN328" s="1421"/>
      <c r="BO328" s="1421"/>
      <c r="BP328" s="1421"/>
      <c r="BQ328" s="1421"/>
      <c r="BR328" s="1421"/>
      <c r="BS328" s="1421"/>
      <c r="BT328" s="2131"/>
      <c r="BU328" s="2132"/>
    </row>
    <row r="329" spans="64:73">
      <c r="BL329" s="1421"/>
      <c r="BM329" s="1421"/>
      <c r="BN329" s="1421"/>
      <c r="BO329" s="1421"/>
      <c r="BP329" s="1421"/>
      <c r="BQ329" s="1421"/>
      <c r="BR329" s="1421"/>
      <c r="BS329" s="1421"/>
      <c r="BT329" s="2131"/>
      <c r="BU329" s="2134"/>
    </row>
    <row r="330" spans="64:73">
      <c r="BL330" s="1421"/>
      <c r="BM330" s="1421"/>
      <c r="BN330" s="1421"/>
      <c r="BO330" s="1421"/>
      <c r="BP330" s="1421"/>
      <c r="BQ330" s="1421"/>
      <c r="BR330" s="1421"/>
      <c r="BS330" s="1421"/>
      <c r="BT330" s="2131"/>
      <c r="BU330" s="2132"/>
    </row>
    <row r="331" spans="64:73">
      <c r="BL331" s="1421"/>
      <c r="BM331" s="1421"/>
      <c r="BN331" s="1421"/>
      <c r="BO331" s="1421"/>
      <c r="BP331" s="1421"/>
      <c r="BQ331" s="1421"/>
      <c r="BR331" s="1421"/>
      <c r="BS331" s="1421"/>
      <c r="BT331" s="2131"/>
      <c r="BU331" s="2134"/>
    </row>
    <row r="332" spans="64:73">
      <c r="BL332" s="1421"/>
      <c r="BM332" s="1421"/>
      <c r="BN332" s="1421"/>
      <c r="BO332" s="1421"/>
      <c r="BP332" s="1421"/>
      <c r="BQ332" s="1421"/>
      <c r="BR332" s="1421"/>
      <c r="BS332" s="1421"/>
      <c r="BT332" s="2131"/>
      <c r="BU332" s="2132"/>
    </row>
    <row r="333" spans="64:73">
      <c r="BL333" s="1421"/>
      <c r="BM333" s="1421"/>
      <c r="BN333" s="1421"/>
      <c r="BO333" s="1421"/>
      <c r="BP333" s="1421"/>
      <c r="BQ333" s="1421"/>
      <c r="BR333" s="1421"/>
      <c r="BS333" s="1421"/>
      <c r="BT333" s="2131"/>
      <c r="BU333" s="2132"/>
    </row>
    <row r="334" spans="64:73">
      <c r="BL334" s="1421"/>
      <c r="BM334" s="1421"/>
      <c r="BN334" s="1421"/>
      <c r="BO334" s="1421"/>
      <c r="BP334" s="1421"/>
      <c r="BQ334" s="1421"/>
      <c r="BR334" s="1421"/>
      <c r="BS334" s="1421"/>
      <c r="BT334" s="2131"/>
      <c r="BU334" s="2134"/>
    </row>
    <row r="335" spans="64:73">
      <c r="BL335" s="1421"/>
      <c r="BM335" s="1421"/>
      <c r="BN335" s="1421"/>
      <c r="BO335" s="1421"/>
      <c r="BP335" s="1421"/>
      <c r="BQ335" s="1421"/>
      <c r="BR335" s="1421"/>
      <c r="BS335" s="1421"/>
      <c r="BT335" s="2131"/>
      <c r="BU335" s="2132"/>
    </row>
    <row r="336" spans="64:73">
      <c r="BL336" s="1421"/>
      <c r="BM336" s="1421"/>
      <c r="BN336" s="1421"/>
      <c r="BO336" s="1421"/>
      <c r="BP336" s="1421"/>
      <c r="BQ336" s="1421"/>
      <c r="BR336" s="1421"/>
      <c r="BS336" s="1421"/>
      <c r="BT336" s="2131"/>
      <c r="BU336" s="2134"/>
    </row>
    <row r="337" spans="64:73">
      <c r="BL337" s="1421"/>
      <c r="BM337" s="1421"/>
      <c r="BN337" s="1421"/>
      <c r="BO337" s="1421"/>
      <c r="BP337" s="1421"/>
      <c r="BQ337" s="1421"/>
      <c r="BR337" s="1421"/>
      <c r="BS337" s="1421"/>
      <c r="BT337" s="2131"/>
      <c r="BU337" s="2132"/>
    </row>
    <row r="338" spans="64:73">
      <c r="BL338" s="1421"/>
      <c r="BM338" s="1421"/>
      <c r="BN338" s="1421"/>
      <c r="BO338" s="1421"/>
      <c r="BP338" s="1421"/>
      <c r="BQ338" s="1421"/>
      <c r="BR338" s="1421"/>
      <c r="BS338" s="1421"/>
      <c r="BT338" s="2131"/>
      <c r="BU338" s="2134"/>
    </row>
    <row r="339" spans="64:73">
      <c r="BL339" s="1421"/>
      <c r="BM339" s="1421"/>
      <c r="BN339" s="1421"/>
      <c r="BO339" s="1421"/>
      <c r="BP339" s="1421"/>
      <c r="BQ339" s="1421"/>
      <c r="BR339" s="1421"/>
      <c r="BS339" s="1421"/>
      <c r="BT339" s="2136"/>
      <c r="BU339" s="2132"/>
    </row>
    <row r="340" spans="64:73">
      <c r="BL340" s="1421"/>
      <c r="BM340" s="1421"/>
      <c r="BN340" s="1421"/>
      <c r="BO340" s="1421"/>
      <c r="BP340" s="1421"/>
      <c r="BQ340" s="1421"/>
      <c r="BR340" s="1421"/>
      <c r="BS340" s="1421"/>
      <c r="BT340" s="2136"/>
      <c r="BU340" s="2134"/>
    </row>
    <row r="341" spans="64:73">
      <c r="BL341" s="1421"/>
      <c r="BM341" s="1421"/>
      <c r="BN341" s="1421"/>
      <c r="BO341" s="1421"/>
      <c r="BP341" s="1421"/>
      <c r="BQ341" s="1421"/>
      <c r="BR341" s="1421"/>
      <c r="BS341" s="1421"/>
      <c r="BT341" s="2133"/>
      <c r="BU341" s="2134"/>
    </row>
    <row r="342" spans="64:73">
      <c r="BL342" s="1421"/>
      <c r="BM342" s="1421"/>
      <c r="BN342" s="1421"/>
      <c r="BO342" s="1421"/>
      <c r="BP342" s="1421"/>
      <c r="BQ342" s="1421"/>
      <c r="BR342" s="1421"/>
      <c r="BS342" s="1421"/>
      <c r="BT342" s="2131"/>
      <c r="BU342" s="2132"/>
    </row>
    <row r="343" spans="64:73">
      <c r="BL343" s="1421"/>
      <c r="BM343" s="1421"/>
      <c r="BN343" s="1421"/>
      <c r="BO343" s="1421"/>
      <c r="BP343" s="1421"/>
      <c r="BQ343" s="1421"/>
      <c r="BR343" s="1421"/>
      <c r="BS343" s="1421"/>
      <c r="BT343" s="2131"/>
      <c r="BU343" s="2132"/>
    </row>
    <row r="344" spans="64:73">
      <c r="BL344" s="1421"/>
      <c r="BM344" s="1421"/>
      <c r="BN344" s="1421"/>
      <c r="BO344" s="1421"/>
      <c r="BP344" s="1421"/>
      <c r="BQ344" s="1421"/>
      <c r="BR344" s="1421"/>
      <c r="BS344" s="1421"/>
      <c r="BT344" s="2131"/>
      <c r="BU344" s="2132"/>
    </row>
    <row r="345" spans="64:73">
      <c r="BL345" s="1421"/>
      <c r="BM345" s="1421"/>
      <c r="BN345" s="1421"/>
      <c r="BO345" s="1421"/>
      <c r="BP345" s="1421"/>
      <c r="BQ345" s="1421"/>
      <c r="BR345" s="1421"/>
      <c r="BS345" s="1421"/>
      <c r="BT345" s="2131"/>
      <c r="BU345" s="2132"/>
    </row>
    <row r="346" spans="64:73">
      <c r="BL346" s="1421"/>
      <c r="BM346" s="1421"/>
      <c r="BN346" s="1421"/>
      <c r="BO346" s="1421"/>
      <c r="BP346" s="1421"/>
      <c r="BQ346" s="1421"/>
      <c r="BR346" s="1421"/>
      <c r="BS346" s="1421"/>
      <c r="BT346" s="2131"/>
      <c r="BU346" s="2132"/>
    </row>
    <row r="347" spans="64:73">
      <c r="BL347" s="1421"/>
      <c r="BM347" s="1421"/>
      <c r="BN347" s="1421"/>
      <c r="BO347" s="1421"/>
      <c r="BP347" s="1421"/>
      <c r="BQ347" s="1421"/>
      <c r="BR347" s="1421"/>
      <c r="BS347" s="1421"/>
      <c r="BT347" s="2131"/>
      <c r="BU347" s="2139"/>
    </row>
    <row r="348" spans="64:73">
      <c r="BL348" s="1421"/>
      <c r="BM348" s="1421"/>
      <c r="BN348" s="1421"/>
      <c r="BO348" s="1421"/>
      <c r="BP348" s="1421"/>
      <c r="BQ348" s="1421"/>
      <c r="BR348" s="1421"/>
      <c r="BS348" s="1421"/>
      <c r="BT348" s="2136"/>
      <c r="BU348" s="2132"/>
    </row>
    <row r="349" spans="64:73">
      <c r="BL349" s="1421"/>
      <c r="BM349" s="1421"/>
      <c r="BN349" s="1421"/>
      <c r="BO349" s="1421"/>
      <c r="BP349" s="1421"/>
      <c r="BQ349" s="1421"/>
      <c r="BR349" s="1421"/>
      <c r="BS349" s="1421"/>
      <c r="BT349" s="2133"/>
      <c r="BU349" s="2132"/>
    </row>
    <row r="350" spans="64:73">
      <c r="BL350" s="1421"/>
      <c r="BM350" s="1421"/>
      <c r="BN350" s="1421"/>
      <c r="BO350" s="1421"/>
      <c r="BP350" s="1421"/>
      <c r="BQ350" s="1421"/>
      <c r="BR350" s="1421"/>
      <c r="BS350" s="1421"/>
      <c r="BT350" s="2135"/>
      <c r="BU350" s="2132"/>
    </row>
    <row r="351" spans="64:73">
      <c r="BL351" s="1421"/>
      <c r="BM351" s="1421"/>
      <c r="BN351" s="1421"/>
      <c r="BO351" s="1421"/>
      <c r="BP351" s="1421"/>
      <c r="BQ351" s="1421"/>
      <c r="BR351" s="1421"/>
      <c r="BS351" s="1421"/>
      <c r="BT351" s="2135"/>
      <c r="BU351" s="2132"/>
    </row>
  </sheetData>
  <sheetProtection sheet="1" objects="1" scenarios="1"/>
  <mergeCells count="48">
    <mergeCell ref="AI6:AN6"/>
    <mergeCell ref="P6:P7"/>
    <mergeCell ref="Q6:Q7"/>
    <mergeCell ref="R6:R7"/>
    <mergeCell ref="S6:S7"/>
    <mergeCell ref="T6:T7"/>
    <mergeCell ref="K6:K7"/>
    <mergeCell ref="C6:C7"/>
    <mergeCell ref="A6:A7"/>
    <mergeCell ref="B6:B7"/>
    <mergeCell ref="AB6:AG6"/>
    <mergeCell ref="C47:W49"/>
    <mergeCell ref="A51:B54"/>
    <mergeCell ref="C51:W53"/>
    <mergeCell ref="C54:W54"/>
    <mergeCell ref="V44:V45"/>
    <mergeCell ref="AE63:AF63"/>
    <mergeCell ref="N6:N7"/>
    <mergeCell ref="O6:O7"/>
    <mergeCell ref="U6:V6"/>
    <mergeCell ref="A4:X4"/>
    <mergeCell ref="A5:X5"/>
    <mergeCell ref="Z4:AU4"/>
    <mergeCell ref="Z5:AU5"/>
    <mergeCell ref="D6:E6"/>
    <mergeCell ref="F6:F7"/>
    <mergeCell ref="J6:J7"/>
    <mergeCell ref="I6:I7"/>
    <mergeCell ref="H6:H7"/>
    <mergeCell ref="G6:G7"/>
    <mergeCell ref="M6:M7"/>
    <mergeCell ref="A47:B49"/>
    <mergeCell ref="BO1:BO4"/>
    <mergeCell ref="BN1:BN4"/>
    <mergeCell ref="X44:X45"/>
    <mergeCell ref="BV1:BV4"/>
    <mergeCell ref="BU1:BU4"/>
    <mergeCell ref="BT1:BT4"/>
    <mergeCell ref="BS1:BS4"/>
    <mergeCell ref="BR1:BR4"/>
    <mergeCell ref="BQ1:BQ4"/>
    <mergeCell ref="BP1:BP4"/>
    <mergeCell ref="AP6:AU6"/>
    <mergeCell ref="AX2:BH4"/>
    <mergeCell ref="AX5:BB6"/>
    <mergeCell ref="BD5:BH6"/>
    <mergeCell ref="Z6:Z7"/>
    <mergeCell ref="AA6:AA7"/>
  </mergeCells>
  <conditionalFormatting sqref="BS111 BT6:BT33">
    <cfRule type="cellIs" dxfId="69" priority="31" operator="equal">
      <formula>90</formula>
    </cfRule>
    <cfRule type="cellIs" dxfId="68" priority="32" operator="equal">
      <formula>60</formula>
    </cfRule>
    <cfRule type="cellIs" dxfId="67" priority="33" operator="equal">
      <formula>15</formula>
    </cfRule>
  </conditionalFormatting>
  <conditionalFormatting sqref="BS7">
    <cfRule type="cellIs" dxfId="66" priority="28" operator="equal">
      <formula>90</formula>
    </cfRule>
    <cfRule type="cellIs" dxfId="65" priority="29" operator="equal">
      <formula>60</formula>
    </cfRule>
    <cfRule type="cellIs" dxfId="64" priority="30" operator="equal">
      <formula>15</formula>
    </cfRule>
  </conditionalFormatting>
  <conditionalFormatting sqref="BP100:BQ113 BP122:BQ127 BP131:BQ131 BP16:BQ33">
    <cfRule type="cellIs" dxfId="63" priority="27" operator="notEqual">
      <formula>20</formula>
    </cfRule>
  </conditionalFormatting>
  <conditionalFormatting sqref="BQ114">
    <cfRule type="cellIs" dxfId="62" priority="23" operator="notEqual">
      <formula>20</formula>
    </cfRule>
  </conditionalFormatting>
  <conditionalFormatting sqref="BP7:BQ15">
    <cfRule type="cellIs" dxfId="61" priority="21" operator="notEqual">
      <formula>20</formula>
    </cfRule>
  </conditionalFormatting>
  <conditionalFormatting sqref="BP60">
    <cfRule type="cellIs" dxfId="60" priority="20" operator="notEqual">
      <formula>20</formula>
    </cfRule>
  </conditionalFormatting>
  <conditionalFormatting sqref="BQ49:BQ50">
    <cfRule type="cellIs" dxfId="59" priority="16" operator="notEqual">
      <formula>20</formula>
    </cfRule>
  </conditionalFormatting>
  <conditionalFormatting sqref="BP40:BP41 BP43 BP35:BQ38 BP61:BQ70 BP45:BP48 BP51:BP58 BP115:BQ119 BP6:BQ6 BP72:BQ89 BP92:BQ98">
    <cfRule type="cellIs" dxfId="58" priority="26" operator="notEqual">
      <formula>20</formula>
    </cfRule>
  </conditionalFormatting>
  <conditionalFormatting sqref="BP114">
    <cfRule type="cellIs" dxfId="57" priority="25" operator="notEqual">
      <formula>20</formula>
    </cfRule>
  </conditionalFormatting>
  <conditionalFormatting sqref="BQ40:BQ41 BQ43 BQ45:BQ48 BQ51:BQ58">
    <cfRule type="cellIs" dxfId="56" priority="24" operator="notEqual">
      <formula>20</formula>
    </cfRule>
  </conditionalFormatting>
  <conditionalFormatting sqref="BP39:BQ39">
    <cfRule type="cellIs" dxfId="55" priority="22" operator="notEqual">
      <formula>20</formula>
    </cfRule>
  </conditionalFormatting>
  <conditionalFormatting sqref="BQ60">
    <cfRule type="cellIs" dxfId="54" priority="19" operator="notEqual">
      <formula>20</formula>
    </cfRule>
  </conditionalFormatting>
  <conditionalFormatting sqref="BP44:BQ44">
    <cfRule type="cellIs" dxfId="53" priority="18" operator="notEqual">
      <formula>20</formula>
    </cfRule>
  </conditionalFormatting>
  <conditionalFormatting sqref="BP49:BP50">
    <cfRule type="cellIs" dxfId="52" priority="17" operator="notEqual">
      <formula>20</formula>
    </cfRule>
  </conditionalFormatting>
  <conditionalFormatting sqref="BP71:BQ71">
    <cfRule type="cellIs" dxfId="51" priority="15" operator="notEqual">
      <formula>20</formula>
    </cfRule>
  </conditionalFormatting>
  <conditionalFormatting sqref="BP90:BQ91">
    <cfRule type="cellIs" dxfId="50" priority="14" operator="notEqual">
      <formula>20</formula>
    </cfRule>
  </conditionalFormatting>
  <conditionalFormatting sqref="BP59">
    <cfRule type="cellIs" dxfId="49" priority="13" operator="notEqual">
      <formula>20</formula>
    </cfRule>
  </conditionalFormatting>
  <conditionalFormatting sqref="BQ59">
    <cfRule type="cellIs" dxfId="48" priority="12" operator="notEqual">
      <formula>20</formula>
    </cfRule>
  </conditionalFormatting>
  <conditionalFormatting sqref="BP128:BQ128">
    <cfRule type="cellIs" dxfId="47" priority="11" operator="notEqual">
      <formula>20</formula>
    </cfRule>
  </conditionalFormatting>
  <conditionalFormatting sqref="BP99:BQ99">
    <cfRule type="cellIs" dxfId="46" priority="10" operator="notEqual">
      <formula>20</formula>
    </cfRule>
  </conditionalFormatting>
  <conditionalFormatting sqref="BP42:BQ42">
    <cfRule type="cellIs" dxfId="45" priority="9" operator="notEqual">
      <formula>20</formula>
    </cfRule>
  </conditionalFormatting>
  <conditionalFormatting sqref="BP34:BQ34">
    <cfRule type="cellIs" dxfId="44" priority="8" operator="notEqual">
      <formula>20</formula>
    </cfRule>
  </conditionalFormatting>
  <conditionalFormatting sqref="BP120:BQ120">
    <cfRule type="cellIs" dxfId="43" priority="7" operator="notEqual">
      <formula>20</formula>
    </cfRule>
  </conditionalFormatting>
  <conditionalFormatting sqref="BT100:BT119 BT60:BT98 BT122:BT127 BT131 BT35:BT58">
    <cfRule type="cellIs" dxfId="42" priority="4" operator="equal">
      <formula>90</formula>
    </cfRule>
    <cfRule type="cellIs" dxfId="41" priority="5" operator="equal">
      <formula>60</formula>
    </cfRule>
    <cfRule type="cellIs" dxfId="40" priority="6" operator="equal">
      <formula>15</formula>
    </cfRule>
  </conditionalFormatting>
  <conditionalFormatting sqref="BT34">
    <cfRule type="cellIs" dxfId="39" priority="1" operator="equal">
      <formula>90</formula>
    </cfRule>
    <cfRule type="cellIs" dxfId="38" priority="2" operator="equal">
      <formula>60</formula>
    </cfRule>
    <cfRule type="cellIs" dxfId="37" priority="3" operator="equal">
      <formula>15</formula>
    </cfRule>
  </conditionalFormatting>
  <dataValidations count="3">
    <dataValidation type="list" allowBlank="1" showInputMessage="1" showErrorMessage="1" sqref="N8:N42 P8:P42">
      <formula1>"Ja,Nein"</formula1>
    </dataValidation>
    <dataValidation type="list" allowBlank="1" sqref="C43">
      <formula1>$BL$5:$BL$351</formula1>
    </dataValidation>
    <dataValidation type="list" allowBlank="1" sqref="C8:C42 M8:M42">
      <formula1>$BL$5:$BL$138</formula1>
    </dataValidation>
  </dataValidations>
  <pageMargins left="0.7" right="0.7" top="0.78740157499999996" bottom="0.78740157499999996" header="0.3" footer="0.3"/>
  <pageSetup paperSize="9" scale="29" orientation="portrait" r:id="rId1"/>
  <rowBreaks count="1" manualBreakCount="1">
    <brk id="45" max="16383" man="1"/>
  </rowBreaks>
  <colBreaks count="2" manualBreakCount="2">
    <brk id="24" max="1048575" man="1"/>
    <brk id="6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AQ8:AQ42 AJ8:AJ42 AC8:AC42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G395"/>
  <sheetViews>
    <sheetView zoomScale="90" zoomScaleNormal="90" workbookViewId="0">
      <selection activeCell="B8" sqref="B8"/>
    </sheetView>
  </sheetViews>
  <sheetFormatPr baseColWidth="10" defaultRowHeight="15"/>
  <cols>
    <col min="3" max="3" width="15.85546875" customWidth="1"/>
    <col min="6" max="6" width="9.85546875" hidden="1" customWidth="1"/>
    <col min="7" max="7" width="7.85546875" hidden="1" customWidth="1"/>
    <col min="8" max="8" width="6" hidden="1" customWidth="1"/>
    <col min="9" max="9" width="6.7109375" hidden="1" customWidth="1"/>
    <col min="10" max="10" width="7" hidden="1" customWidth="1"/>
    <col min="11" max="11" width="12.85546875" hidden="1" customWidth="1"/>
    <col min="15" max="15" width="5.7109375" customWidth="1"/>
    <col min="17" max="17" width="4.140625" customWidth="1"/>
    <col min="18" max="18" width="8.5703125" customWidth="1"/>
    <col min="25" max="25" width="5.28515625" customWidth="1"/>
    <col min="34" max="34" width="2.85546875" customWidth="1"/>
    <col min="41" max="41" width="2.28515625" customWidth="1"/>
    <col min="48" max="49" width="1.42578125" customWidth="1"/>
    <col min="55" max="55" width="5.7109375" customWidth="1"/>
    <col min="61" max="63" width="2" customWidth="1"/>
    <col min="64" max="64" width="39" customWidth="1"/>
  </cols>
  <sheetData>
    <row r="1" spans="1:85">
      <c r="A1" s="532"/>
      <c r="B1" s="1341"/>
      <c r="C1" s="2249" t="str">
        <f>'DüV-N-Ackerbau'!C1</f>
        <v>Karl vom Land</v>
      </c>
      <c r="D1" s="546"/>
      <c r="E1" s="2249" t="str">
        <f>'DüV-N-Ackerbau'!F1</f>
        <v>Erntejahr</v>
      </c>
      <c r="F1" s="1342"/>
      <c r="G1" s="1342"/>
      <c r="H1" s="1342"/>
      <c r="I1" s="1342"/>
      <c r="J1" s="1342"/>
      <c r="K1" s="1342"/>
      <c r="L1" s="357"/>
      <c r="M1" s="2247"/>
      <c r="N1" s="2247"/>
      <c r="O1" s="2247"/>
      <c r="P1" s="2247"/>
      <c r="Q1" s="2247"/>
      <c r="R1" s="2247"/>
      <c r="S1" s="2247"/>
      <c r="T1" s="2247"/>
      <c r="U1" s="2870" t="s">
        <v>1143</v>
      </c>
      <c r="V1" s="2832"/>
      <c r="W1" s="2247"/>
      <c r="X1" s="2248"/>
      <c r="Z1" s="2248"/>
      <c r="AA1" s="2248"/>
      <c r="AB1" s="2248"/>
      <c r="AC1" s="2248"/>
      <c r="AD1" s="2248"/>
      <c r="AE1" s="2248"/>
      <c r="AF1" s="2248"/>
      <c r="AG1" s="2248"/>
      <c r="AH1" s="2248"/>
      <c r="AI1" s="2248"/>
      <c r="AJ1" s="2248"/>
      <c r="AK1" s="2248"/>
      <c r="AL1" s="2248"/>
      <c r="AM1" s="2248"/>
      <c r="AN1" s="2248"/>
      <c r="AO1" s="2248"/>
      <c r="AP1" s="2248"/>
      <c r="AQ1" s="2248"/>
      <c r="AR1" s="2248"/>
      <c r="AS1" s="2248"/>
      <c r="AT1" s="2248"/>
      <c r="AU1" s="2248"/>
      <c r="AV1" s="2248"/>
      <c r="AW1" s="2248"/>
      <c r="AX1" s="2248"/>
      <c r="AY1" s="2248"/>
      <c r="AZ1" s="2248"/>
      <c r="BA1" s="2248"/>
      <c r="BB1" s="2248"/>
      <c r="BC1" s="2248"/>
      <c r="BD1" s="2248"/>
      <c r="BE1" s="2248"/>
      <c r="BF1" s="2248"/>
      <c r="BG1" s="2248"/>
      <c r="BH1" s="2248"/>
      <c r="BI1" s="2248"/>
      <c r="BJ1" s="2248"/>
      <c r="BK1" s="2248"/>
      <c r="BL1" s="357"/>
      <c r="BM1" s="357"/>
      <c r="BN1" s="2652" t="s">
        <v>1275</v>
      </c>
      <c r="BO1" s="2578" t="s">
        <v>1322</v>
      </c>
      <c r="BP1" s="2578" t="s">
        <v>1323</v>
      </c>
      <c r="BQ1" s="2578" t="s">
        <v>1324</v>
      </c>
      <c r="BR1" s="2579" t="s">
        <v>1325</v>
      </c>
      <c r="BS1" s="2579" t="s">
        <v>1333</v>
      </c>
      <c r="BT1" s="2580" t="s">
        <v>323</v>
      </c>
      <c r="BU1" s="2644" t="s">
        <v>1276</v>
      </c>
      <c r="BV1" s="2645" t="s">
        <v>11</v>
      </c>
      <c r="BW1" s="357"/>
      <c r="BX1" s="357"/>
      <c r="BY1" s="357"/>
      <c r="BZ1" s="357"/>
      <c r="CA1" s="357"/>
      <c r="CB1" s="357"/>
      <c r="CC1" s="357"/>
    </row>
    <row r="2" spans="1:85" ht="18.75">
      <c r="A2" s="535"/>
      <c r="B2" s="1344"/>
      <c r="C2" s="2250" t="str">
        <f>'DüV-N-Ackerbau'!C2</f>
        <v>Höfen 1</v>
      </c>
      <c r="D2" s="2263"/>
      <c r="E2" s="2250">
        <f>'DüV-N-Ackerbau'!G1</f>
        <v>2022</v>
      </c>
      <c r="F2" s="1344"/>
      <c r="G2" s="1344"/>
      <c r="H2" s="1344"/>
      <c r="I2" s="1344"/>
      <c r="J2" s="1344"/>
      <c r="K2" s="1344"/>
      <c r="L2" s="2263"/>
      <c r="M2" s="357"/>
      <c r="N2" s="357"/>
      <c r="O2" s="2248"/>
      <c r="P2" s="2248"/>
      <c r="Q2" s="2248"/>
      <c r="R2" s="357"/>
      <c r="S2" s="2270"/>
      <c r="T2" s="2270"/>
      <c r="U2" s="2870"/>
      <c r="V2" s="2832"/>
      <c r="W2" s="2248"/>
      <c r="X2" s="2248"/>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588" t="s">
        <v>1154</v>
      </c>
      <c r="AY2" s="2588"/>
      <c r="AZ2" s="2588"/>
      <c r="BA2" s="2588"/>
      <c r="BB2" s="2588"/>
      <c r="BC2" s="2588"/>
      <c r="BD2" s="2588"/>
      <c r="BE2" s="2588"/>
      <c r="BF2" s="2588"/>
      <c r="BG2" s="2588"/>
      <c r="BH2" s="2588"/>
      <c r="BI2" s="2248"/>
      <c r="BJ2" s="2248"/>
      <c r="BK2" s="2248"/>
      <c r="BL2" s="357"/>
      <c r="BM2" s="357"/>
      <c r="BN2" s="2652"/>
      <c r="BO2" s="2578"/>
      <c r="BP2" s="2578"/>
      <c r="BQ2" s="2578"/>
      <c r="BR2" s="2579"/>
      <c r="BS2" s="2579"/>
      <c r="BT2" s="2580"/>
      <c r="BU2" s="2644"/>
      <c r="BV2" s="2645"/>
      <c r="BW2" s="357"/>
      <c r="BX2" s="357"/>
      <c r="BY2" s="357"/>
      <c r="BZ2" s="357"/>
      <c r="CA2" s="357"/>
      <c r="CB2" s="357"/>
      <c r="CC2" s="357"/>
      <c r="CD2" s="2263"/>
      <c r="CE2" s="2263"/>
      <c r="CF2" s="2263"/>
      <c r="CG2" s="2263"/>
    </row>
    <row r="3" spans="1:85" ht="19.5" thickBot="1">
      <c r="A3" s="535"/>
      <c r="B3" s="1344"/>
      <c r="C3" s="2250" t="str">
        <f>'DüV-N-Ackerbau'!C3</f>
        <v>12345 Auf dem Feld</v>
      </c>
      <c r="D3" s="1344"/>
      <c r="E3" s="2263"/>
      <c r="F3" s="1344"/>
      <c r="G3" s="1344"/>
      <c r="H3" s="1344"/>
      <c r="I3" s="1344"/>
      <c r="J3" s="1344"/>
      <c r="K3" s="1344"/>
      <c r="L3" s="2248"/>
      <c r="M3" s="2248"/>
      <c r="N3" s="2248"/>
      <c r="O3" s="2248"/>
      <c r="P3" s="2248"/>
      <c r="Q3" s="2248"/>
      <c r="R3" s="2248"/>
      <c r="S3" s="2270"/>
      <c r="T3" s="2270"/>
      <c r="U3" s="2871"/>
      <c r="V3" s="2872"/>
      <c r="W3" s="2255"/>
      <c r="X3" s="2255"/>
      <c r="Z3" s="2255"/>
      <c r="AA3" s="2255"/>
      <c r="AB3" s="2255"/>
      <c r="AC3" s="2255"/>
      <c r="AD3" s="2255"/>
      <c r="AE3" s="2255"/>
      <c r="AF3" s="2255"/>
      <c r="AG3" s="2255"/>
      <c r="AH3" s="2255"/>
      <c r="AI3" s="2255"/>
      <c r="AJ3" s="2255"/>
      <c r="AK3" s="2255"/>
      <c r="AL3" s="2255"/>
      <c r="AM3" s="2255"/>
      <c r="AN3" s="2248"/>
      <c r="AO3" s="2248"/>
      <c r="AP3" s="2248"/>
      <c r="AQ3" s="2248"/>
      <c r="AR3" s="2248"/>
      <c r="AS3" s="2248"/>
      <c r="AT3" s="2248"/>
      <c r="AU3" s="2248"/>
      <c r="AV3" s="2248"/>
      <c r="AW3" s="2248"/>
      <c r="AX3" s="2588"/>
      <c r="AY3" s="2588"/>
      <c r="AZ3" s="2588"/>
      <c r="BA3" s="2588"/>
      <c r="BB3" s="2588"/>
      <c r="BC3" s="2588"/>
      <c r="BD3" s="2588"/>
      <c r="BE3" s="2588"/>
      <c r="BF3" s="2588"/>
      <c r="BG3" s="2588"/>
      <c r="BH3" s="2588"/>
      <c r="BI3" s="2248"/>
      <c r="BJ3" s="2248"/>
      <c r="BK3" s="2248"/>
      <c r="BL3" s="357"/>
      <c r="BM3" s="357"/>
      <c r="BN3" s="2652"/>
      <c r="BO3" s="2578"/>
      <c r="BP3" s="2578"/>
      <c r="BQ3" s="2578"/>
      <c r="BR3" s="2579"/>
      <c r="BS3" s="2579"/>
      <c r="BT3" s="2580"/>
      <c r="BU3" s="2644"/>
      <c r="BV3" s="2645"/>
      <c r="BW3" s="357"/>
      <c r="BX3" s="357"/>
      <c r="BY3" s="357"/>
      <c r="BZ3" s="357"/>
      <c r="CA3" s="357"/>
      <c r="CB3" s="357"/>
      <c r="CC3" s="357"/>
      <c r="CD3" s="2263"/>
      <c r="CE3" s="2263"/>
      <c r="CF3" s="2263"/>
      <c r="CG3" s="2263"/>
    </row>
    <row r="4" spans="1:85" ht="26.25" customHeight="1" thickBot="1">
      <c r="A4" s="2589" t="s">
        <v>1713</v>
      </c>
      <c r="B4" s="2849"/>
      <c r="C4" s="2849"/>
      <c r="D4" s="2849"/>
      <c r="E4" s="2849"/>
      <c r="F4" s="2849"/>
      <c r="G4" s="2849"/>
      <c r="H4" s="2849"/>
      <c r="I4" s="2849"/>
      <c r="J4" s="2849"/>
      <c r="K4" s="2849"/>
      <c r="L4" s="2849"/>
      <c r="M4" s="2849"/>
      <c r="N4" s="2849"/>
      <c r="O4" s="2849"/>
      <c r="P4" s="2849"/>
      <c r="Q4" s="2849"/>
      <c r="R4" s="2849"/>
      <c r="S4" s="2849"/>
      <c r="T4" s="2849"/>
      <c r="U4" s="2849"/>
      <c r="V4" s="2849"/>
      <c r="W4" s="2849"/>
      <c r="X4" s="2850"/>
      <c r="Z4" s="2604" t="s">
        <v>1167</v>
      </c>
      <c r="AA4" s="2588"/>
      <c r="AB4" s="2588"/>
      <c r="AC4" s="2588"/>
      <c r="AD4" s="2588"/>
      <c r="AE4" s="2588"/>
      <c r="AF4" s="2588"/>
      <c r="AG4" s="2588"/>
      <c r="AH4" s="2588"/>
      <c r="AI4" s="2588"/>
      <c r="AJ4" s="2588"/>
      <c r="AK4" s="2588"/>
      <c r="AL4" s="2588"/>
      <c r="AM4" s="2588"/>
      <c r="AN4" s="2588"/>
      <c r="AO4" s="2588"/>
      <c r="AP4" s="2588"/>
      <c r="AQ4" s="2588"/>
      <c r="AR4" s="2588"/>
      <c r="AS4" s="2588"/>
      <c r="AT4" s="2588"/>
      <c r="AU4" s="2588"/>
      <c r="AV4" s="1350"/>
      <c r="AW4" s="2248"/>
      <c r="AX4" s="2588"/>
      <c r="AY4" s="2588"/>
      <c r="AZ4" s="2588"/>
      <c r="BA4" s="2588"/>
      <c r="BB4" s="2588"/>
      <c r="BC4" s="2588"/>
      <c r="BD4" s="2588"/>
      <c r="BE4" s="2588"/>
      <c r="BF4" s="2588"/>
      <c r="BG4" s="2588"/>
      <c r="BH4" s="2588"/>
      <c r="BI4" s="2248"/>
      <c r="BJ4" s="2248"/>
      <c r="BK4" s="2248"/>
      <c r="BL4" s="357"/>
      <c r="BM4" s="2251" t="s">
        <v>33</v>
      </c>
      <c r="BN4" s="2652"/>
      <c r="BO4" s="2578"/>
      <c r="BP4" s="2578"/>
      <c r="BQ4" s="2578"/>
      <c r="BR4" s="2579"/>
      <c r="BS4" s="2579"/>
      <c r="BT4" s="2580"/>
      <c r="BU4" s="2644"/>
      <c r="BV4" s="2645"/>
      <c r="BW4" s="357"/>
      <c r="BX4" s="2251"/>
      <c r="BY4" s="2251"/>
      <c r="BZ4" s="676"/>
      <c r="CA4" s="676"/>
      <c r="CB4" s="676"/>
      <c r="CC4" s="2271"/>
      <c r="CD4" s="2263"/>
      <c r="CE4" s="2263"/>
      <c r="CF4" s="2263"/>
      <c r="CG4" s="2263"/>
    </row>
    <row r="5" spans="1:85" ht="25.5" customHeight="1" thickBot="1">
      <c r="A5" s="2851" t="s">
        <v>1170</v>
      </c>
      <c r="B5" s="2661"/>
      <c r="C5" s="2661"/>
      <c r="D5" s="2661"/>
      <c r="E5" s="2661"/>
      <c r="F5" s="2661"/>
      <c r="G5" s="2661"/>
      <c r="H5" s="2661"/>
      <c r="I5" s="2661"/>
      <c r="J5" s="2661"/>
      <c r="K5" s="2661"/>
      <c r="L5" s="2661"/>
      <c r="M5" s="2661"/>
      <c r="N5" s="2661"/>
      <c r="O5" s="2661"/>
      <c r="P5" s="2661"/>
      <c r="Q5" s="2661"/>
      <c r="R5" s="2661"/>
      <c r="S5" s="2661"/>
      <c r="T5" s="2661"/>
      <c r="U5" s="2661"/>
      <c r="V5" s="2661"/>
      <c r="W5" s="2661"/>
      <c r="X5" s="2662"/>
      <c r="Z5" s="2605" t="s">
        <v>1168</v>
      </c>
      <c r="AA5" s="2588"/>
      <c r="AB5" s="2588"/>
      <c r="AC5" s="2588"/>
      <c r="AD5" s="2588"/>
      <c r="AE5" s="2588"/>
      <c r="AF5" s="2588"/>
      <c r="AG5" s="2588"/>
      <c r="AH5" s="2588"/>
      <c r="AI5" s="2588"/>
      <c r="AJ5" s="2588"/>
      <c r="AK5" s="2588"/>
      <c r="AL5" s="2588"/>
      <c r="AM5" s="2588"/>
      <c r="AN5" s="2588"/>
      <c r="AO5" s="2588"/>
      <c r="AP5" s="2588"/>
      <c r="AQ5" s="2588"/>
      <c r="AR5" s="2588"/>
      <c r="AS5" s="2588"/>
      <c r="AT5" s="2588"/>
      <c r="AU5" s="2588"/>
      <c r="AV5" s="1351"/>
      <c r="AW5" s="1352"/>
      <c r="AX5" s="2596" t="s">
        <v>1065</v>
      </c>
      <c r="AY5" s="2597"/>
      <c r="AZ5" s="2597"/>
      <c r="BA5" s="2597"/>
      <c r="BB5" s="2597"/>
      <c r="BC5" s="1352"/>
      <c r="BD5" s="2598" t="s">
        <v>1076</v>
      </c>
      <c r="BE5" s="2599"/>
      <c r="BF5" s="2599"/>
      <c r="BG5" s="2599"/>
      <c r="BH5" s="2600"/>
      <c r="BI5" s="2255"/>
      <c r="BJ5" s="2255"/>
      <c r="BK5" s="2255"/>
      <c r="BL5" s="2150" t="s">
        <v>31</v>
      </c>
      <c r="BM5" s="2151">
        <v>0</v>
      </c>
      <c r="BN5" s="2151">
        <v>0</v>
      </c>
      <c r="BO5" s="2151">
        <v>0</v>
      </c>
      <c r="BP5" s="2151">
        <v>0</v>
      </c>
      <c r="BQ5" s="2151">
        <v>0</v>
      </c>
      <c r="BR5" s="2150">
        <v>0</v>
      </c>
      <c r="BS5" s="2150">
        <v>0</v>
      </c>
      <c r="BT5" s="1909">
        <v>0</v>
      </c>
      <c r="BU5" s="1909">
        <v>0</v>
      </c>
      <c r="BV5" s="357">
        <v>0</v>
      </c>
      <c r="BW5" s="357"/>
      <c r="BX5" s="2251"/>
      <c r="BY5" s="2251"/>
      <c r="BZ5" s="676"/>
      <c r="CA5" s="676"/>
      <c r="CB5" s="676"/>
      <c r="CC5" s="2271"/>
      <c r="CD5" s="2263"/>
      <c r="CE5" s="2263"/>
      <c r="CF5" s="2263"/>
      <c r="CG5" s="2263"/>
    </row>
    <row r="6" spans="1:85" ht="45.75" customHeight="1">
      <c r="A6" s="2551" t="s">
        <v>1075</v>
      </c>
      <c r="B6" s="2608" t="s">
        <v>562</v>
      </c>
      <c r="C6" s="2859" t="s">
        <v>1760</v>
      </c>
      <c r="D6" s="2852" t="s">
        <v>295</v>
      </c>
      <c r="E6" s="2853"/>
      <c r="F6" s="2646" t="s">
        <v>1315</v>
      </c>
      <c r="G6" s="2648" t="s">
        <v>1316</v>
      </c>
      <c r="H6" s="2648" t="s">
        <v>1317</v>
      </c>
      <c r="I6" s="2648" t="s">
        <v>1318</v>
      </c>
      <c r="J6" s="2648" t="s">
        <v>1319</v>
      </c>
      <c r="K6" s="2642" t="s">
        <v>1320</v>
      </c>
      <c r="L6" s="2256" t="s">
        <v>296</v>
      </c>
      <c r="M6" s="2856" t="s">
        <v>1332</v>
      </c>
      <c r="N6" s="2843" t="s">
        <v>1709</v>
      </c>
      <c r="O6" s="2845" t="s">
        <v>163</v>
      </c>
      <c r="P6" s="2856" t="s">
        <v>1710</v>
      </c>
      <c r="Q6" s="2861" t="s">
        <v>163</v>
      </c>
      <c r="R6" s="2863" t="s">
        <v>1758</v>
      </c>
      <c r="S6" s="2865" t="s">
        <v>1759</v>
      </c>
      <c r="T6" s="2867" t="s">
        <v>1055</v>
      </c>
      <c r="U6" s="2847" t="s">
        <v>1013</v>
      </c>
      <c r="V6" s="2848"/>
      <c r="W6" s="2650" t="s">
        <v>1133</v>
      </c>
      <c r="X6" s="2869"/>
      <c r="Z6" s="2501" t="s">
        <v>1134</v>
      </c>
      <c r="AA6" s="2515" t="s">
        <v>623</v>
      </c>
      <c r="AB6" s="2612" t="s">
        <v>1425</v>
      </c>
      <c r="AC6" s="2504"/>
      <c r="AD6" s="2504"/>
      <c r="AE6" s="2504"/>
      <c r="AF6" s="2504"/>
      <c r="AG6" s="2504"/>
      <c r="AH6" s="525"/>
      <c r="AI6" s="2612" t="s">
        <v>1426</v>
      </c>
      <c r="AJ6" s="2504"/>
      <c r="AK6" s="2504"/>
      <c r="AL6" s="2504"/>
      <c r="AM6" s="2504"/>
      <c r="AN6" s="2504"/>
      <c r="AO6" s="2099"/>
      <c r="AP6" s="2612" t="s">
        <v>1427</v>
      </c>
      <c r="AQ6" s="2504"/>
      <c r="AR6" s="2504"/>
      <c r="AS6" s="2504"/>
      <c r="AT6" s="2504"/>
      <c r="AU6" s="2504"/>
      <c r="AV6" s="2257"/>
      <c r="AW6" s="2257"/>
      <c r="AX6" s="2588"/>
      <c r="AY6" s="2588"/>
      <c r="AZ6" s="2588"/>
      <c r="BA6" s="2588"/>
      <c r="BB6" s="2588"/>
      <c r="BC6" s="2257"/>
      <c r="BD6" s="2601"/>
      <c r="BE6" s="2602"/>
      <c r="BF6" s="2602"/>
      <c r="BG6" s="2602"/>
      <c r="BH6" s="2603"/>
      <c r="BI6" s="2248"/>
      <c r="BJ6" s="2248"/>
      <c r="BK6" s="2248"/>
      <c r="BL6" s="2152" t="s">
        <v>1446</v>
      </c>
      <c r="BM6" s="33">
        <v>720</v>
      </c>
      <c r="BN6" s="33">
        <v>290</v>
      </c>
      <c r="BO6" s="33">
        <v>10</v>
      </c>
      <c r="BP6" s="2153">
        <v>29</v>
      </c>
      <c r="BQ6" s="2153">
        <v>29</v>
      </c>
      <c r="BR6" s="2152">
        <v>0</v>
      </c>
      <c r="BS6" s="2152">
        <v>0</v>
      </c>
      <c r="BT6" s="2154">
        <v>60</v>
      </c>
      <c r="BU6" s="2155">
        <v>0.11</v>
      </c>
      <c r="BV6" s="357">
        <v>0</v>
      </c>
      <c r="BW6" s="357">
        <v>0</v>
      </c>
      <c r="BX6" s="357"/>
      <c r="BY6" s="2251"/>
      <c r="BZ6" s="2251"/>
      <c r="CA6" s="676"/>
      <c r="CB6" s="676"/>
      <c r="CC6" s="676"/>
      <c r="CD6" s="2271"/>
      <c r="CE6" s="2263"/>
      <c r="CF6" s="2263"/>
      <c r="CG6" s="2263"/>
    </row>
    <row r="7" spans="1:85" ht="30" customHeight="1" thickBot="1">
      <c r="A7" s="2552"/>
      <c r="B7" s="2609"/>
      <c r="C7" s="2860"/>
      <c r="D7" s="2275" t="s">
        <v>33</v>
      </c>
      <c r="E7" s="1521" t="s">
        <v>1756</v>
      </c>
      <c r="F7" s="2854"/>
      <c r="G7" s="2855"/>
      <c r="H7" s="2855"/>
      <c r="I7" s="2855"/>
      <c r="J7" s="2855"/>
      <c r="K7" s="2858"/>
      <c r="L7" s="2274" t="s">
        <v>33</v>
      </c>
      <c r="M7" s="2857"/>
      <c r="N7" s="2844"/>
      <c r="O7" s="2846"/>
      <c r="P7" s="2857"/>
      <c r="Q7" s="2862"/>
      <c r="R7" s="2864"/>
      <c r="S7" s="2866"/>
      <c r="T7" s="2868"/>
      <c r="U7" s="2276" t="s">
        <v>322</v>
      </c>
      <c r="V7" s="2209" t="s">
        <v>604</v>
      </c>
      <c r="W7" s="2277" t="s">
        <v>599</v>
      </c>
      <c r="X7" s="2209" t="s">
        <v>604</v>
      </c>
      <c r="Z7" s="2502"/>
      <c r="AA7" s="2490"/>
      <c r="AB7" s="2246" t="s">
        <v>839</v>
      </c>
      <c r="AC7" s="2244" t="s">
        <v>819</v>
      </c>
      <c r="AD7" s="2261" t="s">
        <v>33</v>
      </c>
      <c r="AE7" s="2245" t="s">
        <v>1062</v>
      </c>
      <c r="AF7" s="2261" t="s">
        <v>1063</v>
      </c>
      <c r="AG7" s="2245" t="s">
        <v>1064</v>
      </c>
      <c r="AH7" s="1421"/>
      <c r="AI7" s="2246" t="s">
        <v>839</v>
      </c>
      <c r="AJ7" s="2244" t="s">
        <v>819</v>
      </c>
      <c r="AK7" s="2261" t="s">
        <v>33</v>
      </c>
      <c r="AL7" s="2245" t="s">
        <v>1062</v>
      </c>
      <c r="AM7" s="2261" t="s">
        <v>1063</v>
      </c>
      <c r="AN7" s="2245" t="s">
        <v>1064</v>
      </c>
      <c r="AO7" s="279"/>
      <c r="AP7" s="2246" t="s">
        <v>839</v>
      </c>
      <c r="AQ7" s="2244" t="s">
        <v>819</v>
      </c>
      <c r="AR7" s="2261" t="s">
        <v>33</v>
      </c>
      <c r="AS7" s="2245" t="s">
        <v>1062</v>
      </c>
      <c r="AT7" s="2261" t="s">
        <v>1063</v>
      </c>
      <c r="AU7" s="2245" t="s">
        <v>1064</v>
      </c>
      <c r="AV7" s="1355"/>
      <c r="AW7" s="1355"/>
      <c r="AX7" s="1363" t="s">
        <v>1080</v>
      </c>
      <c r="AY7" s="2252" t="s">
        <v>1066</v>
      </c>
      <c r="AZ7" s="2252" t="s">
        <v>1067</v>
      </c>
      <c r="BA7" s="1364" t="s">
        <v>1241</v>
      </c>
      <c r="BB7" s="2252" t="s">
        <v>284</v>
      </c>
      <c r="BC7" s="1355"/>
      <c r="BD7" s="1821" t="s">
        <v>1080</v>
      </c>
      <c r="BE7" s="1822" t="s">
        <v>1307</v>
      </c>
      <c r="BF7" s="1822" t="s">
        <v>1308</v>
      </c>
      <c r="BG7" s="1364" t="s">
        <v>1241</v>
      </c>
      <c r="BH7" s="2252" t="s">
        <v>284</v>
      </c>
      <c r="BI7" s="820"/>
      <c r="BJ7" s="820"/>
      <c r="BK7" s="820"/>
      <c r="BL7" s="2140" t="s">
        <v>1641</v>
      </c>
      <c r="BM7" s="33">
        <v>160</v>
      </c>
      <c r="BN7" s="33">
        <v>130</v>
      </c>
      <c r="BO7" s="33">
        <v>20</v>
      </c>
      <c r="BP7" s="2156">
        <v>20</v>
      </c>
      <c r="BQ7" s="2156">
        <v>20</v>
      </c>
      <c r="BR7" s="2156">
        <f>BQ7*2/3</f>
        <v>13.333333333333334</v>
      </c>
      <c r="BS7" s="2156">
        <v>20</v>
      </c>
      <c r="BT7" s="2144">
        <v>60</v>
      </c>
      <c r="BU7" s="1914">
        <v>0.25</v>
      </c>
      <c r="BV7" s="357">
        <v>0</v>
      </c>
      <c r="BW7" s="357">
        <v>0</v>
      </c>
      <c r="BX7" s="543"/>
      <c r="BY7" s="543"/>
      <c r="BZ7" s="543"/>
      <c r="CA7" s="543"/>
      <c r="CB7" s="543"/>
      <c r="CC7" s="543"/>
      <c r="CD7" s="543"/>
      <c r="CE7" s="2263"/>
      <c r="CF7" s="2263"/>
      <c r="CG7" s="2263"/>
    </row>
    <row r="8" spans="1:85" ht="17.25" customHeight="1">
      <c r="A8" s="513" t="s">
        <v>1140</v>
      </c>
      <c r="B8" s="1698">
        <v>0</v>
      </c>
      <c r="C8" s="2330" t="s">
        <v>31</v>
      </c>
      <c r="D8" s="2331">
        <f t="shared" ref="D8:D42" si="0">VLOOKUP(C8,BL$5:BV$138,2,FALSE)</f>
        <v>0</v>
      </c>
      <c r="E8" s="1369">
        <f t="shared" ref="E8:E42" si="1">VLOOKUP(C8,$BL$5:$BN$138,3,FALSE)</f>
        <v>0</v>
      </c>
      <c r="F8" s="2332">
        <f t="shared" ref="F8:F42" si="2">L8-D8</f>
        <v>0</v>
      </c>
      <c r="G8" s="2333">
        <f t="shared" ref="G8:G42" si="3">IF(F8=0,0,F8*100/D8)</f>
        <v>0</v>
      </c>
      <c r="H8" s="2333">
        <f t="shared" ref="H8:H42" si="4">VLOOKUP(C8,BL$5:BV$138,4,FALSE)</f>
        <v>0</v>
      </c>
      <c r="I8" s="2333">
        <f t="shared" ref="I8:I42" si="5">VLOOKUP(C8,BL$5:BV$138,5,FALSE)</f>
        <v>0</v>
      </c>
      <c r="J8" s="2333">
        <f t="shared" ref="J8:J42" si="6">VLOOKUP(C8,BL$5:BV$138,6,FALSE)</f>
        <v>0</v>
      </c>
      <c r="K8" s="2333">
        <f>IF(H8=0,0,IF(G8&gt;0,ROUNDDOWN(G8/H8,0)*I8,IF(G8&lt;=0,ROUNDDOWN(G8/H8,0)*J8,IF(F8&gt;0,F8*I8/E8,J8*F8/0))))</f>
        <v>0</v>
      </c>
      <c r="L8" s="2334">
        <v>0</v>
      </c>
      <c r="M8" s="2283" t="s">
        <v>1342</v>
      </c>
      <c r="N8" s="2284" t="s">
        <v>1766</v>
      </c>
      <c r="O8" s="2285">
        <f t="shared" ref="O8:O42" si="7">-IF(AND(M8="keine",N8="Nein"),0,IF(AND(N8="Nein",M8&lt;&gt;"keine"),-1*VLOOKUP(M8,BL$5:BV$351,8,FALSE),IF(AND(M8&lt;&gt;"keine",N8="Ja"),0)))</f>
        <v>0</v>
      </c>
      <c r="P8" s="2286" t="s">
        <v>1314</v>
      </c>
      <c r="Q8" s="2287">
        <f t="shared" ref="Q8:Q42" si="8">IF(N8="Ja",0,IF(P8="Nein",0,VLOOKUP(M8,BL$5:BV$138,7,FALSE)))</f>
        <v>0</v>
      </c>
      <c r="R8" s="2288">
        <f t="shared" ref="R8:R42" si="9">VLOOKUP(C8,BL$5:BV$138,9,FALSE)</f>
        <v>0</v>
      </c>
      <c r="S8" s="2289">
        <v>0</v>
      </c>
      <c r="T8" s="2206">
        <v>0</v>
      </c>
      <c r="U8" s="2383">
        <f>IF(E8-T8-O8+Q8-S8+K8&lt;0,0,E8-T8-O8+Q8+K8-S8)</f>
        <v>0</v>
      </c>
      <c r="V8" s="2227">
        <f>IF(U8&lt;0,0,U8*B8)</f>
        <v>0</v>
      </c>
      <c r="W8" s="2215">
        <f t="shared" ref="W8:W42" si="10">L8*VLOOKUP(C8,BL$5:BV$138,10,FALSE)</f>
        <v>0</v>
      </c>
      <c r="X8" s="2212">
        <f t="shared" ref="X8:X42" si="11">B8*W8</f>
        <v>0</v>
      </c>
      <c r="Z8" s="1281" t="str">
        <f t="shared" ref="Z8:Z42" si="12">A8</f>
        <v>Fläche eins</v>
      </c>
      <c r="AA8" s="2087" t="str">
        <f t="shared" ref="AA8:AA42" si="13">C8</f>
        <v>keine</v>
      </c>
      <c r="AB8" s="1329"/>
      <c r="AC8" s="1330" t="s">
        <v>795</v>
      </c>
      <c r="AD8" s="1424">
        <v>0</v>
      </c>
      <c r="AE8" s="1033">
        <f>VLOOKUP(AC8,Düngemittel!$B$6:$E$64,2,FALSE)*(VLOOKUP(AC8,Düngemittel!$B$6:$E$64,3,FALSE))/100*AD8</f>
        <v>0</v>
      </c>
      <c r="AF8" s="1033">
        <f>VLOOKUP(AC8,Düngemittel!$B$6:$E$64,2,FALSE)*AD8</f>
        <v>0</v>
      </c>
      <c r="AG8" s="1033">
        <f>VLOOKUP(AC8,Düngemittel!$B$6:$E$64,4,FALSE)*AD8</f>
        <v>0</v>
      </c>
      <c r="AH8" s="92"/>
      <c r="AI8" s="1329"/>
      <c r="AJ8" s="1330" t="s">
        <v>795</v>
      </c>
      <c r="AK8" s="1424">
        <v>0</v>
      </c>
      <c r="AL8" s="1033">
        <f>VLOOKUP(AJ8,Düngemittel!$B$6:$E$64,2,FALSE)*(VLOOKUP(AJ8,Düngemittel!$B$6:$E$64,3,FALSE))/100*AK8</f>
        <v>0</v>
      </c>
      <c r="AM8" s="1033">
        <f>VLOOKUP(AJ8,Düngemittel!$B$6:$E$64,2,FALSE)*AK8</f>
        <v>0</v>
      </c>
      <c r="AN8" s="1033">
        <f>VLOOKUP(AJ8,Düngemittel!$B$6:$E$64,4,FALSE)*AK8</f>
        <v>0</v>
      </c>
      <c r="AO8" s="92"/>
      <c r="AP8" s="1329"/>
      <c r="AQ8" s="1330" t="s">
        <v>795</v>
      </c>
      <c r="AR8" s="1424">
        <v>0</v>
      </c>
      <c r="AS8" s="1033">
        <f>VLOOKUP(AQ8,Düngemittel!$B$6:$E$64,2,FALSE)*(VLOOKUP(AQ8,Düngemittel!$B$6:$E$64,3,FALSE))/100*AR8</f>
        <v>0</v>
      </c>
      <c r="AT8" s="1033">
        <f>VLOOKUP(AQ8,Düngemittel!$B$6:$E$64,2,FALSE)*AR8</f>
        <v>0</v>
      </c>
      <c r="AU8" s="1033">
        <f>VLOOKUP(AQ8,Düngemittel!$B$6:$E$64,4,FALSE)*AR8</f>
        <v>0</v>
      </c>
      <c r="AV8" s="1371"/>
      <c r="AW8" s="1371"/>
      <c r="AX8" s="1372">
        <f>IF(AE8&lt;AF8,0,AE8)+IF(AL8&lt;AM8,0,AL8)+IF(AS8&lt;AT8,0,AS8)</f>
        <v>0</v>
      </c>
      <c r="AY8" s="1373">
        <f>SUM(AE8+AL8+AS8)</f>
        <v>0</v>
      </c>
      <c r="AZ8" s="1374">
        <f>SUM(AF8+AM8+AT8)</f>
        <v>0</v>
      </c>
      <c r="BA8" s="1375">
        <f>IF(AE8&lt;AF8,AF8,0)+IF(AL8&lt;AM8,AM8,0)+IF(AS8&lt;AT8,AT8,0)</f>
        <v>0</v>
      </c>
      <c r="BB8" s="1373">
        <f>SUM(AG8+AN8+AU8)</f>
        <v>0</v>
      </c>
      <c r="BC8" s="1376"/>
      <c r="BD8" s="1372">
        <f>AX8*$B8</f>
        <v>0</v>
      </c>
      <c r="BE8" s="1372">
        <f t="shared" ref="BE8:BH23" si="14">AY8*$B8</f>
        <v>0</v>
      </c>
      <c r="BF8" s="1372">
        <f t="shared" si="14"/>
        <v>0</v>
      </c>
      <c r="BG8" s="1816">
        <f t="shared" si="14"/>
        <v>0</v>
      </c>
      <c r="BH8" s="1372">
        <f t="shared" si="14"/>
        <v>0</v>
      </c>
      <c r="BI8" s="2278"/>
      <c r="BJ8" s="2278"/>
      <c r="BK8" s="2278"/>
      <c r="BL8" s="2152" t="s">
        <v>1460</v>
      </c>
      <c r="BM8" s="33">
        <v>20</v>
      </c>
      <c r="BN8" s="33">
        <v>10</v>
      </c>
      <c r="BO8" s="33">
        <v>10</v>
      </c>
      <c r="BP8" s="2153">
        <v>1</v>
      </c>
      <c r="BQ8" s="2153">
        <v>1</v>
      </c>
      <c r="BR8" s="2152">
        <v>0</v>
      </c>
      <c r="BS8" s="2152">
        <v>0</v>
      </c>
      <c r="BT8" s="2152">
        <v>30</v>
      </c>
      <c r="BU8" s="2155">
        <v>0.75</v>
      </c>
      <c r="BV8" s="357">
        <v>0</v>
      </c>
      <c r="BW8" s="357">
        <v>0</v>
      </c>
      <c r="BX8" s="357"/>
      <c r="BY8" s="357"/>
      <c r="BZ8" s="357"/>
      <c r="CA8" s="357"/>
      <c r="CB8" s="357"/>
      <c r="CC8" s="357"/>
      <c r="CD8" s="357"/>
    </row>
    <row r="9" spans="1:85" ht="17.25" customHeight="1">
      <c r="A9" s="468" t="s">
        <v>567</v>
      </c>
      <c r="B9" s="1699">
        <v>0</v>
      </c>
      <c r="C9" s="1431" t="s">
        <v>31</v>
      </c>
      <c r="D9" s="2335">
        <f t="shared" si="0"/>
        <v>0</v>
      </c>
      <c r="E9" s="1381">
        <f t="shared" si="1"/>
        <v>0</v>
      </c>
      <c r="F9" s="1966">
        <f t="shared" si="2"/>
        <v>0</v>
      </c>
      <c r="G9" s="1928">
        <f t="shared" si="3"/>
        <v>0</v>
      </c>
      <c r="H9" s="1949">
        <f t="shared" si="4"/>
        <v>0</v>
      </c>
      <c r="I9" s="1949">
        <f t="shared" si="5"/>
        <v>0</v>
      </c>
      <c r="J9" s="1949">
        <f t="shared" si="6"/>
        <v>0</v>
      </c>
      <c r="K9" s="1928">
        <f t="shared" ref="K9:K42" si="15">IF(H9=0,0,IF(G9&gt;0,ROUNDDOWN(G9/H9,0)*I9,IF(G9&lt;=0,ROUNDDOWN(G9/H9,0)*J9,IF(F9&gt;0,F9*I9/E9,J9*F9/0))))</f>
        <v>0</v>
      </c>
      <c r="L9" s="1702">
        <v>0</v>
      </c>
      <c r="M9" s="2283" t="s">
        <v>1343</v>
      </c>
      <c r="N9" s="2284" t="s">
        <v>1314</v>
      </c>
      <c r="O9" s="2285">
        <f t="shared" si="7"/>
        <v>100</v>
      </c>
      <c r="P9" s="2290" t="s">
        <v>1314</v>
      </c>
      <c r="Q9" s="2291">
        <f t="shared" si="8"/>
        <v>0</v>
      </c>
      <c r="R9" s="2288">
        <f t="shared" si="9"/>
        <v>0</v>
      </c>
      <c r="S9" s="2289">
        <v>0</v>
      </c>
      <c r="T9" s="2207">
        <v>0</v>
      </c>
      <c r="U9" s="2229">
        <f t="shared" ref="U9:U42" si="16">IF(E9-T9-O9+Q9-S9+K9&lt;0,0,E9-T9-O9+Q9+K9-S9)</f>
        <v>0</v>
      </c>
      <c r="V9" s="2228">
        <f t="shared" ref="V9:V42" si="17">IF(U9&lt;0,0,U9*B9)</f>
        <v>0</v>
      </c>
      <c r="W9" s="2216">
        <f t="shared" si="10"/>
        <v>0</v>
      </c>
      <c r="X9" s="2213">
        <f t="shared" si="11"/>
        <v>0</v>
      </c>
      <c r="Z9" s="1281" t="str">
        <f t="shared" si="12"/>
        <v>Schlag 2</v>
      </c>
      <c r="AA9" s="2087" t="str">
        <f t="shared" si="13"/>
        <v>keine</v>
      </c>
      <c r="AB9" s="1329"/>
      <c r="AC9" s="1330" t="s">
        <v>795</v>
      </c>
      <c r="AD9" s="1424">
        <v>0</v>
      </c>
      <c r="AE9" s="1033">
        <f>VLOOKUP(AC9,Düngemittel!$B$6:$E$64,2,FALSE)*(VLOOKUP(AC9,Düngemittel!$B$6:$E$64,3,FALSE))/100*AD9</f>
        <v>0</v>
      </c>
      <c r="AF9" s="1033">
        <f>VLOOKUP(AC9,Düngemittel!$B$6:$E$64,2,FALSE)*AD9</f>
        <v>0</v>
      </c>
      <c r="AG9" s="1033">
        <f>VLOOKUP(AC9,Düngemittel!$B$6:$E$64,4,FALSE)*AD9</f>
        <v>0</v>
      </c>
      <c r="AH9" s="2243"/>
      <c r="AI9" s="1329"/>
      <c r="AJ9" s="1330" t="s">
        <v>795</v>
      </c>
      <c r="AK9" s="1424">
        <v>0</v>
      </c>
      <c r="AL9" s="1033">
        <f>VLOOKUP(AJ9,Düngemittel!$B$6:$E$64,2,FALSE)*(VLOOKUP(AJ9,Düngemittel!$B$6:$E$64,3,FALSE))/100*AK9</f>
        <v>0</v>
      </c>
      <c r="AM9" s="1033">
        <f>VLOOKUP(AJ9,Düngemittel!$B$6:$E$64,2,FALSE)*AK9</f>
        <v>0</v>
      </c>
      <c r="AN9" s="1033">
        <f>VLOOKUP(AJ9,Düngemittel!$B$6:$E$64,4,FALSE)*AK9</f>
        <v>0</v>
      </c>
      <c r="AO9" s="2243"/>
      <c r="AP9" s="1329"/>
      <c r="AQ9" s="1330" t="s">
        <v>795</v>
      </c>
      <c r="AR9" s="1424">
        <v>0</v>
      </c>
      <c r="AS9" s="1033">
        <f>VLOOKUP(AQ9,Düngemittel!$B$6:$E$64,2,FALSE)*(VLOOKUP(AQ9,Düngemittel!$B$6:$E$64,3,FALSE))/100*AR9</f>
        <v>0</v>
      </c>
      <c r="AT9" s="1033">
        <f>VLOOKUP(AQ9,Düngemittel!$B$6:$E$64,2,FALSE)*AR9</f>
        <v>0</v>
      </c>
      <c r="AU9" s="1033">
        <f>VLOOKUP(AQ9,Düngemittel!$B$6:$E$64,4,FALSE)*AR9</f>
        <v>0</v>
      </c>
      <c r="AV9" s="1371"/>
      <c r="AW9" s="1371"/>
      <c r="AX9" s="1372">
        <f t="shared" ref="AX9:AX42" si="18">IF(AE9&lt;AF9,0,AE9)+IF(AL9&lt;AM9,0,AL9)+IF(AS9&lt;AT9,0,AS9)</f>
        <v>0</v>
      </c>
      <c r="AY9" s="1373">
        <f t="shared" ref="AY9:AY42" si="19">SUM(AE9+AL9+AS9)</f>
        <v>0</v>
      </c>
      <c r="AZ9" s="1374">
        <f t="shared" ref="AZ9:AZ42" si="20">SUM(AF9+AM9+AT9)</f>
        <v>0</v>
      </c>
      <c r="BA9" s="1375">
        <f t="shared" ref="BA9:BA42" si="21">IF(AE9&lt;AF9,AF9,0)+IF(AL9&lt;AM9,AM9,0)+IF(AS9&lt;AT9,AT9,0)</f>
        <v>0</v>
      </c>
      <c r="BB9" s="1373">
        <f t="shared" ref="BB9:BB42" si="22">SUM(AG9+AN9+AU9)</f>
        <v>0</v>
      </c>
      <c r="BC9" s="1376"/>
      <c r="BD9" s="1372">
        <f t="shared" ref="BD9:BH42" si="23">AX9*$B9</f>
        <v>0</v>
      </c>
      <c r="BE9" s="1372">
        <f t="shared" si="14"/>
        <v>0</v>
      </c>
      <c r="BF9" s="1372">
        <f t="shared" si="14"/>
        <v>0</v>
      </c>
      <c r="BG9" s="1816">
        <f t="shared" si="14"/>
        <v>0</v>
      </c>
      <c r="BH9" s="1372">
        <f t="shared" si="14"/>
        <v>0</v>
      </c>
      <c r="BI9" s="2278"/>
      <c r="BJ9" s="2278"/>
      <c r="BK9" s="2278"/>
      <c r="BL9" s="2152" t="s">
        <v>1463</v>
      </c>
      <c r="BM9" s="33">
        <v>150</v>
      </c>
      <c r="BN9" s="33">
        <v>120</v>
      </c>
      <c r="BO9" s="33">
        <v>10</v>
      </c>
      <c r="BP9" s="2153">
        <v>12</v>
      </c>
      <c r="BQ9" s="2153">
        <v>12</v>
      </c>
      <c r="BR9" s="2152">
        <v>0</v>
      </c>
      <c r="BS9" s="2152">
        <v>0</v>
      </c>
      <c r="BT9" s="2152">
        <v>30</v>
      </c>
      <c r="BU9" s="2157">
        <v>0.08</v>
      </c>
      <c r="BV9" s="357">
        <v>0</v>
      </c>
      <c r="BW9" s="357">
        <v>0</v>
      </c>
      <c r="BX9" s="357"/>
      <c r="BY9" s="357"/>
      <c r="BZ9" s="357"/>
      <c r="CA9" s="357"/>
      <c r="CB9" s="357"/>
      <c r="CC9" s="357"/>
      <c r="CD9" s="357"/>
    </row>
    <row r="10" spans="1:85" ht="17.25" customHeight="1">
      <c r="A10" s="468" t="s">
        <v>564</v>
      </c>
      <c r="B10" s="1699">
        <v>0</v>
      </c>
      <c r="C10" s="2336" t="s">
        <v>31</v>
      </c>
      <c r="D10" s="2335">
        <f t="shared" si="0"/>
        <v>0</v>
      </c>
      <c r="E10" s="1381">
        <f t="shared" si="1"/>
        <v>0</v>
      </c>
      <c r="F10" s="1966">
        <f t="shared" si="2"/>
        <v>0</v>
      </c>
      <c r="G10" s="1928">
        <f t="shared" si="3"/>
        <v>0</v>
      </c>
      <c r="H10" s="1949">
        <f t="shared" si="4"/>
        <v>0</v>
      </c>
      <c r="I10" s="1949">
        <f t="shared" si="5"/>
        <v>0</v>
      </c>
      <c r="J10" s="1949">
        <f t="shared" si="6"/>
        <v>0</v>
      </c>
      <c r="K10" s="1928">
        <f t="shared" si="15"/>
        <v>0</v>
      </c>
      <c r="L10" s="1702">
        <v>0</v>
      </c>
      <c r="M10" s="2283" t="s">
        <v>31</v>
      </c>
      <c r="N10" s="2284" t="s">
        <v>1314</v>
      </c>
      <c r="O10" s="2285">
        <f t="shared" si="7"/>
        <v>0</v>
      </c>
      <c r="P10" s="2290" t="s">
        <v>1314</v>
      </c>
      <c r="Q10" s="2291">
        <f t="shared" si="8"/>
        <v>0</v>
      </c>
      <c r="R10" s="2288">
        <f t="shared" si="9"/>
        <v>0</v>
      </c>
      <c r="S10" s="2289">
        <v>0</v>
      </c>
      <c r="T10" s="2207">
        <v>0</v>
      </c>
      <c r="U10" s="2229">
        <f t="shared" si="16"/>
        <v>0</v>
      </c>
      <c r="V10" s="2228">
        <f t="shared" si="17"/>
        <v>0</v>
      </c>
      <c r="W10" s="2216">
        <f t="shared" si="10"/>
        <v>0</v>
      </c>
      <c r="X10" s="2213">
        <f t="shared" si="11"/>
        <v>0</v>
      </c>
      <c r="Z10" s="1281" t="str">
        <f t="shared" si="12"/>
        <v>Fläche 3</v>
      </c>
      <c r="AA10" s="2087" t="str">
        <f t="shared" si="13"/>
        <v>keine</v>
      </c>
      <c r="AB10" s="1329"/>
      <c r="AC10" s="1330" t="s">
        <v>795</v>
      </c>
      <c r="AD10" s="1424">
        <v>0</v>
      </c>
      <c r="AE10" s="1033">
        <f>VLOOKUP(AC10,Düngemittel!$B$6:$E$64,2,FALSE)*(VLOOKUP(AC10,Düngemittel!$B$6:$E$64,3,FALSE))/100*AD10</f>
        <v>0</v>
      </c>
      <c r="AF10" s="1033">
        <f>VLOOKUP(AC10,Düngemittel!$B$6:$E$64,2,FALSE)*AD10</f>
        <v>0</v>
      </c>
      <c r="AG10" s="1033">
        <f>VLOOKUP(AC10,Düngemittel!$B$6:$E$64,4,FALSE)*AD10</f>
        <v>0</v>
      </c>
      <c r="AH10" s="2243"/>
      <c r="AI10" s="1329"/>
      <c r="AJ10" s="1330" t="s">
        <v>795</v>
      </c>
      <c r="AK10" s="1424">
        <v>0</v>
      </c>
      <c r="AL10" s="1033">
        <f>VLOOKUP(AJ10,Düngemittel!$B$6:$E$64,2,FALSE)*(VLOOKUP(AJ10,Düngemittel!$B$6:$E$64,3,FALSE))/100*AK10</f>
        <v>0</v>
      </c>
      <c r="AM10" s="1033">
        <f>VLOOKUP(AJ10,Düngemittel!$B$6:$E$64,2,FALSE)*AK10</f>
        <v>0</v>
      </c>
      <c r="AN10" s="1033">
        <f>VLOOKUP(AJ10,Düngemittel!$B$6:$E$64,4,FALSE)*AK10</f>
        <v>0</v>
      </c>
      <c r="AO10" s="2243"/>
      <c r="AP10" s="1329"/>
      <c r="AQ10" s="1330" t="s">
        <v>795</v>
      </c>
      <c r="AR10" s="1424">
        <v>0</v>
      </c>
      <c r="AS10" s="1033">
        <f>VLOOKUP(AQ10,Düngemittel!$B$6:$E$64,2,FALSE)*(VLOOKUP(AQ10,Düngemittel!$B$6:$E$64,3,FALSE))/100*AR10</f>
        <v>0</v>
      </c>
      <c r="AT10" s="1033">
        <f>VLOOKUP(AQ10,Düngemittel!$B$6:$E$64,2,FALSE)*AR10</f>
        <v>0</v>
      </c>
      <c r="AU10" s="1033">
        <f>VLOOKUP(AQ10,Düngemittel!$B$6:$E$64,4,FALSE)*AR10</f>
        <v>0</v>
      </c>
      <c r="AV10" s="1371"/>
      <c r="AW10" s="1371"/>
      <c r="AX10" s="1372">
        <f t="shared" si="18"/>
        <v>0</v>
      </c>
      <c r="AY10" s="1373">
        <f t="shared" si="19"/>
        <v>0</v>
      </c>
      <c r="AZ10" s="1374">
        <f t="shared" si="20"/>
        <v>0</v>
      </c>
      <c r="BA10" s="1375">
        <f t="shared" si="21"/>
        <v>0</v>
      </c>
      <c r="BB10" s="1373">
        <f t="shared" si="22"/>
        <v>0</v>
      </c>
      <c r="BC10" s="1376"/>
      <c r="BD10" s="1372">
        <f t="shared" si="23"/>
        <v>0</v>
      </c>
      <c r="BE10" s="1372">
        <f t="shared" si="14"/>
        <v>0</v>
      </c>
      <c r="BF10" s="1372">
        <f t="shared" si="14"/>
        <v>0</v>
      </c>
      <c r="BG10" s="1816">
        <f t="shared" si="14"/>
        <v>0</v>
      </c>
      <c r="BH10" s="1372">
        <f t="shared" si="14"/>
        <v>0</v>
      </c>
      <c r="BI10" s="2278"/>
      <c r="BJ10" s="2278"/>
      <c r="BK10" s="2278"/>
      <c r="BL10" s="2141" t="s">
        <v>1342</v>
      </c>
      <c r="BM10" s="33">
        <v>350</v>
      </c>
      <c r="BN10" s="33">
        <v>300</v>
      </c>
      <c r="BO10" s="33">
        <v>20</v>
      </c>
      <c r="BP10" s="323">
        <v>20</v>
      </c>
      <c r="BQ10" s="323">
        <v>20</v>
      </c>
      <c r="BR10" s="323">
        <f>BQ10*2/3</f>
        <v>13.333333333333334</v>
      </c>
      <c r="BS10" s="323">
        <v>80</v>
      </c>
      <c r="BT10" s="323">
        <v>60</v>
      </c>
      <c r="BU10" s="1001">
        <v>0.10299999999999999</v>
      </c>
      <c r="BV10" s="357">
        <v>0</v>
      </c>
      <c r="BW10" s="357">
        <v>0</v>
      </c>
      <c r="BX10" s="357"/>
      <c r="BY10" s="357"/>
      <c r="BZ10" s="357"/>
      <c r="CA10" s="357"/>
      <c r="CB10" s="357"/>
      <c r="CC10" s="357"/>
      <c r="CD10" s="357"/>
    </row>
    <row r="11" spans="1:85" ht="17.25" customHeight="1">
      <c r="A11" s="468">
        <v>4</v>
      </c>
      <c r="B11" s="1699">
        <v>0</v>
      </c>
      <c r="C11" s="1431" t="s">
        <v>31</v>
      </c>
      <c r="D11" s="2335">
        <f t="shared" si="0"/>
        <v>0</v>
      </c>
      <c r="E11" s="1381">
        <f t="shared" si="1"/>
        <v>0</v>
      </c>
      <c r="F11" s="1929">
        <f t="shared" si="2"/>
        <v>0</v>
      </c>
      <c r="G11" s="1928">
        <f t="shared" si="3"/>
        <v>0</v>
      </c>
      <c r="H11" s="1949">
        <f t="shared" si="4"/>
        <v>0</v>
      </c>
      <c r="I11" s="1949">
        <f t="shared" si="5"/>
        <v>0</v>
      </c>
      <c r="J11" s="1949">
        <f t="shared" si="6"/>
        <v>0</v>
      </c>
      <c r="K11" s="1928">
        <f t="shared" si="15"/>
        <v>0</v>
      </c>
      <c r="L11" s="1702">
        <v>0</v>
      </c>
      <c r="M11" s="2283" t="s">
        <v>31</v>
      </c>
      <c r="N11" s="2284" t="s">
        <v>1314</v>
      </c>
      <c r="O11" s="2285">
        <f t="shared" si="7"/>
        <v>0</v>
      </c>
      <c r="P11" s="2290" t="s">
        <v>1314</v>
      </c>
      <c r="Q11" s="2291">
        <f t="shared" si="8"/>
        <v>0</v>
      </c>
      <c r="R11" s="2288">
        <f t="shared" si="9"/>
        <v>0</v>
      </c>
      <c r="S11" s="2289">
        <v>0</v>
      </c>
      <c r="T11" s="2207">
        <v>0</v>
      </c>
      <c r="U11" s="2229">
        <f t="shared" si="16"/>
        <v>0</v>
      </c>
      <c r="V11" s="2228">
        <f t="shared" si="17"/>
        <v>0</v>
      </c>
      <c r="W11" s="2216">
        <f t="shared" si="10"/>
        <v>0</v>
      </c>
      <c r="X11" s="2213">
        <f t="shared" si="11"/>
        <v>0</v>
      </c>
      <c r="Z11" s="1281">
        <f t="shared" si="12"/>
        <v>4</v>
      </c>
      <c r="AA11" s="2087" t="str">
        <f t="shared" si="13"/>
        <v>keine</v>
      </c>
      <c r="AB11" s="1329"/>
      <c r="AC11" s="1330" t="s">
        <v>795</v>
      </c>
      <c r="AD11" s="1424">
        <v>0</v>
      </c>
      <c r="AE11" s="1033">
        <f>VLOOKUP(AC11,Düngemittel!$B$6:$E$64,2,FALSE)*(VLOOKUP(AC11,Düngemittel!$B$6:$E$64,3,FALSE))/100*AD11</f>
        <v>0</v>
      </c>
      <c r="AF11" s="1033">
        <f>VLOOKUP(AC11,Düngemittel!$B$6:$E$64,2,FALSE)*AD11</f>
        <v>0</v>
      </c>
      <c r="AG11" s="1033">
        <f>VLOOKUP(AC11,Düngemittel!$B$6:$E$64,4,FALSE)*AD11</f>
        <v>0</v>
      </c>
      <c r="AH11" s="2243"/>
      <c r="AI11" s="1329"/>
      <c r="AJ11" s="1330" t="s">
        <v>795</v>
      </c>
      <c r="AK11" s="1424">
        <v>0</v>
      </c>
      <c r="AL11" s="1033">
        <f>VLOOKUP(AJ11,Düngemittel!$B$6:$E$64,2,FALSE)*(VLOOKUP(AJ11,Düngemittel!$B$6:$E$64,3,FALSE))/100*AK11</f>
        <v>0</v>
      </c>
      <c r="AM11" s="1033">
        <f>VLOOKUP(AJ11,Düngemittel!$B$6:$E$64,2,FALSE)*AK11</f>
        <v>0</v>
      </c>
      <c r="AN11" s="1033">
        <f>VLOOKUP(AJ11,Düngemittel!$B$6:$E$64,4,FALSE)*AK11</f>
        <v>0</v>
      </c>
      <c r="AO11" s="2243"/>
      <c r="AP11" s="1329"/>
      <c r="AQ11" s="1330" t="s">
        <v>795</v>
      </c>
      <c r="AR11" s="1424">
        <v>0</v>
      </c>
      <c r="AS11" s="1033">
        <f>VLOOKUP(AQ11,Düngemittel!$B$6:$E$64,2,FALSE)*(VLOOKUP(AQ11,Düngemittel!$B$6:$E$64,3,FALSE))/100*AR11</f>
        <v>0</v>
      </c>
      <c r="AT11" s="1033">
        <f>VLOOKUP(AQ11,Düngemittel!$B$6:$E$64,2,FALSE)*AR11</f>
        <v>0</v>
      </c>
      <c r="AU11" s="1033">
        <f>VLOOKUP(AQ11,Düngemittel!$B$6:$E$64,4,FALSE)*AR11</f>
        <v>0</v>
      </c>
      <c r="AV11" s="1371"/>
      <c r="AW11" s="1371"/>
      <c r="AX11" s="1372">
        <f t="shared" si="18"/>
        <v>0</v>
      </c>
      <c r="AY11" s="1373">
        <f t="shared" si="19"/>
        <v>0</v>
      </c>
      <c r="AZ11" s="1374">
        <f t="shared" si="20"/>
        <v>0</v>
      </c>
      <c r="BA11" s="1375">
        <f t="shared" si="21"/>
        <v>0</v>
      </c>
      <c r="BB11" s="1373">
        <f t="shared" si="22"/>
        <v>0</v>
      </c>
      <c r="BC11" s="1376"/>
      <c r="BD11" s="1372">
        <f t="shared" si="23"/>
        <v>0</v>
      </c>
      <c r="BE11" s="1372">
        <f t="shared" si="14"/>
        <v>0</v>
      </c>
      <c r="BF11" s="1372">
        <f t="shared" si="14"/>
        <v>0</v>
      </c>
      <c r="BG11" s="1816">
        <f t="shared" si="14"/>
        <v>0</v>
      </c>
      <c r="BH11" s="1372">
        <f t="shared" si="14"/>
        <v>0</v>
      </c>
      <c r="BI11" s="2278"/>
      <c r="BJ11" s="2278"/>
      <c r="BK11" s="2278"/>
      <c r="BL11" s="2152" t="s">
        <v>1478</v>
      </c>
      <c r="BM11" s="33">
        <v>450</v>
      </c>
      <c r="BN11" s="33">
        <v>185</v>
      </c>
      <c r="BO11" s="33">
        <v>10</v>
      </c>
      <c r="BP11" s="2153">
        <v>18.5</v>
      </c>
      <c r="BQ11" s="2153">
        <v>18.5</v>
      </c>
      <c r="BR11" s="2152">
        <v>0</v>
      </c>
      <c r="BS11" s="2152">
        <v>0</v>
      </c>
      <c r="BT11" s="2152">
        <v>30</v>
      </c>
      <c r="BU11" s="2155">
        <v>0.12</v>
      </c>
      <c r="BV11" s="357">
        <v>0</v>
      </c>
      <c r="BW11" s="357">
        <v>0</v>
      </c>
      <c r="BX11" s="357"/>
      <c r="BY11" s="1354"/>
      <c r="BZ11" s="1359" t="s">
        <v>84</v>
      </c>
      <c r="CA11" s="1366"/>
      <c r="CB11" s="357"/>
      <c r="CC11" s="357"/>
      <c r="CD11" s="357"/>
    </row>
    <row r="12" spans="1:85" ht="17.25" customHeight="1">
      <c r="A12" s="468">
        <v>5</v>
      </c>
      <c r="B12" s="1699">
        <v>0</v>
      </c>
      <c r="C12" s="2337" t="s">
        <v>31</v>
      </c>
      <c r="D12" s="2335">
        <f t="shared" si="0"/>
        <v>0</v>
      </c>
      <c r="E12" s="1381">
        <f t="shared" si="1"/>
        <v>0</v>
      </c>
      <c r="F12" s="1966">
        <f t="shared" si="2"/>
        <v>0</v>
      </c>
      <c r="G12" s="1928">
        <f t="shared" si="3"/>
        <v>0</v>
      </c>
      <c r="H12" s="1949">
        <f t="shared" si="4"/>
        <v>0</v>
      </c>
      <c r="I12" s="1949">
        <f t="shared" si="5"/>
        <v>0</v>
      </c>
      <c r="J12" s="1949">
        <f t="shared" si="6"/>
        <v>0</v>
      </c>
      <c r="K12" s="1928">
        <f t="shared" si="15"/>
        <v>0</v>
      </c>
      <c r="L12" s="1702">
        <v>0</v>
      </c>
      <c r="M12" s="2283" t="s">
        <v>31</v>
      </c>
      <c r="N12" s="2284" t="s">
        <v>1314</v>
      </c>
      <c r="O12" s="2285">
        <f t="shared" si="7"/>
        <v>0</v>
      </c>
      <c r="P12" s="2290" t="s">
        <v>1314</v>
      </c>
      <c r="Q12" s="2291">
        <f t="shared" si="8"/>
        <v>0</v>
      </c>
      <c r="R12" s="2288">
        <f t="shared" si="9"/>
        <v>0</v>
      </c>
      <c r="S12" s="2289">
        <v>0</v>
      </c>
      <c r="T12" s="2207">
        <v>0</v>
      </c>
      <c r="U12" s="2229">
        <f t="shared" si="16"/>
        <v>0</v>
      </c>
      <c r="V12" s="2228">
        <f t="shared" si="17"/>
        <v>0</v>
      </c>
      <c r="W12" s="2216">
        <f t="shared" si="10"/>
        <v>0</v>
      </c>
      <c r="X12" s="2213">
        <f t="shared" si="11"/>
        <v>0</v>
      </c>
      <c r="Z12" s="1281">
        <f t="shared" si="12"/>
        <v>5</v>
      </c>
      <c r="AA12" s="2087" t="str">
        <f t="shared" si="13"/>
        <v>keine</v>
      </c>
      <c r="AB12" s="1329"/>
      <c r="AC12" s="1330" t="s">
        <v>795</v>
      </c>
      <c r="AD12" s="1424">
        <v>0</v>
      </c>
      <c r="AE12" s="1033">
        <f>VLOOKUP(AC12,Düngemittel!$B$6:$E$64,2,FALSE)*(VLOOKUP(AC12,Düngemittel!$B$6:$E$64,3,FALSE))/100*AD12</f>
        <v>0</v>
      </c>
      <c r="AF12" s="1033">
        <f>VLOOKUP(AC12,Düngemittel!$B$6:$E$64,2,FALSE)*AD12</f>
        <v>0</v>
      </c>
      <c r="AG12" s="1033">
        <f>VLOOKUP(AC12,Düngemittel!$B$6:$E$64,4,FALSE)*AD12</f>
        <v>0</v>
      </c>
      <c r="AH12" s="2243"/>
      <c r="AI12" s="1329"/>
      <c r="AJ12" s="1330" t="s">
        <v>795</v>
      </c>
      <c r="AK12" s="1424">
        <v>0</v>
      </c>
      <c r="AL12" s="1033">
        <f>VLOOKUP(AJ12,Düngemittel!$B$6:$E$64,2,FALSE)*(VLOOKUP(AJ12,Düngemittel!$B$6:$E$64,3,FALSE))/100*AK12</f>
        <v>0</v>
      </c>
      <c r="AM12" s="1033">
        <f>VLOOKUP(AJ12,Düngemittel!$B$6:$E$64,2,FALSE)*AK12</f>
        <v>0</v>
      </c>
      <c r="AN12" s="1033">
        <f>VLOOKUP(AJ12,Düngemittel!$B$6:$E$64,4,FALSE)*AK12</f>
        <v>0</v>
      </c>
      <c r="AO12" s="2243"/>
      <c r="AP12" s="1329"/>
      <c r="AQ12" s="1330" t="s">
        <v>795</v>
      </c>
      <c r="AR12" s="1424">
        <v>0</v>
      </c>
      <c r="AS12" s="1033">
        <f>VLOOKUP(AQ12,Düngemittel!$B$6:$E$64,2,FALSE)*(VLOOKUP(AQ12,Düngemittel!$B$6:$E$64,3,FALSE))/100*AR12</f>
        <v>0</v>
      </c>
      <c r="AT12" s="1033">
        <f>VLOOKUP(AQ12,Düngemittel!$B$6:$E$64,2,FALSE)*AR12</f>
        <v>0</v>
      </c>
      <c r="AU12" s="1033">
        <f>VLOOKUP(AQ12,Düngemittel!$B$6:$E$64,4,FALSE)*AR12</f>
        <v>0</v>
      </c>
      <c r="AV12" s="1371"/>
      <c r="AW12" s="1371"/>
      <c r="AX12" s="1372">
        <f t="shared" si="18"/>
        <v>0</v>
      </c>
      <c r="AY12" s="1373">
        <f t="shared" si="19"/>
        <v>0</v>
      </c>
      <c r="AZ12" s="1374">
        <f t="shared" si="20"/>
        <v>0</v>
      </c>
      <c r="BA12" s="1375">
        <f t="shared" si="21"/>
        <v>0</v>
      </c>
      <c r="BB12" s="1373">
        <f t="shared" si="22"/>
        <v>0</v>
      </c>
      <c r="BC12" s="1376"/>
      <c r="BD12" s="1372">
        <f t="shared" si="23"/>
        <v>0</v>
      </c>
      <c r="BE12" s="1372">
        <f t="shared" si="14"/>
        <v>0</v>
      </c>
      <c r="BF12" s="1372">
        <f t="shared" si="14"/>
        <v>0</v>
      </c>
      <c r="BG12" s="1816">
        <f t="shared" si="14"/>
        <v>0</v>
      </c>
      <c r="BH12" s="1372">
        <f t="shared" si="14"/>
        <v>0</v>
      </c>
      <c r="BI12" s="2278"/>
      <c r="BJ12" s="2278"/>
      <c r="BK12" s="2278"/>
      <c r="BL12" s="2152" t="s">
        <v>1479</v>
      </c>
      <c r="BM12" s="33">
        <v>300</v>
      </c>
      <c r="BN12" s="33">
        <v>110</v>
      </c>
      <c r="BO12" s="33">
        <v>10</v>
      </c>
      <c r="BP12" s="2158">
        <v>6</v>
      </c>
      <c r="BQ12" s="2158">
        <v>6</v>
      </c>
      <c r="BR12" s="2152">
        <v>0</v>
      </c>
      <c r="BS12" s="2152">
        <v>0</v>
      </c>
      <c r="BT12" s="2152">
        <v>60</v>
      </c>
      <c r="BU12" s="2155">
        <v>0.05</v>
      </c>
      <c r="BV12" s="357">
        <v>0</v>
      </c>
      <c r="BW12" s="357">
        <v>0</v>
      </c>
      <c r="BX12" s="357"/>
      <c r="BY12" s="1354"/>
      <c r="BZ12" s="1358" t="s">
        <v>90</v>
      </c>
      <c r="CA12" s="1366">
        <v>0</v>
      </c>
      <c r="CB12" s="357"/>
      <c r="CC12" s="357"/>
      <c r="CD12" s="357"/>
    </row>
    <row r="13" spans="1:85" ht="17.25" customHeight="1">
      <c r="A13" s="468">
        <v>6</v>
      </c>
      <c r="B13" s="1699">
        <v>0</v>
      </c>
      <c r="C13" s="1431" t="s">
        <v>31</v>
      </c>
      <c r="D13" s="2335">
        <f t="shared" si="0"/>
        <v>0</v>
      </c>
      <c r="E13" s="1381">
        <f t="shared" si="1"/>
        <v>0</v>
      </c>
      <c r="F13" s="1966">
        <f t="shared" si="2"/>
        <v>0</v>
      </c>
      <c r="G13" s="1928">
        <f t="shared" si="3"/>
        <v>0</v>
      </c>
      <c r="H13" s="1949">
        <f t="shared" si="4"/>
        <v>0</v>
      </c>
      <c r="I13" s="1949">
        <f t="shared" si="5"/>
        <v>0</v>
      </c>
      <c r="J13" s="1949">
        <f t="shared" si="6"/>
        <v>0</v>
      </c>
      <c r="K13" s="1928">
        <f t="shared" si="15"/>
        <v>0</v>
      </c>
      <c r="L13" s="1702">
        <v>0</v>
      </c>
      <c r="M13" s="2283" t="s">
        <v>31</v>
      </c>
      <c r="N13" s="2284" t="s">
        <v>1314</v>
      </c>
      <c r="O13" s="2285">
        <f t="shared" si="7"/>
        <v>0</v>
      </c>
      <c r="P13" s="2290" t="s">
        <v>1314</v>
      </c>
      <c r="Q13" s="2291">
        <f t="shared" si="8"/>
        <v>0</v>
      </c>
      <c r="R13" s="2288">
        <f t="shared" si="9"/>
        <v>0</v>
      </c>
      <c r="S13" s="2289">
        <v>0</v>
      </c>
      <c r="T13" s="2207">
        <v>0</v>
      </c>
      <c r="U13" s="2229">
        <f t="shared" si="16"/>
        <v>0</v>
      </c>
      <c r="V13" s="2228">
        <f t="shared" si="17"/>
        <v>0</v>
      </c>
      <c r="W13" s="2216">
        <f t="shared" si="10"/>
        <v>0</v>
      </c>
      <c r="X13" s="2213">
        <f t="shared" si="11"/>
        <v>0</v>
      </c>
      <c r="Z13" s="1281">
        <f t="shared" si="12"/>
        <v>6</v>
      </c>
      <c r="AA13" s="2087" t="str">
        <f t="shared" si="13"/>
        <v>keine</v>
      </c>
      <c r="AB13" s="1329"/>
      <c r="AC13" s="1330" t="s">
        <v>795</v>
      </c>
      <c r="AD13" s="1424">
        <v>0</v>
      </c>
      <c r="AE13" s="1033">
        <f>VLOOKUP(AC13,Düngemittel!$B$6:$E$64,2,FALSE)*(VLOOKUP(AC13,Düngemittel!$B$6:$E$64,3,FALSE))/100*AD13</f>
        <v>0</v>
      </c>
      <c r="AF13" s="1033">
        <f>VLOOKUP(AC13,Düngemittel!$B$6:$E$64,2,FALSE)*AD13</f>
        <v>0</v>
      </c>
      <c r="AG13" s="1033">
        <f>VLOOKUP(AC13,Düngemittel!$B$6:$E$64,4,FALSE)*AD13</f>
        <v>0</v>
      </c>
      <c r="AH13" s="2243"/>
      <c r="AI13" s="1329"/>
      <c r="AJ13" s="1330" t="s">
        <v>795</v>
      </c>
      <c r="AK13" s="1424">
        <v>0</v>
      </c>
      <c r="AL13" s="1033">
        <f>VLOOKUP(AJ13,Düngemittel!$B$6:$E$64,2,FALSE)*(VLOOKUP(AJ13,Düngemittel!$B$6:$E$64,3,FALSE))/100*AK13</f>
        <v>0</v>
      </c>
      <c r="AM13" s="1033">
        <f>VLOOKUP(AJ13,Düngemittel!$B$6:$E$64,2,FALSE)*AK13</f>
        <v>0</v>
      </c>
      <c r="AN13" s="1033">
        <f>VLOOKUP(AJ13,Düngemittel!$B$6:$E$64,4,FALSE)*AK13</f>
        <v>0</v>
      </c>
      <c r="AO13" s="2243"/>
      <c r="AP13" s="1329"/>
      <c r="AQ13" s="1330" t="s">
        <v>795</v>
      </c>
      <c r="AR13" s="1424">
        <v>0</v>
      </c>
      <c r="AS13" s="1033">
        <f>VLOOKUP(AQ13,Düngemittel!$B$6:$E$64,2,FALSE)*(VLOOKUP(AQ13,Düngemittel!$B$6:$E$64,3,FALSE))/100*AR13</f>
        <v>0</v>
      </c>
      <c r="AT13" s="1033">
        <f>VLOOKUP(AQ13,Düngemittel!$B$6:$E$64,2,FALSE)*AR13</f>
        <v>0</v>
      </c>
      <c r="AU13" s="1033">
        <f>VLOOKUP(AQ13,Düngemittel!$B$6:$E$64,4,FALSE)*AR13</f>
        <v>0</v>
      </c>
      <c r="AV13" s="1371"/>
      <c r="AW13" s="1371"/>
      <c r="AX13" s="1372">
        <f t="shared" si="18"/>
        <v>0</v>
      </c>
      <c r="AY13" s="1373">
        <f t="shared" si="19"/>
        <v>0</v>
      </c>
      <c r="AZ13" s="1374">
        <f t="shared" si="20"/>
        <v>0</v>
      </c>
      <c r="BA13" s="1375">
        <f t="shared" si="21"/>
        <v>0</v>
      </c>
      <c r="BB13" s="1373">
        <f t="shared" si="22"/>
        <v>0</v>
      </c>
      <c r="BC13" s="1376"/>
      <c r="BD13" s="1372">
        <f t="shared" si="23"/>
        <v>0</v>
      </c>
      <c r="BE13" s="1372">
        <f t="shared" si="14"/>
        <v>0</v>
      </c>
      <c r="BF13" s="1372">
        <f t="shared" si="14"/>
        <v>0</v>
      </c>
      <c r="BG13" s="1816">
        <f t="shared" si="14"/>
        <v>0</v>
      </c>
      <c r="BH13" s="1372">
        <f t="shared" si="14"/>
        <v>0</v>
      </c>
      <c r="BI13" s="2278"/>
      <c r="BJ13" s="2278"/>
      <c r="BK13" s="2278"/>
      <c r="BL13" s="2152" t="s">
        <v>1484</v>
      </c>
      <c r="BM13" s="33">
        <v>120</v>
      </c>
      <c r="BN13" s="33">
        <v>125</v>
      </c>
      <c r="BO13" s="33">
        <v>10</v>
      </c>
      <c r="BP13" s="2153">
        <v>12.5</v>
      </c>
      <c r="BQ13" s="2153">
        <v>12.5</v>
      </c>
      <c r="BR13" s="2152">
        <v>0</v>
      </c>
      <c r="BS13" s="2152">
        <v>0</v>
      </c>
      <c r="BT13" s="2152">
        <v>30</v>
      </c>
      <c r="BU13" s="2155">
        <v>0.15</v>
      </c>
      <c r="BV13" s="357">
        <v>0</v>
      </c>
      <c r="BW13" s="357">
        <v>0</v>
      </c>
      <c r="BX13" s="357"/>
      <c r="BY13" s="1354"/>
      <c r="BZ13" s="1358" t="s">
        <v>88</v>
      </c>
      <c r="CA13" s="1366">
        <v>20</v>
      </c>
      <c r="CB13" s="357"/>
      <c r="CC13" s="357"/>
      <c r="CD13" s="357"/>
    </row>
    <row r="14" spans="1:85" ht="17.25" customHeight="1">
      <c r="A14" s="468">
        <v>7</v>
      </c>
      <c r="B14" s="1699">
        <v>0</v>
      </c>
      <c r="C14" s="2336" t="s">
        <v>31</v>
      </c>
      <c r="D14" s="2335">
        <f t="shared" si="0"/>
        <v>0</v>
      </c>
      <c r="E14" s="1381">
        <f t="shared" si="1"/>
        <v>0</v>
      </c>
      <c r="F14" s="1966">
        <f t="shared" si="2"/>
        <v>0</v>
      </c>
      <c r="G14" s="1928">
        <f t="shared" si="3"/>
        <v>0</v>
      </c>
      <c r="H14" s="1949">
        <f t="shared" si="4"/>
        <v>0</v>
      </c>
      <c r="I14" s="1949">
        <f t="shared" si="5"/>
        <v>0</v>
      </c>
      <c r="J14" s="1949">
        <f t="shared" si="6"/>
        <v>0</v>
      </c>
      <c r="K14" s="1928">
        <f t="shared" si="15"/>
        <v>0</v>
      </c>
      <c r="L14" s="1702">
        <v>0</v>
      </c>
      <c r="M14" s="2283" t="s">
        <v>31</v>
      </c>
      <c r="N14" s="2284" t="s">
        <v>1314</v>
      </c>
      <c r="O14" s="2285">
        <f t="shared" si="7"/>
        <v>0</v>
      </c>
      <c r="P14" s="2290" t="s">
        <v>1314</v>
      </c>
      <c r="Q14" s="2291">
        <f t="shared" si="8"/>
        <v>0</v>
      </c>
      <c r="R14" s="2288">
        <f t="shared" si="9"/>
        <v>0</v>
      </c>
      <c r="S14" s="2289">
        <v>0</v>
      </c>
      <c r="T14" s="2207">
        <v>0</v>
      </c>
      <c r="U14" s="2229">
        <f t="shared" si="16"/>
        <v>0</v>
      </c>
      <c r="V14" s="2228">
        <f t="shared" si="17"/>
        <v>0</v>
      </c>
      <c r="W14" s="2216">
        <f t="shared" si="10"/>
        <v>0</v>
      </c>
      <c r="X14" s="2213">
        <f t="shared" si="11"/>
        <v>0</v>
      </c>
      <c r="Z14" s="1281">
        <f t="shared" si="12"/>
        <v>7</v>
      </c>
      <c r="AA14" s="2087" t="str">
        <f t="shared" si="13"/>
        <v>keine</v>
      </c>
      <c r="AB14" s="1329"/>
      <c r="AC14" s="1330" t="s">
        <v>795</v>
      </c>
      <c r="AD14" s="1424">
        <v>0</v>
      </c>
      <c r="AE14" s="1033">
        <f>VLOOKUP(AC14,Düngemittel!$B$6:$E$64,2,FALSE)*(VLOOKUP(AC14,Düngemittel!$B$6:$E$64,3,FALSE))/100*AD14</f>
        <v>0</v>
      </c>
      <c r="AF14" s="1033">
        <f>VLOOKUP(AC14,Düngemittel!$B$6:$E$64,2,FALSE)*AD14</f>
        <v>0</v>
      </c>
      <c r="AG14" s="1033">
        <f>VLOOKUP(AC14,Düngemittel!$B$6:$E$64,4,FALSE)*AD14</f>
        <v>0</v>
      </c>
      <c r="AH14" s="2243"/>
      <c r="AI14" s="1329"/>
      <c r="AJ14" s="1330" t="s">
        <v>795</v>
      </c>
      <c r="AK14" s="1424">
        <v>0</v>
      </c>
      <c r="AL14" s="1033">
        <f>VLOOKUP(AJ14,Düngemittel!$B$6:$E$64,2,FALSE)*(VLOOKUP(AJ14,Düngemittel!$B$6:$E$64,3,FALSE))/100*AK14</f>
        <v>0</v>
      </c>
      <c r="AM14" s="1033">
        <f>VLOOKUP(AJ14,Düngemittel!$B$6:$E$64,2,FALSE)*AK14</f>
        <v>0</v>
      </c>
      <c r="AN14" s="1033">
        <f>VLOOKUP(AJ14,Düngemittel!$B$6:$E$64,4,FALSE)*AK14</f>
        <v>0</v>
      </c>
      <c r="AO14" s="2243"/>
      <c r="AP14" s="1329"/>
      <c r="AQ14" s="1330" t="s">
        <v>795</v>
      </c>
      <c r="AR14" s="1424">
        <v>0</v>
      </c>
      <c r="AS14" s="1033">
        <f>VLOOKUP(AQ14,Düngemittel!$B$6:$E$64,2,FALSE)*(VLOOKUP(AQ14,Düngemittel!$B$6:$E$64,3,FALSE))/100*AR14</f>
        <v>0</v>
      </c>
      <c r="AT14" s="1033">
        <f>VLOOKUP(AQ14,Düngemittel!$B$6:$E$64,2,FALSE)*AR14</f>
        <v>0</v>
      </c>
      <c r="AU14" s="1033">
        <f>VLOOKUP(AQ14,Düngemittel!$B$6:$E$64,4,FALSE)*AR14</f>
        <v>0</v>
      </c>
      <c r="AV14" s="1371"/>
      <c r="AW14" s="1371"/>
      <c r="AX14" s="1372">
        <f t="shared" si="18"/>
        <v>0</v>
      </c>
      <c r="AY14" s="1373">
        <f t="shared" si="19"/>
        <v>0</v>
      </c>
      <c r="AZ14" s="1374">
        <f t="shared" si="20"/>
        <v>0</v>
      </c>
      <c r="BA14" s="1375">
        <f t="shared" si="21"/>
        <v>0</v>
      </c>
      <c r="BB14" s="1373">
        <f t="shared" si="22"/>
        <v>0</v>
      </c>
      <c r="BC14" s="1376"/>
      <c r="BD14" s="1372">
        <f t="shared" si="23"/>
        <v>0</v>
      </c>
      <c r="BE14" s="1372">
        <f t="shared" si="14"/>
        <v>0</v>
      </c>
      <c r="BF14" s="1372">
        <f t="shared" si="14"/>
        <v>0</v>
      </c>
      <c r="BG14" s="1816">
        <f t="shared" si="14"/>
        <v>0</v>
      </c>
      <c r="BH14" s="1372">
        <f t="shared" si="14"/>
        <v>0</v>
      </c>
      <c r="BI14" s="2278"/>
      <c r="BJ14" s="2278"/>
      <c r="BK14" s="2278"/>
      <c r="BL14" s="2141" t="s">
        <v>1343</v>
      </c>
      <c r="BM14" s="33">
        <v>150</v>
      </c>
      <c r="BN14" s="33">
        <v>310</v>
      </c>
      <c r="BO14" s="33">
        <v>20</v>
      </c>
      <c r="BP14" s="323">
        <v>20</v>
      </c>
      <c r="BQ14" s="323">
        <v>20</v>
      </c>
      <c r="BR14" s="323">
        <f>BQ14*2/3</f>
        <v>13.333333333333334</v>
      </c>
      <c r="BS14" s="323">
        <v>100</v>
      </c>
      <c r="BT14" s="323">
        <v>60</v>
      </c>
      <c r="BU14" s="1001">
        <v>0.14899999999999999</v>
      </c>
      <c r="BV14" s="357">
        <v>0</v>
      </c>
      <c r="BW14" s="357">
        <v>0</v>
      </c>
      <c r="BX14" s="357"/>
      <c r="BY14" s="1354"/>
      <c r="BZ14" s="1358" t="s">
        <v>89</v>
      </c>
      <c r="CA14" s="1366">
        <v>40</v>
      </c>
      <c r="CB14" s="357"/>
      <c r="CC14" s="357"/>
      <c r="CD14" s="357"/>
    </row>
    <row r="15" spans="1:85" ht="17.25" customHeight="1">
      <c r="A15" s="468">
        <v>8</v>
      </c>
      <c r="B15" s="1699">
        <v>0</v>
      </c>
      <c r="C15" s="1431" t="s">
        <v>31</v>
      </c>
      <c r="D15" s="2335">
        <f t="shared" si="0"/>
        <v>0</v>
      </c>
      <c r="E15" s="1381">
        <f t="shared" si="1"/>
        <v>0</v>
      </c>
      <c r="F15" s="1966">
        <f t="shared" si="2"/>
        <v>0</v>
      </c>
      <c r="G15" s="1928">
        <f t="shared" si="3"/>
        <v>0</v>
      </c>
      <c r="H15" s="1949">
        <f t="shared" si="4"/>
        <v>0</v>
      </c>
      <c r="I15" s="1949">
        <f t="shared" si="5"/>
        <v>0</v>
      </c>
      <c r="J15" s="1949">
        <f t="shared" si="6"/>
        <v>0</v>
      </c>
      <c r="K15" s="1928">
        <f t="shared" si="15"/>
        <v>0</v>
      </c>
      <c r="L15" s="1702">
        <v>0</v>
      </c>
      <c r="M15" s="2283" t="s">
        <v>31</v>
      </c>
      <c r="N15" s="2284" t="s">
        <v>1314</v>
      </c>
      <c r="O15" s="2285">
        <f t="shared" si="7"/>
        <v>0</v>
      </c>
      <c r="P15" s="2290" t="s">
        <v>1314</v>
      </c>
      <c r="Q15" s="2291">
        <f t="shared" si="8"/>
        <v>0</v>
      </c>
      <c r="R15" s="2288">
        <f t="shared" si="9"/>
        <v>0</v>
      </c>
      <c r="S15" s="2289">
        <v>0</v>
      </c>
      <c r="T15" s="2207">
        <v>0</v>
      </c>
      <c r="U15" s="2229">
        <f t="shared" si="16"/>
        <v>0</v>
      </c>
      <c r="V15" s="2228">
        <f t="shared" si="17"/>
        <v>0</v>
      </c>
      <c r="W15" s="2216">
        <f t="shared" si="10"/>
        <v>0</v>
      </c>
      <c r="X15" s="2213">
        <f t="shared" si="11"/>
        <v>0</v>
      </c>
      <c r="Z15" s="1281">
        <f t="shared" si="12"/>
        <v>8</v>
      </c>
      <c r="AA15" s="2087" t="str">
        <f t="shared" si="13"/>
        <v>keine</v>
      </c>
      <c r="AB15" s="1329"/>
      <c r="AC15" s="1330" t="s">
        <v>795</v>
      </c>
      <c r="AD15" s="1424">
        <v>0</v>
      </c>
      <c r="AE15" s="1033">
        <f>VLOOKUP(AC15,Düngemittel!$B$6:$E$64,2,FALSE)*(VLOOKUP(AC15,Düngemittel!$B$6:$E$64,3,FALSE))/100*AD15</f>
        <v>0</v>
      </c>
      <c r="AF15" s="1033">
        <f>VLOOKUP(AC15,Düngemittel!$B$6:$E$64,2,FALSE)*AD15</f>
        <v>0</v>
      </c>
      <c r="AG15" s="1033">
        <f>VLOOKUP(AC15,Düngemittel!$B$6:$E$64,4,FALSE)*AD15</f>
        <v>0</v>
      </c>
      <c r="AH15" s="2243"/>
      <c r="AI15" s="1329"/>
      <c r="AJ15" s="1330" t="s">
        <v>795</v>
      </c>
      <c r="AK15" s="1424">
        <v>0</v>
      </c>
      <c r="AL15" s="1033">
        <f>VLOOKUP(AJ15,Düngemittel!$B$6:$E$64,2,FALSE)*(VLOOKUP(AJ15,Düngemittel!$B$6:$E$64,3,FALSE))/100*AK15</f>
        <v>0</v>
      </c>
      <c r="AM15" s="1033">
        <f>VLOOKUP(AJ15,Düngemittel!$B$6:$E$64,2,FALSE)*AK15</f>
        <v>0</v>
      </c>
      <c r="AN15" s="1033">
        <f>VLOOKUP(AJ15,Düngemittel!$B$6:$E$64,4,FALSE)*AK15</f>
        <v>0</v>
      </c>
      <c r="AO15" s="2243"/>
      <c r="AP15" s="1329"/>
      <c r="AQ15" s="1330" t="s">
        <v>795</v>
      </c>
      <c r="AR15" s="1424">
        <v>0</v>
      </c>
      <c r="AS15" s="1033">
        <f>VLOOKUP(AQ15,Düngemittel!$B$6:$E$64,2,FALSE)*(VLOOKUP(AQ15,Düngemittel!$B$6:$E$64,3,FALSE))/100*AR15</f>
        <v>0</v>
      </c>
      <c r="AT15" s="1033">
        <f>VLOOKUP(AQ15,Düngemittel!$B$6:$E$64,2,FALSE)*AR15</f>
        <v>0</v>
      </c>
      <c r="AU15" s="1033">
        <f>VLOOKUP(AQ15,Düngemittel!$B$6:$E$64,4,FALSE)*AR15</f>
        <v>0</v>
      </c>
      <c r="AV15" s="1371"/>
      <c r="AW15" s="1371"/>
      <c r="AX15" s="1372">
        <f t="shared" si="18"/>
        <v>0</v>
      </c>
      <c r="AY15" s="1373">
        <f t="shared" si="19"/>
        <v>0</v>
      </c>
      <c r="AZ15" s="1374">
        <f t="shared" si="20"/>
        <v>0</v>
      </c>
      <c r="BA15" s="1375">
        <f t="shared" si="21"/>
        <v>0</v>
      </c>
      <c r="BB15" s="1373">
        <f t="shared" si="22"/>
        <v>0</v>
      </c>
      <c r="BC15" s="1376"/>
      <c r="BD15" s="1372">
        <f t="shared" si="23"/>
        <v>0</v>
      </c>
      <c r="BE15" s="1372">
        <f t="shared" si="14"/>
        <v>0</v>
      </c>
      <c r="BF15" s="1372">
        <f t="shared" si="14"/>
        <v>0</v>
      </c>
      <c r="BG15" s="1816">
        <f t="shared" si="14"/>
        <v>0</v>
      </c>
      <c r="BH15" s="1372">
        <f t="shared" si="14"/>
        <v>0</v>
      </c>
      <c r="BI15" s="2278"/>
      <c r="BJ15" s="2278"/>
      <c r="BK15" s="2278"/>
      <c r="BL15" s="2159" t="s">
        <v>1642</v>
      </c>
      <c r="BM15" s="33">
        <v>150</v>
      </c>
      <c r="BN15" s="33">
        <v>65</v>
      </c>
      <c r="BO15" s="33">
        <v>10</v>
      </c>
      <c r="BP15" s="2160">
        <v>7</v>
      </c>
      <c r="BQ15" s="2160">
        <v>7</v>
      </c>
      <c r="BR15" s="2160">
        <v>0</v>
      </c>
      <c r="BS15" s="2160">
        <v>0</v>
      </c>
      <c r="BT15" s="2160">
        <v>30</v>
      </c>
      <c r="BU15" s="1914">
        <v>9.1999999999999998E-2</v>
      </c>
      <c r="BV15" s="357">
        <v>0</v>
      </c>
      <c r="BW15" s="357">
        <v>0</v>
      </c>
      <c r="BX15" s="357"/>
      <c r="BY15" s="1354"/>
      <c r="BZ15" s="1358" t="s">
        <v>227</v>
      </c>
      <c r="CA15" s="1366">
        <v>60</v>
      </c>
      <c r="CB15" s="357"/>
      <c r="CC15" s="357"/>
      <c r="CD15" s="357"/>
    </row>
    <row r="16" spans="1:85" ht="17.25" customHeight="1">
      <c r="A16" s="468">
        <v>9</v>
      </c>
      <c r="B16" s="1699">
        <v>0</v>
      </c>
      <c r="C16" s="2338" t="s">
        <v>31</v>
      </c>
      <c r="D16" s="2335">
        <f t="shared" si="0"/>
        <v>0</v>
      </c>
      <c r="E16" s="1381">
        <f t="shared" si="1"/>
        <v>0</v>
      </c>
      <c r="F16" s="1966">
        <f t="shared" si="2"/>
        <v>0</v>
      </c>
      <c r="G16" s="1928">
        <f t="shared" si="3"/>
        <v>0</v>
      </c>
      <c r="H16" s="1949">
        <f t="shared" si="4"/>
        <v>0</v>
      </c>
      <c r="I16" s="1949">
        <f t="shared" si="5"/>
        <v>0</v>
      </c>
      <c r="J16" s="1949">
        <f t="shared" si="6"/>
        <v>0</v>
      </c>
      <c r="K16" s="1928">
        <f t="shared" si="15"/>
        <v>0</v>
      </c>
      <c r="L16" s="1702">
        <v>0</v>
      </c>
      <c r="M16" s="2283" t="s">
        <v>31</v>
      </c>
      <c r="N16" s="2284" t="s">
        <v>1314</v>
      </c>
      <c r="O16" s="2285">
        <f t="shared" si="7"/>
        <v>0</v>
      </c>
      <c r="P16" s="2290" t="s">
        <v>1314</v>
      </c>
      <c r="Q16" s="2291">
        <f t="shared" si="8"/>
        <v>0</v>
      </c>
      <c r="R16" s="2288">
        <f t="shared" si="9"/>
        <v>0</v>
      </c>
      <c r="S16" s="2289">
        <v>0</v>
      </c>
      <c r="T16" s="2207">
        <v>0</v>
      </c>
      <c r="U16" s="2229">
        <f t="shared" si="16"/>
        <v>0</v>
      </c>
      <c r="V16" s="2228">
        <f t="shared" si="17"/>
        <v>0</v>
      </c>
      <c r="W16" s="2216">
        <f t="shared" si="10"/>
        <v>0</v>
      </c>
      <c r="X16" s="2213">
        <f t="shared" si="11"/>
        <v>0</v>
      </c>
      <c r="Z16" s="1281">
        <f t="shared" si="12"/>
        <v>9</v>
      </c>
      <c r="AA16" s="2087" t="str">
        <f t="shared" si="13"/>
        <v>keine</v>
      </c>
      <c r="AB16" s="1329"/>
      <c r="AC16" s="1330" t="s">
        <v>795</v>
      </c>
      <c r="AD16" s="1424">
        <v>0</v>
      </c>
      <c r="AE16" s="1033">
        <f>VLOOKUP(AC16,Düngemittel!$B$6:$E$64,2,FALSE)*(VLOOKUP(AC16,Düngemittel!$B$6:$E$64,3,FALSE))/100*AD16</f>
        <v>0</v>
      </c>
      <c r="AF16" s="1033">
        <f>VLOOKUP(AC16,Düngemittel!$B$6:$E$64,2,FALSE)*AD16</f>
        <v>0</v>
      </c>
      <c r="AG16" s="1033">
        <f>VLOOKUP(AC16,Düngemittel!$B$6:$E$64,4,FALSE)*AD16</f>
        <v>0</v>
      </c>
      <c r="AH16" s="2243"/>
      <c r="AI16" s="1329"/>
      <c r="AJ16" s="1330" t="s">
        <v>795</v>
      </c>
      <c r="AK16" s="1424">
        <v>0</v>
      </c>
      <c r="AL16" s="1033">
        <f>VLOOKUP(AJ16,Düngemittel!$B$6:$E$64,2,FALSE)*(VLOOKUP(AJ16,Düngemittel!$B$6:$E$64,3,FALSE))/100*AK16</f>
        <v>0</v>
      </c>
      <c r="AM16" s="1033">
        <f>VLOOKUP(AJ16,Düngemittel!$B$6:$E$64,2,FALSE)*AK16</f>
        <v>0</v>
      </c>
      <c r="AN16" s="1033">
        <f>VLOOKUP(AJ16,Düngemittel!$B$6:$E$64,4,FALSE)*AK16</f>
        <v>0</v>
      </c>
      <c r="AO16" s="2243"/>
      <c r="AP16" s="1329"/>
      <c r="AQ16" s="1330" t="s">
        <v>795</v>
      </c>
      <c r="AR16" s="1424">
        <v>0</v>
      </c>
      <c r="AS16" s="1033">
        <f>VLOOKUP(AQ16,Düngemittel!$B$6:$E$64,2,FALSE)*(VLOOKUP(AQ16,Düngemittel!$B$6:$E$64,3,FALSE))/100*AR16</f>
        <v>0</v>
      </c>
      <c r="AT16" s="1033">
        <f>VLOOKUP(AQ16,Düngemittel!$B$6:$E$64,2,FALSE)*AR16</f>
        <v>0</v>
      </c>
      <c r="AU16" s="1033">
        <f>VLOOKUP(AQ16,Düngemittel!$B$6:$E$64,4,FALSE)*AR16</f>
        <v>0</v>
      </c>
      <c r="AV16" s="1371"/>
      <c r="AW16" s="1371"/>
      <c r="AX16" s="1372">
        <f t="shared" si="18"/>
        <v>0</v>
      </c>
      <c r="AY16" s="1373">
        <f t="shared" si="19"/>
        <v>0</v>
      </c>
      <c r="AZ16" s="1374">
        <f t="shared" si="20"/>
        <v>0</v>
      </c>
      <c r="BA16" s="1375">
        <f t="shared" si="21"/>
        <v>0</v>
      </c>
      <c r="BB16" s="1373">
        <f t="shared" si="22"/>
        <v>0</v>
      </c>
      <c r="BC16" s="1376"/>
      <c r="BD16" s="1372">
        <f t="shared" si="23"/>
        <v>0</v>
      </c>
      <c r="BE16" s="1372">
        <f t="shared" si="14"/>
        <v>0</v>
      </c>
      <c r="BF16" s="1372">
        <f t="shared" si="14"/>
        <v>0</v>
      </c>
      <c r="BG16" s="1816">
        <f t="shared" si="14"/>
        <v>0</v>
      </c>
      <c r="BH16" s="1372">
        <f t="shared" si="14"/>
        <v>0</v>
      </c>
      <c r="BI16" s="2278"/>
      <c r="BJ16" s="2278"/>
      <c r="BK16" s="2278"/>
      <c r="BL16" s="2141" t="s">
        <v>1344</v>
      </c>
      <c r="BM16" s="33">
        <v>120</v>
      </c>
      <c r="BN16" s="33">
        <v>110</v>
      </c>
      <c r="BO16" s="33">
        <v>20</v>
      </c>
      <c r="BP16" s="323">
        <v>20</v>
      </c>
      <c r="BQ16" s="323">
        <v>20</v>
      </c>
      <c r="BR16" s="323">
        <f t="shared" ref="BR16:BR25" si="24">BQ16*2/3</f>
        <v>13.333333333333334</v>
      </c>
      <c r="BS16" s="323">
        <v>45</v>
      </c>
      <c r="BT16" s="323">
        <v>60</v>
      </c>
      <c r="BU16" s="1001">
        <v>9.1999999999999998E-2</v>
      </c>
      <c r="BV16" s="357">
        <v>0</v>
      </c>
      <c r="BW16" s="357">
        <v>0</v>
      </c>
      <c r="BX16" s="357"/>
      <c r="BY16" s="357"/>
      <c r="BZ16" s="357"/>
      <c r="CA16" s="357"/>
      <c r="CB16" s="357"/>
      <c r="CC16" s="357"/>
      <c r="CD16" s="357"/>
    </row>
    <row r="17" spans="1:82" ht="17.25" customHeight="1">
      <c r="A17" s="468">
        <v>10</v>
      </c>
      <c r="B17" s="1699">
        <v>0</v>
      </c>
      <c r="C17" s="2336" t="s">
        <v>31</v>
      </c>
      <c r="D17" s="2335">
        <f t="shared" si="0"/>
        <v>0</v>
      </c>
      <c r="E17" s="1381">
        <f t="shared" si="1"/>
        <v>0</v>
      </c>
      <c r="F17" s="1966">
        <f t="shared" si="2"/>
        <v>0</v>
      </c>
      <c r="G17" s="1928">
        <f t="shared" si="3"/>
        <v>0</v>
      </c>
      <c r="H17" s="1949">
        <f t="shared" si="4"/>
        <v>0</v>
      </c>
      <c r="I17" s="1949">
        <f t="shared" si="5"/>
        <v>0</v>
      </c>
      <c r="J17" s="1949">
        <f t="shared" si="6"/>
        <v>0</v>
      </c>
      <c r="K17" s="1928">
        <f t="shared" si="15"/>
        <v>0</v>
      </c>
      <c r="L17" s="1702">
        <v>0</v>
      </c>
      <c r="M17" s="2283" t="s">
        <v>31</v>
      </c>
      <c r="N17" s="2284" t="s">
        <v>1314</v>
      </c>
      <c r="O17" s="2285">
        <f t="shared" si="7"/>
        <v>0</v>
      </c>
      <c r="P17" s="2290" t="s">
        <v>1314</v>
      </c>
      <c r="Q17" s="2291">
        <f t="shared" si="8"/>
        <v>0</v>
      </c>
      <c r="R17" s="2288">
        <f t="shared" si="9"/>
        <v>0</v>
      </c>
      <c r="S17" s="2289">
        <v>0</v>
      </c>
      <c r="T17" s="2207">
        <v>0</v>
      </c>
      <c r="U17" s="2229">
        <f t="shared" si="16"/>
        <v>0</v>
      </c>
      <c r="V17" s="2228">
        <f t="shared" si="17"/>
        <v>0</v>
      </c>
      <c r="W17" s="2216">
        <f t="shared" si="10"/>
        <v>0</v>
      </c>
      <c r="X17" s="2213">
        <f t="shared" si="11"/>
        <v>0</v>
      </c>
      <c r="Z17" s="1281">
        <f t="shared" si="12"/>
        <v>10</v>
      </c>
      <c r="AA17" s="2087" t="str">
        <f t="shared" si="13"/>
        <v>keine</v>
      </c>
      <c r="AB17" s="1329"/>
      <c r="AC17" s="1330" t="s">
        <v>795</v>
      </c>
      <c r="AD17" s="1424">
        <v>0</v>
      </c>
      <c r="AE17" s="1033">
        <f>VLOOKUP(AC17,Düngemittel!$B$6:$E$64,2,FALSE)*(VLOOKUP(AC17,Düngemittel!$B$6:$E$64,3,FALSE))/100*AD17</f>
        <v>0</v>
      </c>
      <c r="AF17" s="1033">
        <f>VLOOKUP(AC17,Düngemittel!$B$6:$E$64,2,FALSE)*AD17</f>
        <v>0</v>
      </c>
      <c r="AG17" s="1033">
        <f>VLOOKUP(AC17,Düngemittel!$B$6:$E$64,4,FALSE)*AD17</f>
        <v>0</v>
      </c>
      <c r="AH17" s="2243"/>
      <c r="AI17" s="1329"/>
      <c r="AJ17" s="1330" t="s">
        <v>795</v>
      </c>
      <c r="AK17" s="1424">
        <v>0</v>
      </c>
      <c r="AL17" s="1033">
        <f>VLOOKUP(AJ17,Düngemittel!$B$6:$E$64,2,FALSE)*(VLOOKUP(AJ17,Düngemittel!$B$6:$E$64,3,FALSE))/100*AK17</f>
        <v>0</v>
      </c>
      <c r="AM17" s="1033">
        <f>VLOOKUP(AJ17,Düngemittel!$B$6:$E$64,2,FALSE)*AK17</f>
        <v>0</v>
      </c>
      <c r="AN17" s="1033">
        <f>VLOOKUP(AJ17,Düngemittel!$B$6:$E$64,4,FALSE)*AK17</f>
        <v>0</v>
      </c>
      <c r="AO17" s="2243"/>
      <c r="AP17" s="1329"/>
      <c r="AQ17" s="1330" t="s">
        <v>795</v>
      </c>
      <c r="AR17" s="1424">
        <v>0</v>
      </c>
      <c r="AS17" s="1033">
        <f>VLOOKUP(AQ17,Düngemittel!$B$6:$E$64,2,FALSE)*(VLOOKUP(AQ17,Düngemittel!$B$6:$E$64,3,FALSE))/100*AR17</f>
        <v>0</v>
      </c>
      <c r="AT17" s="1033">
        <f>VLOOKUP(AQ17,Düngemittel!$B$6:$E$64,2,FALSE)*AR17</f>
        <v>0</v>
      </c>
      <c r="AU17" s="1033">
        <f>VLOOKUP(AQ17,Düngemittel!$B$6:$E$64,4,FALSE)*AR17</f>
        <v>0</v>
      </c>
      <c r="AV17" s="1371"/>
      <c r="AW17" s="1371"/>
      <c r="AX17" s="1372">
        <f t="shared" si="18"/>
        <v>0</v>
      </c>
      <c r="AY17" s="1373">
        <f t="shared" si="19"/>
        <v>0</v>
      </c>
      <c r="AZ17" s="1374">
        <f t="shared" si="20"/>
        <v>0</v>
      </c>
      <c r="BA17" s="1375">
        <f t="shared" si="21"/>
        <v>0</v>
      </c>
      <c r="BB17" s="1373">
        <f t="shared" si="22"/>
        <v>0</v>
      </c>
      <c r="BC17" s="1376"/>
      <c r="BD17" s="1372">
        <f t="shared" si="23"/>
        <v>0</v>
      </c>
      <c r="BE17" s="1372">
        <f t="shared" si="14"/>
        <v>0</v>
      </c>
      <c r="BF17" s="1372">
        <f t="shared" si="14"/>
        <v>0</v>
      </c>
      <c r="BG17" s="1816">
        <f t="shared" si="14"/>
        <v>0</v>
      </c>
      <c r="BH17" s="1372">
        <f t="shared" si="14"/>
        <v>0</v>
      </c>
      <c r="BI17" s="2278"/>
      <c r="BJ17" s="2278"/>
      <c r="BK17" s="2278"/>
      <c r="BL17" s="2141" t="s">
        <v>1345</v>
      </c>
      <c r="BM17" s="33">
        <v>450</v>
      </c>
      <c r="BN17" s="33">
        <v>135</v>
      </c>
      <c r="BO17" s="33">
        <v>20</v>
      </c>
      <c r="BP17" s="323">
        <v>20</v>
      </c>
      <c r="BQ17" s="323">
        <v>20</v>
      </c>
      <c r="BR17" s="323">
        <f t="shared" si="24"/>
        <v>13.333333333333334</v>
      </c>
      <c r="BS17" s="323">
        <v>40</v>
      </c>
      <c r="BT17" s="323">
        <v>90</v>
      </c>
      <c r="BU17" s="1001">
        <v>0.121</v>
      </c>
      <c r="BV17" s="357">
        <v>0</v>
      </c>
      <c r="BW17" s="357">
        <v>0</v>
      </c>
      <c r="BX17" s="357"/>
      <c r="BY17" s="357"/>
      <c r="BZ17" s="357"/>
      <c r="CA17" s="357"/>
      <c r="CB17" s="357"/>
      <c r="CC17" s="357"/>
      <c r="CD17" s="357"/>
    </row>
    <row r="18" spans="1:82" ht="17.25" customHeight="1">
      <c r="A18" s="468">
        <v>11</v>
      </c>
      <c r="B18" s="1699">
        <v>0</v>
      </c>
      <c r="C18" s="1431" t="s">
        <v>31</v>
      </c>
      <c r="D18" s="2335">
        <f t="shared" si="0"/>
        <v>0</v>
      </c>
      <c r="E18" s="1381">
        <f t="shared" si="1"/>
        <v>0</v>
      </c>
      <c r="F18" s="1966">
        <f t="shared" si="2"/>
        <v>0</v>
      </c>
      <c r="G18" s="1928">
        <f t="shared" si="3"/>
        <v>0</v>
      </c>
      <c r="H18" s="1949">
        <f t="shared" si="4"/>
        <v>0</v>
      </c>
      <c r="I18" s="1949">
        <f t="shared" si="5"/>
        <v>0</v>
      </c>
      <c r="J18" s="1949">
        <f t="shared" si="6"/>
        <v>0</v>
      </c>
      <c r="K18" s="1928">
        <f t="shared" si="15"/>
        <v>0</v>
      </c>
      <c r="L18" s="1702">
        <v>0</v>
      </c>
      <c r="M18" s="2283" t="s">
        <v>31</v>
      </c>
      <c r="N18" s="2284" t="s">
        <v>1314</v>
      </c>
      <c r="O18" s="2285">
        <f t="shared" si="7"/>
        <v>0</v>
      </c>
      <c r="P18" s="2290" t="s">
        <v>1314</v>
      </c>
      <c r="Q18" s="2291">
        <f t="shared" si="8"/>
        <v>0</v>
      </c>
      <c r="R18" s="2288">
        <f t="shared" si="9"/>
        <v>0</v>
      </c>
      <c r="S18" s="2289">
        <v>0</v>
      </c>
      <c r="T18" s="2207">
        <v>0</v>
      </c>
      <c r="U18" s="2229">
        <f t="shared" si="16"/>
        <v>0</v>
      </c>
      <c r="V18" s="2228">
        <f t="shared" si="17"/>
        <v>0</v>
      </c>
      <c r="W18" s="2216">
        <f t="shared" si="10"/>
        <v>0</v>
      </c>
      <c r="X18" s="2213">
        <f t="shared" si="11"/>
        <v>0</v>
      </c>
      <c r="Z18" s="1281">
        <f t="shared" si="12"/>
        <v>11</v>
      </c>
      <c r="AA18" s="2087" t="str">
        <f t="shared" si="13"/>
        <v>keine</v>
      </c>
      <c r="AB18" s="1329"/>
      <c r="AC18" s="1330" t="s">
        <v>795</v>
      </c>
      <c r="AD18" s="1424">
        <v>0</v>
      </c>
      <c r="AE18" s="1033">
        <f>VLOOKUP(AC18,Düngemittel!$B$6:$E$64,2,FALSE)*(VLOOKUP(AC18,Düngemittel!$B$6:$E$64,3,FALSE))/100*AD18</f>
        <v>0</v>
      </c>
      <c r="AF18" s="1033">
        <f>VLOOKUP(AC18,Düngemittel!$B$6:$E$64,2,FALSE)*AD18</f>
        <v>0</v>
      </c>
      <c r="AG18" s="1033">
        <f>VLOOKUP(AC18,Düngemittel!$B$6:$E$64,4,FALSE)*AD18</f>
        <v>0</v>
      </c>
      <c r="AH18" s="2243"/>
      <c r="AI18" s="1329"/>
      <c r="AJ18" s="1330" t="s">
        <v>795</v>
      </c>
      <c r="AK18" s="1424">
        <v>0</v>
      </c>
      <c r="AL18" s="1033">
        <f>VLOOKUP(AJ18,Düngemittel!$B$6:$E$64,2,FALSE)*(VLOOKUP(AJ18,Düngemittel!$B$6:$E$64,3,FALSE))/100*AK18</f>
        <v>0</v>
      </c>
      <c r="AM18" s="1033">
        <f>VLOOKUP(AJ18,Düngemittel!$B$6:$E$64,2,FALSE)*AK18</f>
        <v>0</v>
      </c>
      <c r="AN18" s="1033">
        <f>VLOOKUP(AJ18,Düngemittel!$B$6:$E$64,4,FALSE)*AK18</f>
        <v>0</v>
      </c>
      <c r="AO18" s="2243"/>
      <c r="AP18" s="1329"/>
      <c r="AQ18" s="1330" t="s">
        <v>795</v>
      </c>
      <c r="AR18" s="1424">
        <v>0</v>
      </c>
      <c r="AS18" s="1033">
        <f>VLOOKUP(AQ18,Düngemittel!$B$6:$E$64,2,FALSE)*(VLOOKUP(AQ18,Düngemittel!$B$6:$E$64,3,FALSE))/100*AR18</f>
        <v>0</v>
      </c>
      <c r="AT18" s="1033">
        <f>VLOOKUP(AQ18,Düngemittel!$B$6:$E$64,2,FALSE)*AR18</f>
        <v>0</v>
      </c>
      <c r="AU18" s="1033">
        <f>VLOOKUP(AQ18,Düngemittel!$B$6:$E$64,4,FALSE)*AR18</f>
        <v>0</v>
      </c>
      <c r="AV18" s="1371"/>
      <c r="AW18" s="1371"/>
      <c r="AX18" s="1372">
        <f t="shared" si="18"/>
        <v>0</v>
      </c>
      <c r="AY18" s="1373">
        <f t="shared" si="19"/>
        <v>0</v>
      </c>
      <c r="AZ18" s="1374">
        <f t="shared" si="20"/>
        <v>0</v>
      </c>
      <c r="BA18" s="1375">
        <f t="shared" si="21"/>
        <v>0</v>
      </c>
      <c r="BB18" s="1373">
        <f t="shared" si="22"/>
        <v>0</v>
      </c>
      <c r="BC18" s="1376"/>
      <c r="BD18" s="1372">
        <f t="shared" si="23"/>
        <v>0</v>
      </c>
      <c r="BE18" s="1372">
        <f t="shared" si="14"/>
        <v>0</v>
      </c>
      <c r="BF18" s="1372">
        <f t="shared" si="14"/>
        <v>0</v>
      </c>
      <c r="BG18" s="1816">
        <f t="shared" si="14"/>
        <v>0</v>
      </c>
      <c r="BH18" s="1372">
        <f t="shared" si="14"/>
        <v>0</v>
      </c>
      <c r="BI18" s="2278"/>
      <c r="BJ18" s="2278"/>
      <c r="BK18" s="2278"/>
      <c r="BL18" s="2141" t="s">
        <v>1277</v>
      </c>
      <c r="BM18" s="33">
        <v>700</v>
      </c>
      <c r="BN18" s="33">
        <v>210</v>
      </c>
      <c r="BO18" s="33">
        <v>20</v>
      </c>
      <c r="BP18" s="323">
        <v>20</v>
      </c>
      <c r="BQ18" s="323">
        <v>20</v>
      </c>
      <c r="BR18" s="323">
        <f t="shared" si="24"/>
        <v>13.333333333333334</v>
      </c>
      <c r="BS18" s="323">
        <v>45</v>
      </c>
      <c r="BT18" s="323">
        <v>60</v>
      </c>
      <c r="BU18" s="1001">
        <v>9.1999999999999998E-2</v>
      </c>
      <c r="BV18" s="357">
        <v>0</v>
      </c>
      <c r="BW18" s="357">
        <v>0</v>
      </c>
      <c r="BX18" s="357"/>
      <c r="BY18" s="357"/>
      <c r="BZ18" s="357"/>
      <c r="CA18" s="357"/>
      <c r="CB18" s="357"/>
      <c r="CC18" s="357"/>
      <c r="CD18" s="357"/>
    </row>
    <row r="19" spans="1:82" ht="17.25" customHeight="1">
      <c r="A19" s="468">
        <v>12</v>
      </c>
      <c r="B19" s="1699">
        <v>0</v>
      </c>
      <c r="C19" s="1431" t="s">
        <v>31</v>
      </c>
      <c r="D19" s="2335">
        <f t="shared" si="0"/>
        <v>0</v>
      </c>
      <c r="E19" s="1381">
        <f t="shared" si="1"/>
        <v>0</v>
      </c>
      <c r="F19" s="1966">
        <f t="shared" si="2"/>
        <v>0</v>
      </c>
      <c r="G19" s="1928">
        <f t="shared" si="3"/>
        <v>0</v>
      </c>
      <c r="H19" s="1949">
        <f t="shared" si="4"/>
        <v>0</v>
      </c>
      <c r="I19" s="1949">
        <f t="shared" si="5"/>
        <v>0</v>
      </c>
      <c r="J19" s="1949">
        <f t="shared" si="6"/>
        <v>0</v>
      </c>
      <c r="K19" s="1928">
        <f t="shared" si="15"/>
        <v>0</v>
      </c>
      <c r="L19" s="1702">
        <v>0</v>
      </c>
      <c r="M19" s="2283" t="s">
        <v>31</v>
      </c>
      <c r="N19" s="2284" t="s">
        <v>1314</v>
      </c>
      <c r="O19" s="2285">
        <f t="shared" si="7"/>
        <v>0</v>
      </c>
      <c r="P19" s="2290" t="s">
        <v>1314</v>
      </c>
      <c r="Q19" s="2291">
        <f t="shared" si="8"/>
        <v>0</v>
      </c>
      <c r="R19" s="2288">
        <f t="shared" si="9"/>
        <v>0</v>
      </c>
      <c r="S19" s="2289">
        <v>0</v>
      </c>
      <c r="T19" s="2207">
        <v>0</v>
      </c>
      <c r="U19" s="2229">
        <f t="shared" si="16"/>
        <v>0</v>
      </c>
      <c r="V19" s="2228">
        <f t="shared" si="17"/>
        <v>0</v>
      </c>
      <c r="W19" s="2216">
        <f t="shared" si="10"/>
        <v>0</v>
      </c>
      <c r="X19" s="2213">
        <f t="shared" si="11"/>
        <v>0</v>
      </c>
      <c r="Z19" s="1281">
        <f t="shared" si="12"/>
        <v>12</v>
      </c>
      <c r="AA19" s="2087" t="str">
        <f t="shared" si="13"/>
        <v>keine</v>
      </c>
      <c r="AB19" s="1329"/>
      <c r="AC19" s="1330" t="s">
        <v>795</v>
      </c>
      <c r="AD19" s="1424">
        <v>0</v>
      </c>
      <c r="AE19" s="1033">
        <f>VLOOKUP(AC19,Düngemittel!$B$6:$E$64,2,FALSE)*(VLOOKUP(AC19,Düngemittel!$B$6:$E$64,3,FALSE))/100*AD19</f>
        <v>0</v>
      </c>
      <c r="AF19" s="1033">
        <f>VLOOKUP(AC19,Düngemittel!$B$6:$E$64,2,FALSE)*AD19</f>
        <v>0</v>
      </c>
      <c r="AG19" s="1033">
        <f>VLOOKUP(AC19,Düngemittel!$B$6:$E$64,4,FALSE)*AD19</f>
        <v>0</v>
      </c>
      <c r="AH19" s="2243"/>
      <c r="AI19" s="1329"/>
      <c r="AJ19" s="1330" t="s">
        <v>795</v>
      </c>
      <c r="AK19" s="1424">
        <v>0</v>
      </c>
      <c r="AL19" s="1033">
        <f>VLOOKUP(AJ19,Düngemittel!$B$6:$E$64,2,FALSE)*(VLOOKUP(AJ19,Düngemittel!$B$6:$E$64,3,FALSE))/100*AK19</f>
        <v>0</v>
      </c>
      <c r="AM19" s="1033">
        <f>VLOOKUP(AJ19,Düngemittel!$B$6:$E$64,2,FALSE)*AK19</f>
        <v>0</v>
      </c>
      <c r="AN19" s="1033">
        <f>VLOOKUP(AJ19,Düngemittel!$B$6:$E$64,4,FALSE)*AK19</f>
        <v>0</v>
      </c>
      <c r="AO19" s="2243"/>
      <c r="AP19" s="1329"/>
      <c r="AQ19" s="1330" t="s">
        <v>795</v>
      </c>
      <c r="AR19" s="1424">
        <v>0</v>
      </c>
      <c r="AS19" s="1033">
        <f>VLOOKUP(AQ19,Düngemittel!$B$6:$E$64,2,FALSE)*(VLOOKUP(AQ19,Düngemittel!$B$6:$E$64,3,FALSE))/100*AR19</f>
        <v>0</v>
      </c>
      <c r="AT19" s="1033">
        <f>VLOOKUP(AQ19,Düngemittel!$B$6:$E$64,2,FALSE)*AR19</f>
        <v>0</v>
      </c>
      <c r="AU19" s="1033">
        <f>VLOOKUP(AQ19,Düngemittel!$B$6:$E$64,4,FALSE)*AR19</f>
        <v>0</v>
      </c>
      <c r="AV19" s="1371"/>
      <c r="AW19" s="1371"/>
      <c r="AX19" s="1372">
        <f t="shared" si="18"/>
        <v>0</v>
      </c>
      <c r="AY19" s="1373">
        <f t="shared" si="19"/>
        <v>0</v>
      </c>
      <c r="AZ19" s="1374">
        <f t="shared" si="20"/>
        <v>0</v>
      </c>
      <c r="BA19" s="1375">
        <f t="shared" si="21"/>
        <v>0</v>
      </c>
      <c r="BB19" s="1373">
        <f t="shared" si="22"/>
        <v>0</v>
      </c>
      <c r="BC19" s="1376"/>
      <c r="BD19" s="1372">
        <f t="shared" si="23"/>
        <v>0</v>
      </c>
      <c r="BE19" s="1372">
        <f t="shared" si="14"/>
        <v>0</v>
      </c>
      <c r="BF19" s="1372">
        <f t="shared" si="14"/>
        <v>0</v>
      </c>
      <c r="BG19" s="1816">
        <f t="shared" si="14"/>
        <v>0</v>
      </c>
      <c r="BH19" s="1372">
        <f t="shared" si="14"/>
        <v>0</v>
      </c>
      <c r="BI19" s="2278"/>
      <c r="BJ19" s="2278"/>
      <c r="BK19" s="2278"/>
      <c r="BL19" s="2140" t="s">
        <v>1643</v>
      </c>
      <c r="BM19" s="33">
        <v>65</v>
      </c>
      <c r="BN19" s="33">
        <v>60</v>
      </c>
      <c r="BO19" s="33">
        <v>20</v>
      </c>
      <c r="BP19" s="2156">
        <v>20</v>
      </c>
      <c r="BQ19" s="2156">
        <v>20</v>
      </c>
      <c r="BR19" s="323">
        <f t="shared" si="24"/>
        <v>13.333333333333334</v>
      </c>
      <c r="BS19" s="2156">
        <v>45</v>
      </c>
      <c r="BT19" s="323">
        <v>60</v>
      </c>
      <c r="BU19" s="1914">
        <v>0.25</v>
      </c>
      <c r="BV19" s="357">
        <v>0</v>
      </c>
      <c r="BW19" s="357">
        <v>0</v>
      </c>
      <c r="BX19" s="357"/>
      <c r="BY19" s="357"/>
      <c r="BZ19" s="357"/>
      <c r="CA19" s="357"/>
      <c r="CB19" s="357"/>
      <c r="CC19" s="357"/>
      <c r="CD19" s="357"/>
    </row>
    <row r="20" spans="1:82" ht="17.25" customHeight="1">
      <c r="A20" s="468">
        <v>13</v>
      </c>
      <c r="B20" s="1699">
        <v>0</v>
      </c>
      <c r="C20" s="1431" t="s">
        <v>31</v>
      </c>
      <c r="D20" s="2335">
        <f t="shared" si="0"/>
        <v>0</v>
      </c>
      <c r="E20" s="1381">
        <f t="shared" si="1"/>
        <v>0</v>
      </c>
      <c r="F20" s="1966">
        <f t="shared" si="2"/>
        <v>0</v>
      </c>
      <c r="G20" s="1928">
        <f t="shared" si="3"/>
        <v>0</v>
      </c>
      <c r="H20" s="1949">
        <f t="shared" si="4"/>
        <v>0</v>
      </c>
      <c r="I20" s="1949">
        <f t="shared" si="5"/>
        <v>0</v>
      </c>
      <c r="J20" s="1949">
        <f t="shared" si="6"/>
        <v>0</v>
      </c>
      <c r="K20" s="1928">
        <f t="shared" si="15"/>
        <v>0</v>
      </c>
      <c r="L20" s="1702">
        <v>0</v>
      </c>
      <c r="M20" s="2283" t="s">
        <v>31</v>
      </c>
      <c r="N20" s="2284" t="s">
        <v>1314</v>
      </c>
      <c r="O20" s="2285">
        <f t="shared" si="7"/>
        <v>0</v>
      </c>
      <c r="P20" s="2290" t="s">
        <v>1314</v>
      </c>
      <c r="Q20" s="2291">
        <f t="shared" si="8"/>
        <v>0</v>
      </c>
      <c r="R20" s="2288">
        <f t="shared" si="9"/>
        <v>0</v>
      </c>
      <c r="S20" s="2289">
        <v>0</v>
      </c>
      <c r="T20" s="2207">
        <v>0</v>
      </c>
      <c r="U20" s="2229">
        <f t="shared" si="16"/>
        <v>0</v>
      </c>
      <c r="V20" s="2228">
        <f t="shared" si="17"/>
        <v>0</v>
      </c>
      <c r="W20" s="2216">
        <f t="shared" si="10"/>
        <v>0</v>
      </c>
      <c r="X20" s="2213">
        <f t="shared" si="11"/>
        <v>0</v>
      </c>
      <c r="Z20" s="1281">
        <f t="shared" si="12"/>
        <v>13</v>
      </c>
      <c r="AA20" s="2087" t="str">
        <f t="shared" si="13"/>
        <v>keine</v>
      </c>
      <c r="AB20" s="1329"/>
      <c r="AC20" s="1330" t="s">
        <v>795</v>
      </c>
      <c r="AD20" s="1424">
        <v>0</v>
      </c>
      <c r="AE20" s="1033">
        <f>VLOOKUP(AC20,Düngemittel!$B$6:$E$64,2,FALSE)*(VLOOKUP(AC20,Düngemittel!$B$6:$E$64,3,FALSE))/100*AD20</f>
        <v>0</v>
      </c>
      <c r="AF20" s="1033">
        <f>VLOOKUP(AC20,Düngemittel!$B$6:$E$64,2,FALSE)*AD20</f>
        <v>0</v>
      </c>
      <c r="AG20" s="1033">
        <f>VLOOKUP(AC20,Düngemittel!$B$6:$E$64,4,FALSE)*AD20</f>
        <v>0</v>
      </c>
      <c r="AH20" s="2243"/>
      <c r="AI20" s="1329"/>
      <c r="AJ20" s="1330" t="s">
        <v>795</v>
      </c>
      <c r="AK20" s="1424">
        <v>0</v>
      </c>
      <c r="AL20" s="1033">
        <f>VLOOKUP(AJ20,Düngemittel!$B$6:$E$64,2,FALSE)*(VLOOKUP(AJ20,Düngemittel!$B$6:$E$64,3,FALSE))/100*AK20</f>
        <v>0</v>
      </c>
      <c r="AM20" s="1033">
        <f>VLOOKUP(AJ20,Düngemittel!$B$6:$E$64,2,FALSE)*AK20</f>
        <v>0</v>
      </c>
      <c r="AN20" s="1033">
        <f>VLOOKUP(AJ20,Düngemittel!$B$6:$E$64,4,FALSE)*AK20</f>
        <v>0</v>
      </c>
      <c r="AO20" s="2243"/>
      <c r="AP20" s="1329"/>
      <c r="AQ20" s="1330" t="s">
        <v>795</v>
      </c>
      <c r="AR20" s="1424">
        <v>0</v>
      </c>
      <c r="AS20" s="1033">
        <f>VLOOKUP(AQ20,Düngemittel!$B$6:$E$64,2,FALSE)*(VLOOKUP(AQ20,Düngemittel!$B$6:$E$64,3,FALSE))/100*AR20</f>
        <v>0</v>
      </c>
      <c r="AT20" s="1033">
        <f>VLOOKUP(AQ20,Düngemittel!$B$6:$E$64,2,FALSE)*AR20</f>
        <v>0</v>
      </c>
      <c r="AU20" s="1033">
        <f>VLOOKUP(AQ20,Düngemittel!$B$6:$E$64,4,FALSE)*AR20</f>
        <v>0</v>
      </c>
      <c r="AV20" s="1371"/>
      <c r="AW20" s="1371"/>
      <c r="AX20" s="1372">
        <f t="shared" si="18"/>
        <v>0</v>
      </c>
      <c r="AY20" s="1373">
        <f t="shared" si="19"/>
        <v>0</v>
      </c>
      <c r="AZ20" s="1374">
        <f t="shared" si="20"/>
        <v>0</v>
      </c>
      <c r="BA20" s="1375">
        <f t="shared" si="21"/>
        <v>0</v>
      </c>
      <c r="BB20" s="1373">
        <f t="shared" si="22"/>
        <v>0</v>
      </c>
      <c r="BC20" s="1376"/>
      <c r="BD20" s="1372">
        <f t="shared" si="23"/>
        <v>0</v>
      </c>
      <c r="BE20" s="1372">
        <f t="shared" si="14"/>
        <v>0</v>
      </c>
      <c r="BF20" s="1372">
        <f t="shared" si="14"/>
        <v>0</v>
      </c>
      <c r="BG20" s="1816">
        <f t="shared" si="14"/>
        <v>0</v>
      </c>
      <c r="BH20" s="1372">
        <f t="shared" si="14"/>
        <v>0</v>
      </c>
      <c r="BI20" s="2278"/>
      <c r="BJ20" s="2278"/>
      <c r="BK20" s="2278"/>
      <c r="BL20" s="2141" t="s">
        <v>1346</v>
      </c>
      <c r="BM20" s="33">
        <v>200</v>
      </c>
      <c r="BN20" s="33">
        <v>85</v>
      </c>
      <c r="BO20" s="33">
        <v>20</v>
      </c>
      <c r="BP20" s="323">
        <v>20</v>
      </c>
      <c r="BQ20" s="323">
        <v>20</v>
      </c>
      <c r="BR20" s="323">
        <f t="shared" si="24"/>
        <v>13.333333333333334</v>
      </c>
      <c r="BS20" s="323">
        <v>5</v>
      </c>
      <c r="BT20" s="323">
        <v>30</v>
      </c>
      <c r="BU20" s="1001">
        <v>9.1999999999999998E-2</v>
      </c>
      <c r="BV20" s="357">
        <v>0</v>
      </c>
      <c r="BW20" s="357">
        <v>0</v>
      </c>
      <c r="BX20" s="357"/>
      <c r="BY20" s="357"/>
      <c r="BZ20" s="357"/>
      <c r="CA20" s="357"/>
      <c r="CB20" s="357"/>
      <c r="CC20" s="357"/>
      <c r="CD20" s="357"/>
    </row>
    <row r="21" spans="1:82" ht="17.25" customHeight="1">
      <c r="A21" s="468">
        <v>14</v>
      </c>
      <c r="B21" s="1699">
        <v>0</v>
      </c>
      <c r="C21" s="1431" t="s">
        <v>31</v>
      </c>
      <c r="D21" s="2335">
        <f t="shared" si="0"/>
        <v>0</v>
      </c>
      <c r="E21" s="1381">
        <f t="shared" si="1"/>
        <v>0</v>
      </c>
      <c r="F21" s="1966">
        <f t="shared" si="2"/>
        <v>0</v>
      </c>
      <c r="G21" s="1928">
        <f t="shared" si="3"/>
        <v>0</v>
      </c>
      <c r="H21" s="1949">
        <f t="shared" si="4"/>
        <v>0</v>
      </c>
      <c r="I21" s="1949">
        <f t="shared" si="5"/>
        <v>0</v>
      </c>
      <c r="J21" s="1949">
        <f t="shared" si="6"/>
        <v>0</v>
      </c>
      <c r="K21" s="1928">
        <f t="shared" si="15"/>
        <v>0</v>
      </c>
      <c r="L21" s="1702">
        <v>0</v>
      </c>
      <c r="M21" s="2283" t="s">
        <v>31</v>
      </c>
      <c r="N21" s="2284" t="s">
        <v>1314</v>
      </c>
      <c r="O21" s="2285">
        <f t="shared" si="7"/>
        <v>0</v>
      </c>
      <c r="P21" s="2290" t="s">
        <v>1314</v>
      </c>
      <c r="Q21" s="2291">
        <f t="shared" si="8"/>
        <v>0</v>
      </c>
      <c r="R21" s="2288">
        <f t="shared" si="9"/>
        <v>0</v>
      </c>
      <c r="S21" s="2289">
        <v>0</v>
      </c>
      <c r="T21" s="2207">
        <v>0</v>
      </c>
      <c r="U21" s="2229">
        <f t="shared" si="16"/>
        <v>0</v>
      </c>
      <c r="V21" s="2228">
        <f t="shared" si="17"/>
        <v>0</v>
      </c>
      <c r="W21" s="2216">
        <f t="shared" si="10"/>
        <v>0</v>
      </c>
      <c r="X21" s="2213">
        <f t="shared" si="11"/>
        <v>0</v>
      </c>
      <c r="Z21" s="1281">
        <f t="shared" si="12"/>
        <v>14</v>
      </c>
      <c r="AA21" s="2087" t="str">
        <f t="shared" si="13"/>
        <v>keine</v>
      </c>
      <c r="AB21" s="1329"/>
      <c r="AC21" s="1330" t="s">
        <v>795</v>
      </c>
      <c r="AD21" s="1424">
        <v>0</v>
      </c>
      <c r="AE21" s="1033">
        <f>VLOOKUP(AC21,Düngemittel!$B$6:$E$64,2,FALSE)*(VLOOKUP(AC21,Düngemittel!$B$6:$E$64,3,FALSE))/100*AD21</f>
        <v>0</v>
      </c>
      <c r="AF21" s="1033">
        <f>VLOOKUP(AC21,Düngemittel!$B$6:$E$64,2,FALSE)*AD21</f>
        <v>0</v>
      </c>
      <c r="AG21" s="1033">
        <f>VLOOKUP(AC21,Düngemittel!$B$6:$E$64,4,FALSE)*AD21</f>
        <v>0</v>
      </c>
      <c r="AH21" s="2243"/>
      <c r="AI21" s="1329"/>
      <c r="AJ21" s="1330" t="s">
        <v>795</v>
      </c>
      <c r="AK21" s="1424">
        <v>0</v>
      </c>
      <c r="AL21" s="1033">
        <f>VLOOKUP(AJ21,Düngemittel!$B$6:$E$64,2,FALSE)*(VLOOKUP(AJ21,Düngemittel!$B$6:$E$64,3,FALSE))/100*AK21</f>
        <v>0</v>
      </c>
      <c r="AM21" s="1033">
        <f>VLOOKUP(AJ21,Düngemittel!$B$6:$E$64,2,FALSE)*AK21</f>
        <v>0</v>
      </c>
      <c r="AN21" s="1033">
        <f>VLOOKUP(AJ21,Düngemittel!$B$6:$E$64,4,FALSE)*AK21</f>
        <v>0</v>
      </c>
      <c r="AO21" s="2243"/>
      <c r="AP21" s="1329"/>
      <c r="AQ21" s="1330" t="s">
        <v>795</v>
      </c>
      <c r="AR21" s="1424">
        <v>0</v>
      </c>
      <c r="AS21" s="1033">
        <f>VLOOKUP(AQ21,Düngemittel!$B$6:$E$64,2,FALSE)*(VLOOKUP(AQ21,Düngemittel!$B$6:$E$64,3,FALSE))/100*AR21</f>
        <v>0</v>
      </c>
      <c r="AT21" s="1033">
        <f>VLOOKUP(AQ21,Düngemittel!$B$6:$E$64,2,FALSE)*AR21</f>
        <v>0</v>
      </c>
      <c r="AU21" s="1033">
        <f>VLOOKUP(AQ21,Düngemittel!$B$6:$E$64,4,FALSE)*AR21</f>
        <v>0</v>
      </c>
      <c r="AV21" s="1371"/>
      <c r="AW21" s="1371"/>
      <c r="AX21" s="1372">
        <f t="shared" si="18"/>
        <v>0</v>
      </c>
      <c r="AY21" s="1373">
        <f t="shared" si="19"/>
        <v>0</v>
      </c>
      <c r="AZ21" s="1374">
        <f t="shared" si="20"/>
        <v>0</v>
      </c>
      <c r="BA21" s="1375">
        <f t="shared" si="21"/>
        <v>0</v>
      </c>
      <c r="BB21" s="1373">
        <f t="shared" si="22"/>
        <v>0</v>
      </c>
      <c r="BC21" s="1376"/>
      <c r="BD21" s="1372">
        <f t="shared" si="23"/>
        <v>0</v>
      </c>
      <c r="BE21" s="1372">
        <f t="shared" si="14"/>
        <v>0</v>
      </c>
      <c r="BF21" s="1372">
        <f t="shared" si="14"/>
        <v>0</v>
      </c>
      <c r="BG21" s="1816">
        <f t="shared" si="14"/>
        <v>0</v>
      </c>
      <c r="BH21" s="1372">
        <f t="shared" si="14"/>
        <v>0</v>
      </c>
      <c r="BI21" s="2278"/>
      <c r="BJ21" s="2278"/>
      <c r="BK21" s="2278"/>
      <c r="BL21" s="2141" t="s">
        <v>1347</v>
      </c>
      <c r="BM21" s="33">
        <v>250</v>
      </c>
      <c r="BN21" s="33">
        <v>105</v>
      </c>
      <c r="BO21" s="33">
        <v>20</v>
      </c>
      <c r="BP21" s="323">
        <v>20</v>
      </c>
      <c r="BQ21" s="323">
        <v>20</v>
      </c>
      <c r="BR21" s="323">
        <f t="shared" si="24"/>
        <v>13.333333333333334</v>
      </c>
      <c r="BS21" s="323">
        <v>25</v>
      </c>
      <c r="BT21" s="323">
        <v>30</v>
      </c>
      <c r="BU21" s="1001">
        <v>9.1999999999999998E-2</v>
      </c>
      <c r="BV21" s="357">
        <v>0</v>
      </c>
      <c r="BW21" s="357">
        <v>0</v>
      </c>
      <c r="BX21" s="357"/>
      <c r="BY21" s="357"/>
      <c r="BZ21" s="357"/>
      <c r="CA21" s="357"/>
      <c r="CB21" s="357"/>
      <c r="CC21" s="357"/>
      <c r="CD21" s="357"/>
    </row>
    <row r="22" spans="1:82" ht="17.25" customHeight="1">
      <c r="A22" s="468">
        <v>15</v>
      </c>
      <c r="B22" s="1699">
        <v>0</v>
      </c>
      <c r="C22" s="2338" t="s">
        <v>31</v>
      </c>
      <c r="D22" s="2335">
        <f t="shared" si="0"/>
        <v>0</v>
      </c>
      <c r="E22" s="1381">
        <f t="shared" si="1"/>
        <v>0</v>
      </c>
      <c r="F22" s="1966">
        <f t="shared" si="2"/>
        <v>0</v>
      </c>
      <c r="G22" s="1928">
        <f t="shared" si="3"/>
        <v>0</v>
      </c>
      <c r="H22" s="1949">
        <f t="shared" si="4"/>
        <v>0</v>
      </c>
      <c r="I22" s="1949">
        <f t="shared" si="5"/>
        <v>0</v>
      </c>
      <c r="J22" s="1949">
        <f t="shared" si="6"/>
        <v>0</v>
      </c>
      <c r="K22" s="1928">
        <f t="shared" si="15"/>
        <v>0</v>
      </c>
      <c r="L22" s="1702">
        <v>0</v>
      </c>
      <c r="M22" s="2283" t="s">
        <v>31</v>
      </c>
      <c r="N22" s="2284" t="s">
        <v>1314</v>
      </c>
      <c r="O22" s="2285">
        <f t="shared" si="7"/>
        <v>0</v>
      </c>
      <c r="P22" s="2290" t="s">
        <v>1314</v>
      </c>
      <c r="Q22" s="2291">
        <f t="shared" si="8"/>
        <v>0</v>
      </c>
      <c r="R22" s="2288">
        <f t="shared" si="9"/>
        <v>0</v>
      </c>
      <c r="S22" s="2289">
        <v>0</v>
      </c>
      <c r="T22" s="2207">
        <v>0</v>
      </c>
      <c r="U22" s="2229">
        <f t="shared" si="16"/>
        <v>0</v>
      </c>
      <c r="V22" s="2228">
        <f t="shared" si="17"/>
        <v>0</v>
      </c>
      <c r="W22" s="2216">
        <f t="shared" si="10"/>
        <v>0</v>
      </c>
      <c r="X22" s="2213">
        <f t="shared" si="11"/>
        <v>0</v>
      </c>
      <c r="Z22" s="1281">
        <f t="shared" si="12"/>
        <v>15</v>
      </c>
      <c r="AA22" s="2087" t="str">
        <f t="shared" si="13"/>
        <v>keine</v>
      </c>
      <c r="AB22" s="1329"/>
      <c r="AC22" s="1330" t="s">
        <v>795</v>
      </c>
      <c r="AD22" s="1424">
        <v>0</v>
      </c>
      <c r="AE22" s="1033">
        <f>VLOOKUP(AC22,Düngemittel!$B$6:$E$64,2,FALSE)*(VLOOKUP(AC22,Düngemittel!$B$6:$E$64,3,FALSE))/100*AD22</f>
        <v>0</v>
      </c>
      <c r="AF22" s="1033">
        <f>VLOOKUP(AC22,Düngemittel!$B$6:$E$64,2,FALSE)*AD22</f>
        <v>0</v>
      </c>
      <c r="AG22" s="1033">
        <f>VLOOKUP(AC22,Düngemittel!$B$6:$E$64,4,FALSE)*AD22</f>
        <v>0</v>
      </c>
      <c r="AH22" s="2243"/>
      <c r="AI22" s="1329"/>
      <c r="AJ22" s="1330" t="s">
        <v>795</v>
      </c>
      <c r="AK22" s="1424">
        <v>0</v>
      </c>
      <c r="AL22" s="1033">
        <f>VLOOKUP(AJ22,Düngemittel!$B$6:$E$64,2,FALSE)*(VLOOKUP(AJ22,Düngemittel!$B$6:$E$64,3,FALSE))/100*AK22</f>
        <v>0</v>
      </c>
      <c r="AM22" s="1033">
        <f>VLOOKUP(AJ22,Düngemittel!$B$6:$E$64,2,FALSE)*AK22</f>
        <v>0</v>
      </c>
      <c r="AN22" s="1033">
        <f>VLOOKUP(AJ22,Düngemittel!$B$6:$E$64,4,FALSE)*AK22</f>
        <v>0</v>
      </c>
      <c r="AO22" s="2243"/>
      <c r="AP22" s="1329"/>
      <c r="AQ22" s="1330" t="s">
        <v>795</v>
      </c>
      <c r="AR22" s="1424">
        <v>0</v>
      </c>
      <c r="AS22" s="1033">
        <f>VLOOKUP(AQ22,Düngemittel!$B$6:$E$64,2,FALSE)*(VLOOKUP(AQ22,Düngemittel!$B$6:$E$64,3,FALSE))/100*AR22</f>
        <v>0</v>
      </c>
      <c r="AT22" s="1033">
        <f>VLOOKUP(AQ22,Düngemittel!$B$6:$E$64,2,FALSE)*AR22</f>
        <v>0</v>
      </c>
      <c r="AU22" s="1033">
        <f>VLOOKUP(AQ22,Düngemittel!$B$6:$E$64,4,FALSE)*AR22</f>
        <v>0</v>
      </c>
      <c r="AV22" s="1371"/>
      <c r="AW22" s="1371"/>
      <c r="AX22" s="1372">
        <f t="shared" si="18"/>
        <v>0</v>
      </c>
      <c r="AY22" s="1373">
        <f t="shared" si="19"/>
        <v>0</v>
      </c>
      <c r="AZ22" s="1374">
        <f t="shared" si="20"/>
        <v>0</v>
      </c>
      <c r="BA22" s="1375">
        <f t="shared" si="21"/>
        <v>0</v>
      </c>
      <c r="BB22" s="1373">
        <f t="shared" si="22"/>
        <v>0</v>
      </c>
      <c r="BC22" s="1376"/>
      <c r="BD22" s="1372">
        <f t="shared" si="23"/>
        <v>0</v>
      </c>
      <c r="BE22" s="1372">
        <f t="shared" si="14"/>
        <v>0</v>
      </c>
      <c r="BF22" s="1372">
        <f t="shared" si="14"/>
        <v>0</v>
      </c>
      <c r="BG22" s="1816">
        <f t="shared" si="14"/>
        <v>0</v>
      </c>
      <c r="BH22" s="1372">
        <f t="shared" si="14"/>
        <v>0</v>
      </c>
      <c r="BI22" s="2278"/>
      <c r="BJ22" s="2278"/>
      <c r="BK22" s="2278"/>
      <c r="BL22" s="2154" t="s">
        <v>1487</v>
      </c>
      <c r="BM22" s="33">
        <v>50</v>
      </c>
      <c r="BN22" s="33">
        <v>85</v>
      </c>
      <c r="BO22" s="33">
        <v>10</v>
      </c>
      <c r="BP22" s="2153">
        <v>4</v>
      </c>
      <c r="BQ22" s="2153">
        <v>4</v>
      </c>
      <c r="BR22" s="2161">
        <v>0</v>
      </c>
      <c r="BS22" s="2161">
        <v>0</v>
      </c>
      <c r="BT22" s="2161">
        <v>30</v>
      </c>
      <c r="BU22" s="2157">
        <v>0.17</v>
      </c>
      <c r="BV22" s="357">
        <v>0</v>
      </c>
      <c r="BW22" s="357">
        <v>0</v>
      </c>
      <c r="BX22" s="357"/>
      <c r="BY22" s="357"/>
      <c r="BZ22" s="357"/>
      <c r="CA22" s="357"/>
      <c r="CB22" s="357"/>
      <c r="CC22" s="357"/>
      <c r="CD22" s="357"/>
    </row>
    <row r="23" spans="1:82" ht="17.25" customHeight="1">
      <c r="A23" s="468">
        <v>16</v>
      </c>
      <c r="B23" s="1699">
        <v>0</v>
      </c>
      <c r="C23" s="2336" t="s">
        <v>31</v>
      </c>
      <c r="D23" s="2335">
        <f t="shared" si="0"/>
        <v>0</v>
      </c>
      <c r="E23" s="1381">
        <f t="shared" si="1"/>
        <v>0</v>
      </c>
      <c r="F23" s="1966">
        <f t="shared" si="2"/>
        <v>0</v>
      </c>
      <c r="G23" s="1928">
        <f t="shared" si="3"/>
        <v>0</v>
      </c>
      <c r="H23" s="1949">
        <f t="shared" si="4"/>
        <v>0</v>
      </c>
      <c r="I23" s="1949">
        <f t="shared" si="5"/>
        <v>0</v>
      </c>
      <c r="J23" s="1949">
        <f t="shared" si="6"/>
        <v>0</v>
      </c>
      <c r="K23" s="1928">
        <f t="shared" si="15"/>
        <v>0</v>
      </c>
      <c r="L23" s="1702">
        <v>0</v>
      </c>
      <c r="M23" s="2283" t="s">
        <v>31</v>
      </c>
      <c r="N23" s="2284" t="s">
        <v>1314</v>
      </c>
      <c r="O23" s="2285">
        <f t="shared" si="7"/>
        <v>0</v>
      </c>
      <c r="P23" s="2290" t="s">
        <v>1314</v>
      </c>
      <c r="Q23" s="2291">
        <f t="shared" si="8"/>
        <v>0</v>
      </c>
      <c r="R23" s="2288">
        <f t="shared" si="9"/>
        <v>0</v>
      </c>
      <c r="S23" s="2289">
        <v>0</v>
      </c>
      <c r="T23" s="2207">
        <v>0</v>
      </c>
      <c r="U23" s="2229">
        <f t="shared" si="16"/>
        <v>0</v>
      </c>
      <c r="V23" s="2228">
        <f t="shared" si="17"/>
        <v>0</v>
      </c>
      <c r="W23" s="2216">
        <f t="shared" si="10"/>
        <v>0</v>
      </c>
      <c r="X23" s="2213">
        <f t="shared" si="11"/>
        <v>0</v>
      </c>
      <c r="Z23" s="1281">
        <f t="shared" si="12"/>
        <v>16</v>
      </c>
      <c r="AA23" s="2087" t="str">
        <f t="shared" si="13"/>
        <v>keine</v>
      </c>
      <c r="AB23" s="1329"/>
      <c r="AC23" s="1330" t="s">
        <v>795</v>
      </c>
      <c r="AD23" s="1424">
        <v>0</v>
      </c>
      <c r="AE23" s="1033">
        <f>VLOOKUP(AC23,Düngemittel!$B$6:$E$64,2,FALSE)*(VLOOKUP(AC23,Düngemittel!$B$6:$E$64,3,FALSE))/100*AD23</f>
        <v>0</v>
      </c>
      <c r="AF23" s="1033">
        <f>VLOOKUP(AC23,Düngemittel!$B$6:$E$64,2,FALSE)*AD23</f>
        <v>0</v>
      </c>
      <c r="AG23" s="1033">
        <f>VLOOKUP(AC23,Düngemittel!$B$6:$E$64,4,FALSE)*AD23</f>
        <v>0</v>
      </c>
      <c r="AH23" s="2243"/>
      <c r="AI23" s="1329"/>
      <c r="AJ23" s="1330" t="s">
        <v>795</v>
      </c>
      <c r="AK23" s="1424">
        <v>0</v>
      </c>
      <c r="AL23" s="1033">
        <f>VLOOKUP(AJ23,Düngemittel!$B$6:$E$64,2,FALSE)*(VLOOKUP(AJ23,Düngemittel!$B$6:$E$64,3,FALSE))/100*AK23</f>
        <v>0</v>
      </c>
      <c r="AM23" s="1033">
        <f>VLOOKUP(AJ23,Düngemittel!$B$6:$E$64,2,FALSE)*AK23</f>
        <v>0</v>
      </c>
      <c r="AN23" s="1033">
        <f>VLOOKUP(AJ23,Düngemittel!$B$6:$E$64,4,FALSE)*AK23</f>
        <v>0</v>
      </c>
      <c r="AO23" s="2243"/>
      <c r="AP23" s="1329"/>
      <c r="AQ23" s="1330" t="s">
        <v>795</v>
      </c>
      <c r="AR23" s="1424">
        <v>0</v>
      </c>
      <c r="AS23" s="1033">
        <f>VLOOKUP(AQ23,Düngemittel!$B$6:$E$64,2,FALSE)*(VLOOKUP(AQ23,Düngemittel!$B$6:$E$64,3,FALSE))/100*AR23</f>
        <v>0</v>
      </c>
      <c r="AT23" s="1033">
        <f>VLOOKUP(AQ23,Düngemittel!$B$6:$E$64,2,FALSE)*AR23</f>
        <v>0</v>
      </c>
      <c r="AU23" s="1033">
        <f>VLOOKUP(AQ23,Düngemittel!$B$6:$E$64,4,FALSE)*AR23</f>
        <v>0</v>
      </c>
      <c r="AV23" s="1371"/>
      <c r="AW23" s="1371"/>
      <c r="AX23" s="1372">
        <f t="shared" si="18"/>
        <v>0</v>
      </c>
      <c r="AY23" s="1373">
        <f t="shared" si="19"/>
        <v>0</v>
      </c>
      <c r="AZ23" s="1374">
        <f t="shared" si="20"/>
        <v>0</v>
      </c>
      <c r="BA23" s="1375">
        <f t="shared" si="21"/>
        <v>0</v>
      </c>
      <c r="BB23" s="1373">
        <f t="shared" si="22"/>
        <v>0</v>
      </c>
      <c r="BC23" s="1376"/>
      <c r="BD23" s="1372">
        <f t="shared" si="23"/>
        <v>0</v>
      </c>
      <c r="BE23" s="1372">
        <f t="shared" si="14"/>
        <v>0</v>
      </c>
      <c r="BF23" s="1372">
        <f t="shared" si="14"/>
        <v>0</v>
      </c>
      <c r="BG23" s="1816">
        <f t="shared" si="14"/>
        <v>0</v>
      </c>
      <c r="BH23" s="1372">
        <f t="shared" si="14"/>
        <v>0</v>
      </c>
      <c r="BI23" s="2278"/>
      <c r="BJ23" s="2278"/>
      <c r="BK23" s="2278"/>
      <c r="BL23" s="2141" t="s">
        <v>1348</v>
      </c>
      <c r="BM23" s="33">
        <v>140</v>
      </c>
      <c r="BN23" s="33">
        <v>60</v>
      </c>
      <c r="BO23" s="33">
        <v>20</v>
      </c>
      <c r="BP23" s="323">
        <v>20</v>
      </c>
      <c r="BQ23" s="323">
        <v>20</v>
      </c>
      <c r="BR23" s="323">
        <f t="shared" si="24"/>
        <v>13.333333333333334</v>
      </c>
      <c r="BS23" s="323">
        <v>0</v>
      </c>
      <c r="BT23" s="323">
        <v>30</v>
      </c>
      <c r="BU23" s="1001">
        <v>0.05</v>
      </c>
      <c r="BV23" s="357">
        <v>0</v>
      </c>
      <c r="BW23" s="357">
        <v>0</v>
      </c>
      <c r="BX23" s="357"/>
      <c r="BY23" s="357"/>
      <c r="BZ23" s="357"/>
      <c r="CA23" s="357"/>
      <c r="CB23" s="357"/>
      <c r="CC23" s="357"/>
      <c r="CD23" s="357"/>
    </row>
    <row r="24" spans="1:82" ht="17.25" customHeight="1">
      <c r="A24" s="468">
        <v>17</v>
      </c>
      <c r="B24" s="1699">
        <v>0</v>
      </c>
      <c r="C24" s="1431" t="s">
        <v>31</v>
      </c>
      <c r="D24" s="2335">
        <f t="shared" si="0"/>
        <v>0</v>
      </c>
      <c r="E24" s="1381">
        <f t="shared" si="1"/>
        <v>0</v>
      </c>
      <c r="F24" s="1966">
        <f t="shared" si="2"/>
        <v>0</v>
      </c>
      <c r="G24" s="1928">
        <f t="shared" si="3"/>
        <v>0</v>
      </c>
      <c r="H24" s="1949">
        <f t="shared" si="4"/>
        <v>0</v>
      </c>
      <c r="I24" s="1949">
        <f t="shared" si="5"/>
        <v>0</v>
      </c>
      <c r="J24" s="1949">
        <f t="shared" si="6"/>
        <v>0</v>
      </c>
      <c r="K24" s="1928">
        <f t="shared" si="15"/>
        <v>0</v>
      </c>
      <c r="L24" s="1702">
        <v>0</v>
      </c>
      <c r="M24" s="2283" t="s">
        <v>31</v>
      </c>
      <c r="N24" s="2284" t="s">
        <v>1314</v>
      </c>
      <c r="O24" s="2285">
        <f t="shared" si="7"/>
        <v>0</v>
      </c>
      <c r="P24" s="2290" t="s">
        <v>1314</v>
      </c>
      <c r="Q24" s="2291">
        <f t="shared" si="8"/>
        <v>0</v>
      </c>
      <c r="R24" s="2288">
        <f t="shared" si="9"/>
        <v>0</v>
      </c>
      <c r="S24" s="2289">
        <v>0</v>
      </c>
      <c r="T24" s="2207">
        <v>0</v>
      </c>
      <c r="U24" s="2229">
        <f t="shared" si="16"/>
        <v>0</v>
      </c>
      <c r="V24" s="2228">
        <f t="shared" si="17"/>
        <v>0</v>
      </c>
      <c r="W24" s="2216">
        <f t="shared" si="10"/>
        <v>0</v>
      </c>
      <c r="X24" s="2213">
        <f t="shared" si="11"/>
        <v>0</v>
      </c>
      <c r="Z24" s="1281">
        <f t="shared" si="12"/>
        <v>17</v>
      </c>
      <c r="AA24" s="2087" t="str">
        <f t="shared" si="13"/>
        <v>keine</v>
      </c>
      <c r="AB24" s="1329"/>
      <c r="AC24" s="1330" t="s">
        <v>795</v>
      </c>
      <c r="AD24" s="1424">
        <v>0</v>
      </c>
      <c r="AE24" s="1033">
        <f>VLOOKUP(AC24,Düngemittel!$B$6:$E$64,2,FALSE)*(VLOOKUP(AC24,Düngemittel!$B$6:$E$64,3,FALSE))/100*AD24</f>
        <v>0</v>
      </c>
      <c r="AF24" s="1033">
        <f>VLOOKUP(AC24,Düngemittel!$B$6:$E$64,2,FALSE)*AD24</f>
        <v>0</v>
      </c>
      <c r="AG24" s="1033">
        <f>VLOOKUP(AC24,Düngemittel!$B$6:$E$64,4,FALSE)*AD24</f>
        <v>0</v>
      </c>
      <c r="AH24" s="2243"/>
      <c r="AI24" s="1329"/>
      <c r="AJ24" s="1330" t="s">
        <v>795</v>
      </c>
      <c r="AK24" s="1424">
        <v>0</v>
      </c>
      <c r="AL24" s="1033">
        <f>VLOOKUP(AJ24,Düngemittel!$B$6:$E$64,2,FALSE)*(VLOOKUP(AJ24,Düngemittel!$B$6:$E$64,3,FALSE))/100*AK24</f>
        <v>0</v>
      </c>
      <c r="AM24" s="1033">
        <f>VLOOKUP(AJ24,Düngemittel!$B$6:$E$64,2,FALSE)*AK24</f>
        <v>0</v>
      </c>
      <c r="AN24" s="1033">
        <f>VLOOKUP(AJ24,Düngemittel!$B$6:$E$64,4,FALSE)*AK24</f>
        <v>0</v>
      </c>
      <c r="AO24" s="2243"/>
      <c r="AP24" s="1329"/>
      <c r="AQ24" s="1330" t="s">
        <v>795</v>
      </c>
      <c r="AR24" s="1424">
        <v>0</v>
      </c>
      <c r="AS24" s="1033">
        <f>VLOOKUP(AQ24,Düngemittel!$B$6:$E$64,2,FALSE)*(VLOOKUP(AQ24,Düngemittel!$B$6:$E$64,3,FALSE))/100*AR24</f>
        <v>0</v>
      </c>
      <c r="AT24" s="1033">
        <f>VLOOKUP(AQ24,Düngemittel!$B$6:$E$64,2,FALSE)*AR24</f>
        <v>0</v>
      </c>
      <c r="AU24" s="1033">
        <f>VLOOKUP(AQ24,Düngemittel!$B$6:$E$64,4,FALSE)*AR24</f>
        <v>0</v>
      </c>
      <c r="AV24" s="1371"/>
      <c r="AW24" s="1371"/>
      <c r="AX24" s="1372">
        <f t="shared" si="18"/>
        <v>0</v>
      </c>
      <c r="AY24" s="1373">
        <f t="shared" si="19"/>
        <v>0</v>
      </c>
      <c r="AZ24" s="1374">
        <f t="shared" si="20"/>
        <v>0</v>
      </c>
      <c r="BA24" s="1375">
        <f t="shared" si="21"/>
        <v>0</v>
      </c>
      <c r="BB24" s="1373">
        <f t="shared" si="22"/>
        <v>0</v>
      </c>
      <c r="BC24" s="1376"/>
      <c r="BD24" s="1372">
        <f t="shared" si="23"/>
        <v>0</v>
      </c>
      <c r="BE24" s="1372">
        <f t="shared" si="23"/>
        <v>0</v>
      </c>
      <c r="BF24" s="1372">
        <f t="shared" si="23"/>
        <v>0</v>
      </c>
      <c r="BG24" s="1816">
        <f t="shared" si="23"/>
        <v>0</v>
      </c>
      <c r="BH24" s="1372">
        <f t="shared" si="23"/>
        <v>0</v>
      </c>
      <c r="BI24" s="2278"/>
      <c r="BJ24" s="2278"/>
      <c r="BK24" s="2278"/>
      <c r="BL24" s="2141" t="s">
        <v>1278</v>
      </c>
      <c r="BM24" s="33">
        <v>140</v>
      </c>
      <c r="BN24" s="33">
        <v>60</v>
      </c>
      <c r="BO24" s="33">
        <v>20</v>
      </c>
      <c r="BP24" s="323">
        <v>20</v>
      </c>
      <c r="BQ24" s="323">
        <v>20</v>
      </c>
      <c r="BR24" s="323">
        <f t="shared" si="24"/>
        <v>13.333333333333334</v>
      </c>
      <c r="BS24" s="323">
        <v>0</v>
      </c>
      <c r="BT24" s="323">
        <v>30</v>
      </c>
      <c r="BU24" s="1001"/>
      <c r="BV24" s="357">
        <v>0</v>
      </c>
      <c r="BW24" s="357">
        <v>0</v>
      </c>
      <c r="BX24" s="357"/>
      <c r="BY24" s="357"/>
      <c r="BZ24" s="357"/>
      <c r="CA24" s="357"/>
      <c r="CB24" s="357"/>
      <c r="CC24" s="357"/>
      <c r="CD24" s="357"/>
    </row>
    <row r="25" spans="1:82" ht="17.25" customHeight="1">
      <c r="A25" s="468">
        <v>18</v>
      </c>
      <c r="B25" s="1699">
        <v>0</v>
      </c>
      <c r="C25" s="1431" t="s">
        <v>31</v>
      </c>
      <c r="D25" s="2335">
        <f t="shared" si="0"/>
        <v>0</v>
      </c>
      <c r="E25" s="1381">
        <f t="shared" si="1"/>
        <v>0</v>
      </c>
      <c r="F25" s="1966">
        <f t="shared" si="2"/>
        <v>0</v>
      </c>
      <c r="G25" s="1928">
        <f t="shared" si="3"/>
        <v>0</v>
      </c>
      <c r="H25" s="1949">
        <f t="shared" si="4"/>
        <v>0</v>
      </c>
      <c r="I25" s="1949">
        <f t="shared" si="5"/>
        <v>0</v>
      </c>
      <c r="J25" s="1949">
        <f t="shared" si="6"/>
        <v>0</v>
      </c>
      <c r="K25" s="1928">
        <f t="shared" si="15"/>
        <v>0</v>
      </c>
      <c r="L25" s="1702">
        <v>0</v>
      </c>
      <c r="M25" s="2283" t="s">
        <v>31</v>
      </c>
      <c r="N25" s="2284" t="s">
        <v>1314</v>
      </c>
      <c r="O25" s="2285">
        <f t="shared" si="7"/>
        <v>0</v>
      </c>
      <c r="P25" s="2290" t="s">
        <v>1314</v>
      </c>
      <c r="Q25" s="2291">
        <f t="shared" si="8"/>
        <v>0</v>
      </c>
      <c r="R25" s="2288">
        <f t="shared" si="9"/>
        <v>0</v>
      </c>
      <c r="S25" s="2289">
        <v>0</v>
      </c>
      <c r="T25" s="2207">
        <v>0</v>
      </c>
      <c r="U25" s="2229">
        <f t="shared" si="16"/>
        <v>0</v>
      </c>
      <c r="V25" s="2228">
        <f t="shared" si="17"/>
        <v>0</v>
      </c>
      <c r="W25" s="2216">
        <f t="shared" si="10"/>
        <v>0</v>
      </c>
      <c r="X25" s="2213">
        <f t="shared" si="11"/>
        <v>0</v>
      </c>
      <c r="Z25" s="1281">
        <f t="shared" si="12"/>
        <v>18</v>
      </c>
      <c r="AA25" s="2087" t="str">
        <f t="shared" si="13"/>
        <v>keine</v>
      </c>
      <c r="AB25" s="1329"/>
      <c r="AC25" s="1330" t="s">
        <v>795</v>
      </c>
      <c r="AD25" s="1424">
        <v>0</v>
      </c>
      <c r="AE25" s="1033">
        <f>VLOOKUP(AC25,Düngemittel!$B$6:$E$64,2,FALSE)*(VLOOKUP(AC25,Düngemittel!$B$6:$E$64,3,FALSE))/100*AD25</f>
        <v>0</v>
      </c>
      <c r="AF25" s="1033">
        <f>VLOOKUP(AC25,Düngemittel!$B$6:$E$64,2,FALSE)*AD25</f>
        <v>0</v>
      </c>
      <c r="AG25" s="1033">
        <f>VLOOKUP(AC25,Düngemittel!$B$6:$E$64,4,FALSE)*AD25</f>
        <v>0</v>
      </c>
      <c r="AH25" s="2243"/>
      <c r="AI25" s="1329"/>
      <c r="AJ25" s="1330" t="s">
        <v>795</v>
      </c>
      <c r="AK25" s="1424">
        <v>0</v>
      </c>
      <c r="AL25" s="1033">
        <f>VLOOKUP(AJ25,Düngemittel!$B$6:$E$64,2,FALSE)*(VLOOKUP(AJ25,Düngemittel!$B$6:$E$64,3,FALSE))/100*AK25</f>
        <v>0</v>
      </c>
      <c r="AM25" s="1033">
        <f>VLOOKUP(AJ25,Düngemittel!$B$6:$E$64,2,FALSE)*AK25</f>
        <v>0</v>
      </c>
      <c r="AN25" s="1033">
        <f>VLOOKUP(AJ25,Düngemittel!$B$6:$E$64,4,FALSE)*AK25</f>
        <v>0</v>
      </c>
      <c r="AO25" s="2243"/>
      <c r="AP25" s="1329"/>
      <c r="AQ25" s="1330" t="s">
        <v>795</v>
      </c>
      <c r="AR25" s="1424">
        <v>0</v>
      </c>
      <c r="AS25" s="1033">
        <f>VLOOKUP(AQ25,Düngemittel!$B$6:$E$64,2,FALSE)*(VLOOKUP(AQ25,Düngemittel!$B$6:$E$64,3,FALSE))/100*AR25</f>
        <v>0</v>
      </c>
      <c r="AT25" s="1033">
        <f>VLOOKUP(AQ25,Düngemittel!$B$6:$E$64,2,FALSE)*AR25</f>
        <v>0</v>
      </c>
      <c r="AU25" s="1033">
        <f>VLOOKUP(AQ25,Düngemittel!$B$6:$E$64,4,FALSE)*AR25</f>
        <v>0</v>
      </c>
      <c r="AV25" s="1371"/>
      <c r="AW25" s="1371"/>
      <c r="AX25" s="1372">
        <f t="shared" si="18"/>
        <v>0</v>
      </c>
      <c r="AY25" s="1373">
        <f t="shared" si="19"/>
        <v>0</v>
      </c>
      <c r="AZ25" s="1374">
        <f t="shared" si="20"/>
        <v>0</v>
      </c>
      <c r="BA25" s="1375">
        <f t="shared" si="21"/>
        <v>0</v>
      </c>
      <c r="BB25" s="1373">
        <f t="shared" si="22"/>
        <v>0</v>
      </c>
      <c r="BC25" s="1376"/>
      <c r="BD25" s="1372">
        <f t="shared" si="23"/>
        <v>0</v>
      </c>
      <c r="BE25" s="1372">
        <f t="shared" si="23"/>
        <v>0</v>
      </c>
      <c r="BF25" s="1372">
        <f t="shared" si="23"/>
        <v>0</v>
      </c>
      <c r="BG25" s="1816">
        <f t="shared" si="23"/>
        <v>0</v>
      </c>
      <c r="BH25" s="1372">
        <f t="shared" si="23"/>
        <v>0</v>
      </c>
      <c r="BI25" s="2278"/>
      <c r="BJ25" s="2278"/>
      <c r="BK25" s="2278"/>
      <c r="BL25" s="2141" t="s">
        <v>1279</v>
      </c>
      <c r="BM25" s="33">
        <v>0</v>
      </c>
      <c r="BN25" s="33">
        <v>60</v>
      </c>
      <c r="BO25" s="33">
        <v>20</v>
      </c>
      <c r="BP25" s="323">
        <v>20</v>
      </c>
      <c r="BQ25" s="323">
        <v>20</v>
      </c>
      <c r="BR25" s="323">
        <f t="shared" si="24"/>
        <v>13.333333333333334</v>
      </c>
      <c r="BS25" s="323">
        <v>0</v>
      </c>
      <c r="BT25" s="323">
        <v>30</v>
      </c>
      <c r="BU25" s="1001">
        <v>0.05</v>
      </c>
      <c r="BV25" s="357">
        <v>0</v>
      </c>
      <c r="BW25" s="357">
        <v>0</v>
      </c>
      <c r="BX25" s="357"/>
      <c r="BY25" s="357"/>
      <c r="BZ25" s="357"/>
      <c r="CA25" s="357"/>
      <c r="CB25" s="357"/>
      <c r="CC25" s="357"/>
      <c r="CD25" s="357"/>
    </row>
    <row r="26" spans="1:82" ht="17.25" customHeight="1">
      <c r="A26" s="468">
        <v>19</v>
      </c>
      <c r="B26" s="1699">
        <v>0</v>
      </c>
      <c r="C26" s="2338" t="s">
        <v>31</v>
      </c>
      <c r="D26" s="2335">
        <f t="shared" si="0"/>
        <v>0</v>
      </c>
      <c r="E26" s="1381">
        <f t="shared" si="1"/>
        <v>0</v>
      </c>
      <c r="F26" s="1966">
        <f t="shared" si="2"/>
        <v>0</v>
      </c>
      <c r="G26" s="1928">
        <f t="shared" si="3"/>
        <v>0</v>
      </c>
      <c r="H26" s="1949">
        <f t="shared" si="4"/>
        <v>0</v>
      </c>
      <c r="I26" s="1949">
        <f t="shared" si="5"/>
        <v>0</v>
      </c>
      <c r="J26" s="1949">
        <f t="shared" si="6"/>
        <v>0</v>
      </c>
      <c r="K26" s="1928">
        <f t="shared" si="15"/>
        <v>0</v>
      </c>
      <c r="L26" s="1702">
        <v>0</v>
      </c>
      <c r="M26" s="2283" t="s">
        <v>31</v>
      </c>
      <c r="N26" s="2284" t="s">
        <v>1314</v>
      </c>
      <c r="O26" s="2285">
        <f t="shared" si="7"/>
        <v>0</v>
      </c>
      <c r="P26" s="2290" t="s">
        <v>1314</v>
      </c>
      <c r="Q26" s="2291">
        <f t="shared" si="8"/>
        <v>0</v>
      </c>
      <c r="R26" s="2288">
        <f t="shared" si="9"/>
        <v>0</v>
      </c>
      <c r="S26" s="2289">
        <v>0</v>
      </c>
      <c r="T26" s="2207">
        <v>0</v>
      </c>
      <c r="U26" s="2229">
        <f t="shared" si="16"/>
        <v>0</v>
      </c>
      <c r="V26" s="2228">
        <f t="shared" si="17"/>
        <v>0</v>
      </c>
      <c r="W26" s="2216">
        <f t="shared" si="10"/>
        <v>0</v>
      </c>
      <c r="X26" s="2213">
        <f t="shared" si="11"/>
        <v>0</v>
      </c>
      <c r="Z26" s="1281">
        <f t="shared" si="12"/>
        <v>19</v>
      </c>
      <c r="AA26" s="2087" t="str">
        <f t="shared" si="13"/>
        <v>keine</v>
      </c>
      <c r="AB26" s="1329"/>
      <c r="AC26" s="1330" t="s">
        <v>795</v>
      </c>
      <c r="AD26" s="1424">
        <v>0</v>
      </c>
      <c r="AE26" s="1033">
        <f>VLOOKUP(AC26,Düngemittel!$B$6:$E$64,2,FALSE)*(VLOOKUP(AC26,Düngemittel!$B$6:$E$64,3,FALSE))/100*AD26</f>
        <v>0</v>
      </c>
      <c r="AF26" s="1033">
        <f>VLOOKUP(AC26,Düngemittel!$B$6:$E$64,2,FALSE)*AD26</f>
        <v>0</v>
      </c>
      <c r="AG26" s="1033">
        <f>VLOOKUP(AC26,Düngemittel!$B$6:$E$64,4,FALSE)*AD26</f>
        <v>0</v>
      </c>
      <c r="AH26" s="2243"/>
      <c r="AI26" s="1329"/>
      <c r="AJ26" s="1330" t="s">
        <v>795</v>
      </c>
      <c r="AK26" s="1424">
        <v>0</v>
      </c>
      <c r="AL26" s="1033">
        <f>VLOOKUP(AJ26,Düngemittel!$B$6:$E$64,2,FALSE)*(VLOOKUP(AJ26,Düngemittel!$B$6:$E$64,3,FALSE))/100*AK26</f>
        <v>0</v>
      </c>
      <c r="AM26" s="1033">
        <f>VLOOKUP(AJ26,Düngemittel!$B$6:$E$64,2,FALSE)*AK26</f>
        <v>0</v>
      </c>
      <c r="AN26" s="1033">
        <f>VLOOKUP(AJ26,Düngemittel!$B$6:$E$64,4,FALSE)*AK26</f>
        <v>0</v>
      </c>
      <c r="AO26" s="2243"/>
      <c r="AP26" s="1329"/>
      <c r="AQ26" s="1330" t="s">
        <v>795</v>
      </c>
      <c r="AR26" s="1424">
        <v>0</v>
      </c>
      <c r="AS26" s="1033">
        <f>VLOOKUP(AQ26,Düngemittel!$B$6:$E$64,2,FALSE)*(VLOOKUP(AQ26,Düngemittel!$B$6:$E$64,3,FALSE))/100*AR26</f>
        <v>0</v>
      </c>
      <c r="AT26" s="1033">
        <f>VLOOKUP(AQ26,Düngemittel!$B$6:$E$64,2,FALSE)*AR26</f>
        <v>0</v>
      </c>
      <c r="AU26" s="1033">
        <f>VLOOKUP(AQ26,Düngemittel!$B$6:$E$64,4,FALSE)*AR26</f>
        <v>0</v>
      </c>
      <c r="AV26" s="1371"/>
      <c r="AW26" s="1371"/>
      <c r="AX26" s="1372">
        <f t="shared" si="18"/>
        <v>0</v>
      </c>
      <c r="AY26" s="1373">
        <f t="shared" si="19"/>
        <v>0</v>
      </c>
      <c r="AZ26" s="1374">
        <f t="shared" si="20"/>
        <v>0</v>
      </c>
      <c r="BA26" s="1375">
        <f t="shared" si="21"/>
        <v>0</v>
      </c>
      <c r="BB26" s="1373">
        <f t="shared" si="22"/>
        <v>0</v>
      </c>
      <c r="BC26" s="1376"/>
      <c r="BD26" s="1372">
        <f t="shared" si="23"/>
        <v>0</v>
      </c>
      <c r="BE26" s="1372">
        <f t="shared" si="23"/>
        <v>0</v>
      </c>
      <c r="BF26" s="1372">
        <f t="shared" si="23"/>
        <v>0</v>
      </c>
      <c r="BG26" s="1816">
        <f t="shared" si="23"/>
        <v>0</v>
      </c>
      <c r="BH26" s="1372">
        <f t="shared" si="23"/>
        <v>0</v>
      </c>
      <c r="BI26" s="2278"/>
      <c r="BJ26" s="2278"/>
      <c r="BK26" s="2278"/>
      <c r="BL26" s="2152" t="s">
        <v>1501</v>
      </c>
      <c r="BM26" s="33">
        <v>150</v>
      </c>
      <c r="BN26" s="33">
        <v>125</v>
      </c>
      <c r="BO26" s="33">
        <v>10</v>
      </c>
      <c r="BP26" s="2153">
        <v>12.5</v>
      </c>
      <c r="BQ26" s="2153">
        <v>12.5</v>
      </c>
      <c r="BR26" s="2152">
        <v>0</v>
      </c>
      <c r="BS26" s="2152">
        <v>0</v>
      </c>
      <c r="BT26" s="2152">
        <v>30</v>
      </c>
      <c r="BU26" s="2155">
        <v>0.16</v>
      </c>
      <c r="BV26" s="357">
        <v>0</v>
      </c>
      <c r="BW26" s="357">
        <v>0</v>
      </c>
      <c r="BX26" s="357"/>
      <c r="BY26" s="357"/>
      <c r="BZ26" s="357"/>
      <c r="CA26" s="357"/>
      <c r="CB26" s="357"/>
      <c r="CC26" s="357"/>
      <c r="CD26" s="357"/>
    </row>
    <row r="27" spans="1:82" ht="17.25" customHeight="1">
      <c r="A27" s="468">
        <v>20</v>
      </c>
      <c r="B27" s="1699">
        <v>0</v>
      </c>
      <c r="C27" s="1431" t="s">
        <v>31</v>
      </c>
      <c r="D27" s="2335">
        <f t="shared" si="0"/>
        <v>0</v>
      </c>
      <c r="E27" s="1381">
        <f t="shared" si="1"/>
        <v>0</v>
      </c>
      <c r="F27" s="1966">
        <f t="shared" si="2"/>
        <v>0</v>
      </c>
      <c r="G27" s="1928">
        <f t="shared" si="3"/>
        <v>0</v>
      </c>
      <c r="H27" s="1949">
        <f t="shared" si="4"/>
        <v>0</v>
      </c>
      <c r="I27" s="1949">
        <f t="shared" si="5"/>
        <v>0</v>
      </c>
      <c r="J27" s="1949">
        <f t="shared" si="6"/>
        <v>0</v>
      </c>
      <c r="K27" s="1928">
        <f t="shared" si="15"/>
        <v>0</v>
      </c>
      <c r="L27" s="1702">
        <v>0</v>
      </c>
      <c r="M27" s="2283" t="s">
        <v>31</v>
      </c>
      <c r="N27" s="2284" t="s">
        <v>1314</v>
      </c>
      <c r="O27" s="2285">
        <f t="shared" si="7"/>
        <v>0</v>
      </c>
      <c r="P27" s="2290" t="s">
        <v>1314</v>
      </c>
      <c r="Q27" s="2291">
        <f t="shared" si="8"/>
        <v>0</v>
      </c>
      <c r="R27" s="2288">
        <f t="shared" si="9"/>
        <v>0</v>
      </c>
      <c r="S27" s="2289">
        <v>0</v>
      </c>
      <c r="T27" s="2207">
        <v>0</v>
      </c>
      <c r="U27" s="2229">
        <f t="shared" si="16"/>
        <v>0</v>
      </c>
      <c r="V27" s="2228">
        <f t="shared" si="17"/>
        <v>0</v>
      </c>
      <c r="W27" s="2216">
        <f t="shared" si="10"/>
        <v>0</v>
      </c>
      <c r="X27" s="2213">
        <f t="shared" si="11"/>
        <v>0</v>
      </c>
      <c r="Z27" s="1281">
        <f t="shared" si="12"/>
        <v>20</v>
      </c>
      <c r="AA27" s="2087" t="str">
        <f t="shared" si="13"/>
        <v>keine</v>
      </c>
      <c r="AB27" s="1329"/>
      <c r="AC27" s="1330" t="s">
        <v>795</v>
      </c>
      <c r="AD27" s="1424">
        <v>0</v>
      </c>
      <c r="AE27" s="1033">
        <f>VLOOKUP(AC27,Düngemittel!$B$6:$E$64,2,FALSE)*(VLOOKUP(AC27,Düngemittel!$B$6:$E$64,3,FALSE))/100*AD27</f>
        <v>0</v>
      </c>
      <c r="AF27" s="1033">
        <f>VLOOKUP(AC27,Düngemittel!$B$6:$E$64,2,FALSE)*AD27</f>
        <v>0</v>
      </c>
      <c r="AG27" s="1033">
        <f>VLOOKUP(AC27,Düngemittel!$B$6:$E$64,4,FALSE)*AD27</f>
        <v>0</v>
      </c>
      <c r="AH27" s="2243"/>
      <c r="AI27" s="1329"/>
      <c r="AJ27" s="1330" t="s">
        <v>795</v>
      </c>
      <c r="AK27" s="1424">
        <v>0</v>
      </c>
      <c r="AL27" s="1033">
        <f>VLOOKUP(AJ27,Düngemittel!$B$6:$E$64,2,FALSE)*(VLOOKUP(AJ27,Düngemittel!$B$6:$E$64,3,FALSE))/100*AK27</f>
        <v>0</v>
      </c>
      <c r="AM27" s="1033">
        <f>VLOOKUP(AJ27,Düngemittel!$B$6:$E$64,2,FALSE)*AK27</f>
        <v>0</v>
      </c>
      <c r="AN27" s="1033">
        <f>VLOOKUP(AJ27,Düngemittel!$B$6:$E$64,4,FALSE)*AK27</f>
        <v>0</v>
      </c>
      <c r="AO27" s="2243"/>
      <c r="AP27" s="1329"/>
      <c r="AQ27" s="1330" t="s">
        <v>795</v>
      </c>
      <c r="AR27" s="1424">
        <v>0</v>
      </c>
      <c r="AS27" s="1033">
        <f>VLOOKUP(AQ27,Düngemittel!$B$6:$E$64,2,FALSE)*(VLOOKUP(AQ27,Düngemittel!$B$6:$E$64,3,FALSE))/100*AR27</f>
        <v>0</v>
      </c>
      <c r="AT27" s="1033">
        <f>VLOOKUP(AQ27,Düngemittel!$B$6:$E$64,2,FALSE)*AR27</f>
        <v>0</v>
      </c>
      <c r="AU27" s="1033">
        <f>VLOOKUP(AQ27,Düngemittel!$B$6:$E$64,4,FALSE)*AR27</f>
        <v>0</v>
      </c>
      <c r="AV27" s="1371"/>
      <c r="AW27" s="1371"/>
      <c r="AX27" s="1372">
        <f t="shared" si="18"/>
        <v>0</v>
      </c>
      <c r="AY27" s="1373">
        <f t="shared" si="19"/>
        <v>0</v>
      </c>
      <c r="AZ27" s="1374">
        <f t="shared" si="20"/>
        <v>0</v>
      </c>
      <c r="BA27" s="1375">
        <f t="shared" si="21"/>
        <v>0</v>
      </c>
      <c r="BB27" s="1373">
        <f t="shared" si="22"/>
        <v>0</v>
      </c>
      <c r="BC27" s="1376"/>
      <c r="BD27" s="1372">
        <f t="shared" si="23"/>
        <v>0</v>
      </c>
      <c r="BE27" s="1372">
        <f t="shared" si="23"/>
        <v>0</v>
      </c>
      <c r="BF27" s="1372">
        <f t="shared" si="23"/>
        <v>0</v>
      </c>
      <c r="BG27" s="1816">
        <f t="shared" si="23"/>
        <v>0</v>
      </c>
      <c r="BH27" s="1372">
        <f t="shared" si="23"/>
        <v>0</v>
      </c>
      <c r="BI27" s="2278"/>
      <c r="BJ27" s="2278"/>
      <c r="BK27" s="2278"/>
      <c r="BL27" s="2141" t="s">
        <v>1280</v>
      </c>
      <c r="BM27" s="33">
        <v>80</v>
      </c>
      <c r="BN27" s="33">
        <v>85</v>
      </c>
      <c r="BO27" s="33">
        <v>20</v>
      </c>
      <c r="BP27" s="323">
        <v>20</v>
      </c>
      <c r="BQ27" s="323">
        <v>20</v>
      </c>
      <c r="BR27" s="323">
        <f>BQ27*2/3</f>
        <v>13.333333333333334</v>
      </c>
      <c r="BS27" s="323">
        <v>5</v>
      </c>
      <c r="BT27" s="323">
        <v>15</v>
      </c>
      <c r="BU27" s="1001">
        <v>9.9000000000000005E-2</v>
      </c>
      <c r="BV27" s="357">
        <v>0</v>
      </c>
      <c r="BW27" s="357">
        <v>0</v>
      </c>
      <c r="BX27" s="357"/>
      <c r="BY27" s="357"/>
      <c r="BZ27" s="357"/>
      <c r="CA27" s="357"/>
      <c r="CB27" s="357"/>
      <c r="CC27" s="357"/>
      <c r="CD27" s="357"/>
    </row>
    <row r="28" spans="1:82" ht="17.25" customHeight="1">
      <c r="A28" s="468">
        <v>21</v>
      </c>
      <c r="B28" s="1699">
        <v>0</v>
      </c>
      <c r="C28" s="1431" t="s">
        <v>31</v>
      </c>
      <c r="D28" s="2335">
        <f t="shared" si="0"/>
        <v>0</v>
      </c>
      <c r="E28" s="1381">
        <f t="shared" si="1"/>
        <v>0</v>
      </c>
      <c r="F28" s="1966">
        <f t="shared" si="2"/>
        <v>0</v>
      </c>
      <c r="G28" s="1928">
        <f t="shared" si="3"/>
        <v>0</v>
      </c>
      <c r="H28" s="1949">
        <f t="shared" si="4"/>
        <v>0</v>
      </c>
      <c r="I28" s="1949">
        <f t="shared" si="5"/>
        <v>0</v>
      </c>
      <c r="J28" s="1949">
        <f t="shared" si="6"/>
        <v>0</v>
      </c>
      <c r="K28" s="1928">
        <f t="shared" si="15"/>
        <v>0</v>
      </c>
      <c r="L28" s="1702">
        <v>0</v>
      </c>
      <c r="M28" s="2283" t="s">
        <v>31</v>
      </c>
      <c r="N28" s="2284" t="s">
        <v>1314</v>
      </c>
      <c r="O28" s="2285">
        <f t="shared" si="7"/>
        <v>0</v>
      </c>
      <c r="P28" s="2290" t="s">
        <v>1314</v>
      </c>
      <c r="Q28" s="2291">
        <f t="shared" si="8"/>
        <v>0</v>
      </c>
      <c r="R28" s="2288">
        <f t="shared" si="9"/>
        <v>0</v>
      </c>
      <c r="S28" s="2289">
        <v>0</v>
      </c>
      <c r="T28" s="2207">
        <v>0</v>
      </c>
      <c r="U28" s="2229">
        <f t="shared" si="16"/>
        <v>0</v>
      </c>
      <c r="V28" s="2228">
        <f t="shared" si="17"/>
        <v>0</v>
      </c>
      <c r="W28" s="2216">
        <f t="shared" si="10"/>
        <v>0</v>
      </c>
      <c r="X28" s="2213">
        <f t="shared" si="11"/>
        <v>0</v>
      </c>
      <c r="Z28" s="1281">
        <f t="shared" si="12"/>
        <v>21</v>
      </c>
      <c r="AA28" s="2087" t="str">
        <f t="shared" si="13"/>
        <v>keine</v>
      </c>
      <c r="AB28" s="1329"/>
      <c r="AC28" s="1330" t="s">
        <v>795</v>
      </c>
      <c r="AD28" s="1424">
        <v>0</v>
      </c>
      <c r="AE28" s="1033">
        <f>VLOOKUP(AC28,Düngemittel!$B$6:$E$64,2,FALSE)*(VLOOKUP(AC28,Düngemittel!$B$6:$E$64,3,FALSE))/100*AD28</f>
        <v>0</v>
      </c>
      <c r="AF28" s="1033">
        <f>VLOOKUP(AC28,Düngemittel!$B$6:$E$64,2,FALSE)*AD28</f>
        <v>0</v>
      </c>
      <c r="AG28" s="1033">
        <f>VLOOKUP(AC28,Düngemittel!$B$6:$E$64,4,FALSE)*AD28</f>
        <v>0</v>
      </c>
      <c r="AH28" s="142"/>
      <c r="AI28" s="1329"/>
      <c r="AJ28" s="1330" t="s">
        <v>795</v>
      </c>
      <c r="AK28" s="1424">
        <v>0</v>
      </c>
      <c r="AL28" s="1033">
        <f>VLOOKUP(AJ28,Düngemittel!$B$6:$E$64,2,FALSE)*(VLOOKUP(AJ28,Düngemittel!$B$6:$E$64,3,FALSE))/100*AK28</f>
        <v>0</v>
      </c>
      <c r="AM28" s="1033">
        <f>VLOOKUP(AJ28,Düngemittel!$B$6:$E$64,2,FALSE)*AK28</f>
        <v>0</v>
      </c>
      <c r="AN28" s="1033">
        <f>VLOOKUP(AJ28,Düngemittel!$B$6:$E$64,4,FALSE)*AK28</f>
        <v>0</v>
      </c>
      <c r="AO28" s="142"/>
      <c r="AP28" s="1329"/>
      <c r="AQ28" s="1330" t="s">
        <v>795</v>
      </c>
      <c r="AR28" s="1424">
        <v>0</v>
      </c>
      <c r="AS28" s="1033">
        <f>VLOOKUP(AQ28,Düngemittel!$B$6:$E$64,2,FALSE)*(VLOOKUP(AQ28,Düngemittel!$B$6:$E$64,3,FALSE))/100*AR28</f>
        <v>0</v>
      </c>
      <c r="AT28" s="1033">
        <f>VLOOKUP(AQ28,Düngemittel!$B$6:$E$64,2,FALSE)*AR28</f>
        <v>0</v>
      </c>
      <c r="AU28" s="1033">
        <f>VLOOKUP(AQ28,Düngemittel!$B$6:$E$64,4,FALSE)*AR28</f>
        <v>0</v>
      </c>
      <c r="AV28" s="1371"/>
      <c r="AW28" s="1371"/>
      <c r="AX28" s="1372">
        <f t="shared" si="18"/>
        <v>0</v>
      </c>
      <c r="AY28" s="1373">
        <f t="shared" si="19"/>
        <v>0</v>
      </c>
      <c r="AZ28" s="1374">
        <f t="shared" si="20"/>
        <v>0</v>
      </c>
      <c r="BA28" s="1375">
        <f t="shared" si="21"/>
        <v>0</v>
      </c>
      <c r="BB28" s="1373">
        <f t="shared" si="22"/>
        <v>0</v>
      </c>
      <c r="BC28" s="1376"/>
      <c r="BD28" s="1372">
        <f t="shared" si="23"/>
        <v>0</v>
      </c>
      <c r="BE28" s="1372">
        <f t="shared" si="23"/>
        <v>0</v>
      </c>
      <c r="BF28" s="1372">
        <f t="shared" si="23"/>
        <v>0</v>
      </c>
      <c r="BG28" s="1816">
        <f t="shared" si="23"/>
        <v>0</v>
      </c>
      <c r="BH28" s="1372">
        <f t="shared" si="23"/>
        <v>0</v>
      </c>
      <c r="BI28" s="2278"/>
      <c r="BJ28" s="2278"/>
      <c r="BK28" s="2278"/>
      <c r="BL28" s="2141" t="s">
        <v>1281</v>
      </c>
      <c r="BM28" s="33">
        <v>130</v>
      </c>
      <c r="BN28" s="33">
        <v>110</v>
      </c>
      <c r="BO28" s="33">
        <v>20</v>
      </c>
      <c r="BP28" s="323">
        <v>20</v>
      </c>
      <c r="BQ28" s="323">
        <v>20</v>
      </c>
      <c r="BR28" s="323">
        <f>BQ28*2/3</f>
        <v>13.333333333333334</v>
      </c>
      <c r="BS28" s="323">
        <v>5</v>
      </c>
      <c r="BT28" s="323">
        <v>15</v>
      </c>
      <c r="BU28" s="1001">
        <v>9.9000000000000005E-2</v>
      </c>
      <c r="BV28" s="357">
        <v>0</v>
      </c>
      <c r="BW28" s="357">
        <v>0</v>
      </c>
      <c r="BX28" s="357"/>
      <c r="BY28" s="357"/>
      <c r="BZ28" s="357"/>
      <c r="CA28" s="357"/>
      <c r="CB28" s="357"/>
      <c r="CC28" s="357"/>
      <c r="CD28" s="357"/>
    </row>
    <row r="29" spans="1:82" ht="17.25" customHeight="1">
      <c r="A29" s="468">
        <v>22</v>
      </c>
      <c r="B29" s="1699">
        <v>0</v>
      </c>
      <c r="C29" s="1431" t="s">
        <v>31</v>
      </c>
      <c r="D29" s="2335">
        <f t="shared" si="0"/>
        <v>0</v>
      </c>
      <c r="E29" s="1381">
        <f t="shared" si="1"/>
        <v>0</v>
      </c>
      <c r="F29" s="1966">
        <f t="shared" ref="F29:F39" si="25">L29-D29</f>
        <v>0</v>
      </c>
      <c r="G29" s="1928">
        <f t="shared" ref="G29:G39" si="26">IF(F29=0,0,F29*100/D29)</f>
        <v>0</v>
      </c>
      <c r="H29" s="1949">
        <f t="shared" si="4"/>
        <v>0</v>
      </c>
      <c r="I29" s="1949">
        <f t="shared" si="5"/>
        <v>0</v>
      </c>
      <c r="J29" s="1949">
        <f t="shared" si="6"/>
        <v>0</v>
      </c>
      <c r="K29" s="1928">
        <f t="shared" ref="K29:K39" si="27">IF(H29=0,0,IF(G29&gt;0,ROUNDDOWN(G29/H29,0)*I29,IF(G29&lt;=0,ROUNDDOWN(G29/H29,0)*J29,IF(F29&gt;0,F29*I29/E29,J29*F29/0))))</f>
        <v>0</v>
      </c>
      <c r="L29" s="1702">
        <v>0</v>
      </c>
      <c r="M29" s="2283" t="s">
        <v>31</v>
      </c>
      <c r="N29" s="2284" t="s">
        <v>1314</v>
      </c>
      <c r="O29" s="2285">
        <f t="shared" si="7"/>
        <v>0</v>
      </c>
      <c r="P29" s="2290" t="s">
        <v>1314</v>
      </c>
      <c r="Q29" s="2291">
        <f t="shared" si="8"/>
        <v>0</v>
      </c>
      <c r="R29" s="2288">
        <f t="shared" si="9"/>
        <v>0</v>
      </c>
      <c r="S29" s="2289">
        <v>0</v>
      </c>
      <c r="T29" s="2207">
        <v>0</v>
      </c>
      <c r="U29" s="2229">
        <f t="shared" si="16"/>
        <v>0</v>
      </c>
      <c r="V29" s="2228">
        <f t="shared" si="17"/>
        <v>0</v>
      </c>
      <c r="W29" s="2216">
        <f t="shared" si="10"/>
        <v>0</v>
      </c>
      <c r="X29" s="2213">
        <f t="shared" si="11"/>
        <v>0</v>
      </c>
      <c r="Z29" s="1281">
        <f t="shared" si="12"/>
        <v>22</v>
      </c>
      <c r="AA29" s="2087" t="str">
        <f t="shared" si="13"/>
        <v>keine</v>
      </c>
      <c r="AB29" s="1329"/>
      <c r="AC29" s="1330" t="s">
        <v>795</v>
      </c>
      <c r="AD29" s="1424">
        <v>0</v>
      </c>
      <c r="AE29" s="1033">
        <f>VLOOKUP(AC29,Düngemittel!$B$6:$E$64,2,FALSE)*(VLOOKUP(AC29,Düngemittel!$B$6:$E$64,3,FALSE))/100*AD29</f>
        <v>0</v>
      </c>
      <c r="AF29" s="1033">
        <f>VLOOKUP(AC29,Düngemittel!$B$6:$E$64,2,FALSE)*AD29</f>
        <v>0</v>
      </c>
      <c r="AG29" s="1033">
        <f>VLOOKUP(AC29,Düngemittel!$B$6:$E$64,4,FALSE)*AD29</f>
        <v>0</v>
      </c>
      <c r="AH29" s="142"/>
      <c r="AI29" s="1329"/>
      <c r="AJ29" s="1330" t="s">
        <v>795</v>
      </c>
      <c r="AK29" s="1424">
        <v>0</v>
      </c>
      <c r="AL29" s="1033">
        <f>VLOOKUP(AJ29,Düngemittel!$B$6:$E$64,2,FALSE)*(VLOOKUP(AJ29,Düngemittel!$B$6:$E$64,3,FALSE))/100*AK29</f>
        <v>0</v>
      </c>
      <c r="AM29" s="1033">
        <f>VLOOKUP(AJ29,Düngemittel!$B$6:$E$64,2,FALSE)*AK29</f>
        <v>0</v>
      </c>
      <c r="AN29" s="1033">
        <f>VLOOKUP(AJ29,Düngemittel!$B$6:$E$64,4,FALSE)*AK29</f>
        <v>0</v>
      </c>
      <c r="AO29" s="142"/>
      <c r="AP29" s="1329"/>
      <c r="AQ29" s="1330" t="s">
        <v>795</v>
      </c>
      <c r="AR29" s="1424">
        <v>0</v>
      </c>
      <c r="AS29" s="1033">
        <f>VLOOKUP(AQ29,Düngemittel!$B$6:$E$64,2,FALSE)*(VLOOKUP(AQ29,Düngemittel!$B$6:$E$64,3,FALSE))/100*AR29</f>
        <v>0</v>
      </c>
      <c r="AT29" s="1033">
        <f>VLOOKUP(AQ29,Düngemittel!$B$6:$E$64,2,FALSE)*AR29</f>
        <v>0</v>
      </c>
      <c r="AU29" s="1033">
        <f>VLOOKUP(AQ29,Düngemittel!$B$6:$E$64,4,FALSE)*AR29</f>
        <v>0</v>
      </c>
      <c r="AV29" s="1371"/>
      <c r="AW29" s="1371"/>
      <c r="AX29" s="1372">
        <f t="shared" ref="AX29:AX39" si="28">IF(AE29&lt;AF29,0,AE29)+IF(AL29&lt;AM29,0,AL29)+IF(AS29&lt;AT29,0,AS29)</f>
        <v>0</v>
      </c>
      <c r="AY29" s="1373">
        <f t="shared" ref="AY29:AY39" si="29">SUM(AE29+AL29+AS29)</f>
        <v>0</v>
      </c>
      <c r="AZ29" s="1374">
        <f t="shared" ref="AZ29:AZ39" si="30">SUM(AF29+AM29+AT29)</f>
        <v>0</v>
      </c>
      <c r="BA29" s="1375">
        <f t="shared" ref="BA29:BA39" si="31">IF(AE29&lt;AF29,AF29,0)+IF(AL29&lt;AM29,AM29,0)+IF(AS29&lt;AT29,AT29,0)</f>
        <v>0</v>
      </c>
      <c r="BB29" s="1373">
        <f t="shared" ref="BB29:BB39" si="32">SUM(AG29+AN29+AU29)</f>
        <v>0</v>
      </c>
      <c r="BC29" s="1376"/>
      <c r="BD29" s="1372">
        <f t="shared" ref="BD29:BD39" si="33">AX29*$B29</f>
        <v>0</v>
      </c>
      <c r="BE29" s="1372">
        <f t="shared" ref="BE29:BE39" si="34">AY29*$B29</f>
        <v>0</v>
      </c>
      <c r="BF29" s="1372">
        <f t="shared" ref="BF29:BF39" si="35">AZ29*$B29</f>
        <v>0</v>
      </c>
      <c r="BG29" s="1816">
        <f t="shared" ref="BG29:BG39" si="36">BA29*$B29</f>
        <v>0</v>
      </c>
      <c r="BH29" s="1372">
        <f t="shared" ref="BH29:BH39" si="37">BB29*$B29</f>
        <v>0</v>
      </c>
      <c r="BI29" s="2278"/>
      <c r="BJ29" s="2278"/>
      <c r="BK29" s="2278"/>
      <c r="BL29" s="2152" t="s">
        <v>1509</v>
      </c>
      <c r="BM29" s="33">
        <v>150</v>
      </c>
      <c r="BN29" s="33">
        <v>120</v>
      </c>
      <c r="BO29" s="33">
        <v>10</v>
      </c>
      <c r="BP29" s="2153">
        <v>12</v>
      </c>
      <c r="BQ29" s="2153">
        <v>12</v>
      </c>
      <c r="BR29" s="2152">
        <v>0</v>
      </c>
      <c r="BS29" s="2152">
        <v>0</v>
      </c>
      <c r="BT29" s="2152">
        <v>30</v>
      </c>
      <c r="BU29" s="2157">
        <v>0.26</v>
      </c>
      <c r="BV29" s="357">
        <v>0</v>
      </c>
      <c r="BW29" s="357">
        <v>0</v>
      </c>
      <c r="BX29" s="357"/>
      <c r="BY29" s="357"/>
      <c r="BZ29" s="357"/>
      <c r="CA29" s="357"/>
      <c r="CB29" s="357"/>
      <c r="CC29" s="357"/>
      <c r="CD29" s="357"/>
    </row>
    <row r="30" spans="1:82" ht="17.25" customHeight="1">
      <c r="A30" s="468">
        <v>23</v>
      </c>
      <c r="B30" s="1699">
        <v>0</v>
      </c>
      <c r="C30" s="1431" t="s">
        <v>31</v>
      </c>
      <c r="D30" s="2335">
        <f t="shared" si="0"/>
        <v>0</v>
      </c>
      <c r="E30" s="1381">
        <f t="shared" si="1"/>
        <v>0</v>
      </c>
      <c r="F30" s="1966">
        <f t="shared" si="25"/>
        <v>0</v>
      </c>
      <c r="G30" s="1928">
        <f t="shared" si="26"/>
        <v>0</v>
      </c>
      <c r="H30" s="1949">
        <f t="shared" si="4"/>
        <v>0</v>
      </c>
      <c r="I30" s="1949">
        <f t="shared" si="5"/>
        <v>0</v>
      </c>
      <c r="J30" s="1949">
        <f t="shared" si="6"/>
        <v>0</v>
      </c>
      <c r="K30" s="1928">
        <f t="shared" si="27"/>
        <v>0</v>
      </c>
      <c r="L30" s="1702">
        <v>0</v>
      </c>
      <c r="M30" s="2283" t="s">
        <v>31</v>
      </c>
      <c r="N30" s="2284" t="s">
        <v>1314</v>
      </c>
      <c r="O30" s="2285">
        <f t="shared" si="7"/>
        <v>0</v>
      </c>
      <c r="P30" s="2290" t="s">
        <v>1314</v>
      </c>
      <c r="Q30" s="2291">
        <f t="shared" si="8"/>
        <v>0</v>
      </c>
      <c r="R30" s="2288">
        <f t="shared" si="9"/>
        <v>0</v>
      </c>
      <c r="S30" s="2289">
        <v>0</v>
      </c>
      <c r="T30" s="2207">
        <v>0</v>
      </c>
      <c r="U30" s="2229">
        <f t="shared" si="16"/>
        <v>0</v>
      </c>
      <c r="V30" s="2228">
        <f t="shared" si="17"/>
        <v>0</v>
      </c>
      <c r="W30" s="2216">
        <f t="shared" si="10"/>
        <v>0</v>
      </c>
      <c r="X30" s="2213">
        <f t="shared" si="11"/>
        <v>0</v>
      </c>
      <c r="Z30" s="1281">
        <f t="shared" si="12"/>
        <v>23</v>
      </c>
      <c r="AA30" s="2087" t="str">
        <f t="shared" si="13"/>
        <v>keine</v>
      </c>
      <c r="AB30" s="1329"/>
      <c r="AC30" s="1330" t="s">
        <v>795</v>
      </c>
      <c r="AD30" s="1424">
        <v>0</v>
      </c>
      <c r="AE30" s="1033">
        <f>VLOOKUP(AC30,Düngemittel!$B$6:$E$64,2,FALSE)*(VLOOKUP(AC30,Düngemittel!$B$6:$E$64,3,FALSE))/100*AD30</f>
        <v>0</v>
      </c>
      <c r="AF30" s="1033">
        <f>VLOOKUP(AC30,Düngemittel!$B$6:$E$64,2,FALSE)*AD30</f>
        <v>0</v>
      </c>
      <c r="AG30" s="1033">
        <f>VLOOKUP(AC30,Düngemittel!$B$6:$E$64,4,FALSE)*AD30</f>
        <v>0</v>
      </c>
      <c r="AH30" s="142"/>
      <c r="AI30" s="1329"/>
      <c r="AJ30" s="1330" t="s">
        <v>795</v>
      </c>
      <c r="AK30" s="1424">
        <v>0</v>
      </c>
      <c r="AL30" s="1033">
        <f>VLOOKUP(AJ30,Düngemittel!$B$6:$E$64,2,FALSE)*(VLOOKUP(AJ30,Düngemittel!$B$6:$E$64,3,FALSE))/100*AK30</f>
        <v>0</v>
      </c>
      <c r="AM30" s="1033">
        <f>VLOOKUP(AJ30,Düngemittel!$B$6:$E$64,2,FALSE)*AK30</f>
        <v>0</v>
      </c>
      <c r="AN30" s="1033">
        <f>VLOOKUP(AJ30,Düngemittel!$B$6:$E$64,4,FALSE)*AK30</f>
        <v>0</v>
      </c>
      <c r="AO30" s="142"/>
      <c r="AP30" s="1329"/>
      <c r="AQ30" s="1330" t="s">
        <v>795</v>
      </c>
      <c r="AR30" s="1424">
        <v>0</v>
      </c>
      <c r="AS30" s="1033">
        <f>VLOOKUP(AQ30,Düngemittel!$B$6:$E$64,2,FALSE)*(VLOOKUP(AQ30,Düngemittel!$B$6:$E$64,3,FALSE))/100*AR30</f>
        <v>0</v>
      </c>
      <c r="AT30" s="1033">
        <f>VLOOKUP(AQ30,Düngemittel!$B$6:$E$64,2,FALSE)*AR30</f>
        <v>0</v>
      </c>
      <c r="AU30" s="1033">
        <f>VLOOKUP(AQ30,Düngemittel!$B$6:$E$64,4,FALSE)*AR30</f>
        <v>0</v>
      </c>
      <c r="AV30" s="1371"/>
      <c r="AW30" s="1371"/>
      <c r="AX30" s="1372">
        <f t="shared" si="28"/>
        <v>0</v>
      </c>
      <c r="AY30" s="1373">
        <f t="shared" si="29"/>
        <v>0</v>
      </c>
      <c r="AZ30" s="1374">
        <f t="shared" si="30"/>
        <v>0</v>
      </c>
      <c r="BA30" s="1375">
        <f t="shared" si="31"/>
        <v>0</v>
      </c>
      <c r="BB30" s="1373">
        <f t="shared" si="32"/>
        <v>0</v>
      </c>
      <c r="BC30" s="1376"/>
      <c r="BD30" s="1372">
        <f t="shared" si="33"/>
        <v>0</v>
      </c>
      <c r="BE30" s="1372">
        <f t="shared" si="34"/>
        <v>0</v>
      </c>
      <c r="BF30" s="1372">
        <f t="shared" si="35"/>
        <v>0</v>
      </c>
      <c r="BG30" s="1816">
        <f t="shared" si="36"/>
        <v>0</v>
      </c>
      <c r="BH30" s="1372">
        <f t="shared" si="37"/>
        <v>0</v>
      </c>
      <c r="BI30" s="2278"/>
      <c r="BJ30" s="2278"/>
      <c r="BK30" s="2278"/>
      <c r="BL30" s="2141" t="s">
        <v>1349</v>
      </c>
      <c r="BM30" s="33">
        <v>80</v>
      </c>
      <c r="BN30" s="33">
        <v>85</v>
      </c>
      <c r="BO30" s="33">
        <v>20</v>
      </c>
      <c r="BP30" s="323">
        <v>20</v>
      </c>
      <c r="BQ30" s="323">
        <v>20</v>
      </c>
      <c r="BR30" s="323">
        <f>BQ30*2/3</f>
        <v>13.333333333333334</v>
      </c>
      <c r="BS30" s="323">
        <v>65</v>
      </c>
      <c r="BT30" s="323">
        <v>60</v>
      </c>
      <c r="BU30" s="1001">
        <v>0.22900000000000001</v>
      </c>
      <c r="BV30" s="357">
        <v>0</v>
      </c>
      <c r="BW30" s="357">
        <v>0</v>
      </c>
      <c r="BX30" s="357"/>
      <c r="BY30" s="357"/>
      <c r="BZ30" s="357"/>
      <c r="CA30" s="357"/>
      <c r="CB30" s="357"/>
      <c r="CC30" s="357"/>
      <c r="CD30" s="357"/>
    </row>
    <row r="31" spans="1:82" ht="17.25" customHeight="1">
      <c r="A31" s="468">
        <v>24</v>
      </c>
      <c r="B31" s="1699">
        <v>0</v>
      </c>
      <c r="C31" s="1431" t="s">
        <v>31</v>
      </c>
      <c r="D31" s="2335">
        <f t="shared" si="0"/>
        <v>0</v>
      </c>
      <c r="E31" s="1381">
        <f t="shared" si="1"/>
        <v>0</v>
      </c>
      <c r="F31" s="1966">
        <f t="shared" si="25"/>
        <v>0</v>
      </c>
      <c r="G31" s="1928">
        <f t="shared" si="26"/>
        <v>0</v>
      </c>
      <c r="H31" s="1949">
        <f t="shared" si="4"/>
        <v>0</v>
      </c>
      <c r="I31" s="1949">
        <f t="shared" si="5"/>
        <v>0</v>
      </c>
      <c r="J31" s="1949">
        <f t="shared" si="6"/>
        <v>0</v>
      </c>
      <c r="K31" s="1928">
        <f t="shared" si="27"/>
        <v>0</v>
      </c>
      <c r="L31" s="1702">
        <v>0</v>
      </c>
      <c r="M31" s="2283" t="s">
        <v>31</v>
      </c>
      <c r="N31" s="2284" t="s">
        <v>1314</v>
      </c>
      <c r="O31" s="2285">
        <f t="shared" si="7"/>
        <v>0</v>
      </c>
      <c r="P31" s="2290" t="s">
        <v>1314</v>
      </c>
      <c r="Q31" s="2291">
        <f t="shared" si="8"/>
        <v>0</v>
      </c>
      <c r="R31" s="2288">
        <f t="shared" si="9"/>
        <v>0</v>
      </c>
      <c r="S31" s="2289">
        <v>0</v>
      </c>
      <c r="T31" s="2207">
        <v>0</v>
      </c>
      <c r="U31" s="2229">
        <f t="shared" si="16"/>
        <v>0</v>
      </c>
      <c r="V31" s="2228">
        <f t="shared" si="17"/>
        <v>0</v>
      </c>
      <c r="W31" s="2216">
        <f t="shared" si="10"/>
        <v>0</v>
      </c>
      <c r="X31" s="2213">
        <f t="shared" si="11"/>
        <v>0</v>
      </c>
      <c r="Z31" s="1281">
        <f t="shared" si="12"/>
        <v>24</v>
      </c>
      <c r="AA31" s="2087" t="str">
        <f t="shared" si="13"/>
        <v>keine</v>
      </c>
      <c r="AB31" s="1329"/>
      <c r="AC31" s="1330" t="s">
        <v>795</v>
      </c>
      <c r="AD31" s="1424">
        <v>0</v>
      </c>
      <c r="AE31" s="1033">
        <f>VLOOKUP(AC31,Düngemittel!$B$6:$E$64,2,FALSE)*(VLOOKUP(AC31,Düngemittel!$B$6:$E$64,3,FALSE))/100*AD31</f>
        <v>0</v>
      </c>
      <c r="AF31" s="1033">
        <f>VLOOKUP(AC31,Düngemittel!$B$6:$E$64,2,FALSE)*AD31</f>
        <v>0</v>
      </c>
      <c r="AG31" s="1033">
        <f>VLOOKUP(AC31,Düngemittel!$B$6:$E$64,4,FALSE)*AD31</f>
        <v>0</v>
      </c>
      <c r="AH31" s="142"/>
      <c r="AI31" s="1329"/>
      <c r="AJ31" s="1330" t="s">
        <v>795</v>
      </c>
      <c r="AK31" s="1424">
        <v>0</v>
      </c>
      <c r="AL31" s="1033">
        <f>VLOOKUP(AJ31,Düngemittel!$B$6:$E$64,2,FALSE)*(VLOOKUP(AJ31,Düngemittel!$B$6:$E$64,3,FALSE))/100*AK31</f>
        <v>0</v>
      </c>
      <c r="AM31" s="1033">
        <f>VLOOKUP(AJ31,Düngemittel!$B$6:$E$64,2,FALSE)*AK31</f>
        <v>0</v>
      </c>
      <c r="AN31" s="1033">
        <f>VLOOKUP(AJ31,Düngemittel!$B$6:$E$64,4,FALSE)*AK31</f>
        <v>0</v>
      </c>
      <c r="AO31" s="142"/>
      <c r="AP31" s="1329"/>
      <c r="AQ31" s="1330" t="s">
        <v>795</v>
      </c>
      <c r="AR31" s="1424">
        <v>0</v>
      </c>
      <c r="AS31" s="1033">
        <f>VLOOKUP(AQ31,Düngemittel!$B$6:$E$64,2,FALSE)*(VLOOKUP(AQ31,Düngemittel!$B$6:$E$64,3,FALSE))/100*AR31</f>
        <v>0</v>
      </c>
      <c r="AT31" s="1033">
        <f>VLOOKUP(AQ31,Düngemittel!$B$6:$E$64,2,FALSE)*AR31</f>
        <v>0</v>
      </c>
      <c r="AU31" s="1033">
        <f>VLOOKUP(AQ31,Düngemittel!$B$6:$E$64,4,FALSE)*AR31</f>
        <v>0</v>
      </c>
      <c r="AV31" s="1371"/>
      <c r="AW31" s="1371"/>
      <c r="AX31" s="1372">
        <f t="shared" si="28"/>
        <v>0</v>
      </c>
      <c r="AY31" s="1373">
        <f t="shared" si="29"/>
        <v>0</v>
      </c>
      <c r="AZ31" s="1374">
        <f t="shared" si="30"/>
        <v>0</v>
      </c>
      <c r="BA31" s="1375">
        <f t="shared" si="31"/>
        <v>0</v>
      </c>
      <c r="BB31" s="1373">
        <f t="shared" si="32"/>
        <v>0</v>
      </c>
      <c r="BC31" s="1376"/>
      <c r="BD31" s="1372">
        <f t="shared" si="33"/>
        <v>0</v>
      </c>
      <c r="BE31" s="1372">
        <f t="shared" si="34"/>
        <v>0</v>
      </c>
      <c r="BF31" s="1372">
        <f t="shared" si="35"/>
        <v>0</v>
      </c>
      <c r="BG31" s="1816">
        <f t="shared" si="36"/>
        <v>0</v>
      </c>
      <c r="BH31" s="1372">
        <f t="shared" si="37"/>
        <v>0</v>
      </c>
      <c r="BI31" s="2278"/>
      <c r="BJ31" s="2278"/>
      <c r="BK31" s="2278"/>
      <c r="BL31" s="2141" t="s">
        <v>1282</v>
      </c>
      <c r="BM31" s="33">
        <v>400</v>
      </c>
      <c r="BN31" s="33">
        <v>200</v>
      </c>
      <c r="BO31" s="33">
        <v>20</v>
      </c>
      <c r="BP31" s="323">
        <v>20</v>
      </c>
      <c r="BQ31" s="323">
        <v>20</v>
      </c>
      <c r="BR31" s="323">
        <f>BQ31*2/3</f>
        <v>13.333333333333334</v>
      </c>
      <c r="BS31" s="323">
        <v>35</v>
      </c>
      <c r="BT31" s="323">
        <v>60</v>
      </c>
      <c r="BU31" s="1001">
        <v>0.16300000000000001</v>
      </c>
      <c r="BV31" s="357">
        <v>0</v>
      </c>
      <c r="BW31" s="357">
        <v>0</v>
      </c>
      <c r="BX31" s="357"/>
      <c r="BY31" s="357"/>
      <c r="BZ31" s="357"/>
      <c r="CA31" s="357"/>
      <c r="CB31" s="357"/>
      <c r="CC31" s="357"/>
      <c r="CD31" s="357"/>
    </row>
    <row r="32" spans="1:82" ht="17.25" customHeight="1">
      <c r="A32" s="468">
        <v>25</v>
      </c>
      <c r="B32" s="1699">
        <v>0</v>
      </c>
      <c r="C32" s="1431" t="s">
        <v>31</v>
      </c>
      <c r="D32" s="2335">
        <f t="shared" si="0"/>
        <v>0</v>
      </c>
      <c r="E32" s="1381">
        <f t="shared" si="1"/>
        <v>0</v>
      </c>
      <c r="F32" s="1966">
        <f t="shared" si="25"/>
        <v>0</v>
      </c>
      <c r="G32" s="1928">
        <f t="shared" si="26"/>
        <v>0</v>
      </c>
      <c r="H32" s="1949">
        <f t="shared" si="4"/>
        <v>0</v>
      </c>
      <c r="I32" s="1949">
        <f t="shared" si="5"/>
        <v>0</v>
      </c>
      <c r="J32" s="1949">
        <f t="shared" si="6"/>
        <v>0</v>
      </c>
      <c r="K32" s="1928">
        <f t="shared" si="27"/>
        <v>0</v>
      </c>
      <c r="L32" s="1702">
        <v>0</v>
      </c>
      <c r="M32" s="2283" t="s">
        <v>31</v>
      </c>
      <c r="N32" s="2284" t="s">
        <v>1314</v>
      </c>
      <c r="O32" s="2285">
        <f t="shared" si="7"/>
        <v>0</v>
      </c>
      <c r="P32" s="2290" t="s">
        <v>1314</v>
      </c>
      <c r="Q32" s="2291">
        <f t="shared" si="8"/>
        <v>0</v>
      </c>
      <c r="R32" s="2288">
        <f t="shared" si="9"/>
        <v>0</v>
      </c>
      <c r="S32" s="2289">
        <v>0</v>
      </c>
      <c r="T32" s="2207">
        <v>0</v>
      </c>
      <c r="U32" s="2229">
        <f t="shared" si="16"/>
        <v>0</v>
      </c>
      <c r="V32" s="2228">
        <f t="shared" si="17"/>
        <v>0</v>
      </c>
      <c r="W32" s="2216">
        <f t="shared" si="10"/>
        <v>0</v>
      </c>
      <c r="X32" s="2213">
        <f t="shared" si="11"/>
        <v>0</v>
      </c>
      <c r="Z32" s="1281">
        <f t="shared" si="12"/>
        <v>25</v>
      </c>
      <c r="AA32" s="2087" t="str">
        <f t="shared" si="13"/>
        <v>keine</v>
      </c>
      <c r="AB32" s="1329"/>
      <c r="AC32" s="1330" t="s">
        <v>795</v>
      </c>
      <c r="AD32" s="1424">
        <v>0</v>
      </c>
      <c r="AE32" s="1033">
        <f>VLOOKUP(AC32,Düngemittel!$B$6:$E$64,2,FALSE)*(VLOOKUP(AC32,Düngemittel!$B$6:$E$64,3,FALSE))/100*AD32</f>
        <v>0</v>
      </c>
      <c r="AF32" s="1033">
        <f>VLOOKUP(AC32,Düngemittel!$B$6:$E$64,2,FALSE)*AD32</f>
        <v>0</v>
      </c>
      <c r="AG32" s="1033">
        <f>VLOOKUP(AC32,Düngemittel!$B$6:$E$64,4,FALSE)*AD32</f>
        <v>0</v>
      </c>
      <c r="AH32" s="142"/>
      <c r="AI32" s="1329"/>
      <c r="AJ32" s="1330" t="s">
        <v>795</v>
      </c>
      <c r="AK32" s="1424">
        <v>0</v>
      </c>
      <c r="AL32" s="1033">
        <f>VLOOKUP(AJ32,Düngemittel!$B$6:$E$64,2,FALSE)*(VLOOKUP(AJ32,Düngemittel!$B$6:$E$64,3,FALSE))/100*AK32</f>
        <v>0</v>
      </c>
      <c r="AM32" s="1033">
        <f>VLOOKUP(AJ32,Düngemittel!$B$6:$E$64,2,FALSE)*AK32</f>
        <v>0</v>
      </c>
      <c r="AN32" s="1033">
        <f>VLOOKUP(AJ32,Düngemittel!$B$6:$E$64,4,FALSE)*AK32</f>
        <v>0</v>
      </c>
      <c r="AO32" s="142"/>
      <c r="AP32" s="1329"/>
      <c r="AQ32" s="1330" t="s">
        <v>795</v>
      </c>
      <c r="AR32" s="1424">
        <v>0</v>
      </c>
      <c r="AS32" s="1033">
        <f>VLOOKUP(AQ32,Düngemittel!$B$6:$E$64,2,FALSE)*(VLOOKUP(AQ32,Düngemittel!$B$6:$E$64,3,FALSE))/100*AR32</f>
        <v>0</v>
      </c>
      <c r="AT32" s="1033">
        <f>VLOOKUP(AQ32,Düngemittel!$B$6:$E$64,2,FALSE)*AR32</f>
        <v>0</v>
      </c>
      <c r="AU32" s="1033">
        <f>VLOOKUP(AQ32,Düngemittel!$B$6:$E$64,4,FALSE)*AR32</f>
        <v>0</v>
      </c>
      <c r="AV32" s="1371"/>
      <c r="AW32" s="1371"/>
      <c r="AX32" s="1372">
        <f t="shared" si="28"/>
        <v>0</v>
      </c>
      <c r="AY32" s="1373">
        <f t="shared" si="29"/>
        <v>0</v>
      </c>
      <c r="AZ32" s="1374">
        <f t="shared" si="30"/>
        <v>0</v>
      </c>
      <c r="BA32" s="1375">
        <f t="shared" si="31"/>
        <v>0</v>
      </c>
      <c r="BB32" s="1373">
        <f t="shared" si="32"/>
        <v>0</v>
      </c>
      <c r="BC32" s="1376"/>
      <c r="BD32" s="1372">
        <f t="shared" si="33"/>
        <v>0</v>
      </c>
      <c r="BE32" s="1372">
        <f t="shared" si="34"/>
        <v>0</v>
      </c>
      <c r="BF32" s="1372">
        <f t="shared" si="35"/>
        <v>0</v>
      </c>
      <c r="BG32" s="1816">
        <f t="shared" si="36"/>
        <v>0</v>
      </c>
      <c r="BH32" s="1372">
        <f t="shared" si="37"/>
        <v>0</v>
      </c>
      <c r="BI32" s="2278"/>
      <c r="BJ32" s="2278"/>
      <c r="BK32" s="2278"/>
      <c r="BL32" s="2141" t="s">
        <v>1350</v>
      </c>
      <c r="BM32" s="33">
        <v>800</v>
      </c>
      <c r="BN32" s="33">
        <v>210</v>
      </c>
      <c r="BO32" s="33">
        <v>20</v>
      </c>
      <c r="BP32" s="323">
        <v>40</v>
      </c>
      <c r="BQ32" s="323">
        <v>40</v>
      </c>
      <c r="BR32" s="323">
        <f>BQ32*2/3</f>
        <v>26.666666666666668</v>
      </c>
      <c r="BS32" s="323">
        <v>50</v>
      </c>
      <c r="BT32" s="323">
        <v>30</v>
      </c>
      <c r="BU32" s="1001">
        <v>6.9000000000000006E-2</v>
      </c>
      <c r="BV32" s="357">
        <v>0</v>
      </c>
      <c r="BW32" s="357">
        <v>0</v>
      </c>
      <c r="BX32" s="357"/>
      <c r="BY32" s="357"/>
      <c r="BZ32" s="357"/>
      <c r="CA32" s="357"/>
      <c r="CB32" s="357"/>
      <c r="CC32" s="357"/>
      <c r="CD32" s="357"/>
    </row>
    <row r="33" spans="1:82" ht="17.25" customHeight="1">
      <c r="A33" s="468">
        <v>26</v>
      </c>
      <c r="B33" s="1699">
        <v>0</v>
      </c>
      <c r="C33" s="1431" t="s">
        <v>31</v>
      </c>
      <c r="D33" s="2335">
        <f t="shared" si="0"/>
        <v>0</v>
      </c>
      <c r="E33" s="1381">
        <f t="shared" si="1"/>
        <v>0</v>
      </c>
      <c r="F33" s="1966">
        <f t="shared" si="25"/>
        <v>0</v>
      </c>
      <c r="G33" s="1928">
        <f t="shared" si="26"/>
        <v>0</v>
      </c>
      <c r="H33" s="1949">
        <f t="shared" si="4"/>
        <v>0</v>
      </c>
      <c r="I33" s="1949">
        <f t="shared" si="5"/>
        <v>0</v>
      </c>
      <c r="J33" s="1949">
        <f t="shared" si="6"/>
        <v>0</v>
      </c>
      <c r="K33" s="1928">
        <f t="shared" si="27"/>
        <v>0</v>
      </c>
      <c r="L33" s="1702">
        <v>0</v>
      </c>
      <c r="M33" s="2283" t="s">
        <v>31</v>
      </c>
      <c r="N33" s="2284" t="s">
        <v>1314</v>
      </c>
      <c r="O33" s="2285">
        <f t="shared" si="7"/>
        <v>0</v>
      </c>
      <c r="P33" s="2290" t="s">
        <v>1314</v>
      </c>
      <c r="Q33" s="2291">
        <f t="shared" si="8"/>
        <v>0</v>
      </c>
      <c r="R33" s="2288">
        <f t="shared" si="9"/>
        <v>0</v>
      </c>
      <c r="S33" s="2289">
        <v>0</v>
      </c>
      <c r="T33" s="2207">
        <v>0</v>
      </c>
      <c r="U33" s="2229">
        <f t="shared" si="16"/>
        <v>0</v>
      </c>
      <c r="V33" s="2228">
        <f t="shared" si="17"/>
        <v>0</v>
      </c>
      <c r="W33" s="2216">
        <f t="shared" si="10"/>
        <v>0</v>
      </c>
      <c r="X33" s="2213">
        <f t="shared" si="11"/>
        <v>0</v>
      </c>
      <c r="Z33" s="1281">
        <f t="shared" si="12"/>
        <v>26</v>
      </c>
      <c r="AA33" s="2087" t="str">
        <f t="shared" si="13"/>
        <v>keine</v>
      </c>
      <c r="AB33" s="1329"/>
      <c r="AC33" s="1330" t="s">
        <v>795</v>
      </c>
      <c r="AD33" s="1424">
        <v>0</v>
      </c>
      <c r="AE33" s="1033">
        <f>VLOOKUP(AC33,Düngemittel!$B$6:$E$64,2,FALSE)*(VLOOKUP(AC33,Düngemittel!$B$6:$E$64,3,FALSE))/100*AD33</f>
        <v>0</v>
      </c>
      <c r="AF33" s="1033">
        <f>VLOOKUP(AC33,Düngemittel!$B$6:$E$64,2,FALSE)*AD33</f>
        <v>0</v>
      </c>
      <c r="AG33" s="1033">
        <f>VLOOKUP(AC33,Düngemittel!$B$6:$E$64,4,FALSE)*AD33</f>
        <v>0</v>
      </c>
      <c r="AH33" s="142"/>
      <c r="AI33" s="1329"/>
      <c r="AJ33" s="1330" t="s">
        <v>795</v>
      </c>
      <c r="AK33" s="1424">
        <v>0</v>
      </c>
      <c r="AL33" s="1033">
        <f>VLOOKUP(AJ33,Düngemittel!$B$6:$E$64,2,FALSE)*(VLOOKUP(AJ33,Düngemittel!$B$6:$E$64,3,FALSE))/100*AK33</f>
        <v>0</v>
      </c>
      <c r="AM33" s="1033">
        <f>VLOOKUP(AJ33,Düngemittel!$B$6:$E$64,2,FALSE)*AK33</f>
        <v>0</v>
      </c>
      <c r="AN33" s="1033">
        <f>VLOOKUP(AJ33,Düngemittel!$B$6:$E$64,4,FALSE)*AK33</f>
        <v>0</v>
      </c>
      <c r="AO33" s="142"/>
      <c r="AP33" s="1329"/>
      <c r="AQ33" s="1330" t="s">
        <v>795</v>
      </c>
      <c r="AR33" s="1424">
        <v>0</v>
      </c>
      <c r="AS33" s="1033">
        <f>VLOOKUP(AQ33,Düngemittel!$B$6:$E$64,2,FALSE)*(VLOOKUP(AQ33,Düngemittel!$B$6:$E$64,3,FALSE))/100*AR33</f>
        <v>0</v>
      </c>
      <c r="AT33" s="1033">
        <f>VLOOKUP(AQ33,Düngemittel!$B$6:$E$64,2,FALSE)*AR33</f>
        <v>0</v>
      </c>
      <c r="AU33" s="1033">
        <f>VLOOKUP(AQ33,Düngemittel!$B$6:$E$64,4,FALSE)*AR33</f>
        <v>0</v>
      </c>
      <c r="AV33" s="1371"/>
      <c r="AW33" s="1371"/>
      <c r="AX33" s="1372">
        <f t="shared" si="28"/>
        <v>0</v>
      </c>
      <c r="AY33" s="1373">
        <f t="shared" si="29"/>
        <v>0</v>
      </c>
      <c r="AZ33" s="1374">
        <f t="shared" si="30"/>
        <v>0</v>
      </c>
      <c r="BA33" s="1375">
        <f t="shared" si="31"/>
        <v>0</v>
      </c>
      <c r="BB33" s="1373">
        <f t="shared" si="32"/>
        <v>0</v>
      </c>
      <c r="BC33" s="1376"/>
      <c r="BD33" s="1372">
        <f t="shared" si="33"/>
        <v>0</v>
      </c>
      <c r="BE33" s="1372">
        <f t="shared" si="34"/>
        <v>0</v>
      </c>
      <c r="BF33" s="1372">
        <f t="shared" si="35"/>
        <v>0</v>
      </c>
      <c r="BG33" s="1816">
        <f t="shared" si="36"/>
        <v>0</v>
      </c>
      <c r="BH33" s="1372">
        <f t="shared" si="37"/>
        <v>0</v>
      </c>
      <c r="BI33" s="2278"/>
      <c r="BJ33" s="2278"/>
      <c r="BK33" s="2278"/>
      <c r="BL33" s="2152" t="s">
        <v>1520</v>
      </c>
      <c r="BM33" s="33">
        <v>185</v>
      </c>
      <c r="BN33" s="33">
        <v>135</v>
      </c>
      <c r="BO33" s="33">
        <v>10</v>
      </c>
      <c r="BP33" s="2153">
        <v>13.5</v>
      </c>
      <c r="BQ33" s="2153">
        <v>13.5</v>
      </c>
      <c r="BR33" s="2152">
        <v>0</v>
      </c>
      <c r="BS33" s="2152">
        <v>0</v>
      </c>
      <c r="BT33" s="2152">
        <v>30</v>
      </c>
      <c r="BU33" s="2157">
        <v>0.16</v>
      </c>
      <c r="BV33" s="357">
        <v>0</v>
      </c>
      <c r="BW33" s="357"/>
      <c r="BX33" s="357"/>
      <c r="BY33" s="357"/>
      <c r="BZ33" s="357"/>
      <c r="CA33" s="357"/>
      <c r="CB33" s="357"/>
      <c r="CC33" s="357"/>
      <c r="CD33" s="357"/>
    </row>
    <row r="34" spans="1:82" ht="17.25" customHeight="1">
      <c r="A34" s="468">
        <v>27</v>
      </c>
      <c r="B34" s="1699">
        <v>0</v>
      </c>
      <c r="C34" s="1431" t="s">
        <v>31</v>
      </c>
      <c r="D34" s="2335">
        <f t="shared" si="0"/>
        <v>0</v>
      </c>
      <c r="E34" s="1381">
        <f t="shared" si="1"/>
        <v>0</v>
      </c>
      <c r="F34" s="1966">
        <f t="shared" si="25"/>
        <v>0</v>
      </c>
      <c r="G34" s="1928">
        <f t="shared" si="26"/>
        <v>0</v>
      </c>
      <c r="H34" s="1949">
        <f t="shared" si="4"/>
        <v>0</v>
      </c>
      <c r="I34" s="1949">
        <f t="shared" si="5"/>
        <v>0</v>
      </c>
      <c r="J34" s="1949">
        <f t="shared" si="6"/>
        <v>0</v>
      </c>
      <c r="K34" s="1928">
        <f t="shared" si="27"/>
        <v>0</v>
      </c>
      <c r="L34" s="1702">
        <v>0</v>
      </c>
      <c r="M34" s="2283" t="s">
        <v>31</v>
      </c>
      <c r="N34" s="2284" t="s">
        <v>1314</v>
      </c>
      <c r="O34" s="2285">
        <f t="shared" si="7"/>
        <v>0</v>
      </c>
      <c r="P34" s="2290" t="s">
        <v>1314</v>
      </c>
      <c r="Q34" s="2291">
        <f t="shared" si="8"/>
        <v>0</v>
      </c>
      <c r="R34" s="2288">
        <f t="shared" si="9"/>
        <v>0</v>
      </c>
      <c r="S34" s="2289">
        <v>0</v>
      </c>
      <c r="T34" s="2207">
        <v>0</v>
      </c>
      <c r="U34" s="2229">
        <f t="shared" si="16"/>
        <v>0</v>
      </c>
      <c r="V34" s="2228">
        <f t="shared" si="17"/>
        <v>0</v>
      </c>
      <c r="W34" s="2216">
        <f t="shared" si="10"/>
        <v>0</v>
      </c>
      <c r="X34" s="2213">
        <f t="shared" si="11"/>
        <v>0</v>
      </c>
      <c r="Z34" s="1281">
        <f t="shared" si="12"/>
        <v>27</v>
      </c>
      <c r="AA34" s="2087" t="str">
        <f t="shared" si="13"/>
        <v>keine</v>
      </c>
      <c r="AB34" s="1329"/>
      <c r="AC34" s="1330" t="s">
        <v>795</v>
      </c>
      <c r="AD34" s="1424">
        <v>0</v>
      </c>
      <c r="AE34" s="1033">
        <f>VLOOKUP(AC34,Düngemittel!$B$6:$E$64,2,FALSE)*(VLOOKUP(AC34,Düngemittel!$B$6:$E$64,3,FALSE))/100*AD34</f>
        <v>0</v>
      </c>
      <c r="AF34" s="1033">
        <f>VLOOKUP(AC34,Düngemittel!$B$6:$E$64,2,FALSE)*AD34</f>
        <v>0</v>
      </c>
      <c r="AG34" s="1033">
        <f>VLOOKUP(AC34,Düngemittel!$B$6:$E$64,4,FALSE)*AD34</f>
        <v>0</v>
      </c>
      <c r="AH34" s="142"/>
      <c r="AI34" s="1329"/>
      <c r="AJ34" s="1330" t="s">
        <v>795</v>
      </c>
      <c r="AK34" s="1424">
        <v>0</v>
      </c>
      <c r="AL34" s="1033">
        <f>VLOOKUP(AJ34,Düngemittel!$B$6:$E$64,2,FALSE)*(VLOOKUP(AJ34,Düngemittel!$B$6:$E$64,3,FALSE))/100*AK34</f>
        <v>0</v>
      </c>
      <c r="AM34" s="1033">
        <f>VLOOKUP(AJ34,Düngemittel!$B$6:$E$64,2,FALSE)*AK34</f>
        <v>0</v>
      </c>
      <c r="AN34" s="1033">
        <f>VLOOKUP(AJ34,Düngemittel!$B$6:$E$64,4,FALSE)*AK34</f>
        <v>0</v>
      </c>
      <c r="AO34" s="142"/>
      <c r="AP34" s="1329"/>
      <c r="AQ34" s="1330" t="s">
        <v>795</v>
      </c>
      <c r="AR34" s="1424">
        <v>0</v>
      </c>
      <c r="AS34" s="1033">
        <f>VLOOKUP(AQ34,Düngemittel!$B$6:$E$64,2,FALSE)*(VLOOKUP(AQ34,Düngemittel!$B$6:$E$64,3,FALSE))/100*AR34</f>
        <v>0</v>
      </c>
      <c r="AT34" s="1033">
        <f>VLOOKUP(AQ34,Düngemittel!$B$6:$E$64,2,FALSE)*AR34</f>
        <v>0</v>
      </c>
      <c r="AU34" s="1033">
        <f>VLOOKUP(AQ34,Düngemittel!$B$6:$E$64,4,FALSE)*AR34</f>
        <v>0</v>
      </c>
      <c r="AV34" s="1371"/>
      <c r="AW34" s="1371"/>
      <c r="AX34" s="1372">
        <f t="shared" si="28"/>
        <v>0</v>
      </c>
      <c r="AY34" s="1373">
        <f t="shared" si="29"/>
        <v>0</v>
      </c>
      <c r="AZ34" s="1374">
        <f t="shared" si="30"/>
        <v>0</v>
      </c>
      <c r="BA34" s="1375">
        <f t="shared" si="31"/>
        <v>0</v>
      </c>
      <c r="BB34" s="1373">
        <f t="shared" si="32"/>
        <v>0</v>
      </c>
      <c r="BC34" s="1376"/>
      <c r="BD34" s="1372">
        <f t="shared" si="33"/>
        <v>0</v>
      </c>
      <c r="BE34" s="1372">
        <f t="shared" si="34"/>
        <v>0</v>
      </c>
      <c r="BF34" s="1372">
        <f t="shared" si="35"/>
        <v>0</v>
      </c>
      <c r="BG34" s="1816">
        <f t="shared" si="36"/>
        <v>0</v>
      </c>
      <c r="BH34" s="1372">
        <f t="shared" si="37"/>
        <v>0</v>
      </c>
      <c r="BI34" s="2278"/>
      <c r="BJ34" s="2278"/>
      <c r="BK34" s="2278"/>
      <c r="BL34" s="2152" t="s">
        <v>1522</v>
      </c>
      <c r="BM34" s="33">
        <v>190</v>
      </c>
      <c r="BN34" s="33">
        <v>120</v>
      </c>
      <c r="BO34" s="33">
        <v>10</v>
      </c>
      <c r="BP34" s="2153">
        <v>12</v>
      </c>
      <c r="BQ34" s="2153">
        <v>12</v>
      </c>
      <c r="BR34" s="2152">
        <v>0</v>
      </c>
      <c r="BS34" s="2152">
        <v>0</v>
      </c>
      <c r="BT34" s="2152">
        <v>30</v>
      </c>
      <c r="BU34" s="2155">
        <v>0.1</v>
      </c>
      <c r="BV34" s="357">
        <v>0</v>
      </c>
      <c r="BW34" s="357"/>
      <c r="BX34" s="357"/>
      <c r="BY34" s="357"/>
      <c r="BZ34" s="357"/>
      <c r="CA34" s="357"/>
      <c r="CB34" s="357"/>
      <c r="CC34" s="357"/>
      <c r="CD34" s="357"/>
    </row>
    <row r="35" spans="1:82" ht="17.25" customHeight="1">
      <c r="A35" s="468">
        <v>28</v>
      </c>
      <c r="B35" s="1699">
        <v>0</v>
      </c>
      <c r="C35" s="1431" t="s">
        <v>31</v>
      </c>
      <c r="D35" s="2335">
        <f t="shared" si="0"/>
        <v>0</v>
      </c>
      <c r="E35" s="1381">
        <f t="shared" si="1"/>
        <v>0</v>
      </c>
      <c r="F35" s="1966">
        <f t="shared" si="25"/>
        <v>0</v>
      </c>
      <c r="G35" s="1928">
        <f t="shared" si="26"/>
        <v>0</v>
      </c>
      <c r="H35" s="1949">
        <f t="shared" si="4"/>
        <v>0</v>
      </c>
      <c r="I35" s="1949">
        <f t="shared" si="5"/>
        <v>0</v>
      </c>
      <c r="J35" s="1949">
        <f t="shared" si="6"/>
        <v>0</v>
      </c>
      <c r="K35" s="1928">
        <f t="shared" si="27"/>
        <v>0</v>
      </c>
      <c r="L35" s="1702">
        <v>0</v>
      </c>
      <c r="M35" s="2283" t="s">
        <v>31</v>
      </c>
      <c r="N35" s="2284" t="s">
        <v>1314</v>
      </c>
      <c r="O35" s="2285">
        <f t="shared" si="7"/>
        <v>0</v>
      </c>
      <c r="P35" s="2290" t="s">
        <v>1314</v>
      </c>
      <c r="Q35" s="2291">
        <f t="shared" si="8"/>
        <v>0</v>
      </c>
      <c r="R35" s="2288">
        <f t="shared" si="9"/>
        <v>0</v>
      </c>
      <c r="S35" s="2289">
        <v>0</v>
      </c>
      <c r="T35" s="2207">
        <v>0</v>
      </c>
      <c r="U35" s="2229">
        <f t="shared" si="16"/>
        <v>0</v>
      </c>
      <c r="V35" s="2228">
        <f t="shared" si="17"/>
        <v>0</v>
      </c>
      <c r="W35" s="2216">
        <f t="shared" si="10"/>
        <v>0</v>
      </c>
      <c r="X35" s="2213">
        <f t="shared" si="11"/>
        <v>0</v>
      </c>
      <c r="Z35" s="1281">
        <f t="shared" si="12"/>
        <v>28</v>
      </c>
      <c r="AA35" s="2087" t="str">
        <f t="shared" si="13"/>
        <v>keine</v>
      </c>
      <c r="AB35" s="1329"/>
      <c r="AC35" s="1330" t="s">
        <v>795</v>
      </c>
      <c r="AD35" s="1424">
        <v>0</v>
      </c>
      <c r="AE35" s="1033">
        <f>VLOOKUP(AC35,Düngemittel!$B$6:$E$64,2,FALSE)*(VLOOKUP(AC35,Düngemittel!$B$6:$E$64,3,FALSE))/100*AD35</f>
        <v>0</v>
      </c>
      <c r="AF35" s="1033">
        <f>VLOOKUP(AC35,Düngemittel!$B$6:$E$64,2,FALSE)*AD35</f>
        <v>0</v>
      </c>
      <c r="AG35" s="1033">
        <f>VLOOKUP(AC35,Düngemittel!$B$6:$E$64,4,FALSE)*AD35</f>
        <v>0</v>
      </c>
      <c r="AH35" s="142"/>
      <c r="AI35" s="1329"/>
      <c r="AJ35" s="1330" t="s">
        <v>795</v>
      </c>
      <c r="AK35" s="1424">
        <v>0</v>
      </c>
      <c r="AL35" s="1033">
        <f>VLOOKUP(AJ35,Düngemittel!$B$6:$E$64,2,FALSE)*(VLOOKUP(AJ35,Düngemittel!$B$6:$E$64,3,FALSE))/100*AK35</f>
        <v>0</v>
      </c>
      <c r="AM35" s="1033">
        <f>VLOOKUP(AJ35,Düngemittel!$B$6:$E$64,2,FALSE)*AK35</f>
        <v>0</v>
      </c>
      <c r="AN35" s="1033">
        <f>VLOOKUP(AJ35,Düngemittel!$B$6:$E$64,4,FALSE)*AK35</f>
        <v>0</v>
      </c>
      <c r="AO35" s="142"/>
      <c r="AP35" s="1329"/>
      <c r="AQ35" s="1330" t="s">
        <v>795</v>
      </c>
      <c r="AR35" s="1424">
        <v>0</v>
      </c>
      <c r="AS35" s="1033">
        <f>VLOOKUP(AQ35,Düngemittel!$B$6:$E$64,2,FALSE)*(VLOOKUP(AQ35,Düngemittel!$B$6:$E$64,3,FALSE))/100*AR35</f>
        <v>0</v>
      </c>
      <c r="AT35" s="1033">
        <f>VLOOKUP(AQ35,Düngemittel!$B$6:$E$64,2,FALSE)*AR35</f>
        <v>0</v>
      </c>
      <c r="AU35" s="1033">
        <f>VLOOKUP(AQ35,Düngemittel!$B$6:$E$64,4,FALSE)*AR35</f>
        <v>0</v>
      </c>
      <c r="AV35" s="1371"/>
      <c r="AW35" s="1371"/>
      <c r="AX35" s="1372">
        <f t="shared" si="28"/>
        <v>0</v>
      </c>
      <c r="AY35" s="1373">
        <f t="shared" si="29"/>
        <v>0</v>
      </c>
      <c r="AZ35" s="1374">
        <f t="shared" si="30"/>
        <v>0</v>
      </c>
      <c r="BA35" s="1375">
        <f t="shared" si="31"/>
        <v>0</v>
      </c>
      <c r="BB35" s="1373">
        <f t="shared" si="32"/>
        <v>0</v>
      </c>
      <c r="BC35" s="1376"/>
      <c r="BD35" s="1372">
        <f t="shared" si="33"/>
        <v>0</v>
      </c>
      <c r="BE35" s="1372">
        <f t="shared" si="34"/>
        <v>0</v>
      </c>
      <c r="BF35" s="1372">
        <f t="shared" si="35"/>
        <v>0</v>
      </c>
      <c r="BG35" s="1816">
        <f t="shared" si="36"/>
        <v>0</v>
      </c>
      <c r="BH35" s="1372">
        <f t="shared" si="37"/>
        <v>0</v>
      </c>
      <c r="BI35" s="2278"/>
      <c r="BJ35" s="2278"/>
      <c r="BK35" s="2278"/>
      <c r="BL35" s="2140" t="s">
        <v>1644</v>
      </c>
      <c r="BM35" s="33">
        <v>100</v>
      </c>
      <c r="BN35" s="33">
        <v>120</v>
      </c>
      <c r="BO35" s="33">
        <v>10</v>
      </c>
      <c r="BP35" s="2153">
        <v>8.5</v>
      </c>
      <c r="BQ35" s="2153">
        <v>8.5</v>
      </c>
      <c r="BR35" s="2160">
        <v>0</v>
      </c>
      <c r="BS35" s="2160">
        <v>0</v>
      </c>
      <c r="BT35" s="2160">
        <v>30</v>
      </c>
      <c r="BU35" s="2157">
        <v>0.17</v>
      </c>
      <c r="BV35" s="357">
        <v>0</v>
      </c>
      <c r="BW35" s="357"/>
      <c r="BX35" s="357"/>
      <c r="BY35" s="357"/>
      <c r="BZ35" s="357"/>
      <c r="CA35" s="357"/>
      <c r="CB35" s="357"/>
      <c r="CC35" s="357"/>
      <c r="CD35" s="357"/>
    </row>
    <row r="36" spans="1:82" ht="17.25" customHeight="1">
      <c r="A36" s="468">
        <v>29</v>
      </c>
      <c r="B36" s="1699">
        <v>0</v>
      </c>
      <c r="C36" s="1431" t="s">
        <v>31</v>
      </c>
      <c r="D36" s="2335">
        <f t="shared" si="0"/>
        <v>0</v>
      </c>
      <c r="E36" s="1381">
        <f t="shared" si="1"/>
        <v>0</v>
      </c>
      <c r="F36" s="1966">
        <f t="shared" si="25"/>
        <v>0</v>
      </c>
      <c r="G36" s="1928">
        <f t="shared" si="26"/>
        <v>0</v>
      </c>
      <c r="H36" s="1949">
        <f t="shared" si="4"/>
        <v>0</v>
      </c>
      <c r="I36" s="1949">
        <f t="shared" si="5"/>
        <v>0</v>
      </c>
      <c r="J36" s="1949">
        <f t="shared" si="6"/>
        <v>0</v>
      </c>
      <c r="K36" s="1928">
        <f t="shared" si="27"/>
        <v>0</v>
      </c>
      <c r="L36" s="1702">
        <v>0</v>
      </c>
      <c r="M36" s="2283" t="s">
        <v>31</v>
      </c>
      <c r="N36" s="2284" t="s">
        <v>1314</v>
      </c>
      <c r="O36" s="2285">
        <f t="shared" si="7"/>
        <v>0</v>
      </c>
      <c r="P36" s="2290" t="s">
        <v>1314</v>
      </c>
      <c r="Q36" s="2291">
        <f t="shared" si="8"/>
        <v>0</v>
      </c>
      <c r="R36" s="2288">
        <f t="shared" si="9"/>
        <v>0</v>
      </c>
      <c r="S36" s="2289">
        <v>0</v>
      </c>
      <c r="T36" s="2207">
        <v>0</v>
      </c>
      <c r="U36" s="2229">
        <f t="shared" si="16"/>
        <v>0</v>
      </c>
      <c r="V36" s="2228">
        <f t="shared" si="17"/>
        <v>0</v>
      </c>
      <c r="W36" s="2216">
        <f t="shared" si="10"/>
        <v>0</v>
      </c>
      <c r="X36" s="2213">
        <f t="shared" si="11"/>
        <v>0</v>
      </c>
      <c r="Z36" s="1281">
        <f t="shared" si="12"/>
        <v>29</v>
      </c>
      <c r="AA36" s="2087" t="str">
        <f t="shared" si="13"/>
        <v>keine</v>
      </c>
      <c r="AB36" s="1329"/>
      <c r="AC36" s="1330" t="s">
        <v>795</v>
      </c>
      <c r="AD36" s="1424">
        <v>0</v>
      </c>
      <c r="AE36" s="1033">
        <f>VLOOKUP(AC36,Düngemittel!$B$6:$E$64,2,FALSE)*(VLOOKUP(AC36,Düngemittel!$B$6:$E$64,3,FALSE))/100*AD36</f>
        <v>0</v>
      </c>
      <c r="AF36" s="1033">
        <f>VLOOKUP(AC36,Düngemittel!$B$6:$E$64,2,FALSE)*AD36</f>
        <v>0</v>
      </c>
      <c r="AG36" s="1033">
        <f>VLOOKUP(AC36,Düngemittel!$B$6:$E$64,4,FALSE)*AD36</f>
        <v>0</v>
      </c>
      <c r="AH36" s="142"/>
      <c r="AI36" s="1329"/>
      <c r="AJ36" s="1330" t="s">
        <v>795</v>
      </c>
      <c r="AK36" s="1424">
        <v>0</v>
      </c>
      <c r="AL36" s="1033">
        <f>VLOOKUP(AJ36,Düngemittel!$B$6:$E$64,2,FALSE)*(VLOOKUP(AJ36,Düngemittel!$B$6:$E$64,3,FALSE))/100*AK36</f>
        <v>0</v>
      </c>
      <c r="AM36" s="1033">
        <f>VLOOKUP(AJ36,Düngemittel!$B$6:$E$64,2,FALSE)*AK36</f>
        <v>0</v>
      </c>
      <c r="AN36" s="1033">
        <f>VLOOKUP(AJ36,Düngemittel!$B$6:$E$64,4,FALSE)*AK36</f>
        <v>0</v>
      </c>
      <c r="AO36" s="142"/>
      <c r="AP36" s="1329"/>
      <c r="AQ36" s="1330" t="s">
        <v>795</v>
      </c>
      <c r="AR36" s="1424">
        <v>0</v>
      </c>
      <c r="AS36" s="1033">
        <f>VLOOKUP(AQ36,Düngemittel!$B$6:$E$64,2,FALSE)*(VLOOKUP(AQ36,Düngemittel!$B$6:$E$64,3,FALSE))/100*AR36</f>
        <v>0</v>
      </c>
      <c r="AT36" s="1033">
        <f>VLOOKUP(AQ36,Düngemittel!$B$6:$E$64,2,FALSE)*AR36</f>
        <v>0</v>
      </c>
      <c r="AU36" s="1033">
        <f>VLOOKUP(AQ36,Düngemittel!$B$6:$E$64,4,FALSE)*AR36</f>
        <v>0</v>
      </c>
      <c r="AV36" s="1371"/>
      <c r="AW36" s="1371"/>
      <c r="AX36" s="1372">
        <f t="shared" si="28"/>
        <v>0</v>
      </c>
      <c r="AY36" s="1373">
        <f t="shared" si="29"/>
        <v>0</v>
      </c>
      <c r="AZ36" s="1374">
        <f t="shared" si="30"/>
        <v>0</v>
      </c>
      <c r="BA36" s="1375">
        <f t="shared" si="31"/>
        <v>0</v>
      </c>
      <c r="BB36" s="1373">
        <f t="shared" si="32"/>
        <v>0</v>
      </c>
      <c r="BC36" s="1376"/>
      <c r="BD36" s="1372">
        <f t="shared" si="33"/>
        <v>0</v>
      </c>
      <c r="BE36" s="1372">
        <f t="shared" si="34"/>
        <v>0</v>
      </c>
      <c r="BF36" s="1372">
        <f t="shared" si="35"/>
        <v>0</v>
      </c>
      <c r="BG36" s="1816">
        <f t="shared" si="36"/>
        <v>0</v>
      </c>
      <c r="BH36" s="1372">
        <f t="shared" si="37"/>
        <v>0</v>
      </c>
      <c r="BI36" s="2278"/>
      <c r="BJ36" s="2278"/>
      <c r="BK36" s="2278"/>
      <c r="BL36" s="2141" t="s">
        <v>1283</v>
      </c>
      <c r="BM36" s="33">
        <v>400</v>
      </c>
      <c r="BN36" s="33">
        <v>200</v>
      </c>
      <c r="BO36" s="33">
        <v>20</v>
      </c>
      <c r="BP36" s="323">
        <v>20</v>
      </c>
      <c r="BQ36" s="323">
        <v>20</v>
      </c>
      <c r="BR36" s="323">
        <f>BQ36*2/3</f>
        <v>13.333333333333334</v>
      </c>
      <c r="BS36" s="323">
        <v>45</v>
      </c>
      <c r="BT36" s="323">
        <v>60</v>
      </c>
      <c r="BU36" s="1001">
        <v>6.9000000000000006E-2</v>
      </c>
      <c r="BV36" s="357">
        <v>0</v>
      </c>
      <c r="BW36" s="357"/>
      <c r="BX36" s="357"/>
      <c r="BY36" s="357"/>
      <c r="BZ36" s="357"/>
      <c r="CA36" s="357"/>
      <c r="CB36" s="357"/>
      <c r="CC36" s="357"/>
      <c r="CD36" s="357"/>
    </row>
    <row r="37" spans="1:82" ht="17.25" customHeight="1">
      <c r="A37" s="468">
        <v>30</v>
      </c>
      <c r="B37" s="1699">
        <v>0</v>
      </c>
      <c r="C37" s="1431" t="s">
        <v>31</v>
      </c>
      <c r="D37" s="2335">
        <f t="shared" si="0"/>
        <v>0</v>
      </c>
      <c r="E37" s="1381">
        <f t="shared" si="1"/>
        <v>0</v>
      </c>
      <c r="F37" s="1966">
        <f t="shared" si="25"/>
        <v>0</v>
      </c>
      <c r="G37" s="1928">
        <f t="shared" si="26"/>
        <v>0</v>
      </c>
      <c r="H37" s="1949">
        <f t="shared" si="4"/>
        <v>0</v>
      </c>
      <c r="I37" s="1949">
        <f t="shared" si="5"/>
        <v>0</v>
      </c>
      <c r="J37" s="1949">
        <f t="shared" si="6"/>
        <v>0</v>
      </c>
      <c r="K37" s="1928">
        <f t="shared" si="27"/>
        <v>0</v>
      </c>
      <c r="L37" s="1702">
        <v>0</v>
      </c>
      <c r="M37" s="2283" t="s">
        <v>31</v>
      </c>
      <c r="N37" s="2284" t="s">
        <v>1314</v>
      </c>
      <c r="O37" s="2285">
        <f t="shared" si="7"/>
        <v>0</v>
      </c>
      <c r="P37" s="2290" t="s">
        <v>1314</v>
      </c>
      <c r="Q37" s="2291">
        <f t="shared" si="8"/>
        <v>0</v>
      </c>
      <c r="R37" s="2288">
        <f t="shared" si="9"/>
        <v>0</v>
      </c>
      <c r="S37" s="2289">
        <v>0</v>
      </c>
      <c r="T37" s="2207">
        <v>0</v>
      </c>
      <c r="U37" s="2229">
        <f t="shared" si="16"/>
        <v>0</v>
      </c>
      <c r="V37" s="2228">
        <f t="shared" si="17"/>
        <v>0</v>
      </c>
      <c r="W37" s="2216">
        <f t="shared" si="10"/>
        <v>0</v>
      </c>
      <c r="X37" s="2213">
        <f t="shared" si="11"/>
        <v>0</v>
      </c>
      <c r="Z37" s="1281">
        <f t="shared" si="12"/>
        <v>30</v>
      </c>
      <c r="AA37" s="2087" t="str">
        <f t="shared" si="13"/>
        <v>keine</v>
      </c>
      <c r="AB37" s="1329"/>
      <c r="AC37" s="1330" t="s">
        <v>795</v>
      </c>
      <c r="AD37" s="1424">
        <v>0</v>
      </c>
      <c r="AE37" s="1033">
        <f>VLOOKUP(AC37,Düngemittel!$B$6:$E$64,2,FALSE)*(VLOOKUP(AC37,Düngemittel!$B$6:$E$64,3,FALSE))/100*AD37</f>
        <v>0</v>
      </c>
      <c r="AF37" s="1033">
        <f>VLOOKUP(AC37,Düngemittel!$B$6:$E$64,2,FALSE)*AD37</f>
        <v>0</v>
      </c>
      <c r="AG37" s="1033">
        <f>VLOOKUP(AC37,Düngemittel!$B$6:$E$64,4,FALSE)*AD37</f>
        <v>0</v>
      </c>
      <c r="AH37" s="142"/>
      <c r="AI37" s="1329"/>
      <c r="AJ37" s="1330" t="s">
        <v>795</v>
      </c>
      <c r="AK37" s="1424">
        <v>0</v>
      </c>
      <c r="AL37" s="1033">
        <f>VLOOKUP(AJ37,Düngemittel!$B$6:$E$64,2,FALSE)*(VLOOKUP(AJ37,Düngemittel!$B$6:$E$64,3,FALSE))/100*AK37</f>
        <v>0</v>
      </c>
      <c r="AM37" s="1033">
        <f>VLOOKUP(AJ37,Düngemittel!$B$6:$E$64,2,FALSE)*AK37</f>
        <v>0</v>
      </c>
      <c r="AN37" s="1033">
        <f>VLOOKUP(AJ37,Düngemittel!$B$6:$E$64,4,FALSE)*AK37</f>
        <v>0</v>
      </c>
      <c r="AO37" s="142"/>
      <c r="AP37" s="1329"/>
      <c r="AQ37" s="1330" t="s">
        <v>795</v>
      </c>
      <c r="AR37" s="1424">
        <v>0</v>
      </c>
      <c r="AS37" s="1033">
        <f>VLOOKUP(AQ37,Düngemittel!$B$6:$E$64,2,FALSE)*(VLOOKUP(AQ37,Düngemittel!$B$6:$E$64,3,FALSE))/100*AR37</f>
        <v>0</v>
      </c>
      <c r="AT37" s="1033">
        <f>VLOOKUP(AQ37,Düngemittel!$B$6:$E$64,2,FALSE)*AR37</f>
        <v>0</v>
      </c>
      <c r="AU37" s="1033">
        <f>VLOOKUP(AQ37,Düngemittel!$B$6:$E$64,4,FALSE)*AR37</f>
        <v>0</v>
      </c>
      <c r="AV37" s="1371"/>
      <c r="AW37" s="1371"/>
      <c r="AX37" s="1372">
        <f t="shared" si="28"/>
        <v>0</v>
      </c>
      <c r="AY37" s="1373">
        <f t="shared" si="29"/>
        <v>0</v>
      </c>
      <c r="AZ37" s="1374">
        <f t="shared" si="30"/>
        <v>0</v>
      </c>
      <c r="BA37" s="1375">
        <f t="shared" si="31"/>
        <v>0</v>
      </c>
      <c r="BB37" s="1373">
        <f t="shared" si="32"/>
        <v>0</v>
      </c>
      <c r="BC37" s="1376"/>
      <c r="BD37" s="1372">
        <f t="shared" si="33"/>
        <v>0</v>
      </c>
      <c r="BE37" s="1372">
        <f t="shared" si="34"/>
        <v>0</v>
      </c>
      <c r="BF37" s="1372">
        <f t="shared" si="35"/>
        <v>0</v>
      </c>
      <c r="BG37" s="1816">
        <f t="shared" si="36"/>
        <v>0</v>
      </c>
      <c r="BH37" s="1372">
        <f t="shared" si="37"/>
        <v>0</v>
      </c>
      <c r="BI37" s="2278"/>
      <c r="BJ37" s="2278"/>
      <c r="BK37" s="2278"/>
      <c r="BL37" s="2141" t="s">
        <v>1284</v>
      </c>
      <c r="BM37" s="33">
        <v>450</v>
      </c>
      <c r="BN37" s="33">
        <v>230</v>
      </c>
      <c r="BO37" s="33">
        <v>20</v>
      </c>
      <c r="BP37" s="323">
        <v>20</v>
      </c>
      <c r="BQ37" s="323">
        <v>20</v>
      </c>
      <c r="BR37" s="323">
        <f>BQ37*2/3</f>
        <v>13.333333333333334</v>
      </c>
      <c r="BS37" s="323">
        <v>30</v>
      </c>
      <c r="BT37" s="323">
        <v>30</v>
      </c>
      <c r="BU37" s="1001">
        <v>0.10299999999999999</v>
      </c>
      <c r="BV37" s="357">
        <v>0</v>
      </c>
      <c r="BW37" s="357"/>
      <c r="BX37" s="357"/>
      <c r="BY37" s="357"/>
      <c r="BZ37" s="357"/>
      <c r="CA37" s="357"/>
      <c r="CB37" s="357"/>
      <c r="CC37" s="357"/>
      <c r="CD37" s="357"/>
    </row>
    <row r="38" spans="1:82" ht="17.25" customHeight="1">
      <c r="A38" s="468">
        <v>31</v>
      </c>
      <c r="B38" s="1699">
        <v>0</v>
      </c>
      <c r="C38" s="1431" t="s">
        <v>31</v>
      </c>
      <c r="D38" s="2335">
        <f t="shared" si="0"/>
        <v>0</v>
      </c>
      <c r="E38" s="1381">
        <f t="shared" si="1"/>
        <v>0</v>
      </c>
      <c r="F38" s="1966">
        <f t="shared" si="25"/>
        <v>0</v>
      </c>
      <c r="G38" s="1928">
        <f t="shared" si="26"/>
        <v>0</v>
      </c>
      <c r="H38" s="1949">
        <f t="shared" si="4"/>
        <v>0</v>
      </c>
      <c r="I38" s="1949">
        <f t="shared" si="5"/>
        <v>0</v>
      </c>
      <c r="J38" s="1949">
        <f t="shared" si="6"/>
        <v>0</v>
      </c>
      <c r="K38" s="1928">
        <f t="shared" si="27"/>
        <v>0</v>
      </c>
      <c r="L38" s="1702">
        <v>0</v>
      </c>
      <c r="M38" s="2283" t="s">
        <v>31</v>
      </c>
      <c r="N38" s="2284" t="s">
        <v>1314</v>
      </c>
      <c r="O38" s="2285">
        <f t="shared" si="7"/>
        <v>0</v>
      </c>
      <c r="P38" s="2290" t="s">
        <v>1314</v>
      </c>
      <c r="Q38" s="2291">
        <f t="shared" si="8"/>
        <v>0</v>
      </c>
      <c r="R38" s="2288">
        <f t="shared" si="9"/>
        <v>0</v>
      </c>
      <c r="S38" s="2289">
        <v>0</v>
      </c>
      <c r="T38" s="2207">
        <v>0</v>
      </c>
      <c r="U38" s="2229">
        <f t="shared" si="16"/>
        <v>0</v>
      </c>
      <c r="V38" s="2228">
        <f t="shared" si="17"/>
        <v>0</v>
      </c>
      <c r="W38" s="2216">
        <f t="shared" si="10"/>
        <v>0</v>
      </c>
      <c r="X38" s="2213">
        <f t="shared" si="11"/>
        <v>0</v>
      </c>
      <c r="Z38" s="1281">
        <f t="shared" si="12"/>
        <v>31</v>
      </c>
      <c r="AA38" s="2087" t="str">
        <f t="shared" si="13"/>
        <v>keine</v>
      </c>
      <c r="AB38" s="1329"/>
      <c r="AC38" s="1330" t="s">
        <v>795</v>
      </c>
      <c r="AD38" s="1424">
        <v>0</v>
      </c>
      <c r="AE38" s="1033">
        <f>VLOOKUP(AC38,Düngemittel!$B$6:$E$64,2,FALSE)*(VLOOKUP(AC38,Düngemittel!$B$6:$E$64,3,FALSE))/100*AD38</f>
        <v>0</v>
      </c>
      <c r="AF38" s="1033">
        <f>VLOOKUP(AC38,Düngemittel!$B$6:$E$64,2,FALSE)*AD38</f>
        <v>0</v>
      </c>
      <c r="AG38" s="1033">
        <f>VLOOKUP(AC38,Düngemittel!$B$6:$E$64,4,FALSE)*AD38</f>
        <v>0</v>
      </c>
      <c r="AH38" s="142"/>
      <c r="AI38" s="1329"/>
      <c r="AJ38" s="1330" t="s">
        <v>795</v>
      </c>
      <c r="AK38" s="1424">
        <v>0</v>
      </c>
      <c r="AL38" s="1033">
        <f>VLOOKUP(AJ38,Düngemittel!$B$6:$E$64,2,FALSE)*(VLOOKUP(AJ38,Düngemittel!$B$6:$E$64,3,FALSE))/100*AK38</f>
        <v>0</v>
      </c>
      <c r="AM38" s="1033">
        <f>VLOOKUP(AJ38,Düngemittel!$B$6:$E$64,2,FALSE)*AK38</f>
        <v>0</v>
      </c>
      <c r="AN38" s="1033">
        <f>VLOOKUP(AJ38,Düngemittel!$B$6:$E$64,4,FALSE)*AK38</f>
        <v>0</v>
      </c>
      <c r="AO38" s="142"/>
      <c r="AP38" s="1329"/>
      <c r="AQ38" s="1330" t="s">
        <v>795</v>
      </c>
      <c r="AR38" s="1424">
        <v>0</v>
      </c>
      <c r="AS38" s="1033">
        <f>VLOOKUP(AQ38,Düngemittel!$B$6:$E$64,2,FALSE)*(VLOOKUP(AQ38,Düngemittel!$B$6:$E$64,3,FALSE))/100*AR38</f>
        <v>0</v>
      </c>
      <c r="AT38" s="1033">
        <f>VLOOKUP(AQ38,Düngemittel!$B$6:$E$64,2,FALSE)*AR38</f>
        <v>0</v>
      </c>
      <c r="AU38" s="1033">
        <f>VLOOKUP(AQ38,Düngemittel!$B$6:$E$64,4,FALSE)*AR38</f>
        <v>0</v>
      </c>
      <c r="AV38" s="1371"/>
      <c r="AW38" s="1371"/>
      <c r="AX38" s="1372">
        <f t="shared" si="28"/>
        <v>0</v>
      </c>
      <c r="AY38" s="1373">
        <f t="shared" si="29"/>
        <v>0</v>
      </c>
      <c r="AZ38" s="1374">
        <f t="shared" si="30"/>
        <v>0</v>
      </c>
      <c r="BA38" s="1375">
        <f t="shared" si="31"/>
        <v>0</v>
      </c>
      <c r="BB38" s="1373">
        <f t="shared" si="32"/>
        <v>0</v>
      </c>
      <c r="BC38" s="1376"/>
      <c r="BD38" s="1372">
        <f t="shared" si="33"/>
        <v>0</v>
      </c>
      <c r="BE38" s="1372">
        <f t="shared" si="34"/>
        <v>0</v>
      </c>
      <c r="BF38" s="1372">
        <f t="shared" si="35"/>
        <v>0</v>
      </c>
      <c r="BG38" s="1816">
        <f t="shared" si="36"/>
        <v>0</v>
      </c>
      <c r="BH38" s="1372">
        <f t="shared" si="37"/>
        <v>0</v>
      </c>
      <c r="BI38" s="2278"/>
      <c r="BJ38" s="2278"/>
      <c r="BK38" s="2278"/>
      <c r="BL38" s="2140" t="s">
        <v>1645</v>
      </c>
      <c r="BM38" s="33">
        <v>600</v>
      </c>
      <c r="BN38" s="33">
        <v>100</v>
      </c>
      <c r="BO38" s="33">
        <v>20</v>
      </c>
      <c r="BP38" s="2156">
        <v>20</v>
      </c>
      <c r="BQ38" s="2156">
        <v>20</v>
      </c>
      <c r="BR38" s="2156">
        <f>BQ38*2/3</f>
        <v>13.333333333333334</v>
      </c>
      <c r="BS38" s="2156">
        <v>35</v>
      </c>
      <c r="BT38" s="2156">
        <v>60</v>
      </c>
      <c r="BU38" s="1914">
        <v>0.115</v>
      </c>
      <c r="BV38" s="357">
        <v>0</v>
      </c>
      <c r="BW38" s="357"/>
      <c r="BX38" s="357"/>
      <c r="BY38" s="357"/>
      <c r="BZ38" s="357"/>
      <c r="CA38" s="357"/>
      <c r="CB38" s="357"/>
      <c r="CC38" s="357"/>
      <c r="CD38" s="357"/>
    </row>
    <row r="39" spans="1:82" ht="17.25" customHeight="1">
      <c r="A39" s="468">
        <v>32</v>
      </c>
      <c r="B39" s="1699">
        <v>0</v>
      </c>
      <c r="C39" s="1431" t="s">
        <v>31</v>
      </c>
      <c r="D39" s="2335">
        <f t="shared" si="0"/>
        <v>0</v>
      </c>
      <c r="E39" s="1381">
        <f t="shared" si="1"/>
        <v>0</v>
      </c>
      <c r="F39" s="1966">
        <f t="shared" si="25"/>
        <v>0</v>
      </c>
      <c r="G39" s="1928">
        <f t="shared" si="26"/>
        <v>0</v>
      </c>
      <c r="H39" s="1949">
        <f t="shared" si="4"/>
        <v>0</v>
      </c>
      <c r="I39" s="1949">
        <f t="shared" si="5"/>
        <v>0</v>
      </c>
      <c r="J39" s="1949">
        <f t="shared" si="6"/>
        <v>0</v>
      </c>
      <c r="K39" s="1928">
        <f t="shared" si="27"/>
        <v>0</v>
      </c>
      <c r="L39" s="1702">
        <v>0</v>
      </c>
      <c r="M39" s="2283" t="s">
        <v>31</v>
      </c>
      <c r="N39" s="2284" t="s">
        <v>1314</v>
      </c>
      <c r="O39" s="2285">
        <f t="shared" si="7"/>
        <v>0</v>
      </c>
      <c r="P39" s="2290" t="s">
        <v>1314</v>
      </c>
      <c r="Q39" s="2291">
        <f t="shared" si="8"/>
        <v>0</v>
      </c>
      <c r="R39" s="2288">
        <f t="shared" si="9"/>
        <v>0</v>
      </c>
      <c r="S39" s="2289">
        <v>0</v>
      </c>
      <c r="T39" s="2207">
        <v>0</v>
      </c>
      <c r="U39" s="2229">
        <f t="shared" si="16"/>
        <v>0</v>
      </c>
      <c r="V39" s="2228">
        <f t="shared" si="17"/>
        <v>0</v>
      </c>
      <c r="W39" s="2216">
        <f t="shared" si="10"/>
        <v>0</v>
      </c>
      <c r="X39" s="2213">
        <f t="shared" si="11"/>
        <v>0</v>
      </c>
      <c r="Z39" s="1281">
        <f t="shared" si="12"/>
        <v>32</v>
      </c>
      <c r="AA39" s="2087" t="str">
        <f t="shared" si="13"/>
        <v>keine</v>
      </c>
      <c r="AB39" s="1329"/>
      <c r="AC39" s="1330" t="s">
        <v>795</v>
      </c>
      <c r="AD39" s="1424">
        <v>0</v>
      </c>
      <c r="AE39" s="1033">
        <f>VLOOKUP(AC39,Düngemittel!$B$6:$E$64,2,FALSE)*(VLOOKUP(AC39,Düngemittel!$B$6:$E$64,3,FALSE))/100*AD39</f>
        <v>0</v>
      </c>
      <c r="AF39" s="1033">
        <f>VLOOKUP(AC39,Düngemittel!$B$6:$E$64,2,FALSE)*AD39</f>
        <v>0</v>
      </c>
      <c r="AG39" s="1033">
        <f>VLOOKUP(AC39,Düngemittel!$B$6:$E$64,4,FALSE)*AD39</f>
        <v>0</v>
      </c>
      <c r="AH39" s="142"/>
      <c r="AI39" s="1329"/>
      <c r="AJ39" s="1330" t="s">
        <v>795</v>
      </c>
      <c r="AK39" s="1424">
        <v>0</v>
      </c>
      <c r="AL39" s="1033">
        <f>VLOOKUP(AJ39,Düngemittel!$B$6:$E$64,2,FALSE)*(VLOOKUP(AJ39,Düngemittel!$B$6:$E$64,3,FALSE))/100*AK39</f>
        <v>0</v>
      </c>
      <c r="AM39" s="1033">
        <f>VLOOKUP(AJ39,Düngemittel!$B$6:$E$64,2,FALSE)*AK39</f>
        <v>0</v>
      </c>
      <c r="AN39" s="1033">
        <f>VLOOKUP(AJ39,Düngemittel!$B$6:$E$64,4,FALSE)*AK39</f>
        <v>0</v>
      </c>
      <c r="AO39" s="142"/>
      <c r="AP39" s="1329"/>
      <c r="AQ39" s="1330" t="s">
        <v>795</v>
      </c>
      <c r="AR39" s="1424">
        <v>0</v>
      </c>
      <c r="AS39" s="1033">
        <f>VLOOKUP(AQ39,Düngemittel!$B$6:$E$64,2,FALSE)*(VLOOKUP(AQ39,Düngemittel!$B$6:$E$64,3,FALSE))/100*AR39</f>
        <v>0</v>
      </c>
      <c r="AT39" s="1033">
        <f>VLOOKUP(AQ39,Düngemittel!$B$6:$E$64,2,FALSE)*AR39</f>
        <v>0</v>
      </c>
      <c r="AU39" s="1033">
        <f>VLOOKUP(AQ39,Düngemittel!$B$6:$E$64,4,FALSE)*AR39</f>
        <v>0</v>
      </c>
      <c r="AV39" s="1371"/>
      <c r="AW39" s="1371"/>
      <c r="AX39" s="1372">
        <f t="shared" si="28"/>
        <v>0</v>
      </c>
      <c r="AY39" s="1373">
        <f t="shared" si="29"/>
        <v>0</v>
      </c>
      <c r="AZ39" s="1374">
        <f t="shared" si="30"/>
        <v>0</v>
      </c>
      <c r="BA39" s="1375">
        <f t="shared" si="31"/>
        <v>0</v>
      </c>
      <c r="BB39" s="1373">
        <f t="shared" si="32"/>
        <v>0</v>
      </c>
      <c r="BC39" s="1376"/>
      <c r="BD39" s="1372">
        <f t="shared" si="33"/>
        <v>0</v>
      </c>
      <c r="BE39" s="1372">
        <f t="shared" si="34"/>
        <v>0</v>
      </c>
      <c r="BF39" s="1372">
        <f t="shared" si="35"/>
        <v>0</v>
      </c>
      <c r="BG39" s="1816">
        <f t="shared" si="36"/>
        <v>0</v>
      </c>
      <c r="BH39" s="1372">
        <f t="shared" si="37"/>
        <v>0</v>
      </c>
      <c r="BI39" s="2278"/>
      <c r="BJ39" s="2278"/>
      <c r="BK39" s="2278"/>
      <c r="BL39" s="2159" t="s">
        <v>1646</v>
      </c>
      <c r="BM39" s="33">
        <v>120</v>
      </c>
      <c r="BN39" s="33">
        <v>100</v>
      </c>
      <c r="BO39" s="33">
        <v>10</v>
      </c>
      <c r="BP39" s="2153">
        <v>5</v>
      </c>
      <c r="BQ39" s="2153">
        <v>5</v>
      </c>
      <c r="BR39" s="2152">
        <v>0</v>
      </c>
      <c r="BS39" s="2152">
        <v>0</v>
      </c>
      <c r="BT39" s="2152">
        <v>30</v>
      </c>
      <c r="BU39" s="2157">
        <v>0.14000000000000001</v>
      </c>
      <c r="BV39" s="357">
        <v>0</v>
      </c>
      <c r="BW39" s="357"/>
      <c r="BX39" s="357"/>
      <c r="BY39" s="357"/>
      <c r="BZ39" s="357"/>
      <c r="CA39" s="357"/>
      <c r="CB39" s="357"/>
      <c r="CC39" s="357"/>
      <c r="CD39" s="357"/>
    </row>
    <row r="40" spans="1:82" ht="17.25" customHeight="1">
      <c r="A40" s="468">
        <v>33</v>
      </c>
      <c r="B40" s="1699">
        <v>0</v>
      </c>
      <c r="C40" s="2337" t="s">
        <v>31</v>
      </c>
      <c r="D40" s="2335">
        <f t="shared" si="0"/>
        <v>0</v>
      </c>
      <c r="E40" s="1381">
        <f t="shared" si="1"/>
        <v>0</v>
      </c>
      <c r="F40" s="1966">
        <f t="shared" si="2"/>
        <v>0</v>
      </c>
      <c r="G40" s="1928">
        <f t="shared" si="3"/>
        <v>0</v>
      </c>
      <c r="H40" s="1949">
        <f t="shared" si="4"/>
        <v>0</v>
      </c>
      <c r="I40" s="1949">
        <f t="shared" si="5"/>
        <v>0</v>
      </c>
      <c r="J40" s="1949">
        <f t="shared" si="6"/>
        <v>0</v>
      </c>
      <c r="K40" s="1928">
        <f t="shared" si="15"/>
        <v>0</v>
      </c>
      <c r="L40" s="1702">
        <v>0</v>
      </c>
      <c r="M40" s="2283" t="s">
        <v>31</v>
      </c>
      <c r="N40" s="2284" t="s">
        <v>1314</v>
      </c>
      <c r="O40" s="2285">
        <f t="shared" si="7"/>
        <v>0</v>
      </c>
      <c r="P40" s="2290" t="s">
        <v>1314</v>
      </c>
      <c r="Q40" s="2291">
        <f t="shared" si="8"/>
        <v>0</v>
      </c>
      <c r="R40" s="2288">
        <f t="shared" si="9"/>
        <v>0</v>
      </c>
      <c r="S40" s="2289">
        <v>0</v>
      </c>
      <c r="T40" s="2207">
        <v>0</v>
      </c>
      <c r="U40" s="2229">
        <f t="shared" si="16"/>
        <v>0</v>
      </c>
      <c r="V40" s="2228">
        <f t="shared" si="17"/>
        <v>0</v>
      </c>
      <c r="W40" s="2216">
        <f t="shared" si="10"/>
        <v>0</v>
      </c>
      <c r="X40" s="2213">
        <f t="shared" si="11"/>
        <v>0</v>
      </c>
      <c r="Z40" s="1281">
        <f t="shared" si="12"/>
        <v>33</v>
      </c>
      <c r="AA40" s="2087" t="str">
        <f t="shared" si="13"/>
        <v>keine</v>
      </c>
      <c r="AB40" s="1329"/>
      <c r="AC40" s="1330" t="s">
        <v>795</v>
      </c>
      <c r="AD40" s="1424">
        <v>0</v>
      </c>
      <c r="AE40" s="1033">
        <f>VLOOKUP(AC40,Düngemittel!$B$6:$E$64,2,FALSE)*(VLOOKUP(AC40,Düngemittel!$B$6:$E$64,3,FALSE))/100*AD40</f>
        <v>0</v>
      </c>
      <c r="AF40" s="1033">
        <f>VLOOKUP(AC40,Düngemittel!$B$6:$E$64,2,FALSE)*AD40</f>
        <v>0</v>
      </c>
      <c r="AG40" s="1033">
        <f>VLOOKUP(AC40,Düngemittel!$B$6:$E$64,4,FALSE)*AD40</f>
        <v>0</v>
      </c>
      <c r="AH40" s="2243"/>
      <c r="AI40" s="1329"/>
      <c r="AJ40" s="1330" t="s">
        <v>795</v>
      </c>
      <c r="AK40" s="1424">
        <v>0</v>
      </c>
      <c r="AL40" s="1033">
        <f>VLOOKUP(AJ40,Düngemittel!$B$6:$E$64,2,FALSE)*(VLOOKUP(AJ40,Düngemittel!$B$6:$E$64,3,FALSE))/100*AK40</f>
        <v>0</v>
      </c>
      <c r="AM40" s="1033">
        <f>VLOOKUP(AJ40,Düngemittel!$B$6:$E$64,2,FALSE)*AK40</f>
        <v>0</v>
      </c>
      <c r="AN40" s="1033">
        <f>VLOOKUP(AJ40,Düngemittel!$B$6:$E$64,4,FALSE)*AK40</f>
        <v>0</v>
      </c>
      <c r="AO40" s="2243"/>
      <c r="AP40" s="1329"/>
      <c r="AQ40" s="1330" t="s">
        <v>795</v>
      </c>
      <c r="AR40" s="1424">
        <v>0</v>
      </c>
      <c r="AS40" s="1033">
        <f>VLOOKUP(AQ40,Düngemittel!$B$6:$E$64,2,FALSE)*(VLOOKUP(AQ40,Düngemittel!$B$6:$E$64,3,FALSE))/100*AR40</f>
        <v>0</v>
      </c>
      <c r="AT40" s="1033">
        <f>VLOOKUP(AQ40,Düngemittel!$B$6:$E$64,2,FALSE)*AR40</f>
        <v>0</v>
      </c>
      <c r="AU40" s="1033">
        <f>VLOOKUP(AQ40,Düngemittel!$B$6:$E$64,4,FALSE)*AR40</f>
        <v>0</v>
      </c>
      <c r="AV40" s="1371"/>
      <c r="AW40" s="1371"/>
      <c r="AX40" s="1372">
        <f t="shared" si="18"/>
        <v>0</v>
      </c>
      <c r="AY40" s="1373">
        <f t="shared" si="19"/>
        <v>0</v>
      </c>
      <c r="AZ40" s="1374">
        <f t="shared" si="20"/>
        <v>0</v>
      </c>
      <c r="BA40" s="1375">
        <f t="shared" si="21"/>
        <v>0</v>
      </c>
      <c r="BB40" s="1373">
        <f t="shared" si="22"/>
        <v>0</v>
      </c>
      <c r="BC40" s="1376"/>
      <c r="BD40" s="1372">
        <f t="shared" si="23"/>
        <v>0</v>
      </c>
      <c r="BE40" s="1372">
        <f t="shared" si="23"/>
        <v>0</v>
      </c>
      <c r="BF40" s="1372">
        <f t="shared" si="23"/>
        <v>0</v>
      </c>
      <c r="BG40" s="1816">
        <f t="shared" si="23"/>
        <v>0</v>
      </c>
      <c r="BH40" s="1372">
        <f t="shared" si="23"/>
        <v>0</v>
      </c>
      <c r="BI40" s="2278"/>
      <c r="BJ40" s="2278"/>
      <c r="BK40" s="2278"/>
      <c r="BL40" s="2141" t="s">
        <v>472</v>
      </c>
      <c r="BM40" s="33">
        <v>400</v>
      </c>
      <c r="BN40" s="33">
        <v>140</v>
      </c>
      <c r="BO40" s="33">
        <v>20</v>
      </c>
      <c r="BP40" s="323">
        <v>20</v>
      </c>
      <c r="BQ40" s="323">
        <v>20</v>
      </c>
      <c r="BR40" s="323">
        <f>BQ40*2/3</f>
        <v>13.333333333333334</v>
      </c>
      <c r="BS40" s="323">
        <v>50</v>
      </c>
      <c r="BT40" s="323">
        <v>60</v>
      </c>
      <c r="BU40" s="1001">
        <v>0.20599999999999999</v>
      </c>
      <c r="BV40" s="357">
        <v>0</v>
      </c>
      <c r="BW40" s="357"/>
      <c r="BX40" s="357"/>
      <c r="BY40" s="357"/>
      <c r="BZ40" s="357"/>
      <c r="CA40" s="357"/>
      <c r="CB40" s="357"/>
      <c r="CC40" s="357"/>
      <c r="CD40" s="357"/>
    </row>
    <row r="41" spans="1:82" ht="17.25" customHeight="1">
      <c r="A41" s="468">
        <v>34</v>
      </c>
      <c r="B41" s="1699">
        <v>0</v>
      </c>
      <c r="C41" s="2337" t="s">
        <v>31</v>
      </c>
      <c r="D41" s="2335">
        <f t="shared" si="0"/>
        <v>0</v>
      </c>
      <c r="E41" s="1381">
        <f t="shared" si="1"/>
        <v>0</v>
      </c>
      <c r="F41" s="1966">
        <f t="shared" si="2"/>
        <v>0</v>
      </c>
      <c r="G41" s="1928">
        <f t="shared" si="3"/>
        <v>0</v>
      </c>
      <c r="H41" s="1949">
        <f t="shared" si="4"/>
        <v>0</v>
      </c>
      <c r="I41" s="1949">
        <f t="shared" si="5"/>
        <v>0</v>
      </c>
      <c r="J41" s="1949">
        <f t="shared" si="6"/>
        <v>0</v>
      </c>
      <c r="K41" s="1928">
        <f t="shared" si="15"/>
        <v>0</v>
      </c>
      <c r="L41" s="1702">
        <v>0</v>
      </c>
      <c r="M41" s="2283" t="s">
        <v>31</v>
      </c>
      <c r="N41" s="2284" t="s">
        <v>1314</v>
      </c>
      <c r="O41" s="2285">
        <f t="shared" si="7"/>
        <v>0</v>
      </c>
      <c r="P41" s="2290" t="s">
        <v>1314</v>
      </c>
      <c r="Q41" s="2291">
        <f t="shared" si="8"/>
        <v>0</v>
      </c>
      <c r="R41" s="2288">
        <f t="shared" si="9"/>
        <v>0</v>
      </c>
      <c r="S41" s="2289">
        <v>0</v>
      </c>
      <c r="T41" s="2207">
        <v>0</v>
      </c>
      <c r="U41" s="2229">
        <f t="shared" si="16"/>
        <v>0</v>
      </c>
      <c r="V41" s="2228">
        <f t="shared" si="17"/>
        <v>0</v>
      </c>
      <c r="W41" s="2216">
        <f t="shared" si="10"/>
        <v>0</v>
      </c>
      <c r="X41" s="2213">
        <f t="shared" si="11"/>
        <v>0</v>
      </c>
      <c r="Z41" s="1281">
        <f t="shared" si="12"/>
        <v>34</v>
      </c>
      <c r="AA41" s="2087" t="str">
        <f t="shared" si="13"/>
        <v>keine</v>
      </c>
      <c r="AB41" s="1329"/>
      <c r="AC41" s="1330" t="s">
        <v>795</v>
      </c>
      <c r="AD41" s="1424">
        <v>0</v>
      </c>
      <c r="AE41" s="1033">
        <f>VLOOKUP(AC41,Düngemittel!$B$6:$E$64,2,FALSE)*(VLOOKUP(AC41,Düngemittel!$B$6:$E$64,3,FALSE))/100*AD41</f>
        <v>0</v>
      </c>
      <c r="AF41" s="1033">
        <f>VLOOKUP(AC41,Düngemittel!$B$6:$E$64,2,FALSE)*AD41</f>
        <v>0</v>
      </c>
      <c r="AG41" s="1033">
        <f>VLOOKUP(AC41,Düngemittel!$B$6:$E$64,4,FALSE)*AD41</f>
        <v>0</v>
      </c>
      <c r="AH41" s="2243"/>
      <c r="AI41" s="1329"/>
      <c r="AJ41" s="1330" t="s">
        <v>795</v>
      </c>
      <c r="AK41" s="1424">
        <v>0</v>
      </c>
      <c r="AL41" s="1033">
        <f>VLOOKUP(AJ41,Düngemittel!$B$6:$E$64,2,FALSE)*(VLOOKUP(AJ41,Düngemittel!$B$6:$E$64,3,FALSE))/100*AK41</f>
        <v>0</v>
      </c>
      <c r="AM41" s="1033">
        <f>VLOOKUP(AJ41,Düngemittel!$B$6:$E$64,2,FALSE)*AK41</f>
        <v>0</v>
      </c>
      <c r="AN41" s="1033">
        <f>VLOOKUP(AJ41,Düngemittel!$B$6:$E$64,4,FALSE)*AK41</f>
        <v>0</v>
      </c>
      <c r="AO41" s="2243"/>
      <c r="AP41" s="1329"/>
      <c r="AQ41" s="1330" t="s">
        <v>795</v>
      </c>
      <c r="AR41" s="1424">
        <v>0</v>
      </c>
      <c r="AS41" s="1033">
        <f>VLOOKUP(AQ41,Düngemittel!$B$6:$E$64,2,FALSE)*(VLOOKUP(AQ41,Düngemittel!$B$6:$E$64,3,FALSE))/100*AR41</f>
        <v>0</v>
      </c>
      <c r="AT41" s="1033">
        <f>VLOOKUP(AQ41,Düngemittel!$B$6:$E$64,2,FALSE)*AR41</f>
        <v>0</v>
      </c>
      <c r="AU41" s="1033">
        <f>VLOOKUP(AQ41,Düngemittel!$B$6:$E$64,4,FALSE)*AR41</f>
        <v>0</v>
      </c>
      <c r="AV41" s="1371"/>
      <c r="AW41" s="1371"/>
      <c r="AX41" s="1372">
        <f t="shared" si="18"/>
        <v>0</v>
      </c>
      <c r="AY41" s="1373">
        <f t="shared" si="19"/>
        <v>0</v>
      </c>
      <c r="AZ41" s="1374">
        <f t="shared" si="20"/>
        <v>0</v>
      </c>
      <c r="BA41" s="1375">
        <f t="shared" si="21"/>
        <v>0</v>
      </c>
      <c r="BB41" s="1373">
        <f t="shared" si="22"/>
        <v>0</v>
      </c>
      <c r="BC41" s="1376"/>
      <c r="BD41" s="1372">
        <f t="shared" si="23"/>
        <v>0</v>
      </c>
      <c r="BE41" s="1372">
        <f t="shared" si="23"/>
        <v>0</v>
      </c>
      <c r="BF41" s="1372">
        <f t="shared" si="23"/>
        <v>0</v>
      </c>
      <c r="BG41" s="1816">
        <f t="shared" si="23"/>
        <v>0</v>
      </c>
      <c r="BH41" s="1372">
        <f t="shared" si="23"/>
        <v>0</v>
      </c>
      <c r="BI41" s="2278"/>
      <c r="BJ41" s="2278"/>
      <c r="BK41" s="2278"/>
      <c r="BL41" s="2140" t="s">
        <v>1647</v>
      </c>
      <c r="BM41" s="33">
        <v>300</v>
      </c>
      <c r="BN41" s="33">
        <v>140</v>
      </c>
      <c r="BO41" s="33">
        <v>20</v>
      </c>
      <c r="BP41" s="323">
        <v>20</v>
      </c>
      <c r="BQ41" s="323">
        <v>20</v>
      </c>
      <c r="BR41" s="323">
        <f>BQ41*2/3</f>
        <v>13.333333333333334</v>
      </c>
      <c r="BS41" s="323">
        <v>50</v>
      </c>
      <c r="BT41" s="2156">
        <v>60</v>
      </c>
      <c r="BU41" s="1001">
        <v>0.20599999999999999</v>
      </c>
      <c r="BV41" s="357">
        <v>0</v>
      </c>
      <c r="BW41" s="357"/>
      <c r="BX41" s="357"/>
      <c r="BY41" s="357"/>
      <c r="BZ41" s="357"/>
      <c r="CA41" s="357"/>
      <c r="CB41" s="357"/>
      <c r="CC41" s="357"/>
      <c r="CD41" s="357"/>
    </row>
    <row r="42" spans="1:82" ht="17.25" customHeight="1" thickBot="1">
      <c r="A42" s="468">
        <v>35</v>
      </c>
      <c r="B42" s="1699">
        <v>0</v>
      </c>
      <c r="C42" s="2205" t="s">
        <v>31</v>
      </c>
      <c r="D42" s="2339">
        <f t="shared" si="0"/>
        <v>0</v>
      </c>
      <c r="E42" s="1525">
        <f t="shared" si="1"/>
        <v>0</v>
      </c>
      <c r="F42" s="2340">
        <f t="shared" si="2"/>
        <v>0</v>
      </c>
      <c r="G42" s="1930">
        <f t="shared" si="3"/>
        <v>0</v>
      </c>
      <c r="H42" s="2341">
        <f t="shared" si="4"/>
        <v>0</v>
      </c>
      <c r="I42" s="2341">
        <f t="shared" si="5"/>
        <v>0</v>
      </c>
      <c r="J42" s="2341">
        <f t="shared" si="6"/>
        <v>0</v>
      </c>
      <c r="K42" s="1930">
        <f t="shared" si="15"/>
        <v>0</v>
      </c>
      <c r="L42" s="1702">
        <v>0</v>
      </c>
      <c r="M42" s="2283" t="s">
        <v>31</v>
      </c>
      <c r="N42" s="2292" t="s">
        <v>1314</v>
      </c>
      <c r="O42" s="2285">
        <f t="shared" si="7"/>
        <v>0</v>
      </c>
      <c r="P42" s="2293" t="s">
        <v>1314</v>
      </c>
      <c r="Q42" s="2294">
        <f t="shared" si="8"/>
        <v>0</v>
      </c>
      <c r="R42" s="2295">
        <f t="shared" si="9"/>
        <v>0</v>
      </c>
      <c r="S42" s="2296">
        <v>0</v>
      </c>
      <c r="T42" s="2207">
        <v>0</v>
      </c>
      <c r="U42" s="2384">
        <f t="shared" si="16"/>
        <v>0</v>
      </c>
      <c r="V42" s="2385">
        <f t="shared" si="17"/>
        <v>0</v>
      </c>
      <c r="W42" s="2217">
        <f t="shared" si="10"/>
        <v>0</v>
      </c>
      <c r="X42" s="2214">
        <f t="shared" si="11"/>
        <v>0</v>
      </c>
      <c r="Z42" s="1281">
        <f t="shared" si="12"/>
        <v>35</v>
      </c>
      <c r="AA42" s="2087" t="str">
        <f t="shared" si="13"/>
        <v>keine</v>
      </c>
      <c r="AB42" s="1329"/>
      <c r="AC42" s="1330" t="s">
        <v>795</v>
      </c>
      <c r="AD42" s="1424">
        <v>0</v>
      </c>
      <c r="AE42" s="1033">
        <f>VLOOKUP(AC42,Düngemittel!$B$6:$E$64,2,FALSE)*(VLOOKUP(AC42,Düngemittel!$B$6:$E$64,3,FALSE))/100*AD42</f>
        <v>0</v>
      </c>
      <c r="AF42" s="1033">
        <f>VLOOKUP(AC42,Düngemittel!$B$6:$E$64,2,FALSE)*AD42</f>
        <v>0</v>
      </c>
      <c r="AG42" s="1033">
        <f>VLOOKUP(AC42,Düngemittel!$B$6:$E$64,4,FALSE)*AD42</f>
        <v>0</v>
      </c>
      <c r="AH42" s="2243"/>
      <c r="AI42" s="1329"/>
      <c r="AJ42" s="1330" t="s">
        <v>795</v>
      </c>
      <c r="AK42" s="1424">
        <v>0</v>
      </c>
      <c r="AL42" s="1033">
        <f>VLOOKUP(AJ42,Düngemittel!$B$6:$E$64,2,FALSE)*(VLOOKUP(AJ42,Düngemittel!$B$6:$E$64,3,FALSE))/100*AK42</f>
        <v>0</v>
      </c>
      <c r="AM42" s="1033">
        <f>VLOOKUP(AJ42,Düngemittel!$B$6:$E$64,2,FALSE)*AK42</f>
        <v>0</v>
      </c>
      <c r="AN42" s="1033">
        <f>VLOOKUP(AJ42,Düngemittel!$B$6:$E$64,4,FALSE)*AK42</f>
        <v>0</v>
      </c>
      <c r="AO42" s="2243"/>
      <c r="AP42" s="1329"/>
      <c r="AQ42" s="1330" t="s">
        <v>795</v>
      </c>
      <c r="AR42" s="1424">
        <v>0</v>
      </c>
      <c r="AS42" s="1033">
        <f>VLOOKUP(AQ42,Düngemittel!$B$6:$E$64,2,FALSE)*(VLOOKUP(AQ42,Düngemittel!$B$6:$E$64,3,FALSE))/100*AR42</f>
        <v>0</v>
      </c>
      <c r="AT42" s="1033">
        <f>VLOOKUP(AQ42,Düngemittel!$B$6:$E$64,2,FALSE)*AR42</f>
        <v>0</v>
      </c>
      <c r="AU42" s="1033">
        <f>VLOOKUP(AQ42,Düngemittel!$B$6:$E$64,4,FALSE)*AR42</f>
        <v>0</v>
      </c>
      <c r="AV42" s="1371"/>
      <c r="AW42" s="1371"/>
      <c r="AX42" s="1372">
        <f t="shared" si="18"/>
        <v>0</v>
      </c>
      <c r="AY42" s="1373">
        <f t="shared" si="19"/>
        <v>0</v>
      </c>
      <c r="AZ42" s="1374">
        <f t="shared" si="20"/>
        <v>0</v>
      </c>
      <c r="BA42" s="1375">
        <f t="shared" si="21"/>
        <v>0</v>
      </c>
      <c r="BB42" s="1373">
        <f t="shared" si="22"/>
        <v>0</v>
      </c>
      <c r="BC42" s="1376"/>
      <c r="BD42" s="1372">
        <f t="shared" si="23"/>
        <v>0</v>
      </c>
      <c r="BE42" s="1372">
        <f t="shared" si="23"/>
        <v>0</v>
      </c>
      <c r="BF42" s="1372">
        <f t="shared" si="23"/>
        <v>0</v>
      </c>
      <c r="BG42" s="1816">
        <f t="shared" si="23"/>
        <v>0</v>
      </c>
      <c r="BH42" s="1372">
        <f t="shared" si="23"/>
        <v>0</v>
      </c>
      <c r="BI42" s="2278"/>
      <c r="BJ42" s="2278"/>
      <c r="BK42" s="2278"/>
      <c r="BL42" s="2159" t="s">
        <v>1538</v>
      </c>
      <c r="BM42" s="33">
        <v>25</v>
      </c>
      <c r="BN42" s="33">
        <v>90</v>
      </c>
      <c r="BO42" s="33">
        <v>10</v>
      </c>
      <c r="BP42" s="2158">
        <v>9</v>
      </c>
      <c r="BQ42" s="2158">
        <v>9</v>
      </c>
      <c r="BR42" s="2152">
        <v>0</v>
      </c>
      <c r="BS42" s="2152">
        <v>0</v>
      </c>
      <c r="BT42" s="2154">
        <v>60</v>
      </c>
      <c r="BU42" s="2155">
        <v>0.13</v>
      </c>
      <c r="BV42" s="357">
        <v>0</v>
      </c>
      <c r="BW42" s="357"/>
      <c r="BX42" s="357"/>
      <c r="BY42" s="357"/>
      <c r="BZ42" s="357"/>
      <c r="CA42" s="357"/>
      <c r="CB42" s="357"/>
      <c r="CC42" s="357"/>
      <c r="CD42" s="357"/>
    </row>
    <row r="43" spans="1:82" ht="19.5" thickBot="1">
      <c r="A43" s="1385" t="s">
        <v>286</v>
      </c>
      <c r="B43" s="2204">
        <f>SUM(B8:B42)</f>
        <v>0</v>
      </c>
      <c r="C43" s="2198"/>
      <c r="D43" s="594"/>
      <c r="E43" s="594"/>
      <c r="F43" s="594"/>
      <c r="G43" s="594"/>
      <c r="H43" s="594"/>
      <c r="I43" s="594"/>
      <c r="J43" s="594"/>
      <c r="K43" s="594"/>
      <c r="L43" s="551"/>
      <c r="M43" s="2297"/>
      <c r="N43" s="2297"/>
      <c r="O43" s="2297"/>
      <c r="P43" s="2298"/>
      <c r="Q43" s="2298"/>
      <c r="R43" s="2298"/>
      <c r="S43" s="2298"/>
      <c r="T43" s="550"/>
      <c r="U43" s="2218"/>
      <c r="V43" s="2211">
        <f>SUM(V8:V42)</f>
        <v>0</v>
      </c>
      <c r="W43" s="2210"/>
      <c r="X43" s="2211">
        <f>SUM(X8:X42)</f>
        <v>0</v>
      </c>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543"/>
      <c r="AY43" s="1386"/>
      <c r="AZ43" s="1386"/>
      <c r="BA43" s="1387"/>
      <c r="BB43" s="1386"/>
      <c r="BC43" s="1388"/>
      <c r="BD43" s="414">
        <f>SUM(BD5:BD42)</f>
        <v>0</v>
      </c>
      <c r="BE43" s="414">
        <f>SUM(BE5:BE42)</f>
        <v>0</v>
      </c>
      <c r="BF43" s="414">
        <f>SUM(BF5:BF42)</f>
        <v>0</v>
      </c>
      <c r="BG43" s="1157">
        <f>SUM(BG5:BG42)</f>
        <v>0</v>
      </c>
      <c r="BH43" s="414">
        <f>SUM(BH5:BH42)</f>
        <v>0</v>
      </c>
      <c r="BI43" s="1389" t="s">
        <v>1081</v>
      </c>
      <c r="BJ43" s="1397"/>
      <c r="BK43" s="357"/>
      <c r="BL43" s="2159" t="s">
        <v>1648</v>
      </c>
      <c r="BM43" s="33">
        <v>550</v>
      </c>
      <c r="BN43" s="33">
        <v>245</v>
      </c>
      <c r="BO43" s="33">
        <v>10</v>
      </c>
      <c r="BP43" s="2153">
        <v>25</v>
      </c>
      <c r="BQ43" s="2153">
        <v>25</v>
      </c>
      <c r="BR43" s="2152">
        <v>0</v>
      </c>
      <c r="BS43" s="2152">
        <v>0</v>
      </c>
      <c r="BT43" s="2152">
        <v>60</v>
      </c>
      <c r="BU43" s="2155">
        <v>0.11</v>
      </c>
      <c r="BV43" s="357">
        <v>0</v>
      </c>
      <c r="BW43" s="357"/>
      <c r="BX43" s="357"/>
      <c r="BY43" s="357"/>
      <c r="BZ43" s="357"/>
      <c r="CA43" s="357"/>
      <c r="CB43" s="357"/>
      <c r="CC43" s="357"/>
      <c r="CD43" s="357"/>
    </row>
    <row r="44" spans="1:82" ht="60" customHeight="1">
      <c r="A44" s="1391"/>
      <c r="B44" s="1392"/>
      <c r="C44" s="1353"/>
      <c r="D44" s="2248"/>
      <c r="E44" s="2248"/>
      <c r="F44" s="2248"/>
      <c r="G44" s="2248"/>
      <c r="H44" s="2248"/>
      <c r="I44" s="2248"/>
      <c r="J44" s="2248"/>
      <c r="K44" s="2248"/>
      <c r="L44" s="1353"/>
      <c r="M44" s="2248"/>
      <c r="N44" s="2248"/>
      <c r="O44" s="2248"/>
      <c r="P44" s="2248"/>
      <c r="Q44" s="2248"/>
      <c r="R44" s="2248"/>
      <c r="S44" s="2248"/>
      <c r="T44" s="2248"/>
      <c r="V44" s="2638" t="s">
        <v>1100</v>
      </c>
      <c r="W44" s="2248"/>
      <c r="X44" s="2253" t="s">
        <v>1101</v>
      </c>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441" t="e">
        <f>BD44</f>
        <v>#DIV/0!</v>
      </c>
      <c r="AY44" s="1441" t="e">
        <f t="shared" ref="AY44:BB44" si="38">BE44</f>
        <v>#DIV/0!</v>
      </c>
      <c r="AZ44" s="1441" t="e">
        <f t="shared" si="38"/>
        <v>#DIV/0!</v>
      </c>
      <c r="BA44" s="1157" t="e">
        <f t="shared" si="38"/>
        <v>#DIV/0!</v>
      </c>
      <c r="BB44" s="1441" t="e">
        <f t="shared" si="38"/>
        <v>#DIV/0!</v>
      </c>
      <c r="BC44" s="1388"/>
      <c r="BD44" s="1441" t="e">
        <f>BD43/$B43</f>
        <v>#DIV/0!</v>
      </c>
      <c r="BE44" s="1441" t="e">
        <f>BE43/$B43</f>
        <v>#DIV/0!</v>
      </c>
      <c r="BF44" s="1441" t="e">
        <f>BF43/$B43</f>
        <v>#DIV/0!</v>
      </c>
      <c r="BG44" s="1157" t="e">
        <f>BG43/$B43</f>
        <v>#DIV/0!</v>
      </c>
      <c r="BH44" s="414" t="e">
        <f>BH43/$B43</f>
        <v>#DIV/0!</v>
      </c>
      <c r="BI44" s="1389"/>
      <c r="BJ44" s="1389"/>
      <c r="BK44" s="1389"/>
      <c r="BL44" s="2152" t="s">
        <v>1543</v>
      </c>
      <c r="BM44" s="33">
        <v>275</v>
      </c>
      <c r="BN44" s="33">
        <v>135</v>
      </c>
      <c r="BO44" s="33">
        <v>10</v>
      </c>
      <c r="BP44" s="2153">
        <v>14</v>
      </c>
      <c r="BQ44" s="2153">
        <v>14</v>
      </c>
      <c r="BR44" s="2152">
        <v>0</v>
      </c>
      <c r="BS44" s="2152">
        <v>0</v>
      </c>
      <c r="BT44" s="2154">
        <v>60</v>
      </c>
      <c r="BU44" s="2155">
        <v>0.11</v>
      </c>
      <c r="BV44" s="357">
        <v>0</v>
      </c>
      <c r="BW44" s="357"/>
      <c r="BX44" s="357"/>
      <c r="BY44" s="357"/>
      <c r="BZ44" s="357"/>
      <c r="CA44" s="357"/>
      <c r="CB44" s="357"/>
      <c r="CC44" s="357"/>
    </row>
    <row r="45" spans="1:82" ht="30.75" thickBot="1">
      <c r="A45" s="1355"/>
      <c r="B45" s="1394"/>
      <c r="C45" s="1353"/>
      <c r="D45" s="2248"/>
      <c r="E45" s="2248"/>
      <c r="F45" s="2248"/>
      <c r="G45" s="2248"/>
      <c r="H45" s="2248"/>
      <c r="I45" s="2248"/>
      <c r="J45" s="2248"/>
      <c r="K45" s="2248"/>
      <c r="L45" s="1353"/>
      <c r="M45" s="2248"/>
      <c r="N45" s="2248"/>
      <c r="O45" s="2248"/>
      <c r="P45" s="2248"/>
      <c r="Q45" s="2248"/>
      <c r="R45" s="2248"/>
      <c r="S45" s="2248"/>
      <c r="T45" s="2248"/>
      <c r="V45" s="2639"/>
      <c r="W45" s="2248"/>
      <c r="X45" s="225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63" t="s">
        <v>1080</v>
      </c>
      <c r="AY45" s="2252" t="s">
        <v>1066</v>
      </c>
      <c r="AZ45" s="2252" t="s">
        <v>1067</v>
      </c>
      <c r="BA45" s="1364" t="s">
        <v>1241</v>
      </c>
      <c r="BB45" s="2252" t="s">
        <v>284</v>
      </c>
      <c r="BC45" s="1355"/>
      <c r="BD45" s="1821" t="s">
        <v>1080</v>
      </c>
      <c r="BE45" s="1822" t="s">
        <v>1307</v>
      </c>
      <c r="BF45" s="1822" t="s">
        <v>1308</v>
      </c>
      <c r="BG45" s="1364" t="s">
        <v>1241</v>
      </c>
      <c r="BH45" s="2252" t="s">
        <v>284</v>
      </c>
      <c r="BI45" s="357"/>
      <c r="BJ45" s="357"/>
      <c r="BK45" s="357"/>
      <c r="BL45" s="2141" t="s">
        <v>1351</v>
      </c>
      <c r="BM45" s="33">
        <v>650</v>
      </c>
      <c r="BN45" s="33">
        <v>170</v>
      </c>
      <c r="BO45" s="33">
        <v>20</v>
      </c>
      <c r="BP45" s="323">
        <v>20</v>
      </c>
      <c r="BQ45" s="323">
        <v>20</v>
      </c>
      <c r="BR45" s="323">
        <f>BQ45*2/3</f>
        <v>13.333333333333334</v>
      </c>
      <c r="BS45" s="323">
        <v>15</v>
      </c>
      <c r="BT45" s="323">
        <v>30</v>
      </c>
      <c r="BU45" s="1001">
        <v>0.10299999999999999</v>
      </c>
      <c r="BV45" s="357">
        <v>0</v>
      </c>
      <c r="BW45" s="357"/>
      <c r="BX45" s="357"/>
      <c r="BY45" s="357"/>
      <c r="BZ45" s="357"/>
      <c r="CA45" s="357"/>
      <c r="CB45" s="357"/>
      <c r="CC45" s="357"/>
    </row>
    <row r="46" spans="1:82" ht="18.75">
      <c r="A46" s="546"/>
      <c r="B46" s="546"/>
      <c r="C46" s="357"/>
      <c r="D46" s="357"/>
      <c r="E46" s="357"/>
      <c r="F46" s="357"/>
      <c r="G46" s="357"/>
      <c r="H46" s="357"/>
      <c r="I46" s="357"/>
      <c r="J46" s="357"/>
      <c r="K46" s="357"/>
      <c r="L46" s="357"/>
      <c r="M46" s="357"/>
      <c r="N46" s="357"/>
      <c r="O46" s="357"/>
      <c r="P46" s="357"/>
      <c r="Q46" s="357"/>
      <c r="R46" s="357"/>
      <c r="S46" s="357"/>
      <c r="T46" s="357"/>
      <c r="U46" s="1395"/>
      <c r="V46" s="2248"/>
      <c r="W46" s="2248"/>
      <c r="X46" s="2248"/>
      <c r="Z46" s="138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96"/>
      <c r="BD46" s="1396"/>
      <c r="BE46" s="1397"/>
      <c r="BF46" s="1397"/>
      <c r="BG46" s="1397"/>
      <c r="BH46" s="1397"/>
      <c r="BI46" s="357"/>
      <c r="BJ46" s="357"/>
      <c r="BK46" s="357"/>
      <c r="BL46" s="2159" t="s">
        <v>1649</v>
      </c>
      <c r="BM46" s="33">
        <v>200</v>
      </c>
      <c r="BN46" s="33">
        <v>135</v>
      </c>
      <c r="BO46" s="33">
        <v>10</v>
      </c>
      <c r="BP46" s="2158">
        <v>14</v>
      </c>
      <c r="BQ46" s="2158">
        <v>14</v>
      </c>
      <c r="BR46" s="2152">
        <v>0</v>
      </c>
      <c r="BS46" s="2152">
        <v>0</v>
      </c>
      <c r="BT46" s="2152">
        <v>30</v>
      </c>
      <c r="BU46" s="2155">
        <v>0.14000000000000001</v>
      </c>
      <c r="BV46" s="357">
        <v>0</v>
      </c>
      <c r="BW46" s="357"/>
      <c r="BX46" s="357"/>
      <c r="BY46" s="357"/>
      <c r="BZ46" s="357"/>
      <c r="CA46" s="357"/>
      <c r="CB46" s="357"/>
      <c r="CC46" s="357"/>
    </row>
    <row r="47" spans="1:82" ht="15.75">
      <c r="A47" s="2624" t="s">
        <v>1068</v>
      </c>
      <c r="B47" s="2625"/>
      <c r="C47" s="2627" t="s">
        <v>1072</v>
      </c>
      <c r="D47" s="2628"/>
      <c r="E47" s="2628"/>
      <c r="F47" s="2628"/>
      <c r="G47" s="2628"/>
      <c r="H47" s="2628"/>
      <c r="I47" s="2628"/>
      <c r="J47" s="2628"/>
      <c r="K47" s="2628"/>
      <c r="L47" s="2628"/>
      <c r="M47" s="2628"/>
      <c r="N47" s="2628"/>
      <c r="O47" s="2628"/>
      <c r="P47" s="2628"/>
      <c r="Q47" s="2628"/>
      <c r="R47" s="2628"/>
      <c r="S47" s="2599"/>
      <c r="T47" s="2599"/>
      <c r="U47" s="2599"/>
      <c r="V47" s="2629"/>
      <c r="W47" s="2630"/>
      <c r="X47" s="661"/>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557"/>
      <c r="BJ47" s="557"/>
      <c r="BK47" s="557"/>
      <c r="BL47" s="2140" t="s">
        <v>1650</v>
      </c>
      <c r="BM47" s="33">
        <v>180</v>
      </c>
      <c r="BN47" s="33">
        <v>180</v>
      </c>
      <c r="BO47" s="33">
        <v>20</v>
      </c>
      <c r="BP47" s="2156">
        <v>20</v>
      </c>
      <c r="BQ47" s="2156">
        <v>20</v>
      </c>
      <c r="BR47" s="2156">
        <f>BQ47*2/3</f>
        <v>13.333333333333334</v>
      </c>
      <c r="BS47" s="2156">
        <v>25</v>
      </c>
      <c r="BT47" s="2156">
        <v>60</v>
      </c>
      <c r="BU47" s="1914">
        <v>0.09</v>
      </c>
      <c r="BV47" s="357">
        <v>0</v>
      </c>
      <c r="BW47" s="357"/>
      <c r="BX47" s="357"/>
      <c r="BY47" s="357"/>
      <c r="BZ47" s="357"/>
      <c r="CA47" s="357"/>
      <c r="CB47" s="357"/>
      <c r="CC47" s="357"/>
    </row>
    <row r="48" spans="1:82" ht="15.75">
      <c r="A48" s="2625"/>
      <c r="B48" s="2625"/>
      <c r="C48" s="2631"/>
      <c r="D48" s="2632"/>
      <c r="E48" s="2632"/>
      <c r="F48" s="2632"/>
      <c r="G48" s="2632"/>
      <c r="H48" s="2632"/>
      <c r="I48" s="2632"/>
      <c r="J48" s="2632"/>
      <c r="K48" s="2632"/>
      <c r="L48" s="2632"/>
      <c r="M48" s="2632"/>
      <c r="N48" s="2632"/>
      <c r="O48" s="2632"/>
      <c r="P48" s="2632"/>
      <c r="Q48" s="2632"/>
      <c r="R48" s="2632"/>
      <c r="S48" s="2633"/>
      <c r="T48" s="2633"/>
      <c r="U48" s="2633"/>
      <c r="V48" s="2587"/>
      <c r="W48" s="2634"/>
      <c r="X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2248"/>
      <c r="BJ48" s="2248"/>
      <c r="BK48" s="2248"/>
      <c r="BL48" s="2159" t="s">
        <v>1553</v>
      </c>
      <c r="BM48" s="33">
        <v>200</v>
      </c>
      <c r="BN48" s="33">
        <v>255</v>
      </c>
      <c r="BO48" s="33">
        <v>10</v>
      </c>
      <c r="BP48" s="2153">
        <v>26</v>
      </c>
      <c r="BQ48" s="2153">
        <v>26</v>
      </c>
      <c r="BR48" s="2152">
        <v>0</v>
      </c>
      <c r="BS48" s="2152">
        <v>0</v>
      </c>
      <c r="BT48" s="2152">
        <v>60</v>
      </c>
      <c r="BU48" s="2155">
        <v>0.22</v>
      </c>
      <c r="BV48" s="357">
        <v>0</v>
      </c>
      <c r="BW48" s="357"/>
      <c r="BX48" s="357"/>
      <c r="BY48" s="357"/>
      <c r="BZ48" s="357"/>
      <c r="CA48" s="357"/>
      <c r="CB48" s="357"/>
      <c r="CC48" s="357"/>
    </row>
    <row r="49" spans="1:81" ht="15.75">
      <c r="A49" s="2626"/>
      <c r="B49" s="2626"/>
      <c r="C49" s="2635"/>
      <c r="D49" s="2636"/>
      <c r="E49" s="2636"/>
      <c r="F49" s="2636"/>
      <c r="G49" s="2636"/>
      <c r="H49" s="2636"/>
      <c r="I49" s="2636"/>
      <c r="J49" s="2636"/>
      <c r="K49" s="2636"/>
      <c r="L49" s="2636"/>
      <c r="M49" s="2636"/>
      <c r="N49" s="2636"/>
      <c r="O49" s="2636"/>
      <c r="P49" s="2636"/>
      <c r="Q49" s="2636"/>
      <c r="R49" s="2636"/>
      <c r="S49" s="2636"/>
      <c r="T49" s="2636"/>
      <c r="U49" s="2636"/>
      <c r="V49" s="2636"/>
      <c r="W49" s="2637"/>
      <c r="X49" s="661"/>
      <c r="Z49" s="2248"/>
      <c r="AA49" s="2248"/>
      <c r="AB49" s="2248"/>
      <c r="AC49" s="2248"/>
      <c r="AD49" s="2248"/>
      <c r="AE49" s="2248"/>
      <c r="AF49" s="2248"/>
      <c r="AG49" s="2248"/>
      <c r="AH49" s="2248"/>
      <c r="AI49" s="2248"/>
      <c r="AJ49" s="2248"/>
      <c r="AK49" s="2248"/>
      <c r="AL49" s="2248"/>
      <c r="AM49" s="2248"/>
      <c r="AN49" s="2248"/>
      <c r="AO49" s="2248"/>
      <c r="AP49" s="2248"/>
      <c r="AQ49" s="2248"/>
      <c r="AR49" s="2248"/>
      <c r="AS49" s="2248"/>
      <c r="AT49" s="2248"/>
      <c r="AU49" s="2248"/>
      <c r="AV49" s="2248"/>
      <c r="AW49" s="2248"/>
      <c r="AX49" s="2248"/>
      <c r="AY49" s="2248"/>
      <c r="AZ49" s="2248"/>
      <c r="BA49" s="2248"/>
      <c r="BB49" s="2248"/>
      <c r="BC49" s="2248"/>
      <c r="BD49" s="2248"/>
      <c r="BE49" s="2248"/>
      <c r="BF49" s="2248"/>
      <c r="BG49" s="2248"/>
      <c r="BH49" s="2248"/>
      <c r="BI49" s="357"/>
      <c r="BJ49" s="357"/>
      <c r="BK49" s="357"/>
      <c r="BL49" s="2140" t="s">
        <v>1651</v>
      </c>
      <c r="BM49" s="33">
        <v>150</v>
      </c>
      <c r="BN49" s="33">
        <v>90</v>
      </c>
      <c r="BO49" s="33">
        <v>10</v>
      </c>
      <c r="BP49" s="2153">
        <v>5</v>
      </c>
      <c r="BQ49" s="2153">
        <v>5</v>
      </c>
      <c r="BR49" s="2152">
        <v>0</v>
      </c>
      <c r="BS49" s="2152">
        <v>0</v>
      </c>
      <c r="BT49" s="2152">
        <v>30</v>
      </c>
      <c r="BU49" s="2155">
        <v>0.11</v>
      </c>
      <c r="BV49" s="357">
        <v>0</v>
      </c>
      <c r="BW49" s="357"/>
      <c r="BX49" s="357"/>
      <c r="BY49" s="357"/>
      <c r="BZ49" s="357"/>
      <c r="CA49" s="357"/>
      <c r="CB49" s="357"/>
      <c r="CC49" s="357"/>
    </row>
    <row r="50" spans="1:81" ht="21">
      <c r="A50" s="546"/>
      <c r="B50" s="546"/>
      <c r="C50" s="357"/>
      <c r="D50" s="357"/>
      <c r="E50" s="357"/>
      <c r="F50" s="357"/>
      <c r="G50" s="357"/>
      <c r="H50" s="357"/>
      <c r="I50" s="357"/>
      <c r="J50" s="357"/>
      <c r="K50" s="357"/>
      <c r="L50" s="357"/>
      <c r="M50" s="357"/>
      <c r="N50" s="357"/>
      <c r="O50" s="357"/>
      <c r="P50" s="357"/>
      <c r="Q50" s="357"/>
      <c r="R50" s="357"/>
      <c r="S50" s="357"/>
      <c r="T50" s="357"/>
      <c r="U50" s="1395"/>
      <c r="V50" s="2248"/>
      <c r="W50" s="2248"/>
      <c r="X50" s="1044"/>
      <c r="Z50" s="1400"/>
      <c r="AA50" s="1400"/>
      <c r="AB50" s="1400"/>
      <c r="AC50" s="1400"/>
      <c r="AD50" s="1400"/>
      <c r="AE50" s="1400"/>
      <c r="AF50" s="1400"/>
      <c r="AG50" s="1400"/>
      <c r="AH50" s="1400"/>
      <c r="AI50" s="1400"/>
      <c r="AJ50" s="1400"/>
      <c r="AK50" s="1400"/>
      <c r="AL50" s="1400"/>
      <c r="AM50" s="1400"/>
      <c r="AN50" s="1400"/>
      <c r="AO50" s="1400"/>
      <c r="AP50" s="1400"/>
      <c r="AQ50" s="1400"/>
      <c r="AR50" s="1400"/>
      <c r="AS50" s="1400"/>
      <c r="AT50" s="1400"/>
      <c r="AU50" s="1400"/>
      <c r="AV50" s="1400"/>
      <c r="AW50" s="1400"/>
      <c r="AX50" s="1400"/>
      <c r="AY50" s="1400"/>
      <c r="AZ50" s="1400"/>
      <c r="BA50" s="1400"/>
      <c r="BB50" s="1400"/>
      <c r="BC50" s="1400"/>
      <c r="BD50" s="1400"/>
      <c r="BE50" s="1400"/>
      <c r="BF50" s="1400"/>
      <c r="BG50" s="1400"/>
      <c r="BH50" s="1400"/>
      <c r="BI50" s="2248"/>
      <c r="BJ50" s="2248"/>
      <c r="BK50" s="2248"/>
      <c r="BL50" s="2140" t="s">
        <v>1652</v>
      </c>
      <c r="BM50" s="33">
        <v>200</v>
      </c>
      <c r="BN50" s="33">
        <v>185</v>
      </c>
      <c r="BO50" s="33">
        <v>20</v>
      </c>
      <c r="BP50" s="2156">
        <v>20</v>
      </c>
      <c r="BQ50" s="2156">
        <v>20</v>
      </c>
      <c r="BR50" s="323">
        <f>BQ50*2/3</f>
        <v>13.333333333333334</v>
      </c>
      <c r="BS50" s="2156">
        <v>85</v>
      </c>
      <c r="BT50" s="2156">
        <v>60</v>
      </c>
      <c r="BU50" s="1914">
        <v>7.0000000000000007E-2</v>
      </c>
      <c r="BV50" s="357">
        <v>0</v>
      </c>
      <c r="BW50" s="357"/>
      <c r="BX50" s="357"/>
      <c r="BY50" s="357"/>
      <c r="BZ50" s="357"/>
      <c r="CA50" s="357"/>
      <c r="CB50" s="357"/>
      <c r="CC50" s="357"/>
    </row>
    <row r="51" spans="1:81" ht="15.75">
      <c r="A51" s="2481" t="s">
        <v>609</v>
      </c>
      <c r="B51" s="2482"/>
      <c r="C51" s="2615" t="s">
        <v>1073</v>
      </c>
      <c r="D51" s="2616"/>
      <c r="E51" s="2616"/>
      <c r="F51" s="2616"/>
      <c r="G51" s="2616"/>
      <c r="H51" s="2616"/>
      <c r="I51" s="2616"/>
      <c r="J51" s="2616"/>
      <c r="K51" s="2616"/>
      <c r="L51" s="2616"/>
      <c r="M51" s="2616"/>
      <c r="N51" s="2616"/>
      <c r="O51" s="2616"/>
      <c r="P51" s="2616"/>
      <c r="Q51" s="2616"/>
      <c r="R51" s="2616"/>
      <c r="S51" s="2616"/>
      <c r="T51" s="2616"/>
      <c r="U51" s="2616"/>
      <c r="V51" s="2617"/>
      <c r="W51" s="2617"/>
      <c r="X51" s="557"/>
      <c r="Z51" s="661"/>
      <c r="AA51" s="661"/>
      <c r="AB51" s="661"/>
      <c r="AC51" s="661"/>
      <c r="AD51" s="661"/>
      <c r="AE51" s="661"/>
      <c r="AF51" s="661"/>
      <c r="AG51" s="661"/>
      <c r="AH51" s="661"/>
      <c r="AI51" s="661"/>
      <c r="AJ51" s="661"/>
      <c r="AK51" s="661"/>
      <c r="AL51" s="661"/>
      <c r="AM51" s="661"/>
      <c r="AN51" s="661"/>
      <c r="AO51" s="661"/>
      <c r="AP51" s="661"/>
      <c r="AQ51" s="661"/>
      <c r="AR51" s="661"/>
      <c r="AS51" s="661"/>
      <c r="AT51" s="661"/>
      <c r="AU51" s="661"/>
      <c r="AV51" s="661"/>
      <c r="AW51" s="661"/>
      <c r="AX51" s="661"/>
      <c r="AY51" s="661"/>
      <c r="AZ51" s="661"/>
      <c r="BA51" s="661"/>
      <c r="BB51" s="661"/>
      <c r="BC51" s="661"/>
      <c r="BD51" s="661"/>
      <c r="BE51" s="661"/>
      <c r="BF51" s="661"/>
      <c r="BG51" s="661"/>
      <c r="BH51" s="661"/>
      <c r="BI51" s="2248"/>
      <c r="BJ51" s="2248"/>
      <c r="BK51" s="2248"/>
      <c r="BL51" s="2141" t="s">
        <v>1352</v>
      </c>
      <c r="BM51" s="33">
        <v>600</v>
      </c>
      <c r="BN51" s="33">
        <v>115</v>
      </c>
      <c r="BO51" s="33">
        <v>20</v>
      </c>
      <c r="BP51" s="323">
        <v>20</v>
      </c>
      <c r="BQ51" s="323">
        <v>20</v>
      </c>
      <c r="BR51" s="323">
        <f>BQ51*2/3</f>
        <v>13.333333333333334</v>
      </c>
      <c r="BS51" s="323">
        <v>10</v>
      </c>
      <c r="BT51" s="323">
        <v>60</v>
      </c>
      <c r="BU51" s="1001">
        <v>8.2000000000000003E-2</v>
      </c>
      <c r="BV51" s="357">
        <v>0</v>
      </c>
      <c r="BW51" s="357"/>
      <c r="BX51" s="357"/>
      <c r="BY51" s="357"/>
      <c r="BZ51" s="357"/>
      <c r="CA51" s="357"/>
      <c r="CB51" s="357"/>
      <c r="CC51" s="357"/>
    </row>
    <row r="52" spans="1:81" ht="15.75">
      <c r="A52" s="2483"/>
      <c r="B52" s="2484"/>
      <c r="C52" s="2616"/>
      <c r="D52" s="2616"/>
      <c r="E52" s="2616"/>
      <c r="F52" s="2616"/>
      <c r="G52" s="2616"/>
      <c r="H52" s="2616"/>
      <c r="I52" s="2616"/>
      <c r="J52" s="2616"/>
      <c r="K52" s="2616"/>
      <c r="L52" s="2616"/>
      <c r="M52" s="2616"/>
      <c r="N52" s="2616"/>
      <c r="O52" s="2616"/>
      <c r="P52" s="2616"/>
      <c r="Q52" s="2616"/>
      <c r="R52" s="2616"/>
      <c r="S52" s="2616"/>
      <c r="T52" s="2616"/>
      <c r="U52" s="2616"/>
      <c r="V52" s="2617"/>
      <c r="W52" s="2617"/>
      <c r="X52" s="2248"/>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2248"/>
      <c r="BJ52" s="2248"/>
      <c r="BK52" s="2248"/>
      <c r="BL52" s="2141" t="s">
        <v>1353</v>
      </c>
      <c r="BM52" s="33">
        <v>900</v>
      </c>
      <c r="BN52" s="33">
        <v>165</v>
      </c>
      <c r="BO52" s="33">
        <v>20</v>
      </c>
      <c r="BP52" s="323">
        <v>20</v>
      </c>
      <c r="BQ52" s="323">
        <v>20</v>
      </c>
      <c r="BR52" s="323">
        <f>BQ52*2/3</f>
        <v>13.333333333333334</v>
      </c>
      <c r="BS52" s="323">
        <v>45</v>
      </c>
      <c r="BT52" s="323">
        <v>90</v>
      </c>
      <c r="BU52" s="1001">
        <v>0.08</v>
      </c>
      <c r="BV52" s="357">
        <v>0</v>
      </c>
      <c r="BW52" s="357"/>
      <c r="BX52" s="357"/>
      <c r="BY52" s="357"/>
      <c r="BZ52" s="357"/>
      <c r="CA52" s="357"/>
      <c r="CB52" s="357"/>
      <c r="CC52" s="357"/>
    </row>
    <row r="53" spans="1:81" ht="15.75">
      <c r="A53" s="2613"/>
      <c r="B53" s="2614"/>
      <c r="C53" s="2616"/>
      <c r="D53" s="2616"/>
      <c r="E53" s="2616"/>
      <c r="F53" s="2616"/>
      <c r="G53" s="2616"/>
      <c r="H53" s="2616"/>
      <c r="I53" s="2616"/>
      <c r="J53" s="2616"/>
      <c r="K53" s="2616"/>
      <c r="L53" s="2616"/>
      <c r="M53" s="2616"/>
      <c r="N53" s="2616"/>
      <c r="O53" s="2616"/>
      <c r="P53" s="2616"/>
      <c r="Q53" s="2616"/>
      <c r="R53" s="2616"/>
      <c r="S53" s="2616"/>
      <c r="T53" s="2616"/>
      <c r="U53" s="2616"/>
      <c r="V53" s="2617"/>
      <c r="W53" s="2617"/>
      <c r="X53" s="2248"/>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AY53" s="661"/>
      <c r="AZ53" s="661"/>
      <c r="BA53" s="661"/>
      <c r="BB53" s="661"/>
      <c r="BC53" s="661"/>
      <c r="BD53" s="661"/>
      <c r="BE53" s="661"/>
      <c r="BF53" s="661"/>
      <c r="BG53" s="661"/>
      <c r="BH53" s="661"/>
      <c r="BI53" s="2248"/>
      <c r="BJ53" s="2248"/>
      <c r="BK53" s="2248"/>
      <c r="BL53" s="2141" t="s">
        <v>1354</v>
      </c>
      <c r="BM53" s="33">
        <v>700</v>
      </c>
      <c r="BN53" s="33">
        <v>125</v>
      </c>
      <c r="BO53" s="33">
        <v>20</v>
      </c>
      <c r="BP53" s="323">
        <v>20</v>
      </c>
      <c r="BQ53" s="323">
        <v>20</v>
      </c>
      <c r="BR53" s="323">
        <f>BQ53*2/3</f>
        <v>13.333333333333334</v>
      </c>
      <c r="BS53" s="323">
        <v>30</v>
      </c>
      <c r="BT53" s="323">
        <v>60</v>
      </c>
      <c r="BU53" s="1001">
        <v>0.08</v>
      </c>
      <c r="BV53" s="357">
        <v>0</v>
      </c>
      <c r="BW53" s="357"/>
      <c r="BX53" s="357"/>
      <c r="BY53" s="357"/>
      <c r="BZ53" s="357"/>
      <c r="CA53" s="357"/>
      <c r="CB53" s="357"/>
      <c r="CC53" s="357"/>
    </row>
    <row r="54" spans="1:81" ht="21">
      <c r="A54" s="2601"/>
      <c r="B54" s="2603"/>
      <c r="C54" s="2615" t="s">
        <v>588</v>
      </c>
      <c r="D54" s="2616"/>
      <c r="E54" s="2616"/>
      <c r="F54" s="2616"/>
      <c r="G54" s="2616"/>
      <c r="H54" s="2616"/>
      <c r="I54" s="2616"/>
      <c r="J54" s="2616"/>
      <c r="K54" s="2616"/>
      <c r="L54" s="2616"/>
      <c r="M54" s="2616"/>
      <c r="N54" s="2616"/>
      <c r="O54" s="2616"/>
      <c r="P54" s="2616"/>
      <c r="Q54" s="2616"/>
      <c r="R54" s="2616"/>
      <c r="S54" s="2616"/>
      <c r="T54" s="2616"/>
      <c r="U54" s="2617"/>
      <c r="V54" s="2617"/>
      <c r="W54" s="2617"/>
      <c r="X54" s="2248"/>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44"/>
      <c r="AV54" s="1044"/>
      <c r="AW54" s="1044"/>
      <c r="AX54" s="1044"/>
      <c r="AY54" s="1044"/>
      <c r="AZ54" s="1044"/>
      <c r="BA54" s="1044"/>
      <c r="BB54" s="1044"/>
      <c r="BC54" s="1044"/>
      <c r="BD54" s="1044"/>
      <c r="BE54" s="1044"/>
      <c r="BF54" s="1044"/>
      <c r="BG54" s="1044"/>
      <c r="BH54" s="1044"/>
      <c r="BI54" s="2248"/>
      <c r="BJ54" s="2248"/>
      <c r="BK54" s="2248"/>
      <c r="BL54" s="2159" t="s">
        <v>1653</v>
      </c>
      <c r="BM54" s="33">
        <v>120</v>
      </c>
      <c r="BN54" s="33">
        <v>100</v>
      </c>
      <c r="BO54" s="33">
        <v>10</v>
      </c>
      <c r="BP54" s="2160">
        <v>5</v>
      </c>
      <c r="BQ54" s="2160">
        <v>5</v>
      </c>
      <c r="BR54" s="2156">
        <v>0</v>
      </c>
      <c r="BS54" s="2156">
        <v>0</v>
      </c>
      <c r="BT54" s="2156">
        <v>30</v>
      </c>
      <c r="BU54" s="1914">
        <v>0.14000000000000001</v>
      </c>
      <c r="BV54" s="357">
        <v>0</v>
      </c>
      <c r="BW54" s="357"/>
      <c r="BX54" s="357"/>
      <c r="BY54" s="357"/>
      <c r="BZ54" s="357"/>
      <c r="CA54" s="357"/>
      <c r="CB54" s="357"/>
      <c r="CC54" s="357"/>
    </row>
    <row r="55" spans="1:81">
      <c r="A55" s="546"/>
      <c r="B55" s="357"/>
      <c r="C55" s="357"/>
      <c r="D55" s="546"/>
      <c r="E55" s="357"/>
      <c r="F55" s="357"/>
      <c r="G55" s="357"/>
      <c r="H55" s="357"/>
      <c r="I55" s="357"/>
      <c r="J55" s="357"/>
      <c r="K55" s="357"/>
      <c r="L55" s="357"/>
      <c r="M55" s="357"/>
      <c r="N55" s="357"/>
      <c r="O55" s="357"/>
      <c r="P55" s="357"/>
      <c r="Q55" s="357"/>
      <c r="R55" s="357"/>
      <c r="S55" s="357"/>
      <c r="T55" s="357"/>
      <c r="U55" s="1395"/>
      <c r="V55" s="2248"/>
      <c r="W55" s="2248"/>
      <c r="X55" s="2248"/>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BC55" s="557"/>
      <c r="BD55" s="557"/>
      <c r="BE55" s="557"/>
      <c r="BF55" s="557"/>
      <c r="BG55" s="557"/>
      <c r="BH55" s="557"/>
      <c r="BI55" s="2248"/>
      <c r="BJ55" s="2248"/>
      <c r="BK55" s="2248"/>
      <c r="BL55" s="2140" t="s">
        <v>1654</v>
      </c>
      <c r="BM55" s="33">
        <v>700</v>
      </c>
      <c r="BN55" s="33">
        <v>180</v>
      </c>
      <c r="BO55" s="33">
        <v>20</v>
      </c>
      <c r="BP55" s="2156">
        <v>20</v>
      </c>
      <c r="BQ55" s="2156">
        <v>20</v>
      </c>
      <c r="BR55" s="323">
        <f t="shared" ref="BR55:BR62" si="39">BQ55*2/3</f>
        <v>13.333333333333334</v>
      </c>
      <c r="BS55" s="2156">
        <v>5</v>
      </c>
      <c r="BT55" s="2162">
        <v>60</v>
      </c>
      <c r="BU55" s="2163">
        <v>6.9000000000000006E-2</v>
      </c>
      <c r="BV55" s="357">
        <v>0</v>
      </c>
      <c r="BW55" s="357"/>
      <c r="BX55" s="357"/>
      <c r="BY55" s="357"/>
      <c r="BZ55" s="357"/>
      <c r="CA55" s="357"/>
      <c r="CB55" s="357"/>
      <c r="CC55" s="357"/>
    </row>
    <row r="56" spans="1:81">
      <c r="A56" s="546"/>
      <c r="B56" s="357"/>
      <c r="C56" s="357"/>
      <c r="D56" s="546"/>
      <c r="E56" s="357"/>
      <c r="F56" s="357"/>
      <c r="G56" s="357"/>
      <c r="H56" s="357"/>
      <c r="I56" s="357"/>
      <c r="J56" s="357"/>
      <c r="K56" s="357"/>
      <c r="L56" s="357"/>
      <c r="M56" s="357"/>
      <c r="N56" s="357"/>
      <c r="O56" s="357"/>
      <c r="P56" s="357"/>
      <c r="Q56" s="357"/>
      <c r="R56" s="357"/>
      <c r="S56" s="357"/>
      <c r="T56" s="357"/>
      <c r="U56" s="1395"/>
      <c r="V56" s="2248"/>
      <c r="W56" s="2248"/>
      <c r="X56" s="2248"/>
      <c r="Z56" s="2248"/>
      <c r="AA56" s="2248"/>
      <c r="AB56" s="2248"/>
      <c r="AC56" s="2248"/>
      <c r="AD56" s="2248"/>
      <c r="AE56" s="2248"/>
      <c r="AF56" s="2248"/>
      <c r="AG56" s="2248"/>
      <c r="AH56" s="2248"/>
      <c r="AI56" s="2248"/>
      <c r="AJ56" s="2248"/>
      <c r="AK56" s="2248"/>
      <c r="AL56" s="2248"/>
      <c r="AM56" s="2248"/>
      <c r="AN56" s="2248"/>
      <c r="AO56" s="2248"/>
      <c r="AP56" s="2248"/>
      <c r="AQ56" s="2248"/>
      <c r="AR56" s="2248"/>
      <c r="AS56" s="2248"/>
      <c r="AT56" s="2248"/>
      <c r="AU56" s="2248"/>
      <c r="AV56" s="2248"/>
      <c r="AW56" s="2248"/>
      <c r="AX56" s="2248"/>
      <c r="AY56" s="2248"/>
      <c r="AZ56" s="2248"/>
      <c r="BA56" s="2248"/>
      <c r="BB56" s="2248"/>
      <c r="BC56" s="2248"/>
      <c r="BD56" s="2248"/>
      <c r="BE56" s="2248"/>
      <c r="BF56" s="2248"/>
      <c r="BG56" s="2248"/>
      <c r="BH56" s="2248"/>
      <c r="BI56" s="2248"/>
      <c r="BJ56" s="2248"/>
      <c r="BK56" s="2248"/>
      <c r="BL56" s="2142" t="s">
        <v>1655</v>
      </c>
      <c r="BM56" s="33">
        <v>600</v>
      </c>
      <c r="BN56" s="33">
        <v>160</v>
      </c>
      <c r="BO56" s="33">
        <v>20</v>
      </c>
      <c r="BP56" s="2162">
        <v>20</v>
      </c>
      <c r="BQ56" s="2162">
        <v>20</v>
      </c>
      <c r="BR56" s="2144">
        <f t="shared" si="39"/>
        <v>13.333333333333334</v>
      </c>
      <c r="BS56" s="2162">
        <v>5</v>
      </c>
      <c r="BT56" s="2162">
        <v>60</v>
      </c>
      <c r="BU56" s="2163">
        <v>6.9000000000000006E-2</v>
      </c>
      <c r="BV56" s="357">
        <v>0</v>
      </c>
      <c r="BW56" s="357"/>
      <c r="BX56" s="357"/>
      <c r="BY56" s="357"/>
      <c r="BZ56" s="357"/>
      <c r="CA56" s="357"/>
      <c r="CB56" s="357"/>
      <c r="CC56" s="357"/>
    </row>
    <row r="57" spans="1:81" ht="15.75">
      <c r="A57" s="546"/>
      <c r="B57" s="357"/>
      <c r="C57" s="357"/>
      <c r="D57" s="546"/>
      <c r="E57" s="357"/>
      <c r="F57" s="357"/>
      <c r="G57" s="357"/>
      <c r="H57" s="357"/>
      <c r="I57" s="357"/>
      <c r="J57" s="357"/>
      <c r="K57" s="357"/>
      <c r="L57" s="357"/>
      <c r="M57" s="357"/>
      <c r="N57" s="357"/>
      <c r="O57" s="357"/>
      <c r="P57" s="357"/>
      <c r="Q57" s="357"/>
      <c r="R57" s="357"/>
      <c r="S57" s="357"/>
      <c r="T57" s="357"/>
      <c r="U57" s="1395"/>
      <c r="V57" s="2248"/>
      <c r="W57" s="357"/>
      <c r="X57" s="2255"/>
      <c r="Z57" s="2248"/>
      <c r="AA57" s="2248"/>
      <c r="AB57" s="2248"/>
      <c r="AC57" s="2248"/>
      <c r="AD57" s="2248"/>
      <c r="AE57" s="2248"/>
      <c r="AF57" s="2248"/>
      <c r="AG57" s="2248"/>
      <c r="AH57" s="2248"/>
      <c r="AI57" s="2248"/>
      <c r="AJ57" s="2248"/>
      <c r="AK57" s="2248"/>
      <c r="AL57" s="2248"/>
      <c r="AM57" s="2248"/>
      <c r="AN57" s="2248"/>
      <c r="AO57" s="2248"/>
      <c r="AP57" s="2248"/>
      <c r="AQ57" s="2248"/>
      <c r="AR57" s="2248"/>
      <c r="AS57" s="2248"/>
      <c r="AT57" s="2248"/>
      <c r="AU57" s="2248"/>
      <c r="AV57" s="2248"/>
      <c r="AW57" s="2248"/>
      <c r="AX57" s="2248"/>
      <c r="AY57" s="2248"/>
      <c r="AZ57" s="2248"/>
      <c r="BA57" s="2248"/>
      <c r="BB57" s="2248"/>
      <c r="BC57" s="2248"/>
      <c r="BD57" s="2248"/>
      <c r="BE57" s="2248"/>
      <c r="BF57" s="2248"/>
      <c r="BG57" s="2248"/>
      <c r="BH57" s="2248"/>
      <c r="BI57" s="2248"/>
      <c r="BJ57" s="2248"/>
      <c r="BK57" s="2248"/>
      <c r="BL57" s="2140" t="s">
        <v>1656</v>
      </c>
      <c r="BM57" s="33">
        <v>500</v>
      </c>
      <c r="BN57" s="33">
        <v>250</v>
      </c>
      <c r="BO57" s="33">
        <v>20</v>
      </c>
      <c r="BP57" s="1924">
        <v>20</v>
      </c>
      <c r="BQ57" s="1924">
        <v>20</v>
      </c>
      <c r="BR57" s="2145">
        <f t="shared" si="39"/>
        <v>13.333333333333334</v>
      </c>
      <c r="BS57" s="1924">
        <v>100</v>
      </c>
      <c r="BT57" s="1924">
        <v>60</v>
      </c>
      <c r="BU57" s="1925">
        <v>7.0000000000000007E-2</v>
      </c>
      <c r="BV57" s="357">
        <v>0</v>
      </c>
      <c r="BW57" s="357"/>
      <c r="BX57" s="357"/>
      <c r="BY57" s="357"/>
      <c r="BZ57" s="357"/>
      <c r="CA57" s="357"/>
      <c r="CB57" s="357"/>
      <c r="CC57" s="357"/>
    </row>
    <row r="58" spans="1:81" ht="15.75">
      <c r="A58" s="546"/>
      <c r="B58" s="357"/>
      <c r="C58" s="357"/>
      <c r="D58" s="546"/>
      <c r="E58" s="357"/>
      <c r="F58" s="357"/>
      <c r="G58" s="357"/>
      <c r="H58" s="357"/>
      <c r="I58" s="357"/>
      <c r="J58" s="357"/>
      <c r="K58" s="357"/>
      <c r="L58" s="357"/>
      <c r="M58" s="357"/>
      <c r="N58" s="357"/>
      <c r="O58" s="357"/>
      <c r="P58" s="357"/>
      <c r="Q58" s="357"/>
      <c r="R58" s="357"/>
      <c r="S58" s="357"/>
      <c r="T58" s="357"/>
      <c r="U58" s="1395"/>
      <c r="V58" s="558"/>
      <c r="W58" s="357"/>
      <c r="X58" s="2255"/>
      <c r="Z58" s="2248"/>
      <c r="AA58" s="2248"/>
      <c r="AB58" s="2248"/>
      <c r="AC58" s="2248"/>
      <c r="AD58" s="2248"/>
      <c r="AE58" s="2248"/>
      <c r="AF58" s="2248"/>
      <c r="AG58" s="2248"/>
      <c r="AH58" s="2248"/>
      <c r="AI58" s="2248"/>
      <c r="AJ58" s="2248"/>
      <c r="AK58" s="2248"/>
      <c r="AL58" s="2248"/>
      <c r="AM58" s="2248"/>
      <c r="AN58" s="2248"/>
      <c r="AO58" s="2248"/>
      <c r="AP58" s="2248"/>
      <c r="AQ58" s="2248"/>
      <c r="AR58" s="2248"/>
      <c r="AS58" s="2248"/>
      <c r="AT58" s="2248"/>
      <c r="AU58" s="2248"/>
      <c r="AV58" s="2248"/>
      <c r="AW58" s="2248"/>
      <c r="AX58" s="2248"/>
      <c r="AY58" s="2248"/>
      <c r="AZ58" s="2248"/>
      <c r="BA58" s="2248"/>
      <c r="BB58" s="2248"/>
      <c r="BC58" s="2248"/>
      <c r="BD58" s="2248"/>
      <c r="BE58" s="2248"/>
      <c r="BF58" s="2248"/>
      <c r="BG58" s="2248"/>
      <c r="BH58" s="2248"/>
      <c r="BI58" s="2248"/>
      <c r="BJ58" s="2248"/>
      <c r="BK58" s="2248"/>
      <c r="BL58" s="2141" t="s">
        <v>1285</v>
      </c>
      <c r="BM58" s="33">
        <v>400</v>
      </c>
      <c r="BN58" s="33">
        <v>140</v>
      </c>
      <c r="BO58" s="33">
        <v>20</v>
      </c>
      <c r="BP58" s="323">
        <v>20</v>
      </c>
      <c r="BQ58" s="323">
        <v>20</v>
      </c>
      <c r="BR58" s="323">
        <f t="shared" si="39"/>
        <v>13.333333333333334</v>
      </c>
      <c r="BS58" s="323">
        <v>50</v>
      </c>
      <c r="BT58" s="323">
        <v>60</v>
      </c>
      <c r="BU58" s="1001">
        <v>0.23599999999999999</v>
      </c>
      <c r="BV58" s="357">
        <v>0</v>
      </c>
      <c r="BW58" s="357"/>
      <c r="BX58" s="357"/>
      <c r="BY58" s="357"/>
      <c r="BZ58" s="357"/>
      <c r="CA58" s="357"/>
      <c r="CB58" s="357"/>
      <c r="CC58" s="357"/>
    </row>
    <row r="59" spans="1:81" ht="18.75">
      <c r="A59" s="546"/>
      <c r="B59" s="357"/>
      <c r="C59" s="357"/>
      <c r="D59" s="546"/>
      <c r="E59" s="357"/>
      <c r="F59" s="357"/>
      <c r="G59" s="357"/>
      <c r="H59" s="357"/>
      <c r="I59" s="357"/>
      <c r="J59" s="357"/>
      <c r="K59" s="357"/>
      <c r="L59" s="357"/>
      <c r="M59" s="357"/>
      <c r="N59" s="357"/>
      <c r="O59" s="357"/>
      <c r="P59" s="357"/>
      <c r="Q59" s="357"/>
      <c r="R59" s="357"/>
      <c r="S59" s="357"/>
      <c r="T59" s="357"/>
      <c r="U59" s="1395"/>
      <c r="V59" s="558"/>
      <c r="W59" s="357"/>
      <c r="X59" s="2255"/>
      <c r="Z59" s="2248"/>
      <c r="AA59" s="2248"/>
      <c r="AB59" s="1046"/>
      <c r="AC59" s="1046"/>
      <c r="AD59" s="2248"/>
      <c r="AE59" s="2248"/>
      <c r="AF59" s="2248"/>
      <c r="AG59" s="2248"/>
      <c r="AH59" s="2248"/>
      <c r="AI59" s="2248"/>
      <c r="AJ59" s="2248"/>
      <c r="AK59" s="2248"/>
      <c r="AL59" s="2248"/>
      <c r="AM59" s="2248"/>
      <c r="AN59" s="2248"/>
      <c r="AO59" s="2248"/>
      <c r="AP59" s="2248"/>
      <c r="AQ59" s="2248"/>
      <c r="AR59" s="2248"/>
      <c r="AS59" s="2248"/>
      <c r="AT59" s="2248"/>
      <c r="AU59" s="2248"/>
      <c r="AV59" s="2248"/>
      <c r="AW59" s="2248"/>
      <c r="AX59" s="2248"/>
      <c r="AY59" s="2248"/>
      <c r="AZ59" s="2248"/>
      <c r="BA59" s="2248"/>
      <c r="BB59" s="2248"/>
      <c r="BC59" s="2248"/>
      <c r="BD59" s="2248"/>
      <c r="BE59" s="2248"/>
      <c r="BF59" s="2248"/>
      <c r="BG59" s="2248"/>
      <c r="BH59" s="2248"/>
      <c r="BI59" s="2248"/>
      <c r="BJ59" s="2248"/>
      <c r="BK59" s="2248"/>
      <c r="BL59" s="2141" t="s">
        <v>1355</v>
      </c>
      <c r="BM59" s="33">
        <v>240</v>
      </c>
      <c r="BN59" s="33">
        <v>160</v>
      </c>
      <c r="BO59" s="33">
        <v>20</v>
      </c>
      <c r="BP59" s="323">
        <v>20</v>
      </c>
      <c r="BQ59" s="323">
        <v>20</v>
      </c>
      <c r="BR59" s="323">
        <f t="shared" si="39"/>
        <v>13.333333333333334</v>
      </c>
      <c r="BS59" s="323">
        <v>10</v>
      </c>
      <c r="BT59" s="323">
        <v>60</v>
      </c>
      <c r="BU59" s="1001">
        <v>0.115</v>
      </c>
      <c r="BV59" s="357">
        <v>0</v>
      </c>
      <c r="BW59" s="357"/>
      <c r="BX59" s="357"/>
      <c r="BY59" s="357"/>
      <c r="BZ59" s="357"/>
      <c r="CA59" s="357"/>
      <c r="CB59" s="357"/>
      <c r="CC59" s="357"/>
    </row>
    <row r="60" spans="1:81" ht="15.75">
      <c r="A60" s="546"/>
      <c r="B60" s="357"/>
      <c r="C60" s="357"/>
      <c r="D60" s="546"/>
      <c r="E60" s="357"/>
      <c r="F60" s="357"/>
      <c r="G60" s="357"/>
      <c r="H60" s="357"/>
      <c r="I60" s="357"/>
      <c r="J60" s="357"/>
      <c r="K60" s="357"/>
      <c r="L60" s="357"/>
      <c r="M60" s="357"/>
      <c r="N60" s="357"/>
      <c r="O60" s="357"/>
      <c r="P60" s="357"/>
      <c r="Q60" s="357"/>
      <c r="R60" s="357"/>
      <c r="S60" s="357"/>
      <c r="T60" s="357"/>
      <c r="U60" s="1395"/>
      <c r="V60" s="357"/>
      <c r="W60" s="2248"/>
      <c r="X60" s="2255"/>
      <c r="Z60" s="2248"/>
      <c r="AA60" s="2248"/>
      <c r="AB60" s="1401"/>
      <c r="AC60" s="1401"/>
      <c r="AD60" s="2262"/>
      <c r="AE60" s="2262"/>
      <c r="AF60" s="2262"/>
      <c r="AG60" s="2262"/>
      <c r="AH60" s="2262"/>
      <c r="AI60" s="2262"/>
      <c r="AJ60" s="2262"/>
      <c r="AK60" s="2262"/>
      <c r="AL60" s="2262"/>
      <c r="AM60" s="2262"/>
      <c r="AN60" s="2262"/>
      <c r="AO60" s="2262"/>
      <c r="AP60" s="2262"/>
      <c r="AQ60" s="2262"/>
      <c r="AR60" s="2262"/>
      <c r="AS60" s="2262"/>
      <c r="AT60" s="2262"/>
      <c r="AU60" s="2262"/>
      <c r="AV60" s="2262"/>
      <c r="AW60" s="2262"/>
      <c r="AX60" s="2262"/>
      <c r="AY60" s="2262"/>
      <c r="AZ60" s="2262"/>
      <c r="BA60" s="2262"/>
      <c r="BB60" s="2262"/>
      <c r="BC60" s="2262"/>
      <c r="BD60" s="2262"/>
      <c r="BE60" s="2262"/>
      <c r="BF60" s="2262"/>
      <c r="BG60" s="2262"/>
      <c r="BH60" s="2262"/>
      <c r="BI60" s="2262"/>
      <c r="BJ60" s="2262"/>
      <c r="BK60" s="2262"/>
      <c r="BL60" s="2141" t="s">
        <v>1356</v>
      </c>
      <c r="BM60" s="33">
        <v>160</v>
      </c>
      <c r="BN60" s="33">
        <v>100</v>
      </c>
      <c r="BO60" s="33">
        <v>20</v>
      </c>
      <c r="BP60" s="323">
        <v>20</v>
      </c>
      <c r="BQ60" s="323">
        <v>20</v>
      </c>
      <c r="BR60" s="323">
        <f t="shared" si="39"/>
        <v>13.333333333333334</v>
      </c>
      <c r="BS60" s="323">
        <v>10</v>
      </c>
      <c r="BT60" s="323">
        <v>60</v>
      </c>
      <c r="BU60" s="1001">
        <v>0.115</v>
      </c>
      <c r="BV60" s="357">
        <v>0</v>
      </c>
      <c r="BW60" s="357"/>
      <c r="BX60" s="357"/>
      <c r="BY60" s="357"/>
      <c r="BZ60" s="357"/>
      <c r="CA60" s="357"/>
      <c r="CB60" s="357"/>
      <c r="CC60" s="357"/>
    </row>
    <row r="61" spans="1:81" ht="30">
      <c r="A61" s="546"/>
      <c r="B61" s="357"/>
      <c r="C61" s="357"/>
      <c r="D61" s="546"/>
      <c r="E61" s="357"/>
      <c r="F61" s="357"/>
      <c r="G61" s="357"/>
      <c r="H61" s="357"/>
      <c r="I61" s="357"/>
      <c r="J61" s="357"/>
      <c r="K61" s="357"/>
      <c r="L61" s="357"/>
      <c r="M61" s="357"/>
      <c r="N61" s="357"/>
      <c r="O61" s="357"/>
      <c r="P61" s="357"/>
      <c r="Q61" s="357"/>
      <c r="R61" s="357"/>
      <c r="S61" s="357"/>
      <c r="T61" s="357"/>
      <c r="U61" s="1395"/>
      <c r="V61" s="2248"/>
      <c r="W61" s="2248"/>
      <c r="X61" s="2248"/>
      <c r="Z61" s="2255"/>
      <c r="AA61" s="2255"/>
      <c r="AB61" s="2262"/>
      <c r="AC61" s="2262"/>
      <c r="AD61" s="2262"/>
      <c r="AE61" s="2262"/>
      <c r="AF61" s="2262"/>
      <c r="AG61" s="2262"/>
      <c r="AH61" s="2262"/>
      <c r="AI61" s="2262"/>
      <c r="AJ61" s="2262"/>
      <c r="AK61" s="2262"/>
      <c r="AL61" s="2262"/>
      <c r="AM61" s="2262"/>
      <c r="AN61" s="2262"/>
      <c r="AO61" s="2262"/>
      <c r="AP61" s="2262"/>
      <c r="AQ61" s="2262"/>
      <c r="AR61" s="2262"/>
      <c r="AS61" s="2262"/>
      <c r="AT61" s="2262"/>
      <c r="AU61" s="2262"/>
      <c r="AV61" s="2262"/>
      <c r="AW61" s="2262"/>
      <c r="AX61" s="2262"/>
      <c r="AY61" s="2262"/>
      <c r="AZ61" s="2262"/>
      <c r="BA61" s="2262"/>
      <c r="BB61" s="2262"/>
      <c r="BC61" s="2262"/>
      <c r="BD61" s="2262"/>
      <c r="BE61" s="2262"/>
      <c r="BF61" s="2262"/>
      <c r="BG61" s="2262"/>
      <c r="BH61" s="2262"/>
      <c r="BI61" s="2262"/>
      <c r="BJ61" s="2262"/>
      <c r="BK61" s="2262"/>
      <c r="BL61" s="2154" t="s">
        <v>1573</v>
      </c>
      <c r="BM61" s="33">
        <v>500</v>
      </c>
      <c r="BN61" s="33">
        <v>285</v>
      </c>
      <c r="BO61" s="33">
        <v>10</v>
      </c>
      <c r="BP61" s="2153">
        <v>29</v>
      </c>
      <c r="BQ61" s="2153">
        <v>14</v>
      </c>
      <c r="BR61" s="2161">
        <v>0</v>
      </c>
      <c r="BS61" s="2161">
        <v>0</v>
      </c>
      <c r="BT61" s="2161">
        <v>60</v>
      </c>
      <c r="BU61" s="2157">
        <v>0.13</v>
      </c>
      <c r="BV61" s="357">
        <v>0</v>
      </c>
      <c r="BW61" s="357"/>
      <c r="BX61" s="357"/>
      <c r="BY61" s="357"/>
      <c r="BZ61" s="357"/>
      <c r="CA61" s="357"/>
      <c r="CB61" s="357"/>
      <c r="CC61" s="357"/>
    </row>
    <row r="62" spans="1:81" ht="15.75">
      <c r="A62" s="546"/>
      <c r="B62" s="357"/>
      <c r="C62" s="357"/>
      <c r="D62" s="546"/>
      <c r="E62" s="357"/>
      <c r="F62" s="357"/>
      <c r="G62" s="357"/>
      <c r="H62" s="357"/>
      <c r="I62" s="357"/>
      <c r="J62" s="357"/>
      <c r="K62" s="357"/>
      <c r="L62" s="357"/>
      <c r="M62" s="357"/>
      <c r="N62" s="357"/>
      <c r="O62" s="357"/>
      <c r="P62" s="357"/>
      <c r="Q62" s="357"/>
      <c r="R62" s="357"/>
      <c r="S62" s="357"/>
      <c r="T62" s="357"/>
      <c r="U62" s="1395"/>
      <c r="V62" s="357"/>
      <c r="W62" s="2248"/>
      <c r="X62" s="2248"/>
      <c r="Z62" s="2255"/>
      <c r="AA62" s="2255"/>
      <c r="AB62" s="2248"/>
      <c r="AC62" s="2248"/>
      <c r="AD62" s="2248"/>
      <c r="AE62" s="2248"/>
      <c r="AF62" s="2248"/>
      <c r="AG62" s="2248"/>
      <c r="AH62" s="2248"/>
      <c r="AI62" s="2248"/>
      <c r="AJ62" s="2248"/>
      <c r="AK62" s="2248"/>
      <c r="AL62" s="2248"/>
      <c r="AM62" s="2248"/>
      <c r="AN62" s="2248"/>
      <c r="AO62" s="2248"/>
      <c r="AP62" s="2248"/>
      <c r="AQ62" s="2248"/>
      <c r="AR62" s="2248"/>
      <c r="AS62" s="2248"/>
      <c r="AT62" s="2248"/>
      <c r="AU62" s="2248"/>
      <c r="AV62" s="2248"/>
      <c r="AW62" s="2248"/>
      <c r="AX62" s="2248"/>
      <c r="AY62" s="2248"/>
      <c r="AZ62" s="2248"/>
      <c r="BA62" s="2248"/>
      <c r="BB62" s="2248"/>
      <c r="BC62" s="2248"/>
      <c r="BD62" s="2248"/>
      <c r="BE62" s="2248"/>
      <c r="BF62" s="2248"/>
      <c r="BG62" s="2248"/>
      <c r="BH62" s="2248"/>
      <c r="BI62" s="2248"/>
      <c r="BJ62" s="2248"/>
      <c r="BK62" s="2248"/>
      <c r="BL62" s="2141" t="s">
        <v>1357</v>
      </c>
      <c r="BM62" s="33">
        <v>400</v>
      </c>
      <c r="BN62" s="33">
        <v>130</v>
      </c>
      <c r="BO62" s="33">
        <v>20</v>
      </c>
      <c r="BP62" s="323">
        <v>20</v>
      </c>
      <c r="BQ62" s="323">
        <v>20</v>
      </c>
      <c r="BR62" s="323">
        <f t="shared" si="39"/>
        <v>13.333333333333334</v>
      </c>
      <c r="BS62" s="323">
        <v>45</v>
      </c>
      <c r="BT62" s="323">
        <v>60</v>
      </c>
      <c r="BU62" s="1001">
        <v>0.13700000000000001</v>
      </c>
      <c r="BV62" s="357">
        <v>0</v>
      </c>
      <c r="BW62" s="357"/>
      <c r="BX62" s="357"/>
      <c r="BY62" s="357"/>
      <c r="BZ62" s="357"/>
      <c r="CA62" s="357"/>
      <c r="CB62" s="357"/>
      <c r="CC62" s="357"/>
    </row>
    <row r="63" spans="1:81" ht="15.75">
      <c r="A63" s="546"/>
      <c r="B63" s="357"/>
      <c r="C63" s="357"/>
      <c r="D63" s="546"/>
      <c r="E63" s="357"/>
      <c r="F63" s="357"/>
      <c r="G63" s="357"/>
      <c r="H63" s="357"/>
      <c r="I63" s="357"/>
      <c r="J63" s="357"/>
      <c r="K63" s="357"/>
      <c r="L63" s="357"/>
      <c r="M63" s="357"/>
      <c r="N63" s="357"/>
      <c r="O63" s="357"/>
      <c r="P63" s="357"/>
      <c r="Q63" s="357"/>
      <c r="R63" s="357"/>
      <c r="S63" s="357"/>
      <c r="T63" s="357"/>
      <c r="U63" s="1395"/>
      <c r="V63" s="357"/>
      <c r="W63" s="357"/>
      <c r="X63" s="357"/>
      <c r="Z63" s="2255"/>
      <c r="AA63" s="2255"/>
      <c r="AB63" s="1402"/>
      <c r="AC63" s="1402"/>
      <c r="AD63" s="2255"/>
      <c r="AE63" s="2618"/>
      <c r="AF63" s="2587"/>
      <c r="AG63" s="2258"/>
      <c r="AH63" s="2258"/>
      <c r="AI63" s="2258"/>
      <c r="AJ63" s="2258"/>
      <c r="AK63" s="2258"/>
      <c r="AL63" s="2258"/>
      <c r="AM63" s="2258"/>
      <c r="AN63" s="2258"/>
      <c r="AO63" s="2258"/>
      <c r="AP63" s="2258"/>
      <c r="AQ63" s="2258"/>
      <c r="AR63" s="2258"/>
      <c r="AS63" s="2258"/>
      <c r="AT63" s="2258"/>
      <c r="AU63" s="2258"/>
      <c r="AV63" s="2258"/>
      <c r="AW63" s="2258"/>
      <c r="AX63" s="2258"/>
      <c r="AY63" s="2258"/>
      <c r="AZ63" s="2258"/>
      <c r="BA63" s="2258"/>
      <c r="BB63" s="2258"/>
      <c r="BC63" s="2258"/>
      <c r="BD63" s="2258"/>
      <c r="BE63" s="2258"/>
      <c r="BF63" s="2258"/>
      <c r="BG63" s="2258"/>
      <c r="BH63" s="2258"/>
      <c r="BI63" s="2258"/>
      <c r="BJ63" s="2258"/>
      <c r="BK63" s="2258"/>
      <c r="BL63" s="2159" t="s">
        <v>1657</v>
      </c>
      <c r="BM63" s="33">
        <v>400</v>
      </c>
      <c r="BN63" s="33">
        <v>210</v>
      </c>
      <c r="BO63" s="33">
        <v>10</v>
      </c>
      <c r="BP63" s="2158">
        <v>21</v>
      </c>
      <c r="BQ63" s="2158">
        <v>21</v>
      </c>
      <c r="BR63" s="2152">
        <v>0</v>
      </c>
      <c r="BS63" s="2152">
        <v>0</v>
      </c>
      <c r="BT63" s="2152">
        <v>30</v>
      </c>
      <c r="BU63" s="2155">
        <v>0.11</v>
      </c>
      <c r="BV63" s="357">
        <v>0</v>
      </c>
      <c r="BW63" s="357"/>
      <c r="BX63" s="357"/>
      <c r="BY63" s="357"/>
      <c r="BZ63" s="357"/>
      <c r="CA63" s="357"/>
      <c r="CB63" s="357"/>
      <c r="CC63" s="357"/>
    </row>
    <row r="64" spans="1:81" ht="15.75">
      <c r="A64" s="546"/>
      <c r="B64" s="357"/>
      <c r="C64" s="357"/>
      <c r="D64" s="546"/>
      <c r="E64" s="357"/>
      <c r="F64" s="357"/>
      <c r="G64" s="357"/>
      <c r="H64" s="357"/>
      <c r="I64" s="357"/>
      <c r="J64" s="357"/>
      <c r="K64" s="357"/>
      <c r="L64" s="357"/>
      <c r="M64" s="357"/>
      <c r="N64" s="357"/>
      <c r="O64" s="357"/>
      <c r="P64" s="357"/>
      <c r="Q64" s="357"/>
      <c r="R64" s="357"/>
      <c r="S64" s="357"/>
      <c r="T64" s="357"/>
      <c r="U64" s="1395"/>
      <c r="V64" s="357"/>
      <c r="W64" s="357"/>
      <c r="X64" s="357"/>
      <c r="Z64" s="2255"/>
      <c r="AA64" s="2255"/>
      <c r="AB64" s="1402"/>
      <c r="AC64" s="1402"/>
      <c r="AD64" s="2255"/>
      <c r="AE64" s="1355"/>
      <c r="AF64" s="1355"/>
      <c r="AG64" s="1404"/>
      <c r="AH64" s="1404"/>
      <c r="AI64" s="1404"/>
      <c r="AJ64" s="1404"/>
      <c r="AK64" s="1404"/>
      <c r="AL64" s="1404"/>
      <c r="AM64" s="1404"/>
      <c r="AN64" s="1404"/>
      <c r="AO64" s="1404"/>
      <c r="AP64" s="1404"/>
      <c r="AQ64" s="1404"/>
      <c r="AR64" s="1404"/>
      <c r="AS64" s="1404"/>
      <c r="AT64" s="1404"/>
      <c r="AU64" s="1404"/>
      <c r="AV64" s="1404"/>
      <c r="AW64" s="1404"/>
      <c r="AX64" s="1404"/>
      <c r="AY64" s="1404"/>
      <c r="AZ64" s="1404"/>
      <c r="BA64" s="1404"/>
      <c r="BB64" s="1404"/>
      <c r="BC64" s="1404"/>
      <c r="BD64" s="1404"/>
      <c r="BE64" s="1404"/>
      <c r="BF64" s="1404"/>
      <c r="BG64" s="1404"/>
      <c r="BH64" s="1404"/>
      <c r="BI64" s="1404"/>
      <c r="BJ64" s="1404"/>
      <c r="BK64" s="1404"/>
      <c r="BL64" s="2141" t="s">
        <v>1658</v>
      </c>
      <c r="BM64" s="33">
        <v>150</v>
      </c>
      <c r="BN64" s="33">
        <v>150</v>
      </c>
      <c r="BO64" s="33">
        <v>10</v>
      </c>
      <c r="BP64" s="323">
        <v>10</v>
      </c>
      <c r="BQ64" s="323">
        <v>10</v>
      </c>
      <c r="BR64" s="323">
        <v>20</v>
      </c>
      <c r="BS64" s="323">
        <v>30</v>
      </c>
      <c r="BT64" s="323">
        <v>30</v>
      </c>
      <c r="BU64" s="2146">
        <v>7.0000000000000007E-2</v>
      </c>
      <c r="BV64" s="357">
        <v>0</v>
      </c>
      <c r="BW64" s="357"/>
      <c r="BX64" s="357"/>
      <c r="BY64" s="357"/>
      <c r="BZ64" s="357"/>
      <c r="CA64" s="357"/>
      <c r="CB64" s="357"/>
      <c r="CC64" s="357"/>
    </row>
    <row r="65" spans="1:81" ht="15.75">
      <c r="A65" s="546"/>
      <c r="B65" s="357"/>
      <c r="C65" s="357"/>
      <c r="D65" s="546"/>
      <c r="E65" s="357"/>
      <c r="F65" s="357"/>
      <c r="G65" s="357"/>
      <c r="H65" s="357"/>
      <c r="I65" s="357"/>
      <c r="J65" s="357"/>
      <c r="K65" s="357"/>
      <c r="L65" s="357"/>
      <c r="M65" s="357"/>
      <c r="N65" s="357"/>
      <c r="O65" s="357"/>
      <c r="P65" s="357"/>
      <c r="Q65" s="357"/>
      <c r="R65" s="357"/>
      <c r="S65" s="357"/>
      <c r="T65" s="357"/>
      <c r="U65" s="1395"/>
      <c r="V65" s="357"/>
      <c r="W65" s="357"/>
      <c r="X65" s="357"/>
      <c r="Z65" s="2248"/>
      <c r="AA65" s="2248"/>
      <c r="AB65" s="1405"/>
      <c r="AC65" s="1405"/>
      <c r="AD65" s="2255"/>
      <c r="AE65" s="1350"/>
      <c r="AF65" s="1350"/>
      <c r="AG65" s="1406"/>
      <c r="AH65" s="1406"/>
      <c r="AI65" s="1406"/>
      <c r="AJ65" s="1406"/>
      <c r="AK65" s="1406"/>
      <c r="AL65" s="1406"/>
      <c r="AM65" s="1406"/>
      <c r="AN65" s="1406"/>
      <c r="AO65" s="1406"/>
      <c r="AP65" s="1406"/>
      <c r="AQ65" s="1406"/>
      <c r="AR65" s="1406"/>
      <c r="AS65" s="1406"/>
      <c r="AT65" s="1406"/>
      <c r="AU65" s="1406"/>
      <c r="AV65" s="1406"/>
      <c r="AW65" s="1406"/>
      <c r="AX65" s="1406"/>
      <c r="AY65" s="1406"/>
      <c r="AZ65" s="1406"/>
      <c r="BA65" s="1406"/>
      <c r="BB65" s="1406"/>
      <c r="BC65" s="1406"/>
      <c r="BD65" s="1406"/>
      <c r="BE65" s="1406"/>
      <c r="BF65" s="1406"/>
      <c r="BG65" s="1406"/>
      <c r="BH65" s="1406"/>
      <c r="BI65" s="1406"/>
      <c r="BJ65" s="1406"/>
      <c r="BK65" s="1406"/>
      <c r="BL65" s="2141" t="s">
        <v>1358</v>
      </c>
      <c r="BM65" s="33">
        <v>600</v>
      </c>
      <c r="BN65" s="33">
        <v>250</v>
      </c>
      <c r="BO65" s="33">
        <v>20</v>
      </c>
      <c r="BP65" s="323">
        <v>40</v>
      </c>
      <c r="BQ65" s="323">
        <v>40</v>
      </c>
      <c r="BR65" s="323">
        <f t="shared" ref="BR65:BR81" si="40">BQ65*2/3</f>
        <v>26.666666666666668</v>
      </c>
      <c r="BS65" s="323">
        <v>55</v>
      </c>
      <c r="BT65" s="323">
        <v>60</v>
      </c>
      <c r="BU65" s="1001">
        <v>0.08</v>
      </c>
      <c r="BV65" s="357">
        <v>0</v>
      </c>
      <c r="BW65" s="357"/>
      <c r="BX65" s="357"/>
      <c r="BY65" s="357"/>
      <c r="BZ65" s="357"/>
      <c r="CA65" s="357"/>
      <c r="CB65" s="357"/>
      <c r="CC65" s="357"/>
    </row>
    <row r="66" spans="1:81" ht="15.75">
      <c r="A66" s="546"/>
      <c r="B66" s="357"/>
      <c r="C66" s="357"/>
      <c r="D66" s="546"/>
      <c r="E66" s="357"/>
      <c r="F66" s="357"/>
      <c r="G66" s="357"/>
      <c r="H66" s="357"/>
      <c r="I66" s="357"/>
      <c r="J66" s="357"/>
      <c r="K66" s="357"/>
      <c r="L66" s="357"/>
      <c r="M66" s="357"/>
      <c r="N66" s="357"/>
      <c r="O66" s="357"/>
      <c r="P66" s="357"/>
      <c r="Q66" s="357"/>
      <c r="R66" s="357"/>
      <c r="S66" s="357"/>
      <c r="T66" s="357"/>
      <c r="U66" s="1395"/>
      <c r="V66" s="357"/>
      <c r="W66" s="357"/>
      <c r="X66" s="2248"/>
      <c r="Z66" s="2248"/>
      <c r="AA66" s="2248"/>
      <c r="AB66" s="1405"/>
      <c r="AC66" s="1405"/>
      <c r="AD66" s="2255"/>
      <c r="AE66" s="1350"/>
      <c r="AF66" s="1350"/>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D66" s="1406"/>
      <c r="BE66" s="1406"/>
      <c r="BF66" s="1406"/>
      <c r="BG66" s="1406"/>
      <c r="BH66" s="1406"/>
      <c r="BI66" s="1406"/>
      <c r="BJ66" s="1406"/>
      <c r="BK66" s="1406"/>
      <c r="BL66" s="2140" t="s">
        <v>1659</v>
      </c>
      <c r="BM66" s="33">
        <v>150</v>
      </c>
      <c r="BN66" s="33">
        <v>90</v>
      </c>
      <c r="BO66" s="33">
        <v>20</v>
      </c>
      <c r="BP66" s="323">
        <v>20</v>
      </c>
      <c r="BQ66" s="323">
        <v>20</v>
      </c>
      <c r="BR66" s="323">
        <f t="shared" si="40"/>
        <v>13.333333333333334</v>
      </c>
      <c r="BS66" s="2156">
        <v>0</v>
      </c>
      <c r="BT66" s="2156">
        <v>30</v>
      </c>
      <c r="BU66" s="1914">
        <v>0.11</v>
      </c>
      <c r="BV66" s="357">
        <v>0</v>
      </c>
      <c r="BW66" s="357"/>
      <c r="BX66" s="357"/>
      <c r="BY66" s="357"/>
      <c r="BZ66" s="357"/>
      <c r="CA66" s="357"/>
      <c r="CB66" s="357"/>
      <c r="CC66" s="357"/>
    </row>
    <row r="67" spans="1:81" ht="15.75">
      <c r="A67" s="546"/>
      <c r="B67" s="357"/>
      <c r="C67" s="357"/>
      <c r="D67" s="546"/>
      <c r="E67" s="357"/>
      <c r="F67" s="357"/>
      <c r="G67" s="357"/>
      <c r="H67" s="357"/>
      <c r="I67" s="357"/>
      <c r="J67" s="357"/>
      <c r="K67" s="357"/>
      <c r="L67" s="357"/>
      <c r="M67" s="357"/>
      <c r="N67" s="357"/>
      <c r="O67" s="357"/>
      <c r="P67" s="357"/>
      <c r="Q67" s="357"/>
      <c r="R67" s="357"/>
      <c r="S67" s="357"/>
      <c r="T67" s="357"/>
      <c r="U67" s="1395"/>
      <c r="V67" s="357"/>
      <c r="W67" s="357"/>
      <c r="X67" s="2248"/>
      <c r="Z67" s="357"/>
      <c r="AA67" s="357"/>
      <c r="AB67" s="1405"/>
      <c r="AC67" s="1405"/>
      <c r="AD67" s="2255"/>
      <c r="AE67" s="1350"/>
      <c r="AF67" s="1350"/>
      <c r="AG67" s="1406"/>
      <c r="AH67" s="1406"/>
      <c r="AI67" s="1406"/>
      <c r="AJ67" s="1406"/>
      <c r="AK67" s="1406"/>
      <c r="AL67" s="1406"/>
      <c r="AM67" s="1406"/>
      <c r="AN67" s="1406"/>
      <c r="AO67" s="1406"/>
      <c r="AP67" s="1406"/>
      <c r="AQ67" s="1406"/>
      <c r="AR67" s="1406"/>
      <c r="AS67" s="1406"/>
      <c r="AT67" s="1406"/>
      <c r="AU67" s="1406"/>
      <c r="AV67" s="1406"/>
      <c r="AW67" s="1406"/>
      <c r="AX67" s="1406"/>
      <c r="AY67" s="1406"/>
      <c r="AZ67" s="1406"/>
      <c r="BA67" s="1406"/>
      <c r="BB67" s="1406"/>
      <c r="BC67" s="1406"/>
      <c r="BD67" s="1406"/>
      <c r="BE67" s="1406"/>
      <c r="BF67" s="1406"/>
      <c r="BG67" s="1406"/>
      <c r="BH67" s="1406"/>
      <c r="BI67" s="1406"/>
      <c r="BJ67" s="1406"/>
      <c r="BK67" s="1406"/>
      <c r="BL67" s="2140" t="s">
        <v>1660</v>
      </c>
      <c r="BM67" s="33">
        <v>100</v>
      </c>
      <c r="BN67" s="33">
        <v>70</v>
      </c>
      <c r="BO67" s="33">
        <v>20</v>
      </c>
      <c r="BP67" s="323">
        <v>20</v>
      </c>
      <c r="BQ67" s="323">
        <v>20</v>
      </c>
      <c r="BR67" s="323">
        <f t="shared" si="40"/>
        <v>13.333333333333334</v>
      </c>
      <c r="BS67" s="2156">
        <v>0</v>
      </c>
      <c r="BT67" s="2156">
        <v>30</v>
      </c>
      <c r="BU67" s="1914">
        <v>0.11</v>
      </c>
      <c r="BV67" s="357">
        <v>0</v>
      </c>
      <c r="BW67" s="357"/>
      <c r="BX67" s="357"/>
      <c r="BY67" s="357"/>
      <c r="BZ67" s="357"/>
      <c r="CA67" s="357"/>
      <c r="CB67" s="357"/>
      <c r="CC67" s="357"/>
    </row>
    <row r="68" spans="1:81" ht="15.75">
      <c r="A68" s="546"/>
      <c r="B68" s="357"/>
      <c r="C68" s="357"/>
      <c r="D68" s="546"/>
      <c r="E68" s="357"/>
      <c r="F68" s="357"/>
      <c r="G68" s="357"/>
      <c r="H68" s="357"/>
      <c r="I68" s="357"/>
      <c r="J68" s="357"/>
      <c r="K68" s="357"/>
      <c r="L68" s="357"/>
      <c r="M68" s="357"/>
      <c r="N68" s="357"/>
      <c r="O68" s="357"/>
      <c r="P68" s="357"/>
      <c r="Q68" s="357"/>
      <c r="R68" s="357"/>
      <c r="S68" s="357"/>
      <c r="T68" s="357"/>
      <c r="U68" s="1395"/>
      <c r="V68" s="357"/>
      <c r="W68" s="357"/>
      <c r="X68" s="2248"/>
      <c r="Z68" s="357"/>
      <c r="AA68" s="357"/>
      <c r="AB68" s="1405"/>
      <c r="AC68" s="1405"/>
      <c r="AD68" s="2255"/>
      <c r="AE68" s="1350"/>
      <c r="AF68" s="1350"/>
      <c r="AG68" s="1406"/>
      <c r="AH68" s="1406"/>
      <c r="AI68" s="1406"/>
      <c r="AJ68" s="1406"/>
      <c r="AK68" s="1406"/>
      <c r="AL68" s="1406"/>
      <c r="AM68" s="1406"/>
      <c r="AN68" s="1406"/>
      <c r="AO68" s="1406"/>
      <c r="AP68" s="1406"/>
      <c r="AQ68" s="1406"/>
      <c r="AR68" s="1406"/>
      <c r="AS68" s="1406"/>
      <c r="AT68" s="1406"/>
      <c r="AU68" s="1406"/>
      <c r="AV68" s="1406"/>
      <c r="AW68" s="1406"/>
      <c r="AX68" s="1406"/>
      <c r="AY68" s="1406"/>
      <c r="AZ68" s="1406"/>
      <c r="BA68" s="1406"/>
      <c r="BB68" s="1406"/>
      <c r="BC68" s="1406"/>
      <c r="BD68" s="1406"/>
      <c r="BE68" s="1406"/>
      <c r="BF68" s="1406"/>
      <c r="BG68" s="1406"/>
      <c r="BH68" s="1406"/>
      <c r="BI68" s="1406"/>
      <c r="BJ68" s="1406"/>
      <c r="BK68" s="1406"/>
      <c r="BL68" s="2140" t="s">
        <v>1661</v>
      </c>
      <c r="BM68" s="33">
        <v>150</v>
      </c>
      <c r="BN68" s="33">
        <v>90</v>
      </c>
      <c r="BO68" s="33">
        <v>20</v>
      </c>
      <c r="BP68" s="323">
        <v>20</v>
      </c>
      <c r="BQ68" s="323">
        <v>20</v>
      </c>
      <c r="BR68" s="323">
        <f t="shared" si="40"/>
        <v>13.333333333333334</v>
      </c>
      <c r="BS68" s="2156">
        <v>0</v>
      </c>
      <c r="BT68" s="2156">
        <v>30</v>
      </c>
      <c r="BU68" s="1914">
        <v>0.11</v>
      </c>
      <c r="BV68" s="357">
        <v>0</v>
      </c>
      <c r="BW68" s="357"/>
      <c r="BX68" s="357"/>
      <c r="BY68" s="357"/>
      <c r="BZ68" s="357"/>
      <c r="CA68" s="357"/>
      <c r="CB68" s="357"/>
      <c r="CC68" s="357"/>
    </row>
    <row r="69" spans="1:81" ht="15.75">
      <c r="A69" s="546"/>
      <c r="B69" s="357"/>
      <c r="C69" s="357"/>
      <c r="D69" s="546"/>
      <c r="E69" s="357"/>
      <c r="F69" s="357"/>
      <c r="G69" s="357"/>
      <c r="H69" s="357"/>
      <c r="I69" s="357"/>
      <c r="J69" s="357"/>
      <c r="K69" s="357"/>
      <c r="L69" s="357"/>
      <c r="M69" s="357"/>
      <c r="N69" s="357"/>
      <c r="O69" s="357"/>
      <c r="P69" s="357"/>
      <c r="Q69" s="357"/>
      <c r="R69" s="357"/>
      <c r="S69" s="357"/>
      <c r="T69" s="357"/>
      <c r="U69" s="1395"/>
      <c r="V69" s="357"/>
      <c r="W69" s="357"/>
      <c r="X69" s="357"/>
      <c r="Z69" s="357"/>
      <c r="AA69" s="357"/>
      <c r="AB69" s="1405"/>
      <c r="AC69" s="1405"/>
      <c r="AD69" s="2255"/>
      <c r="AE69" s="1350"/>
      <c r="AF69" s="1350"/>
      <c r="AG69" s="1406"/>
      <c r="AH69" s="1406"/>
      <c r="AI69" s="1406"/>
      <c r="AJ69" s="1406"/>
      <c r="AK69" s="1406"/>
      <c r="AL69" s="1406"/>
      <c r="AM69" s="1406"/>
      <c r="AN69" s="1406"/>
      <c r="AO69" s="1406"/>
      <c r="AP69" s="1406"/>
      <c r="AQ69" s="1406"/>
      <c r="AR69" s="1406"/>
      <c r="AS69" s="1406"/>
      <c r="AT69" s="1406"/>
      <c r="AU69" s="1406"/>
      <c r="AV69" s="1406"/>
      <c r="AW69" s="1406"/>
      <c r="AX69" s="1406"/>
      <c r="AY69" s="1406"/>
      <c r="AZ69" s="1406"/>
      <c r="BA69" s="1406"/>
      <c r="BB69" s="1406"/>
      <c r="BC69" s="1406"/>
      <c r="BD69" s="1406"/>
      <c r="BE69" s="1406"/>
      <c r="BF69" s="1406"/>
      <c r="BG69" s="1406"/>
      <c r="BH69" s="1406"/>
      <c r="BI69" s="1406"/>
      <c r="BJ69" s="1406"/>
      <c r="BK69" s="1406"/>
      <c r="BL69" s="2140" t="s">
        <v>1662</v>
      </c>
      <c r="BM69" s="33">
        <v>100</v>
      </c>
      <c r="BN69" s="33">
        <v>70</v>
      </c>
      <c r="BO69" s="33">
        <v>20</v>
      </c>
      <c r="BP69" s="323">
        <v>20</v>
      </c>
      <c r="BQ69" s="323">
        <v>20</v>
      </c>
      <c r="BR69" s="323">
        <f t="shared" si="40"/>
        <v>13.333333333333334</v>
      </c>
      <c r="BS69" s="2156">
        <v>0</v>
      </c>
      <c r="BT69" s="2156">
        <v>30</v>
      </c>
      <c r="BU69" s="1914">
        <v>0.11</v>
      </c>
      <c r="BV69" s="357">
        <v>0</v>
      </c>
      <c r="BW69" s="357"/>
      <c r="BX69" s="357"/>
      <c r="BY69" s="357"/>
      <c r="BZ69" s="357"/>
      <c r="CA69" s="357"/>
      <c r="CB69" s="357"/>
      <c r="CC69" s="357"/>
    </row>
    <row r="70" spans="1:81" ht="15.75">
      <c r="A70" s="546"/>
      <c r="B70" s="357"/>
      <c r="C70" s="357"/>
      <c r="D70" s="546"/>
      <c r="E70" s="357"/>
      <c r="F70" s="357"/>
      <c r="G70" s="357"/>
      <c r="H70" s="357"/>
      <c r="I70" s="357"/>
      <c r="J70" s="357"/>
      <c r="K70" s="357"/>
      <c r="L70" s="357"/>
      <c r="M70" s="357"/>
      <c r="N70" s="357"/>
      <c r="O70" s="357"/>
      <c r="P70" s="357"/>
      <c r="Q70" s="357"/>
      <c r="R70" s="357"/>
      <c r="S70" s="357"/>
      <c r="T70" s="357"/>
      <c r="U70" s="1395"/>
      <c r="V70" s="357"/>
      <c r="W70" s="357"/>
      <c r="X70" s="357"/>
      <c r="Z70" s="2248"/>
      <c r="AA70" s="2248"/>
      <c r="AB70" s="1405"/>
      <c r="AC70" s="1405"/>
      <c r="AD70" s="2255"/>
      <c r="AE70" s="1350"/>
      <c r="AF70" s="1350"/>
      <c r="AG70" s="1406"/>
      <c r="AH70" s="1406"/>
      <c r="AI70" s="1406"/>
      <c r="AJ70" s="1406"/>
      <c r="AK70" s="1406"/>
      <c r="AL70" s="1406"/>
      <c r="AM70" s="1406"/>
      <c r="AN70" s="1406"/>
      <c r="AO70" s="1406"/>
      <c r="AP70" s="1406"/>
      <c r="AQ70" s="1406"/>
      <c r="AR70" s="1406"/>
      <c r="AS70" s="1406"/>
      <c r="AT70" s="1406"/>
      <c r="AU70" s="1406"/>
      <c r="AV70" s="1406"/>
      <c r="AW70" s="1406"/>
      <c r="AX70" s="1406"/>
      <c r="AY70" s="1406"/>
      <c r="AZ70" s="1406"/>
      <c r="BA70" s="1406"/>
      <c r="BB70" s="1406"/>
      <c r="BC70" s="1406"/>
      <c r="BD70" s="1406"/>
      <c r="BE70" s="1406"/>
      <c r="BF70" s="1406"/>
      <c r="BG70" s="1406"/>
      <c r="BH70" s="1406"/>
      <c r="BI70" s="1406"/>
      <c r="BJ70" s="1406"/>
      <c r="BK70" s="1406"/>
      <c r="BL70" s="2141" t="s">
        <v>1359</v>
      </c>
      <c r="BM70" s="33">
        <v>300</v>
      </c>
      <c r="BN70" s="33">
        <v>110</v>
      </c>
      <c r="BO70" s="33">
        <v>20</v>
      </c>
      <c r="BP70" s="323">
        <v>20</v>
      </c>
      <c r="BQ70" s="323">
        <v>20</v>
      </c>
      <c r="BR70" s="323">
        <f t="shared" si="40"/>
        <v>13.333333333333334</v>
      </c>
      <c r="BS70" s="323">
        <v>5</v>
      </c>
      <c r="BT70" s="323">
        <v>30</v>
      </c>
      <c r="BU70" s="1001">
        <v>6.9000000000000006E-2</v>
      </c>
      <c r="BV70" s="357">
        <v>0</v>
      </c>
      <c r="BW70" s="357"/>
      <c r="BX70" s="357"/>
      <c r="BY70" s="357"/>
      <c r="BZ70" s="357"/>
      <c r="CA70" s="357"/>
      <c r="CB70" s="357"/>
      <c r="CC70" s="357"/>
    </row>
    <row r="71" spans="1:81" ht="15.75">
      <c r="A71" s="546"/>
      <c r="B71" s="357"/>
      <c r="C71" s="357"/>
      <c r="D71" s="546"/>
      <c r="E71" s="357"/>
      <c r="F71" s="357"/>
      <c r="G71" s="357"/>
      <c r="H71" s="357"/>
      <c r="I71" s="357"/>
      <c r="J71" s="357"/>
      <c r="K71" s="357"/>
      <c r="L71" s="357"/>
      <c r="M71" s="357"/>
      <c r="N71" s="357"/>
      <c r="O71" s="357"/>
      <c r="P71" s="357"/>
      <c r="Q71" s="357"/>
      <c r="R71" s="357"/>
      <c r="S71" s="357"/>
      <c r="T71" s="357"/>
      <c r="U71" s="1395"/>
      <c r="V71" s="357"/>
      <c r="W71" s="357"/>
      <c r="X71" s="357"/>
      <c r="Z71" s="2248"/>
      <c r="AA71" s="2248"/>
      <c r="AB71" s="1405"/>
      <c r="AC71" s="1405"/>
      <c r="AD71" s="2255"/>
      <c r="AE71" s="1350"/>
      <c r="AF71" s="1350"/>
      <c r="AG71" s="1406"/>
      <c r="AH71" s="1406"/>
      <c r="AI71" s="1406"/>
      <c r="AJ71" s="1406"/>
      <c r="AK71" s="1406"/>
      <c r="AL71" s="1406"/>
      <c r="AM71" s="1406"/>
      <c r="AN71" s="1406"/>
      <c r="AO71" s="1406"/>
      <c r="AP71" s="1406"/>
      <c r="AQ71" s="1406"/>
      <c r="AR71" s="1406"/>
      <c r="AS71" s="1406"/>
      <c r="AT71" s="1406"/>
      <c r="AU71" s="1406"/>
      <c r="AV71" s="1406"/>
      <c r="AW71" s="1406"/>
      <c r="AX71" s="1406"/>
      <c r="AY71" s="1406"/>
      <c r="AZ71" s="1406"/>
      <c r="BA71" s="1406"/>
      <c r="BB71" s="1406"/>
      <c r="BC71" s="1406"/>
      <c r="BD71" s="1406"/>
      <c r="BE71" s="1406"/>
      <c r="BF71" s="1406"/>
      <c r="BG71" s="1406"/>
      <c r="BH71" s="1406"/>
      <c r="BI71" s="1406"/>
      <c r="BJ71" s="1406"/>
      <c r="BK71" s="1406"/>
      <c r="BL71" s="2141" t="s">
        <v>1360</v>
      </c>
      <c r="BM71" s="33">
        <v>500</v>
      </c>
      <c r="BN71" s="33">
        <v>140</v>
      </c>
      <c r="BO71" s="33">
        <v>20</v>
      </c>
      <c r="BP71" s="323">
        <v>40</v>
      </c>
      <c r="BQ71" s="323">
        <v>40</v>
      </c>
      <c r="BR71" s="323">
        <f t="shared" si="40"/>
        <v>26.666666666666668</v>
      </c>
      <c r="BS71" s="323">
        <v>10</v>
      </c>
      <c r="BT71" s="323">
        <v>30</v>
      </c>
      <c r="BU71" s="1001">
        <v>7.5999999999999998E-2</v>
      </c>
      <c r="BV71" s="357">
        <v>0</v>
      </c>
      <c r="BW71" s="357"/>
      <c r="BX71" s="357"/>
      <c r="BY71" s="357"/>
      <c r="BZ71" s="357"/>
      <c r="CA71" s="357"/>
      <c r="CB71" s="357"/>
      <c r="CC71" s="357"/>
    </row>
    <row r="72" spans="1:81" ht="15.75">
      <c r="A72" s="546"/>
      <c r="B72" s="357"/>
      <c r="C72" s="357"/>
      <c r="D72" s="546"/>
      <c r="E72" s="357"/>
      <c r="F72" s="357"/>
      <c r="G72" s="357"/>
      <c r="H72" s="357"/>
      <c r="I72" s="357"/>
      <c r="J72" s="357"/>
      <c r="K72" s="357"/>
      <c r="L72" s="357"/>
      <c r="M72" s="357"/>
      <c r="N72" s="357"/>
      <c r="O72" s="357"/>
      <c r="P72" s="357"/>
      <c r="Q72" s="357"/>
      <c r="R72" s="357"/>
      <c r="S72" s="357"/>
      <c r="T72" s="357"/>
      <c r="U72" s="1395"/>
      <c r="V72" s="357"/>
      <c r="W72" s="357"/>
      <c r="X72" s="357"/>
      <c r="Z72" s="2248"/>
      <c r="AA72" s="2248"/>
      <c r="AB72" s="1405"/>
      <c r="AC72" s="1405"/>
      <c r="AD72" s="2255"/>
      <c r="AE72" s="1350"/>
      <c r="AF72" s="1350"/>
      <c r="AG72" s="1406"/>
      <c r="AH72" s="1406"/>
      <c r="AI72" s="1406"/>
      <c r="AJ72" s="1406"/>
      <c r="AK72" s="1406"/>
      <c r="AL72" s="1406"/>
      <c r="AM72" s="1406"/>
      <c r="AN72" s="1406"/>
      <c r="AO72" s="1406"/>
      <c r="AP72" s="1406"/>
      <c r="AQ72" s="1406"/>
      <c r="AR72" s="1406"/>
      <c r="AS72" s="1406"/>
      <c r="AT72" s="1406"/>
      <c r="AU72" s="1406"/>
      <c r="AV72" s="1406"/>
      <c r="AW72" s="1406"/>
      <c r="AX72" s="1406"/>
      <c r="AY72" s="1406"/>
      <c r="AZ72" s="1406"/>
      <c r="BA72" s="1406"/>
      <c r="BB72" s="1406"/>
      <c r="BC72" s="1406"/>
      <c r="BD72" s="1406"/>
      <c r="BE72" s="1406"/>
      <c r="BF72" s="1406"/>
      <c r="BG72" s="1406"/>
      <c r="BH72" s="1406"/>
      <c r="BI72" s="1406"/>
      <c r="BJ72" s="1406"/>
      <c r="BK72" s="1406"/>
      <c r="BL72" s="2141" t="s">
        <v>1286</v>
      </c>
      <c r="BM72" s="33">
        <v>550</v>
      </c>
      <c r="BN72" s="33">
        <v>175</v>
      </c>
      <c r="BO72" s="33">
        <v>20</v>
      </c>
      <c r="BP72" s="323">
        <v>40</v>
      </c>
      <c r="BQ72" s="323">
        <v>40</v>
      </c>
      <c r="BR72" s="323">
        <f t="shared" si="40"/>
        <v>26.666666666666668</v>
      </c>
      <c r="BS72" s="323">
        <v>30</v>
      </c>
      <c r="BT72" s="323">
        <v>60</v>
      </c>
      <c r="BU72" s="1001">
        <v>0.08</v>
      </c>
      <c r="BV72" s="357">
        <v>0</v>
      </c>
      <c r="BW72" s="357"/>
      <c r="BX72" s="357"/>
      <c r="BY72" s="357"/>
      <c r="BZ72" s="357"/>
      <c r="CA72" s="357"/>
      <c r="CB72" s="357"/>
      <c r="CC72" s="357"/>
    </row>
    <row r="73" spans="1:81" ht="15.75">
      <c r="A73" s="546"/>
      <c r="B73" s="357"/>
      <c r="C73" s="357"/>
      <c r="D73" s="546"/>
      <c r="E73" s="357"/>
      <c r="F73" s="357"/>
      <c r="G73" s="357"/>
      <c r="H73" s="357"/>
      <c r="I73" s="357"/>
      <c r="J73" s="357"/>
      <c r="K73" s="357"/>
      <c r="L73" s="357"/>
      <c r="M73" s="357"/>
      <c r="N73" s="357"/>
      <c r="O73" s="357"/>
      <c r="P73" s="357"/>
      <c r="Q73" s="357"/>
      <c r="R73" s="357"/>
      <c r="S73" s="357"/>
      <c r="T73" s="357"/>
      <c r="U73" s="1395"/>
      <c r="V73" s="357"/>
      <c r="W73" s="357"/>
      <c r="X73" s="357"/>
      <c r="Z73" s="357"/>
      <c r="AA73" s="357"/>
      <c r="AB73" s="1405"/>
      <c r="AC73" s="1405"/>
      <c r="AD73" s="2255"/>
      <c r="AE73" s="1407"/>
      <c r="AF73" s="1350"/>
      <c r="AG73" s="1406"/>
      <c r="AH73" s="1406"/>
      <c r="AI73" s="1406"/>
      <c r="AJ73" s="1406"/>
      <c r="AK73" s="1406"/>
      <c r="AL73" s="1406"/>
      <c r="AM73" s="1406"/>
      <c r="AN73" s="1406"/>
      <c r="AO73" s="1406"/>
      <c r="AP73" s="1406"/>
      <c r="AQ73" s="1406"/>
      <c r="AR73" s="1406"/>
      <c r="AS73" s="1406"/>
      <c r="AT73" s="1406"/>
      <c r="AU73" s="1406"/>
      <c r="AV73" s="1406"/>
      <c r="AW73" s="1406"/>
      <c r="AX73" s="1406"/>
      <c r="AY73" s="1406"/>
      <c r="AZ73" s="1406"/>
      <c r="BA73" s="1406"/>
      <c r="BB73" s="1406"/>
      <c r="BC73" s="1406"/>
      <c r="BD73" s="1406"/>
      <c r="BE73" s="1406"/>
      <c r="BF73" s="1406"/>
      <c r="BG73" s="1406"/>
      <c r="BH73" s="1406"/>
      <c r="BI73" s="1406"/>
      <c r="BJ73" s="1406"/>
      <c r="BK73" s="1406"/>
      <c r="BL73" s="2141" t="s">
        <v>1287</v>
      </c>
      <c r="BM73" s="33">
        <v>1000</v>
      </c>
      <c r="BN73" s="33">
        <v>230</v>
      </c>
      <c r="BO73" s="33">
        <v>20</v>
      </c>
      <c r="BP73" s="323">
        <v>40</v>
      </c>
      <c r="BQ73" s="323">
        <v>40</v>
      </c>
      <c r="BR73" s="323">
        <f t="shared" si="40"/>
        <v>26.666666666666668</v>
      </c>
      <c r="BS73" s="323">
        <v>45</v>
      </c>
      <c r="BT73" s="323">
        <v>60</v>
      </c>
      <c r="BU73" s="1001">
        <v>0.06</v>
      </c>
      <c r="BV73" s="357">
        <v>0</v>
      </c>
      <c r="BW73" s="357"/>
      <c r="BX73" s="357"/>
      <c r="BY73" s="357"/>
      <c r="BZ73" s="357"/>
      <c r="CA73" s="357"/>
      <c r="CB73" s="357"/>
      <c r="CC73" s="357"/>
    </row>
    <row r="74" spans="1:81" ht="15.75">
      <c r="A74" s="546"/>
      <c r="B74" s="357"/>
      <c r="C74" s="357"/>
      <c r="D74" s="546"/>
      <c r="E74" s="357"/>
      <c r="F74" s="357"/>
      <c r="G74" s="357"/>
      <c r="H74" s="357"/>
      <c r="I74" s="357"/>
      <c r="J74" s="357"/>
      <c r="K74" s="357"/>
      <c r="L74" s="357"/>
      <c r="M74" s="357"/>
      <c r="N74" s="357"/>
      <c r="O74" s="357"/>
      <c r="P74" s="357"/>
      <c r="Q74" s="357"/>
      <c r="R74" s="357"/>
      <c r="S74" s="357"/>
      <c r="T74" s="357"/>
      <c r="U74" s="1395"/>
      <c r="V74" s="357"/>
      <c r="W74" s="357"/>
      <c r="X74" s="357"/>
      <c r="Z74" s="357"/>
      <c r="AA74" s="357"/>
      <c r="AB74" s="1405"/>
      <c r="AC74" s="1405"/>
      <c r="AD74" s="2255"/>
      <c r="AE74" s="1350"/>
      <c r="AF74" s="1350"/>
      <c r="AG74" s="1406"/>
      <c r="AH74" s="1406"/>
      <c r="AI74" s="1406"/>
      <c r="AJ74" s="1406"/>
      <c r="AK74" s="1406"/>
      <c r="AL74" s="1406"/>
      <c r="AM74" s="1406"/>
      <c r="AN74" s="1406"/>
      <c r="AO74" s="1406"/>
      <c r="AP74" s="1406"/>
      <c r="AQ74" s="1406"/>
      <c r="AR74" s="1406"/>
      <c r="AS74" s="1406"/>
      <c r="AT74" s="1406"/>
      <c r="AU74" s="1406"/>
      <c r="AV74" s="1406"/>
      <c r="AW74" s="1406"/>
      <c r="AX74" s="1406"/>
      <c r="AY74" s="1406"/>
      <c r="AZ74" s="1406"/>
      <c r="BA74" s="1406"/>
      <c r="BB74" s="1406"/>
      <c r="BC74" s="1406"/>
      <c r="BD74" s="1406"/>
      <c r="BE74" s="1406"/>
      <c r="BF74" s="1406"/>
      <c r="BG74" s="1406"/>
      <c r="BH74" s="1406"/>
      <c r="BI74" s="1406"/>
      <c r="BJ74" s="1406"/>
      <c r="BK74" s="1406"/>
      <c r="BL74" s="2141" t="s">
        <v>1361</v>
      </c>
      <c r="BM74" s="33">
        <v>0</v>
      </c>
      <c r="BN74" s="33">
        <v>130</v>
      </c>
      <c r="BO74" s="33">
        <v>20</v>
      </c>
      <c r="BP74" s="323">
        <v>20</v>
      </c>
      <c r="BQ74" s="323">
        <v>20</v>
      </c>
      <c r="BR74" s="323">
        <f t="shared" si="40"/>
        <v>13.333333333333334</v>
      </c>
      <c r="BS74" s="323"/>
      <c r="BT74" s="323">
        <v>30</v>
      </c>
      <c r="BU74" s="1001">
        <v>9.1999999999999998E-2</v>
      </c>
      <c r="BV74" s="357">
        <v>0</v>
      </c>
      <c r="BW74" s="357"/>
      <c r="BX74" s="357"/>
      <c r="BY74" s="357"/>
      <c r="BZ74" s="357"/>
      <c r="CA74" s="357"/>
      <c r="CB74" s="357"/>
      <c r="CC74" s="357"/>
    </row>
    <row r="75" spans="1:81" ht="15.75">
      <c r="A75" s="546"/>
      <c r="B75" s="357"/>
      <c r="C75" s="357"/>
      <c r="D75" s="546"/>
      <c r="E75" s="357"/>
      <c r="F75" s="357"/>
      <c r="G75" s="357"/>
      <c r="H75" s="357"/>
      <c r="I75" s="357"/>
      <c r="J75" s="357"/>
      <c r="K75" s="357"/>
      <c r="L75" s="357"/>
      <c r="M75" s="357"/>
      <c r="N75" s="357"/>
      <c r="O75" s="357"/>
      <c r="P75" s="357"/>
      <c r="Q75" s="357"/>
      <c r="R75" s="357"/>
      <c r="S75" s="357"/>
      <c r="T75" s="357"/>
      <c r="U75" s="1395"/>
      <c r="V75" s="357"/>
      <c r="W75" s="357"/>
      <c r="X75" s="357"/>
      <c r="Z75" s="357"/>
      <c r="AA75" s="357"/>
      <c r="AB75" s="1405"/>
      <c r="AC75" s="1405"/>
      <c r="AD75" s="2255"/>
      <c r="AE75" s="1350"/>
      <c r="AF75" s="1350"/>
      <c r="AG75" s="1406"/>
      <c r="AH75" s="1406"/>
      <c r="AI75" s="1406"/>
      <c r="AJ75" s="1406"/>
      <c r="AK75" s="1406"/>
      <c r="AL75" s="1406"/>
      <c r="AM75" s="1406"/>
      <c r="AN75" s="1406"/>
      <c r="AO75" s="1406"/>
      <c r="AP75" s="1406"/>
      <c r="AQ75" s="1406"/>
      <c r="AR75" s="1406"/>
      <c r="AS75" s="1406"/>
      <c r="AT75" s="1406"/>
      <c r="AU75" s="1406"/>
      <c r="AV75" s="1406"/>
      <c r="AW75" s="1406"/>
      <c r="AX75" s="1406"/>
      <c r="AY75" s="1406"/>
      <c r="AZ75" s="1406"/>
      <c r="BA75" s="1406"/>
      <c r="BB75" s="1406"/>
      <c r="BC75" s="1406"/>
      <c r="BD75" s="1406"/>
      <c r="BE75" s="1406"/>
      <c r="BF75" s="1406"/>
      <c r="BG75" s="1406"/>
      <c r="BH75" s="1406"/>
      <c r="BI75" s="1406"/>
      <c r="BJ75" s="1406"/>
      <c r="BK75" s="1406"/>
      <c r="BL75" s="2141" t="s">
        <v>1362</v>
      </c>
      <c r="BM75" s="33"/>
      <c r="BN75" s="33">
        <v>150</v>
      </c>
      <c r="BO75" s="33">
        <v>20</v>
      </c>
      <c r="BP75" s="323">
        <v>20</v>
      </c>
      <c r="BQ75" s="323">
        <v>20</v>
      </c>
      <c r="BR75" s="323">
        <f t="shared" si="40"/>
        <v>13.333333333333334</v>
      </c>
      <c r="BS75" s="323"/>
      <c r="BT75" s="323">
        <v>60</v>
      </c>
      <c r="BU75" s="1001">
        <v>9.1999999999999998E-2</v>
      </c>
      <c r="BV75" s="357">
        <v>0</v>
      </c>
      <c r="BW75" s="357"/>
      <c r="BX75" s="357"/>
      <c r="BY75" s="357"/>
      <c r="BZ75" s="357"/>
      <c r="CA75" s="357"/>
      <c r="CB75" s="357"/>
      <c r="CC75" s="357"/>
    </row>
    <row r="76" spans="1:81" ht="15.75">
      <c r="A76" s="546"/>
      <c r="B76" s="357"/>
      <c r="C76" s="357"/>
      <c r="D76" s="546"/>
      <c r="E76" s="357"/>
      <c r="F76" s="357"/>
      <c r="G76" s="357"/>
      <c r="H76" s="357"/>
      <c r="I76" s="357"/>
      <c r="J76" s="357"/>
      <c r="K76" s="357"/>
      <c r="L76" s="357"/>
      <c r="M76" s="357"/>
      <c r="N76" s="357"/>
      <c r="O76" s="357"/>
      <c r="P76" s="357"/>
      <c r="Q76" s="357"/>
      <c r="R76" s="357"/>
      <c r="S76" s="357"/>
      <c r="T76" s="357"/>
      <c r="U76" s="1395"/>
      <c r="V76" s="357"/>
      <c r="W76" s="357"/>
      <c r="X76" s="357"/>
      <c r="Z76" s="357"/>
      <c r="AA76" s="357"/>
      <c r="AB76" s="1405"/>
      <c r="AC76" s="1405"/>
      <c r="AD76" s="2255"/>
      <c r="AE76" s="1407"/>
      <c r="AF76" s="1350"/>
      <c r="AG76" s="1406"/>
      <c r="AH76" s="1406"/>
      <c r="AI76" s="1406"/>
      <c r="AJ76" s="1406"/>
      <c r="AK76" s="1406"/>
      <c r="AL76" s="1406"/>
      <c r="AM76" s="1406"/>
      <c r="AN76" s="1406"/>
      <c r="AO76" s="1406"/>
      <c r="AP76" s="1406"/>
      <c r="AQ76" s="1406"/>
      <c r="AR76" s="1406"/>
      <c r="AS76" s="1406"/>
      <c r="AT76" s="1406"/>
      <c r="AU76" s="1406"/>
      <c r="AV76" s="1406"/>
      <c r="AW76" s="1406"/>
      <c r="AX76" s="1406"/>
      <c r="AY76" s="1406"/>
      <c r="AZ76" s="1406"/>
      <c r="BA76" s="1406"/>
      <c r="BB76" s="1406"/>
      <c r="BC76" s="1406"/>
      <c r="BD76" s="1406"/>
      <c r="BE76" s="1406"/>
      <c r="BF76" s="1406"/>
      <c r="BG76" s="1406"/>
      <c r="BH76" s="1406"/>
      <c r="BI76" s="1406"/>
      <c r="BJ76" s="1406"/>
      <c r="BK76" s="1406"/>
      <c r="BL76" s="2141" t="s">
        <v>1363</v>
      </c>
      <c r="BM76" s="33">
        <v>100</v>
      </c>
      <c r="BN76" s="33">
        <v>100</v>
      </c>
      <c r="BO76" s="33">
        <v>20</v>
      </c>
      <c r="BP76" s="323">
        <v>20</v>
      </c>
      <c r="BQ76" s="323">
        <v>20</v>
      </c>
      <c r="BR76" s="323">
        <f t="shared" si="40"/>
        <v>13.333333333333334</v>
      </c>
      <c r="BS76" s="323"/>
      <c r="BT76" s="323">
        <v>30</v>
      </c>
      <c r="BU76" s="1001">
        <v>9.1999999999999998E-2</v>
      </c>
      <c r="BV76" s="357">
        <v>0</v>
      </c>
      <c r="BW76" s="357"/>
      <c r="BX76" s="357"/>
      <c r="BY76" s="357"/>
      <c r="BZ76" s="357"/>
      <c r="CA76" s="357"/>
      <c r="CB76" s="357"/>
      <c r="CC76" s="357"/>
    </row>
    <row r="77" spans="1:81" ht="15.75">
      <c r="A77" s="546"/>
      <c r="B77" s="357"/>
      <c r="C77" s="357"/>
      <c r="D77" s="546"/>
      <c r="E77" s="357"/>
      <c r="F77" s="357"/>
      <c r="G77" s="357"/>
      <c r="H77" s="357"/>
      <c r="I77" s="357"/>
      <c r="J77" s="357"/>
      <c r="K77" s="357"/>
      <c r="L77" s="357"/>
      <c r="M77" s="357"/>
      <c r="N77" s="357"/>
      <c r="O77" s="357"/>
      <c r="P77" s="357"/>
      <c r="Q77" s="357"/>
      <c r="R77" s="357"/>
      <c r="S77" s="357"/>
      <c r="T77" s="357"/>
      <c r="U77" s="1395"/>
      <c r="V77" s="357"/>
      <c r="W77" s="357"/>
      <c r="X77" s="357"/>
      <c r="Z77" s="357"/>
      <c r="AA77" s="357"/>
      <c r="AB77" s="1405"/>
      <c r="AC77" s="1405"/>
      <c r="AD77" s="2255"/>
      <c r="AE77" s="1350"/>
      <c r="AF77" s="1350"/>
      <c r="AG77" s="1406"/>
      <c r="AH77" s="1406"/>
      <c r="AI77" s="1406"/>
      <c r="AJ77" s="1406"/>
      <c r="AK77" s="1406"/>
      <c r="AL77" s="1406"/>
      <c r="AM77" s="1406"/>
      <c r="AN77" s="1406"/>
      <c r="AO77" s="1406"/>
      <c r="AP77" s="1406"/>
      <c r="AQ77" s="1406"/>
      <c r="AR77" s="1406"/>
      <c r="AS77" s="1406"/>
      <c r="AT77" s="1406"/>
      <c r="AU77" s="1406"/>
      <c r="AV77" s="1406"/>
      <c r="AW77" s="1406"/>
      <c r="AX77" s="1406"/>
      <c r="AY77" s="1406"/>
      <c r="AZ77" s="1406"/>
      <c r="BA77" s="1406"/>
      <c r="BB77" s="1406"/>
      <c r="BC77" s="1406"/>
      <c r="BD77" s="1406"/>
      <c r="BE77" s="1406"/>
      <c r="BF77" s="1406"/>
      <c r="BG77" s="1406"/>
      <c r="BH77" s="1406"/>
      <c r="BI77" s="1406"/>
      <c r="BJ77" s="1406"/>
      <c r="BK77" s="1406"/>
      <c r="BL77" s="2141" t="s">
        <v>1364</v>
      </c>
      <c r="BM77" s="33"/>
      <c r="BN77" s="33">
        <v>170</v>
      </c>
      <c r="BO77" s="33">
        <v>20</v>
      </c>
      <c r="BP77" s="323">
        <v>20</v>
      </c>
      <c r="BQ77" s="323">
        <v>20</v>
      </c>
      <c r="BR77" s="323">
        <f t="shared" si="40"/>
        <v>13.333333333333334</v>
      </c>
      <c r="BS77" s="323"/>
      <c r="BT77" s="323">
        <v>90</v>
      </c>
      <c r="BU77" s="1001">
        <v>9.1999999999999998E-2</v>
      </c>
      <c r="BV77" s="357">
        <v>0</v>
      </c>
      <c r="BW77" s="357"/>
      <c r="BX77" s="357"/>
      <c r="BY77" s="357"/>
      <c r="BZ77" s="357"/>
      <c r="CA77" s="357"/>
      <c r="CB77" s="357"/>
      <c r="CC77" s="357"/>
    </row>
    <row r="78" spans="1:81" ht="15.75">
      <c r="A78" s="546"/>
      <c r="B78" s="357"/>
      <c r="C78" s="357"/>
      <c r="D78" s="546"/>
      <c r="E78" s="357"/>
      <c r="F78" s="357"/>
      <c r="G78" s="357"/>
      <c r="H78" s="357"/>
      <c r="I78" s="357"/>
      <c r="J78" s="357"/>
      <c r="K78" s="357"/>
      <c r="L78" s="357"/>
      <c r="M78" s="357"/>
      <c r="N78" s="357"/>
      <c r="O78" s="357"/>
      <c r="P78" s="357"/>
      <c r="Q78" s="357"/>
      <c r="R78" s="357"/>
      <c r="S78" s="357"/>
      <c r="T78" s="357"/>
      <c r="U78" s="1395"/>
      <c r="V78" s="357"/>
      <c r="W78" s="357"/>
      <c r="X78" s="357"/>
      <c r="Z78" s="357"/>
      <c r="AA78" s="357"/>
      <c r="AB78" s="1405"/>
      <c r="AC78" s="1405"/>
      <c r="AD78" s="2255"/>
      <c r="AE78" s="1350"/>
      <c r="AF78" s="1350"/>
      <c r="AG78" s="1406"/>
      <c r="AH78" s="1406"/>
      <c r="AI78" s="1406"/>
      <c r="AJ78" s="1406"/>
      <c r="AK78" s="1406"/>
      <c r="AL78" s="1406"/>
      <c r="AM78" s="1406"/>
      <c r="AN78" s="1406"/>
      <c r="AO78" s="1406"/>
      <c r="AP78" s="1406"/>
      <c r="AQ78" s="1406"/>
      <c r="AR78" s="1406"/>
      <c r="AS78" s="1406"/>
      <c r="AT78" s="1406"/>
      <c r="AU78" s="1406"/>
      <c r="AV78" s="1406"/>
      <c r="AW78" s="1406"/>
      <c r="AX78" s="1406"/>
      <c r="AY78" s="1406"/>
      <c r="AZ78" s="1406"/>
      <c r="BA78" s="1406"/>
      <c r="BB78" s="1406"/>
      <c r="BC78" s="1406"/>
      <c r="BD78" s="1406"/>
      <c r="BE78" s="1406"/>
      <c r="BF78" s="1406"/>
      <c r="BG78" s="1406"/>
      <c r="BH78" s="1406"/>
      <c r="BI78" s="1406"/>
      <c r="BJ78" s="1406"/>
      <c r="BK78" s="1406"/>
      <c r="BL78" s="2141" t="s">
        <v>1365</v>
      </c>
      <c r="BM78" s="33">
        <v>200</v>
      </c>
      <c r="BN78" s="33">
        <v>120</v>
      </c>
      <c r="BO78" s="33">
        <v>20</v>
      </c>
      <c r="BP78" s="323">
        <v>20</v>
      </c>
      <c r="BQ78" s="323">
        <v>20</v>
      </c>
      <c r="BR78" s="323">
        <f t="shared" si="40"/>
        <v>13.333333333333334</v>
      </c>
      <c r="BS78" s="323"/>
      <c r="BT78" s="323">
        <v>60</v>
      </c>
      <c r="BU78" s="1001">
        <v>9.1999999999999998E-2</v>
      </c>
      <c r="BV78" s="357">
        <v>0</v>
      </c>
      <c r="BW78" s="357"/>
      <c r="BX78" s="357"/>
      <c r="BY78" s="357"/>
      <c r="BZ78" s="357"/>
      <c r="CA78" s="357"/>
      <c r="CB78" s="357"/>
      <c r="CC78" s="357"/>
    </row>
    <row r="79" spans="1:81" ht="15.75">
      <c r="A79" s="546"/>
      <c r="B79" s="357"/>
      <c r="C79" s="357"/>
      <c r="D79" s="546"/>
      <c r="E79" s="357"/>
      <c r="F79" s="357"/>
      <c r="G79" s="357"/>
      <c r="H79" s="357"/>
      <c r="I79" s="357"/>
      <c r="J79" s="357"/>
      <c r="K79" s="357"/>
      <c r="L79" s="357"/>
      <c r="M79" s="357"/>
      <c r="N79" s="357"/>
      <c r="O79" s="357"/>
      <c r="P79" s="357"/>
      <c r="Q79" s="357"/>
      <c r="R79" s="357"/>
      <c r="S79" s="357"/>
      <c r="T79" s="357"/>
      <c r="U79" s="1395"/>
      <c r="V79" s="357"/>
      <c r="W79" s="357"/>
      <c r="X79" s="357"/>
      <c r="Z79" s="357"/>
      <c r="AA79" s="357"/>
      <c r="AB79" s="1405"/>
      <c r="AC79" s="1405"/>
      <c r="AD79" s="2255"/>
      <c r="AE79" s="1350"/>
      <c r="AF79" s="1350"/>
      <c r="AG79" s="1406"/>
      <c r="AH79" s="1406"/>
      <c r="AI79" s="1406"/>
      <c r="AJ79" s="1406"/>
      <c r="AK79" s="1406"/>
      <c r="AL79" s="1406"/>
      <c r="AM79" s="1406"/>
      <c r="AN79" s="1406"/>
      <c r="AO79" s="1406"/>
      <c r="AP79" s="1406"/>
      <c r="AQ79" s="1406"/>
      <c r="AR79" s="1406"/>
      <c r="AS79" s="1406"/>
      <c r="AT79" s="1406"/>
      <c r="AU79" s="1406"/>
      <c r="AV79" s="1406"/>
      <c r="AW79" s="1406"/>
      <c r="AX79" s="1406"/>
      <c r="AY79" s="1406"/>
      <c r="AZ79" s="1406"/>
      <c r="BA79" s="1406"/>
      <c r="BB79" s="1406"/>
      <c r="BC79" s="1406"/>
      <c r="BD79" s="1406"/>
      <c r="BE79" s="1406"/>
      <c r="BF79" s="1406"/>
      <c r="BG79" s="1406"/>
      <c r="BH79" s="1406"/>
      <c r="BI79" s="1406"/>
      <c r="BJ79" s="1406"/>
      <c r="BK79" s="1406"/>
      <c r="BL79" s="2141" t="s">
        <v>1366</v>
      </c>
      <c r="BM79" s="33"/>
      <c r="BN79" s="33">
        <v>140</v>
      </c>
      <c r="BO79" s="33">
        <v>20</v>
      </c>
      <c r="BP79" s="323">
        <v>20</v>
      </c>
      <c r="BQ79" s="323">
        <v>20</v>
      </c>
      <c r="BR79" s="323">
        <f t="shared" si="40"/>
        <v>13.333333333333334</v>
      </c>
      <c r="BS79" s="323"/>
      <c r="BT79" s="323">
        <v>90</v>
      </c>
      <c r="BU79" s="1001">
        <v>9.1999999999999998E-2</v>
      </c>
      <c r="BV79" s="357">
        <v>0</v>
      </c>
      <c r="BW79" s="357"/>
      <c r="BX79" s="357"/>
      <c r="BY79" s="357"/>
      <c r="BZ79" s="357"/>
      <c r="CA79" s="357"/>
      <c r="CB79" s="357"/>
      <c r="CC79" s="357"/>
    </row>
    <row r="80" spans="1:81" ht="15.75">
      <c r="A80" s="546"/>
      <c r="B80" s="357"/>
      <c r="C80" s="357"/>
      <c r="D80" s="546"/>
      <c r="E80" s="357"/>
      <c r="F80" s="357"/>
      <c r="G80" s="357"/>
      <c r="H80" s="357"/>
      <c r="I80" s="357"/>
      <c r="J80" s="357"/>
      <c r="K80" s="357"/>
      <c r="L80" s="357"/>
      <c r="M80" s="357"/>
      <c r="N80" s="357"/>
      <c r="O80" s="357"/>
      <c r="P80" s="357"/>
      <c r="Q80" s="357"/>
      <c r="R80" s="357"/>
      <c r="S80" s="357"/>
      <c r="T80" s="357"/>
      <c r="U80" s="1395"/>
      <c r="V80" s="357"/>
      <c r="W80" s="357"/>
      <c r="X80" s="357"/>
      <c r="Z80" s="357"/>
      <c r="AA80" s="357"/>
      <c r="AB80" s="1405"/>
      <c r="AC80" s="1405"/>
      <c r="AD80" s="2255"/>
      <c r="AE80" s="1350"/>
      <c r="AF80" s="1350"/>
      <c r="AG80" s="1406"/>
      <c r="AH80" s="1406"/>
      <c r="AI80" s="1406"/>
      <c r="AJ80" s="1406"/>
      <c r="AK80" s="1406"/>
      <c r="AL80" s="1406"/>
      <c r="AM80" s="1406"/>
      <c r="AN80" s="1406"/>
      <c r="AO80" s="1406"/>
      <c r="AP80" s="1406"/>
      <c r="AQ80" s="1406"/>
      <c r="AR80" s="1406"/>
      <c r="AS80" s="1406"/>
      <c r="AT80" s="1406"/>
      <c r="AU80" s="1406"/>
      <c r="AV80" s="1406"/>
      <c r="AW80" s="1406"/>
      <c r="AX80" s="1406"/>
      <c r="AY80" s="1406"/>
      <c r="AZ80" s="1406"/>
      <c r="BA80" s="1406"/>
      <c r="BB80" s="1406"/>
      <c r="BC80" s="1406"/>
      <c r="BD80" s="1406"/>
      <c r="BE80" s="1406"/>
      <c r="BF80" s="1406"/>
      <c r="BG80" s="1406"/>
      <c r="BH80" s="1406"/>
      <c r="BI80" s="1406"/>
      <c r="BJ80" s="1406"/>
      <c r="BK80" s="1406"/>
      <c r="BL80" s="2141" t="s">
        <v>1367</v>
      </c>
      <c r="BM80" s="33">
        <v>350</v>
      </c>
      <c r="BN80" s="33">
        <v>140</v>
      </c>
      <c r="BO80" s="33">
        <v>20</v>
      </c>
      <c r="BP80" s="323">
        <v>20</v>
      </c>
      <c r="BQ80" s="323">
        <v>20</v>
      </c>
      <c r="BR80" s="323">
        <f t="shared" si="40"/>
        <v>13.333333333333334</v>
      </c>
      <c r="BS80" s="323"/>
      <c r="BT80" s="323">
        <v>60</v>
      </c>
      <c r="BU80" s="1001">
        <v>9.1999999999999998E-2</v>
      </c>
      <c r="BV80" s="357">
        <v>0</v>
      </c>
      <c r="BW80" s="357"/>
      <c r="BX80" s="357"/>
      <c r="BY80" s="357"/>
      <c r="BZ80" s="357"/>
      <c r="CA80" s="357"/>
      <c r="CB80" s="357"/>
      <c r="CC80" s="357"/>
    </row>
    <row r="81" spans="1:81" ht="15.75">
      <c r="A81" s="546"/>
      <c r="B81" s="357"/>
      <c r="C81" s="357"/>
      <c r="D81" s="546"/>
      <c r="E81" s="357"/>
      <c r="F81" s="357"/>
      <c r="G81" s="357"/>
      <c r="H81" s="357"/>
      <c r="I81" s="357"/>
      <c r="J81" s="357"/>
      <c r="K81" s="357"/>
      <c r="L81" s="357"/>
      <c r="M81" s="357"/>
      <c r="N81" s="357"/>
      <c r="O81" s="357"/>
      <c r="P81" s="357"/>
      <c r="Q81" s="357"/>
      <c r="R81" s="357"/>
      <c r="S81" s="357"/>
      <c r="T81" s="357"/>
      <c r="U81" s="1395"/>
      <c r="V81" s="357"/>
      <c r="W81" s="357"/>
      <c r="X81" s="357"/>
      <c r="Z81" s="357"/>
      <c r="AA81" s="357"/>
      <c r="AB81" s="1405"/>
      <c r="AC81" s="1405"/>
      <c r="AD81" s="2255"/>
      <c r="AE81" s="1350"/>
      <c r="AF81" s="1350"/>
      <c r="AG81" s="1406"/>
      <c r="AH81" s="1406"/>
      <c r="AI81" s="1406"/>
      <c r="AJ81" s="1406"/>
      <c r="AK81" s="1406"/>
      <c r="AL81" s="1406"/>
      <c r="AM81" s="1406"/>
      <c r="AN81" s="1406"/>
      <c r="AO81" s="1406"/>
      <c r="AP81" s="1406"/>
      <c r="AQ81" s="1406"/>
      <c r="AR81" s="1406"/>
      <c r="AS81" s="1406"/>
      <c r="AT81" s="1406"/>
      <c r="AU81" s="1406"/>
      <c r="AV81" s="1406"/>
      <c r="AW81" s="1406"/>
      <c r="AX81" s="1406"/>
      <c r="AY81" s="1406"/>
      <c r="AZ81" s="1406"/>
      <c r="BA81" s="1406"/>
      <c r="BB81" s="1406"/>
      <c r="BC81" s="1406"/>
      <c r="BD81" s="1406"/>
      <c r="BE81" s="1406"/>
      <c r="BF81" s="1406"/>
      <c r="BG81" s="1406"/>
      <c r="BH81" s="1406"/>
      <c r="BI81" s="1406"/>
      <c r="BJ81" s="1406"/>
      <c r="BK81" s="1406"/>
      <c r="BL81" s="2141" t="s">
        <v>1288</v>
      </c>
      <c r="BM81" s="33">
        <v>250</v>
      </c>
      <c r="BN81" s="33">
        <v>310</v>
      </c>
      <c r="BO81" s="33">
        <v>20</v>
      </c>
      <c r="BP81" s="323">
        <v>40</v>
      </c>
      <c r="BQ81" s="323">
        <v>40</v>
      </c>
      <c r="BR81" s="323">
        <f t="shared" si="40"/>
        <v>26.666666666666668</v>
      </c>
      <c r="BS81" s="323">
        <v>130</v>
      </c>
      <c r="BT81" s="323">
        <v>90</v>
      </c>
      <c r="BU81" s="1001">
        <v>0.19500000000000001</v>
      </c>
      <c r="BV81" s="357">
        <v>0</v>
      </c>
      <c r="BW81" s="357"/>
      <c r="BX81" s="357"/>
      <c r="BY81" s="357"/>
      <c r="BZ81" s="357"/>
      <c r="CA81" s="357"/>
      <c r="CB81" s="357"/>
      <c r="CC81" s="357"/>
    </row>
    <row r="82" spans="1:81" ht="15.75">
      <c r="A82" s="546"/>
      <c r="B82" s="357"/>
      <c r="C82" s="357"/>
      <c r="D82" s="546"/>
      <c r="E82" s="357"/>
      <c r="F82" s="357"/>
      <c r="G82" s="357"/>
      <c r="H82" s="357"/>
      <c r="I82" s="357"/>
      <c r="J82" s="357"/>
      <c r="K82" s="357"/>
      <c r="L82" s="357"/>
      <c r="M82" s="357"/>
      <c r="N82" s="357"/>
      <c r="O82" s="357"/>
      <c r="P82" s="357"/>
      <c r="Q82" s="357"/>
      <c r="R82" s="357"/>
      <c r="S82" s="357"/>
      <c r="T82" s="357"/>
      <c r="U82" s="1395"/>
      <c r="V82" s="357"/>
      <c r="W82" s="357"/>
      <c r="X82" s="357"/>
      <c r="Z82" s="357"/>
      <c r="AA82" s="357"/>
      <c r="AB82" s="1405"/>
      <c r="AC82" s="1405"/>
      <c r="AD82" s="2255"/>
      <c r="AE82" s="1350"/>
      <c r="AF82" s="1350"/>
      <c r="AG82" s="1406"/>
      <c r="AH82" s="1406"/>
      <c r="AI82" s="1406"/>
      <c r="AJ82" s="1406"/>
      <c r="AK82" s="1406"/>
      <c r="AL82" s="1406"/>
      <c r="AM82" s="1406"/>
      <c r="AN82" s="1406"/>
      <c r="AO82" s="1406"/>
      <c r="AP82" s="1406"/>
      <c r="AQ82" s="1406"/>
      <c r="AR82" s="1406"/>
      <c r="AS82" s="1406"/>
      <c r="AT82" s="1406"/>
      <c r="AU82" s="1406"/>
      <c r="AV82" s="1406"/>
      <c r="AW82" s="1406"/>
      <c r="AX82" s="1406"/>
      <c r="AY82" s="1406"/>
      <c r="AZ82" s="1406"/>
      <c r="BA82" s="1406"/>
      <c r="BB82" s="1406"/>
      <c r="BC82" s="1406"/>
      <c r="BD82" s="1406"/>
      <c r="BE82" s="1406"/>
      <c r="BF82" s="1406"/>
      <c r="BG82" s="1406"/>
      <c r="BH82" s="1406"/>
      <c r="BI82" s="1406"/>
      <c r="BJ82" s="1406"/>
      <c r="BK82" s="1406"/>
      <c r="BL82" s="2159" t="s">
        <v>1663</v>
      </c>
      <c r="BM82" s="33">
        <v>80</v>
      </c>
      <c r="BN82" s="33">
        <v>65</v>
      </c>
      <c r="BO82" s="33">
        <v>10</v>
      </c>
      <c r="BP82" s="2153">
        <v>7</v>
      </c>
      <c r="BQ82" s="2153">
        <v>7</v>
      </c>
      <c r="BR82" s="2152">
        <v>0</v>
      </c>
      <c r="BS82" s="2152">
        <v>0</v>
      </c>
      <c r="BT82" s="2152">
        <v>30</v>
      </c>
      <c r="BU82" s="2155">
        <v>0.09</v>
      </c>
      <c r="BV82" s="357">
        <v>0</v>
      </c>
      <c r="BW82" s="357"/>
      <c r="BX82" s="357"/>
      <c r="BY82" s="357"/>
      <c r="BZ82" s="357"/>
      <c r="CA82" s="357"/>
      <c r="CB82" s="357"/>
      <c r="CC82" s="357"/>
    </row>
    <row r="83" spans="1:81" ht="15.75">
      <c r="A83" s="546"/>
      <c r="B83" s="357"/>
      <c r="C83" s="357"/>
      <c r="D83" s="546"/>
      <c r="E83" s="357"/>
      <c r="F83" s="357"/>
      <c r="G83" s="357"/>
      <c r="H83" s="357"/>
      <c r="I83" s="357"/>
      <c r="J83" s="357"/>
      <c r="K83" s="357"/>
      <c r="L83" s="357"/>
      <c r="M83" s="357"/>
      <c r="N83" s="357"/>
      <c r="O83" s="357"/>
      <c r="P83" s="357"/>
      <c r="Q83" s="357"/>
      <c r="R83" s="357"/>
      <c r="S83" s="357"/>
      <c r="T83" s="357"/>
      <c r="U83" s="1395"/>
      <c r="V83" s="357"/>
      <c r="W83" s="357"/>
      <c r="X83" s="357"/>
      <c r="Z83" s="357"/>
      <c r="AA83" s="357"/>
      <c r="AB83" s="1405"/>
      <c r="AC83" s="1405"/>
      <c r="AD83" s="2255"/>
      <c r="AE83" s="1350"/>
      <c r="AF83" s="1350"/>
      <c r="AG83" s="1406"/>
      <c r="AH83" s="1406"/>
      <c r="AI83" s="1406"/>
      <c r="AJ83" s="1406"/>
      <c r="AK83" s="1406"/>
      <c r="AL83" s="1406"/>
      <c r="AM83" s="1406"/>
      <c r="AN83" s="1406"/>
      <c r="AO83" s="1406"/>
      <c r="AP83" s="1406"/>
      <c r="AQ83" s="1406"/>
      <c r="AR83" s="1406"/>
      <c r="AS83" s="1406"/>
      <c r="AT83" s="1406"/>
      <c r="AU83" s="1406"/>
      <c r="AV83" s="1406"/>
      <c r="AW83" s="1406"/>
      <c r="AX83" s="1406"/>
      <c r="AY83" s="1406"/>
      <c r="AZ83" s="1406"/>
      <c r="BA83" s="1406"/>
      <c r="BB83" s="1406"/>
      <c r="BC83" s="1406"/>
      <c r="BD83" s="1406"/>
      <c r="BE83" s="1406"/>
      <c r="BF83" s="1406"/>
      <c r="BG83" s="1406"/>
      <c r="BH83" s="1406"/>
      <c r="BI83" s="1406"/>
      <c r="BJ83" s="1406"/>
      <c r="BK83" s="1406"/>
      <c r="BL83" s="2141" t="s">
        <v>1368</v>
      </c>
      <c r="BM83" s="33">
        <v>600</v>
      </c>
      <c r="BN83" s="33">
        <v>250</v>
      </c>
      <c r="BO83" s="33">
        <v>20</v>
      </c>
      <c r="BP83" s="323">
        <v>20</v>
      </c>
      <c r="BQ83" s="323">
        <v>20</v>
      </c>
      <c r="BR83" s="323">
        <f>BQ83*2/3</f>
        <v>13.333333333333334</v>
      </c>
      <c r="BS83" s="323">
        <v>50</v>
      </c>
      <c r="BT83" s="323">
        <v>60</v>
      </c>
      <c r="BU83" s="1001">
        <v>0.115</v>
      </c>
      <c r="BV83" s="357">
        <v>0</v>
      </c>
      <c r="BW83" s="357"/>
      <c r="BX83" s="357"/>
      <c r="BY83" s="357"/>
      <c r="BZ83" s="357"/>
      <c r="CA83" s="357"/>
      <c r="CB83" s="357"/>
      <c r="CC83" s="357"/>
    </row>
    <row r="84" spans="1:81" ht="15.75">
      <c r="A84" s="546"/>
      <c r="B84" s="357"/>
      <c r="C84" s="357"/>
      <c r="D84" s="546"/>
      <c r="E84" s="357"/>
      <c r="F84" s="357"/>
      <c r="G84" s="357"/>
      <c r="H84" s="357"/>
      <c r="I84" s="357"/>
      <c r="J84" s="357"/>
      <c r="K84" s="357"/>
      <c r="L84" s="357"/>
      <c r="M84" s="357"/>
      <c r="N84" s="357"/>
      <c r="O84" s="357"/>
      <c r="P84" s="357"/>
      <c r="Q84" s="357"/>
      <c r="R84" s="357"/>
      <c r="S84" s="357"/>
      <c r="T84" s="357"/>
      <c r="U84" s="1395"/>
      <c r="V84" s="357"/>
      <c r="W84" s="357"/>
      <c r="X84" s="357"/>
      <c r="Z84" s="357"/>
      <c r="AA84" s="357"/>
      <c r="AB84" s="1405"/>
      <c r="AC84" s="1405"/>
      <c r="AD84" s="2255"/>
      <c r="AE84" s="1407"/>
      <c r="AF84" s="1407"/>
      <c r="AG84" s="1406"/>
      <c r="AH84" s="1406"/>
      <c r="AI84" s="1406"/>
      <c r="AJ84" s="1406"/>
      <c r="AK84" s="1406"/>
      <c r="AL84" s="1406"/>
      <c r="AM84" s="1406"/>
      <c r="AN84" s="1406"/>
      <c r="AO84" s="1406"/>
      <c r="AP84" s="1406"/>
      <c r="AQ84" s="1406"/>
      <c r="AR84" s="1406"/>
      <c r="AS84" s="1406"/>
      <c r="AT84" s="1406"/>
      <c r="AU84" s="1406"/>
      <c r="AV84" s="1406"/>
      <c r="AW84" s="1406"/>
      <c r="AX84" s="1406"/>
      <c r="AY84" s="1406"/>
      <c r="AZ84" s="1406"/>
      <c r="BA84" s="1406"/>
      <c r="BB84" s="1406"/>
      <c r="BC84" s="1406"/>
      <c r="BD84" s="1406"/>
      <c r="BE84" s="1406"/>
      <c r="BF84" s="1406"/>
      <c r="BG84" s="1406"/>
      <c r="BH84" s="1406"/>
      <c r="BI84" s="1406"/>
      <c r="BJ84" s="1406"/>
      <c r="BK84" s="1406"/>
      <c r="BL84" s="2141" t="s">
        <v>1664</v>
      </c>
      <c r="BM84" s="33">
        <v>400</v>
      </c>
      <c r="BN84" s="33">
        <v>150</v>
      </c>
      <c r="BO84" s="33">
        <v>20</v>
      </c>
      <c r="BP84" s="323">
        <v>20</v>
      </c>
      <c r="BQ84" s="323">
        <v>20</v>
      </c>
      <c r="BR84" s="323">
        <v>16.666666666666668</v>
      </c>
      <c r="BS84" s="323">
        <v>25</v>
      </c>
      <c r="BT84" s="323">
        <v>60</v>
      </c>
      <c r="BU84" s="2146">
        <v>0.115</v>
      </c>
      <c r="BV84" s="357">
        <v>0</v>
      </c>
      <c r="BW84" s="357"/>
      <c r="BX84" s="357"/>
      <c r="BY84" s="357"/>
      <c r="BZ84" s="357"/>
      <c r="CA84" s="357"/>
      <c r="CB84" s="357"/>
      <c r="CC84" s="357"/>
    </row>
    <row r="85" spans="1:81" ht="15.75">
      <c r="A85" s="546"/>
      <c r="B85" s="357"/>
      <c r="C85" s="357"/>
      <c r="D85" s="546"/>
      <c r="E85" s="357"/>
      <c r="F85" s="357"/>
      <c r="G85" s="357"/>
      <c r="H85" s="357"/>
      <c r="I85" s="357"/>
      <c r="J85" s="357"/>
      <c r="K85" s="357"/>
      <c r="L85" s="357"/>
      <c r="M85" s="357"/>
      <c r="N85" s="357"/>
      <c r="O85" s="357"/>
      <c r="P85" s="357"/>
      <c r="Q85" s="357"/>
      <c r="R85" s="357"/>
      <c r="S85" s="357"/>
      <c r="T85" s="357"/>
      <c r="U85" s="1395"/>
      <c r="V85" s="357"/>
      <c r="W85" s="357"/>
      <c r="X85" s="357"/>
      <c r="Z85" s="357"/>
      <c r="AA85" s="357"/>
      <c r="AB85" s="1405"/>
      <c r="AC85" s="1405"/>
      <c r="AD85" s="2255"/>
      <c r="AE85" s="1350"/>
      <c r="AF85" s="1350"/>
      <c r="AG85" s="1406"/>
      <c r="AH85" s="1406"/>
      <c r="AI85" s="1406"/>
      <c r="AJ85" s="1406"/>
      <c r="AK85" s="1406"/>
      <c r="AL85" s="1406"/>
      <c r="AM85" s="1406"/>
      <c r="AN85" s="1406"/>
      <c r="AO85" s="1406"/>
      <c r="AP85" s="1406"/>
      <c r="AQ85" s="1406"/>
      <c r="AR85" s="1406"/>
      <c r="AS85" s="1406"/>
      <c r="AT85" s="1406"/>
      <c r="AU85" s="1406"/>
      <c r="AV85" s="1406"/>
      <c r="AW85" s="1406"/>
      <c r="AX85" s="1406"/>
      <c r="AY85" s="1406"/>
      <c r="AZ85" s="1406"/>
      <c r="BA85" s="1406"/>
      <c r="BB85" s="1406"/>
      <c r="BC85" s="1406"/>
      <c r="BD85" s="1406"/>
      <c r="BE85" s="1406"/>
      <c r="BF85" s="1406"/>
      <c r="BG85" s="1406"/>
      <c r="BH85" s="1406"/>
      <c r="BI85" s="1406"/>
      <c r="BJ85" s="1406"/>
      <c r="BK85" s="1406"/>
      <c r="BL85" s="2141" t="s">
        <v>1665</v>
      </c>
      <c r="BM85" s="33">
        <v>500</v>
      </c>
      <c r="BN85" s="33">
        <v>140</v>
      </c>
      <c r="BO85" s="33">
        <v>20</v>
      </c>
      <c r="BP85" s="323">
        <v>20</v>
      </c>
      <c r="BQ85" s="323">
        <v>20</v>
      </c>
      <c r="BR85" s="323">
        <v>10</v>
      </c>
      <c r="BS85" s="323">
        <v>15</v>
      </c>
      <c r="BT85" s="323">
        <v>60</v>
      </c>
      <c r="BU85" s="2146">
        <v>0.1</v>
      </c>
      <c r="BV85" s="357">
        <v>0</v>
      </c>
      <c r="BW85" s="357"/>
      <c r="BX85" s="357"/>
      <c r="BY85" s="357"/>
      <c r="BZ85" s="357"/>
      <c r="CA85" s="357"/>
      <c r="CB85" s="357"/>
      <c r="CC85" s="357"/>
    </row>
    <row r="86" spans="1:81" ht="15.75">
      <c r="A86" s="546"/>
      <c r="B86" s="357"/>
      <c r="C86" s="357"/>
      <c r="D86" s="546"/>
      <c r="E86" s="357"/>
      <c r="F86" s="357"/>
      <c r="G86" s="357"/>
      <c r="H86" s="357"/>
      <c r="I86" s="357"/>
      <c r="J86" s="357"/>
      <c r="K86" s="357"/>
      <c r="L86" s="357"/>
      <c r="M86" s="357"/>
      <c r="N86" s="357"/>
      <c r="O86" s="357"/>
      <c r="P86" s="357"/>
      <c r="Q86" s="357"/>
      <c r="R86" s="357"/>
      <c r="S86" s="357"/>
      <c r="T86" s="357"/>
      <c r="U86" s="1395"/>
      <c r="V86" s="357"/>
      <c r="W86" s="357"/>
      <c r="X86" s="357"/>
      <c r="Z86" s="357"/>
      <c r="AA86" s="357"/>
      <c r="AB86" s="1405"/>
      <c r="AC86" s="1405"/>
      <c r="AD86" s="2255"/>
      <c r="AE86" s="2255"/>
      <c r="AF86" s="1350"/>
      <c r="AG86" s="1406"/>
      <c r="AH86" s="1406"/>
      <c r="AI86" s="1406"/>
      <c r="AJ86" s="1406"/>
      <c r="AK86" s="1406"/>
      <c r="AL86" s="1406"/>
      <c r="AM86" s="1406"/>
      <c r="AN86" s="1406"/>
      <c r="AO86" s="1406"/>
      <c r="AP86" s="1406"/>
      <c r="AQ86" s="1406"/>
      <c r="AR86" s="1406"/>
      <c r="AS86" s="1406"/>
      <c r="AT86" s="1406"/>
      <c r="AU86" s="1406"/>
      <c r="AV86" s="1406"/>
      <c r="AW86" s="1406"/>
      <c r="AX86" s="1406"/>
      <c r="AY86" s="1406"/>
      <c r="AZ86" s="1406"/>
      <c r="BA86" s="1406"/>
      <c r="BB86" s="1406"/>
      <c r="BC86" s="1406"/>
      <c r="BD86" s="1406"/>
      <c r="BE86" s="1406"/>
      <c r="BF86" s="1406"/>
      <c r="BG86" s="1406"/>
      <c r="BH86" s="1406"/>
      <c r="BI86" s="1406"/>
      <c r="BJ86" s="1406"/>
      <c r="BK86" s="1406"/>
      <c r="BL86" s="2141" t="s">
        <v>1289</v>
      </c>
      <c r="BM86" s="33">
        <v>600</v>
      </c>
      <c r="BN86" s="33">
        <v>260</v>
      </c>
      <c r="BO86" s="33">
        <v>20</v>
      </c>
      <c r="BP86" s="323">
        <v>40</v>
      </c>
      <c r="BQ86" s="323">
        <v>40</v>
      </c>
      <c r="BR86" s="323">
        <f t="shared" ref="BR86:BR92" si="41">BQ86*2/3</f>
        <v>26.666666666666668</v>
      </c>
      <c r="BS86" s="323">
        <v>60</v>
      </c>
      <c r="BT86" s="323">
        <v>60</v>
      </c>
      <c r="BU86" s="1001">
        <v>0.08</v>
      </c>
      <c r="BV86" s="357">
        <v>0</v>
      </c>
      <c r="BW86" s="357"/>
      <c r="BX86" s="357"/>
      <c r="BY86" s="357"/>
      <c r="BZ86" s="357"/>
      <c r="CA86" s="357"/>
      <c r="CB86" s="357"/>
      <c r="CC86" s="357"/>
    </row>
    <row r="87" spans="1:81" ht="15.75">
      <c r="A87" s="546"/>
      <c r="B87" s="357"/>
      <c r="C87" s="357"/>
      <c r="D87" s="546"/>
      <c r="E87" s="357"/>
      <c r="F87" s="357"/>
      <c r="G87" s="357"/>
      <c r="H87" s="357"/>
      <c r="I87" s="357"/>
      <c r="J87" s="357"/>
      <c r="K87" s="357"/>
      <c r="L87" s="357"/>
      <c r="M87" s="357"/>
      <c r="N87" s="357"/>
      <c r="O87" s="357"/>
      <c r="P87" s="357"/>
      <c r="Q87" s="357"/>
      <c r="R87" s="357"/>
      <c r="S87" s="357"/>
      <c r="T87" s="357"/>
      <c r="U87" s="1395"/>
      <c r="V87" s="357"/>
      <c r="W87" s="357"/>
      <c r="X87" s="357"/>
      <c r="Z87" s="357"/>
      <c r="AA87" s="357"/>
      <c r="AB87" s="1405"/>
      <c r="AC87" s="1405"/>
      <c r="AD87" s="2255"/>
      <c r="AE87" s="2255"/>
      <c r="AF87" s="1350"/>
      <c r="AG87" s="1406"/>
      <c r="AH87" s="1406"/>
      <c r="AI87" s="1406"/>
      <c r="AJ87" s="1406"/>
      <c r="AK87" s="1406"/>
      <c r="AL87" s="1406"/>
      <c r="AM87" s="1406"/>
      <c r="AN87" s="1406"/>
      <c r="AO87" s="1406"/>
      <c r="AP87" s="1406"/>
      <c r="AQ87" s="1406"/>
      <c r="AR87" s="1406"/>
      <c r="AS87" s="1406"/>
      <c r="AT87" s="1406"/>
      <c r="AU87" s="1406"/>
      <c r="AV87" s="1406"/>
      <c r="AW87" s="1406"/>
      <c r="AX87" s="1406"/>
      <c r="AY87" s="1406"/>
      <c r="AZ87" s="1406"/>
      <c r="BA87" s="1406"/>
      <c r="BB87" s="1406"/>
      <c r="BC87" s="1406"/>
      <c r="BD87" s="1406"/>
      <c r="BE87" s="1406"/>
      <c r="BF87" s="1406"/>
      <c r="BG87" s="1406"/>
      <c r="BH87" s="1406"/>
      <c r="BI87" s="1406"/>
      <c r="BJ87" s="1406"/>
      <c r="BK87" s="1406"/>
      <c r="BL87" s="2141" t="s">
        <v>1369</v>
      </c>
      <c r="BM87" s="33">
        <v>175</v>
      </c>
      <c r="BN87" s="33">
        <v>150</v>
      </c>
      <c r="BO87" s="33">
        <v>20</v>
      </c>
      <c r="BP87" s="323">
        <v>20</v>
      </c>
      <c r="BQ87" s="323">
        <v>20</v>
      </c>
      <c r="BR87" s="323">
        <f t="shared" si="41"/>
        <v>13.333333333333334</v>
      </c>
      <c r="BS87" s="323">
        <v>20</v>
      </c>
      <c r="BT87" s="323">
        <v>30</v>
      </c>
      <c r="BU87" s="1001">
        <v>0.10299999999999999</v>
      </c>
      <c r="BV87" s="357">
        <v>0</v>
      </c>
      <c r="BW87" s="357"/>
      <c r="BX87" s="357"/>
      <c r="BY87" s="357"/>
      <c r="BZ87" s="357"/>
      <c r="CA87" s="357"/>
      <c r="CB87" s="357"/>
      <c r="CC87" s="357"/>
    </row>
    <row r="88" spans="1:81" ht="15.75">
      <c r="A88" s="546"/>
      <c r="B88" s="357"/>
      <c r="C88" s="357"/>
      <c r="D88" s="546"/>
      <c r="E88" s="357"/>
      <c r="F88" s="357"/>
      <c r="G88" s="357"/>
      <c r="H88" s="357"/>
      <c r="I88" s="357"/>
      <c r="J88" s="357"/>
      <c r="K88" s="357"/>
      <c r="L88" s="357"/>
      <c r="M88" s="357"/>
      <c r="N88" s="357"/>
      <c r="O88" s="357"/>
      <c r="P88" s="357"/>
      <c r="Q88" s="357"/>
      <c r="R88" s="357"/>
      <c r="S88" s="357"/>
      <c r="T88" s="357"/>
      <c r="U88" s="1395"/>
      <c r="V88" s="357"/>
      <c r="W88" s="357"/>
      <c r="X88" s="357"/>
      <c r="Z88" s="357"/>
      <c r="AA88" s="357"/>
      <c r="AB88" s="1405"/>
      <c r="AC88" s="1405"/>
      <c r="AD88" s="2255"/>
      <c r="AE88" s="2255"/>
      <c r="AF88" s="2255"/>
      <c r="AG88" s="1406"/>
      <c r="AH88" s="1406"/>
      <c r="AI88" s="1406"/>
      <c r="AJ88" s="1406"/>
      <c r="AK88" s="1406"/>
      <c r="AL88" s="1406"/>
      <c r="AM88" s="1406"/>
      <c r="AN88" s="1406"/>
      <c r="AO88" s="1406"/>
      <c r="AP88" s="1406"/>
      <c r="AQ88" s="1406"/>
      <c r="AR88" s="1406"/>
      <c r="AS88" s="1406"/>
      <c r="AT88" s="1406"/>
      <c r="AU88" s="1406"/>
      <c r="AV88" s="1406"/>
      <c r="AW88" s="1406"/>
      <c r="AX88" s="1406"/>
      <c r="AY88" s="1406"/>
      <c r="AZ88" s="1406"/>
      <c r="BA88" s="1406"/>
      <c r="BB88" s="1406"/>
      <c r="BC88" s="1406"/>
      <c r="BD88" s="1406"/>
      <c r="BE88" s="1406"/>
      <c r="BF88" s="1406"/>
      <c r="BG88" s="1406"/>
      <c r="BH88" s="1406"/>
      <c r="BI88" s="1406"/>
      <c r="BJ88" s="1406"/>
      <c r="BK88" s="1406"/>
      <c r="BL88" s="2141" t="s">
        <v>1370</v>
      </c>
      <c r="BM88" s="33">
        <v>300</v>
      </c>
      <c r="BN88" s="33">
        <v>210</v>
      </c>
      <c r="BO88" s="33">
        <v>20</v>
      </c>
      <c r="BP88" s="323">
        <v>20</v>
      </c>
      <c r="BQ88" s="323">
        <v>20</v>
      </c>
      <c r="BR88" s="323">
        <f t="shared" si="41"/>
        <v>13.333333333333334</v>
      </c>
      <c r="BS88" s="323">
        <v>20</v>
      </c>
      <c r="BT88" s="323">
        <v>30</v>
      </c>
      <c r="BU88" s="1001">
        <v>0.10299999999999999</v>
      </c>
      <c r="BV88" s="357">
        <v>0</v>
      </c>
      <c r="BW88" s="357"/>
      <c r="BX88" s="357"/>
      <c r="BY88" s="357"/>
      <c r="BZ88" s="357"/>
      <c r="CA88" s="357"/>
      <c r="CB88" s="357"/>
      <c r="CC88" s="357"/>
    </row>
    <row r="89" spans="1:81" ht="15.75">
      <c r="A89" s="546"/>
      <c r="B89" s="357"/>
      <c r="C89" s="357"/>
      <c r="D89" s="546"/>
      <c r="E89" s="357"/>
      <c r="F89" s="357"/>
      <c r="G89" s="357"/>
      <c r="H89" s="357"/>
      <c r="I89" s="357"/>
      <c r="J89" s="357"/>
      <c r="K89" s="357"/>
      <c r="L89" s="357"/>
      <c r="M89" s="357"/>
      <c r="N89" s="357"/>
      <c r="O89" s="357"/>
      <c r="P89" s="357"/>
      <c r="Q89" s="357"/>
      <c r="R89" s="357"/>
      <c r="S89" s="357"/>
      <c r="T89" s="357"/>
      <c r="U89" s="1395"/>
      <c r="V89" s="357"/>
      <c r="W89" s="357"/>
      <c r="X89" s="357"/>
      <c r="Z89" s="357"/>
      <c r="AA89" s="357"/>
      <c r="AB89" s="1405"/>
      <c r="AC89" s="1405"/>
      <c r="AD89" s="2255"/>
      <c r="AE89" s="2255"/>
      <c r="AF89" s="2255"/>
      <c r="AG89" s="1406"/>
      <c r="AH89" s="1406"/>
      <c r="AI89" s="1406"/>
      <c r="AJ89" s="1406"/>
      <c r="AK89" s="1406"/>
      <c r="AL89" s="1406"/>
      <c r="AM89" s="1406"/>
      <c r="AN89" s="1406"/>
      <c r="AO89" s="1406"/>
      <c r="AP89" s="1406"/>
      <c r="AQ89" s="1406"/>
      <c r="AR89" s="1406"/>
      <c r="AS89" s="1406"/>
      <c r="AT89" s="1406"/>
      <c r="AU89" s="1406"/>
      <c r="AV89" s="1406"/>
      <c r="AW89" s="1406"/>
      <c r="AX89" s="1406"/>
      <c r="AY89" s="1406"/>
      <c r="AZ89" s="1406"/>
      <c r="BA89" s="1406"/>
      <c r="BB89" s="1406"/>
      <c r="BC89" s="1406"/>
      <c r="BD89" s="1406"/>
      <c r="BE89" s="1406"/>
      <c r="BF89" s="1406"/>
      <c r="BG89" s="1406"/>
      <c r="BH89" s="1406"/>
      <c r="BI89" s="1406"/>
      <c r="BJ89" s="1406"/>
      <c r="BK89" s="1406"/>
      <c r="BL89" s="2141" t="s">
        <v>1371</v>
      </c>
      <c r="BM89" s="33">
        <v>140</v>
      </c>
      <c r="BN89" s="33">
        <v>90</v>
      </c>
      <c r="BO89" s="33">
        <v>20</v>
      </c>
      <c r="BP89" s="323">
        <v>20</v>
      </c>
      <c r="BQ89" s="323">
        <v>20</v>
      </c>
      <c r="BR89" s="323">
        <f t="shared" si="41"/>
        <v>13.333333333333334</v>
      </c>
      <c r="BS89" s="323">
        <v>0</v>
      </c>
      <c r="BT89" s="323">
        <v>30</v>
      </c>
      <c r="BU89" s="1001">
        <v>0.08</v>
      </c>
      <c r="BV89" s="357">
        <v>0</v>
      </c>
      <c r="BW89" s="357"/>
      <c r="BX89" s="357"/>
      <c r="BY89" s="357"/>
      <c r="BZ89" s="357"/>
      <c r="CA89" s="357"/>
      <c r="CB89" s="357"/>
      <c r="CC89" s="357"/>
    </row>
    <row r="90" spans="1:81" ht="15.75">
      <c r="A90" s="546"/>
      <c r="B90" s="357"/>
      <c r="C90" s="357"/>
      <c r="D90" s="546"/>
      <c r="E90" s="357"/>
      <c r="F90" s="357"/>
      <c r="G90" s="357"/>
      <c r="H90" s="357"/>
      <c r="I90" s="357"/>
      <c r="J90" s="357"/>
      <c r="K90" s="357"/>
      <c r="L90" s="357"/>
      <c r="M90" s="357"/>
      <c r="N90" s="357"/>
      <c r="O90" s="357"/>
      <c r="P90" s="357"/>
      <c r="Q90" s="357"/>
      <c r="R90" s="357"/>
      <c r="S90" s="357"/>
      <c r="T90" s="357"/>
      <c r="U90" s="1395"/>
      <c r="V90" s="357"/>
      <c r="W90" s="357"/>
      <c r="X90" s="357"/>
      <c r="Z90" s="357"/>
      <c r="AA90" s="357"/>
      <c r="AB90" s="1405"/>
      <c r="AC90" s="1405"/>
      <c r="AD90" s="2255"/>
      <c r="AE90" s="2255"/>
      <c r="AF90" s="2255"/>
      <c r="AG90" s="1406"/>
      <c r="AH90" s="1406"/>
      <c r="AI90" s="1406"/>
      <c r="AJ90" s="1406"/>
      <c r="AK90" s="1406"/>
      <c r="AL90" s="1406"/>
      <c r="AM90" s="1406"/>
      <c r="AN90" s="1406"/>
      <c r="AO90" s="1406"/>
      <c r="AP90" s="1406"/>
      <c r="AQ90" s="1406"/>
      <c r="AR90" s="1406"/>
      <c r="AS90" s="1406"/>
      <c r="AT90" s="1406"/>
      <c r="AU90" s="1406"/>
      <c r="AV90" s="1406"/>
      <c r="AW90" s="1406"/>
      <c r="AX90" s="1406"/>
      <c r="AY90" s="1406"/>
      <c r="AZ90" s="1406"/>
      <c r="BA90" s="1406"/>
      <c r="BB90" s="1406"/>
      <c r="BC90" s="1406"/>
      <c r="BD90" s="1406"/>
      <c r="BE90" s="1406"/>
      <c r="BF90" s="1406"/>
      <c r="BG90" s="1406"/>
      <c r="BH90" s="1406"/>
      <c r="BI90" s="1406"/>
      <c r="BJ90" s="1406"/>
      <c r="BK90" s="1406"/>
      <c r="BL90" s="2141" t="s">
        <v>1372</v>
      </c>
      <c r="BM90" s="33">
        <v>350</v>
      </c>
      <c r="BN90" s="33">
        <v>130</v>
      </c>
      <c r="BO90" s="33">
        <v>20</v>
      </c>
      <c r="BP90" s="323">
        <v>20</v>
      </c>
      <c r="BQ90" s="323">
        <v>20</v>
      </c>
      <c r="BR90" s="323">
        <f t="shared" si="41"/>
        <v>13.333333333333334</v>
      </c>
      <c r="BS90" s="323">
        <v>10</v>
      </c>
      <c r="BT90" s="323">
        <v>30</v>
      </c>
      <c r="BU90" s="1001">
        <v>6.9000000000000006E-2</v>
      </c>
      <c r="BV90" s="357">
        <v>0</v>
      </c>
      <c r="BW90" s="357"/>
      <c r="BX90" s="357"/>
      <c r="BY90" s="357"/>
      <c r="BZ90" s="357"/>
      <c r="CA90" s="357"/>
      <c r="CB90" s="357"/>
      <c r="CC90" s="357"/>
    </row>
    <row r="91" spans="1:81" ht="15.75">
      <c r="A91" s="546"/>
      <c r="B91" s="357"/>
      <c r="C91" s="357"/>
      <c r="D91" s="546"/>
      <c r="E91" s="357"/>
      <c r="F91" s="357"/>
      <c r="G91" s="357"/>
      <c r="H91" s="357"/>
      <c r="I91" s="357"/>
      <c r="J91" s="357"/>
      <c r="K91" s="357"/>
      <c r="L91" s="357"/>
      <c r="M91" s="357"/>
      <c r="N91" s="357"/>
      <c r="O91" s="357"/>
      <c r="P91" s="357"/>
      <c r="Q91" s="357"/>
      <c r="R91" s="357"/>
      <c r="S91" s="357"/>
      <c r="T91" s="357"/>
      <c r="U91" s="1395"/>
      <c r="V91" s="357"/>
      <c r="W91" s="357"/>
      <c r="X91" s="357"/>
      <c r="Z91" s="357"/>
      <c r="AA91" s="357"/>
      <c r="AB91" s="1405"/>
      <c r="AC91" s="1405"/>
      <c r="AD91" s="2255"/>
      <c r="AE91" s="2255"/>
      <c r="AF91" s="2255"/>
      <c r="AG91" s="1406"/>
      <c r="AH91" s="1406"/>
      <c r="AI91" s="1406"/>
      <c r="AJ91" s="1406"/>
      <c r="AK91" s="1406"/>
      <c r="AL91" s="1406"/>
      <c r="AM91" s="1406"/>
      <c r="AN91" s="1406"/>
      <c r="AO91" s="1406"/>
      <c r="AP91" s="1406"/>
      <c r="AQ91" s="1406"/>
      <c r="AR91" s="1406"/>
      <c r="AS91" s="1406"/>
      <c r="AT91" s="1406"/>
      <c r="AU91" s="1406"/>
      <c r="AV91" s="1406"/>
      <c r="AW91" s="1406"/>
      <c r="AX91" s="1406"/>
      <c r="AY91" s="1406"/>
      <c r="AZ91" s="1406"/>
      <c r="BA91" s="1406"/>
      <c r="BB91" s="1406"/>
      <c r="BC91" s="1406"/>
      <c r="BD91" s="1406"/>
      <c r="BE91" s="1406"/>
      <c r="BF91" s="1406"/>
      <c r="BG91" s="1406"/>
      <c r="BH91" s="1406"/>
      <c r="BI91" s="1406"/>
      <c r="BJ91" s="1406"/>
      <c r="BK91" s="1406"/>
      <c r="BL91" s="2141" t="s">
        <v>1373</v>
      </c>
      <c r="BM91" s="33">
        <v>300</v>
      </c>
      <c r="BN91" s="33">
        <v>115</v>
      </c>
      <c r="BO91" s="33">
        <v>20</v>
      </c>
      <c r="BP91" s="323">
        <v>20</v>
      </c>
      <c r="BQ91" s="323">
        <v>20</v>
      </c>
      <c r="BR91" s="323">
        <f t="shared" si="41"/>
        <v>13.333333333333334</v>
      </c>
      <c r="BS91" s="323">
        <v>10</v>
      </c>
      <c r="BT91" s="323">
        <v>30</v>
      </c>
      <c r="BU91" s="1001">
        <v>6.9000000000000006E-2</v>
      </c>
      <c r="BV91" s="357">
        <v>0</v>
      </c>
      <c r="BW91" s="357"/>
      <c r="BX91" s="357"/>
      <c r="BY91" s="357"/>
      <c r="BZ91" s="357"/>
      <c r="CA91" s="357"/>
      <c r="CB91" s="357"/>
      <c r="CC91" s="357"/>
    </row>
    <row r="92" spans="1:81" ht="15.75">
      <c r="A92" s="546"/>
      <c r="B92" s="357"/>
      <c r="C92" s="357"/>
      <c r="D92" s="546"/>
      <c r="E92" s="357"/>
      <c r="F92" s="357"/>
      <c r="G92" s="357"/>
      <c r="H92" s="357"/>
      <c r="I92" s="357"/>
      <c r="J92" s="357"/>
      <c r="K92" s="357"/>
      <c r="L92" s="357"/>
      <c r="M92" s="357"/>
      <c r="N92" s="357"/>
      <c r="O92" s="357"/>
      <c r="P92" s="357"/>
      <c r="Q92" s="357"/>
      <c r="R92" s="357"/>
      <c r="S92" s="357"/>
      <c r="T92" s="357"/>
      <c r="U92" s="1395"/>
      <c r="V92" s="357"/>
      <c r="W92" s="357"/>
      <c r="X92" s="357"/>
      <c r="Z92" s="357"/>
      <c r="AA92" s="357"/>
      <c r="AB92" s="1408"/>
      <c r="AC92" s="1408"/>
      <c r="AD92" s="2255"/>
      <c r="AE92" s="2255"/>
      <c r="AF92" s="2255"/>
      <c r="AG92" s="1406"/>
      <c r="AH92" s="1406"/>
      <c r="AI92" s="1406"/>
      <c r="AJ92" s="1406"/>
      <c r="AK92" s="1406"/>
      <c r="AL92" s="1406"/>
      <c r="AM92" s="1406"/>
      <c r="AN92" s="1406"/>
      <c r="AO92" s="1406"/>
      <c r="AP92" s="1406"/>
      <c r="AQ92" s="1406"/>
      <c r="AR92" s="1406"/>
      <c r="AS92" s="1406"/>
      <c r="AT92" s="1406"/>
      <c r="AU92" s="1406"/>
      <c r="AV92" s="1406"/>
      <c r="AW92" s="1406"/>
      <c r="AX92" s="1406"/>
      <c r="AY92" s="1406"/>
      <c r="AZ92" s="1406"/>
      <c r="BA92" s="1406"/>
      <c r="BB92" s="1406"/>
      <c r="BC92" s="1406"/>
      <c r="BD92" s="1406"/>
      <c r="BE92" s="1406"/>
      <c r="BF92" s="1406"/>
      <c r="BG92" s="1406"/>
      <c r="BH92" s="1406"/>
      <c r="BI92" s="1406"/>
      <c r="BJ92" s="1406"/>
      <c r="BK92" s="1406"/>
      <c r="BL92" s="2141" t="s">
        <v>1290</v>
      </c>
      <c r="BM92" s="33">
        <v>600</v>
      </c>
      <c r="BN92" s="33">
        <v>175</v>
      </c>
      <c r="BO92" s="33">
        <v>20</v>
      </c>
      <c r="BP92" s="323">
        <v>20</v>
      </c>
      <c r="BQ92" s="323">
        <v>20</v>
      </c>
      <c r="BR92" s="323">
        <f t="shared" si="41"/>
        <v>13.333333333333334</v>
      </c>
      <c r="BS92" s="323">
        <v>15</v>
      </c>
      <c r="BT92" s="323">
        <v>30</v>
      </c>
      <c r="BU92" s="1001">
        <v>5.7000000000000002E-2</v>
      </c>
      <c r="BV92" s="357">
        <v>0</v>
      </c>
      <c r="BW92" s="357"/>
      <c r="BX92" s="357"/>
      <c r="BY92" s="357"/>
      <c r="BZ92" s="357"/>
      <c r="CA92" s="357"/>
      <c r="CB92" s="357"/>
      <c r="CC92" s="357"/>
    </row>
    <row r="93" spans="1:81" ht="15.75">
      <c r="A93" s="546"/>
      <c r="B93" s="357"/>
      <c r="C93" s="357"/>
      <c r="D93" s="546"/>
      <c r="E93" s="357"/>
      <c r="F93" s="357"/>
      <c r="G93" s="357"/>
      <c r="H93" s="357"/>
      <c r="I93" s="357"/>
      <c r="J93" s="357"/>
      <c r="K93" s="357"/>
      <c r="L93" s="357"/>
      <c r="M93" s="357"/>
      <c r="N93" s="357"/>
      <c r="O93" s="357"/>
      <c r="P93" s="357"/>
      <c r="Q93" s="357"/>
      <c r="R93" s="357"/>
      <c r="S93" s="357"/>
      <c r="T93" s="357"/>
      <c r="U93" s="1395"/>
      <c r="V93" s="357"/>
      <c r="W93" s="357"/>
      <c r="X93" s="357"/>
      <c r="Z93" s="357"/>
      <c r="AA93" s="357"/>
      <c r="AB93" s="1408"/>
      <c r="AC93" s="1408"/>
      <c r="AD93" s="2255"/>
      <c r="AE93" s="2255"/>
      <c r="AF93" s="2255"/>
      <c r="AG93" s="1406"/>
      <c r="AH93" s="1406"/>
      <c r="AI93" s="1406"/>
      <c r="AJ93" s="1406"/>
      <c r="AK93" s="1406"/>
      <c r="AL93" s="1406"/>
      <c r="AM93" s="1406"/>
      <c r="AN93" s="1406"/>
      <c r="AO93" s="1406"/>
      <c r="AP93" s="1406"/>
      <c r="AQ93" s="1406"/>
      <c r="AR93" s="1406"/>
      <c r="AS93" s="1406"/>
      <c r="AT93" s="1406"/>
      <c r="AU93" s="1406"/>
      <c r="AV93" s="1406"/>
      <c r="AW93" s="1406"/>
      <c r="AX93" s="1406"/>
      <c r="AY93" s="1406"/>
      <c r="AZ93" s="1406"/>
      <c r="BA93" s="1406"/>
      <c r="BB93" s="1406"/>
      <c r="BC93" s="1406"/>
      <c r="BD93" s="1406"/>
      <c r="BE93" s="1406"/>
      <c r="BF93" s="1406"/>
      <c r="BG93" s="1406"/>
      <c r="BH93" s="1406"/>
      <c r="BI93" s="1406"/>
      <c r="BJ93" s="1406"/>
      <c r="BK93" s="1406"/>
      <c r="BL93" s="2141" t="s">
        <v>1666</v>
      </c>
      <c r="BM93" s="33">
        <v>600</v>
      </c>
      <c r="BN93" s="33">
        <v>200</v>
      </c>
      <c r="BO93" s="33">
        <v>20</v>
      </c>
      <c r="BP93" s="323">
        <v>20</v>
      </c>
      <c r="BQ93" s="323">
        <v>20</v>
      </c>
      <c r="BR93" s="323">
        <v>26.666666666666668</v>
      </c>
      <c r="BS93" s="323">
        <v>40</v>
      </c>
      <c r="BT93" s="323">
        <v>30</v>
      </c>
      <c r="BU93" s="2146">
        <v>9.1999999999999998E-2</v>
      </c>
      <c r="BV93" s="357">
        <v>0</v>
      </c>
      <c r="BW93" s="357"/>
      <c r="BX93" s="357"/>
      <c r="BY93" s="357"/>
      <c r="BZ93" s="357"/>
      <c r="CA93" s="357"/>
      <c r="CB93" s="357"/>
      <c r="CC93" s="357"/>
    </row>
    <row r="94" spans="1:81" ht="15.75">
      <c r="A94" s="546"/>
      <c r="B94" s="357"/>
      <c r="C94" s="357"/>
      <c r="D94" s="546"/>
      <c r="E94" s="357"/>
      <c r="F94" s="357"/>
      <c r="G94" s="357"/>
      <c r="H94" s="357"/>
      <c r="I94" s="357"/>
      <c r="J94" s="357"/>
      <c r="K94" s="357"/>
      <c r="L94" s="357"/>
      <c r="M94" s="357"/>
      <c r="N94" s="357"/>
      <c r="O94" s="357"/>
      <c r="P94" s="357"/>
      <c r="Q94" s="357"/>
      <c r="R94" s="357"/>
      <c r="S94" s="357"/>
      <c r="T94" s="357"/>
      <c r="U94" s="1395"/>
      <c r="V94" s="357"/>
      <c r="W94" s="357"/>
      <c r="X94" s="357"/>
      <c r="Z94" s="357"/>
      <c r="AA94" s="357"/>
      <c r="AB94" s="1408"/>
      <c r="AC94" s="1408"/>
      <c r="AD94" s="2255"/>
      <c r="AE94" s="2255"/>
      <c r="AF94" s="1350"/>
      <c r="AG94" s="1406"/>
      <c r="AH94" s="1406"/>
      <c r="AI94" s="1406"/>
      <c r="AJ94" s="1406"/>
      <c r="AK94" s="1406"/>
      <c r="AL94" s="1406"/>
      <c r="AM94" s="1406"/>
      <c r="AN94" s="1406"/>
      <c r="AO94" s="1406"/>
      <c r="AP94" s="1406"/>
      <c r="AQ94" s="1406"/>
      <c r="AR94" s="1406"/>
      <c r="AS94" s="1406"/>
      <c r="AT94" s="1406"/>
      <c r="AU94" s="1406"/>
      <c r="AV94" s="1406"/>
      <c r="AW94" s="1406"/>
      <c r="AX94" s="1406"/>
      <c r="AY94" s="1406"/>
      <c r="AZ94" s="1406"/>
      <c r="BA94" s="1406"/>
      <c r="BB94" s="1406"/>
      <c r="BC94" s="1406"/>
      <c r="BD94" s="1406"/>
      <c r="BE94" s="1406"/>
      <c r="BF94" s="1406"/>
      <c r="BG94" s="1406"/>
      <c r="BH94" s="1406"/>
      <c r="BI94" s="1406"/>
      <c r="BJ94" s="1406"/>
      <c r="BK94" s="1406"/>
      <c r="BL94" s="2141" t="s">
        <v>1374</v>
      </c>
      <c r="BM94" s="33">
        <v>350</v>
      </c>
      <c r="BN94" s="33">
        <v>150</v>
      </c>
      <c r="BO94" s="33">
        <v>20</v>
      </c>
      <c r="BP94" s="323">
        <v>20</v>
      </c>
      <c r="BQ94" s="323">
        <v>20</v>
      </c>
      <c r="BR94" s="323">
        <f t="shared" ref="BR94:BR101" si="42">BQ94*2/3</f>
        <v>13.333333333333334</v>
      </c>
      <c r="BS94" s="323">
        <v>15</v>
      </c>
      <c r="BT94" s="323">
        <v>60</v>
      </c>
      <c r="BU94" s="1001">
        <v>0.06</v>
      </c>
      <c r="BV94" s="357">
        <v>0</v>
      </c>
      <c r="BW94" s="357"/>
      <c r="BX94" s="357"/>
      <c r="BY94" s="357"/>
      <c r="BZ94" s="357"/>
      <c r="CA94" s="357"/>
      <c r="CB94" s="357"/>
      <c r="CC94" s="357"/>
    </row>
    <row r="95" spans="1:81" ht="15.75">
      <c r="A95" s="546"/>
      <c r="B95" s="357"/>
      <c r="C95" s="357"/>
      <c r="D95" s="546"/>
      <c r="E95" s="357"/>
      <c r="F95" s="357"/>
      <c r="G95" s="357"/>
      <c r="H95" s="357"/>
      <c r="I95" s="357"/>
      <c r="J95" s="357"/>
      <c r="K95" s="357"/>
      <c r="L95" s="357"/>
      <c r="M95" s="357"/>
      <c r="N95" s="357"/>
      <c r="O95" s="357"/>
      <c r="P95" s="357"/>
      <c r="Q95" s="357"/>
      <c r="R95" s="357"/>
      <c r="S95" s="357"/>
      <c r="T95" s="357"/>
      <c r="U95" s="1395"/>
      <c r="V95" s="357"/>
      <c r="W95" s="357"/>
      <c r="X95" s="357"/>
      <c r="Z95" s="357"/>
      <c r="AA95" s="357"/>
      <c r="AB95" s="1408"/>
      <c r="AC95" s="1408"/>
      <c r="AD95" s="2255"/>
      <c r="AE95" s="2255"/>
      <c r="AF95" s="1350"/>
      <c r="AG95" s="1406"/>
      <c r="AH95" s="1406"/>
      <c r="AI95" s="1406"/>
      <c r="AJ95" s="1406"/>
      <c r="AK95" s="1406"/>
      <c r="AL95" s="1406"/>
      <c r="AM95" s="1406"/>
      <c r="AN95" s="1406"/>
      <c r="AO95" s="1406"/>
      <c r="AP95" s="1406"/>
      <c r="AQ95" s="1406"/>
      <c r="AR95" s="1406"/>
      <c r="AS95" s="1406"/>
      <c r="AT95" s="1406"/>
      <c r="AU95" s="1406"/>
      <c r="AV95" s="1406"/>
      <c r="AW95" s="1406"/>
      <c r="AX95" s="1406"/>
      <c r="AY95" s="1406"/>
      <c r="AZ95" s="1406"/>
      <c r="BA95" s="1406"/>
      <c r="BB95" s="1406"/>
      <c r="BC95" s="1406"/>
      <c r="BD95" s="1406"/>
      <c r="BE95" s="1406"/>
      <c r="BF95" s="1406"/>
      <c r="BG95" s="1406"/>
      <c r="BH95" s="1406"/>
      <c r="BI95" s="1406"/>
      <c r="BJ95" s="1406"/>
      <c r="BK95" s="1406"/>
      <c r="BL95" s="2141" t="s">
        <v>1375</v>
      </c>
      <c r="BM95" s="33">
        <v>600</v>
      </c>
      <c r="BN95" s="33">
        <v>190</v>
      </c>
      <c r="BO95" s="33">
        <v>20</v>
      </c>
      <c r="BP95" s="323">
        <v>20</v>
      </c>
      <c r="BQ95" s="323">
        <v>20</v>
      </c>
      <c r="BR95" s="323">
        <f t="shared" si="42"/>
        <v>13.333333333333334</v>
      </c>
      <c r="BS95" s="323">
        <v>20</v>
      </c>
      <c r="BT95" s="323">
        <v>60</v>
      </c>
      <c r="BU95" s="1001">
        <v>0.06</v>
      </c>
      <c r="BV95" s="357">
        <v>0</v>
      </c>
      <c r="BW95" s="357"/>
      <c r="BX95" s="357"/>
      <c r="BY95" s="357"/>
      <c r="BZ95" s="357"/>
      <c r="CA95" s="357"/>
      <c r="CB95" s="357"/>
      <c r="CC95" s="357"/>
    </row>
    <row r="96" spans="1:81" ht="15.75">
      <c r="A96" s="546"/>
      <c r="B96" s="357"/>
      <c r="C96" s="357"/>
      <c r="D96" s="546"/>
      <c r="E96" s="357"/>
      <c r="F96" s="357"/>
      <c r="G96" s="357"/>
      <c r="H96" s="357"/>
      <c r="I96" s="357"/>
      <c r="J96" s="357"/>
      <c r="K96" s="357"/>
      <c r="L96" s="357"/>
      <c r="M96" s="357"/>
      <c r="N96" s="357"/>
      <c r="O96" s="357"/>
      <c r="P96" s="357"/>
      <c r="Q96" s="357"/>
      <c r="R96" s="357"/>
      <c r="S96" s="357"/>
      <c r="T96" s="357"/>
      <c r="U96" s="1395"/>
      <c r="V96" s="357"/>
      <c r="W96" s="357"/>
      <c r="X96" s="357"/>
      <c r="Z96" s="357"/>
      <c r="AA96" s="357"/>
      <c r="AB96" s="1408"/>
      <c r="AC96" s="1408"/>
      <c r="AD96" s="2255"/>
      <c r="AE96" s="2255"/>
      <c r="AF96" s="1350"/>
      <c r="AG96" s="1406"/>
      <c r="AH96" s="1406"/>
      <c r="AI96" s="1406"/>
      <c r="AJ96" s="1406"/>
      <c r="AK96" s="1406"/>
      <c r="AL96" s="1406"/>
      <c r="AM96" s="1406"/>
      <c r="AN96" s="1406"/>
      <c r="AO96" s="1406"/>
      <c r="AP96" s="1406"/>
      <c r="AQ96" s="1406"/>
      <c r="AR96" s="1406"/>
      <c r="AS96" s="1406"/>
      <c r="AT96" s="1406"/>
      <c r="AU96" s="1406"/>
      <c r="AV96" s="1406"/>
      <c r="AW96" s="1406"/>
      <c r="AX96" s="1406"/>
      <c r="AY96" s="1406"/>
      <c r="AZ96" s="1406"/>
      <c r="BA96" s="1406"/>
      <c r="BB96" s="1406"/>
      <c r="BC96" s="1406"/>
      <c r="BD96" s="1406"/>
      <c r="BE96" s="1406"/>
      <c r="BF96" s="1406"/>
      <c r="BG96" s="1406"/>
      <c r="BH96" s="1406"/>
      <c r="BI96" s="1406"/>
      <c r="BJ96" s="1406"/>
      <c r="BK96" s="1406"/>
      <c r="BL96" s="2141" t="s">
        <v>1291</v>
      </c>
      <c r="BM96" s="33">
        <v>500</v>
      </c>
      <c r="BN96" s="33">
        <v>150</v>
      </c>
      <c r="BO96" s="33">
        <v>20</v>
      </c>
      <c r="BP96" s="323">
        <v>20</v>
      </c>
      <c r="BQ96" s="323">
        <v>20</v>
      </c>
      <c r="BR96" s="323">
        <f t="shared" si="42"/>
        <v>13.333333333333334</v>
      </c>
      <c r="BS96" s="323">
        <v>10</v>
      </c>
      <c r="BT96" s="323">
        <v>30</v>
      </c>
      <c r="BU96" s="1001">
        <v>6.9000000000000006E-2</v>
      </c>
      <c r="BV96" s="357">
        <v>0</v>
      </c>
      <c r="BW96" s="357"/>
      <c r="BX96" s="357"/>
      <c r="BY96" s="357"/>
      <c r="BZ96" s="357"/>
      <c r="CA96" s="357"/>
      <c r="CB96" s="357"/>
      <c r="CC96" s="357"/>
    </row>
    <row r="97" spans="1:81" ht="15.75">
      <c r="A97" s="546"/>
      <c r="B97" s="357"/>
      <c r="C97" s="357"/>
      <c r="D97" s="546"/>
      <c r="E97" s="357"/>
      <c r="F97" s="357"/>
      <c r="G97" s="357"/>
      <c r="H97" s="357"/>
      <c r="I97" s="357"/>
      <c r="J97" s="357"/>
      <c r="K97" s="357"/>
      <c r="L97" s="357"/>
      <c r="M97" s="357"/>
      <c r="N97" s="357"/>
      <c r="O97" s="357"/>
      <c r="P97" s="357"/>
      <c r="Q97" s="357"/>
      <c r="R97" s="357"/>
      <c r="S97" s="357"/>
      <c r="T97" s="357"/>
      <c r="U97" s="1395"/>
      <c r="V97" s="357"/>
      <c r="W97" s="357"/>
      <c r="X97" s="357"/>
      <c r="Z97" s="357"/>
      <c r="AA97" s="357"/>
      <c r="AB97" s="1405"/>
      <c r="AC97" s="1405"/>
      <c r="AD97" s="2255"/>
      <c r="AE97" s="2255"/>
      <c r="AF97" s="1350"/>
      <c r="AG97" s="1406"/>
      <c r="AH97" s="1406"/>
      <c r="AI97" s="1406"/>
      <c r="AJ97" s="1406"/>
      <c r="AK97" s="1406"/>
      <c r="AL97" s="1406"/>
      <c r="AM97" s="1406"/>
      <c r="AN97" s="1406"/>
      <c r="AO97" s="1406"/>
      <c r="AP97" s="1406"/>
      <c r="AQ97" s="1406"/>
      <c r="AR97" s="1406"/>
      <c r="AS97" s="1406"/>
      <c r="AT97" s="1406"/>
      <c r="AU97" s="1406"/>
      <c r="AV97" s="1406"/>
      <c r="AW97" s="1406"/>
      <c r="AX97" s="1406"/>
      <c r="AY97" s="1406"/>
      <c r="AZ97" s="1406"/>
      <c r="BA97" s="1406"/>
      <c r="BB97" s="1406"/>
      <c r="BC97" s="1406"/>
      <c r="BD97" s="1406"/>
      <c r="BE97" s="1406"/>
      <c r="BF97" s="1406"/>
      <c r="BG97" s="1406"/>
      <c r="BH97" s="1406"/>
      <c r="BI97" s="1406"/>
      <c r="BJ97" s="1406"/>
      <c r="BK97" s="1406"/>
      <c r="BL97" s="2141" t="s">
        <v>1292</v>
      </c>
      <c r="BM97" s="33">
        <v>280</v>
      </c>
      <c r="BN97" s="33">
        <v>140</v>
      </c>
      <c r="BO97" s="33">
        <v>20</v>
      </c>
      <c r="BP97" s="323">
        <v>20</v>
      </c>
      <c r="BQ97" s="323">
        <v>20</v>
      </c>
      <c r="BR97" s="323">
        <f t="shared" si="42"/>
        <v>13.333333333333334</v>
      </c>
      <c r="BS97" s="323">
        <v>30</v>
      </c>
      <c r="BT97" s="323">
        <v>60</v>
      </c>
      <c r="BU97" s="1001">
        <v>9.1999999999999998E-2</v>
      </c>
      <c r="BV97" s="357">
        <v>0</v>
      </c>
      <c r="BW97" s="357"/>
      <c r="BX97" s="357"/>
      <c r="BY97" s="357"/>
      <c r="BZ97" s="357"/>
      <c r="CA97" s="357"/>
      <c r="CB97" s="357"/>
      <c r="CC97" s="357"/>
    </row>
    <row r="98" spans="1:81" ht="15.75">
      <c r="A98" s="546"/>
      <c r="B98" s="357"/>
      <c r="C98" s="357"/>
      <c r="D98" s="546"/>
      <c r="E98" s="357"/>
      <c r="F98" s="357"/>
      <c r="G98" s="357"/>
      <c r="H98" s="357"/>
      <c r="I98" s="357"/>
      <c r="J98" s="357"/>
      <c r="K98" s="357"/>
      <c r="L98" s="357"/>
      <c r="M98" s="357"/>
      <c r="N98" s="357"/>
      <c r="O98" s="357"/>
      <c r="P98" s="357"/>
      <c r="Q98" s="357"/>
      <c r="R98" s="357"/>
      <c r="S98" s="357"/>
      <c r="T98" s="357"/>
      <c r="U98" s="1395"/>
      <c r="V98" s="357"/>
      <c r="W98" s="357"/>
      <c r="X98" s="357"/>
      <c r="Z98" s="357"/>
      <c r="AA98" s="357"/>
      <c r="AB98" s="1344"/>
      <c r="AC98" s="1344"/>
      <c r="AD98" s="2255"/>
      <c r="AE98" s="2255"/>
      <c r="AF98" s="1350"/>
      <c r="AG98" s="1406"/>
      <c r="AH98" s="1406"/>
      <c r="AI98" s="1406"/>
      <c r="AJ98" s="1406"/>
      <c r="AK98" s="1406"/>
      <c r="AL98" s="1406"/>
      <c r="AM98" s="1406"/>
      <c r="AN98" s="1406"/>
      <c r="AO98" s="1406"/>
      <c r="AP98" s="1406"/>
      <c r="AQ98" s="1406"/>
      <c r="AR98" s="1406"/>
      <c r="AS98" s="1406"/>
      <c r="AT98" s="1406"/>
      <c r="AU98" s="1406"/>
      <c r="AV98" s="1406"/>
      <c r="AW98" s="1406"/>
      <c r="AX98" s="1406"/>
      <c r="AY98" s="1406"/>
      <c r="AZ98" s="1406"/>
      <c r="BA98" s="1406"/>
      <c r="BB98" s="1406"/>
      <c r="BC98" s="1406"/>
      <c r="BD98" s="1406"/>
      <c r="BE98" s="1406"/>
      <c r="BF98" s="1406"/>
      <c r="BG98" s="1406"/>
      <c r="BH98" s="1406"/>
      <c r="BI98" s="1406"/>
      <c r="BJ98" s="1406"/>
      <c r="BK98" s="1406"/>
      <c r="BL98" s="2141" t="s">
        <v>1294</v>
      </c>
      <c r="BM98" s="33">
        <v>450</v>
      </c>
      <c r="BN98" s="33">
        <v>140</v>
      </c>
      <c r="BO98" s="33">
        <v>20</v>
      </c>
      <c r="BP98" s="323">
        <v>20</v>
      </c>
      <c r="BQ98" s="323">
        <v>20</v>
      </c>
      <c r="BR98" s="323">
        <f t="shared" si="42"/>
        <v>13.333333333333334</v>
      </c>
      <c r="BS98" s="323">
        <v>10</v>
      </c>
      <c r="BT98" s="323">
        <v>60</v>
      </c>
      <c r="BU98" s="1001">
        <v>9.1999999999999998E-2</v>
      </c>
      <c r="BV98" s="357">
        <v>0</v>
      </c>
      <c r="BW98" s="357"/>
      <c r="BX98" s="357"/>
      <c r="BY98" s="357"/>
      <c r="BZ98" s="357"/>
      <c r="CA98" s="357"/>
      <c r="CB98" s="357"/>
      <c r="CC98" s="357"/>
    </row>
    <row r="99" spans="1:81" ht="15.75">
      <c r="A99" s="546"/>
      <c r="B99" s="357"/>
      <c r="C99" s="357"/>
      <c r="D99" s="546"/>
      <c r="E99" s="357"/>
      <c r="F99" s="357"/>
      <c r="G99" s="357"/>
      <c r="H99" s="357"/>
      <c r="I99" s="357"/>
      <c r="J99" s="357"/>
      <c r="K99" s="357"/>
      <c r="L99" s="357"/>
      <c r="M99" s="357"/>
      <c r="N99" s="357"/>
      <c r="O99" s="357"/>
      <c r="P99" s="357"/>
      <c r="Q99" s="357"/>
      <c r="R99" s="357"/>
      <c r="S99" s="357"/>
      <c r="T99" s="357"/>
      <c r="U99" s="1395"/>
      <c r="V99" s="357"/>
      <c r="W99" s="357"/>
      <c r="X99" s="357"/>
      <c r="Z99" s="357"/>
      <c r="AA99" s="357"/>
      <c r="AB99" s="1344"/>
      <c r="AC99" s="1344"/>
      <c r="AD99" s="2255"/>
      <c r="AE99" s="2255"/>
      <c r="AF99" s="2255"/>
      <c r="AG99" s="2258"/>
      <c r="AH99" s="2258"/>
      <c r="AI99" s="2258"/>
      <c r="AJ99" s="2258"/>
      <c r="AK99" s="2258"/>
      <c r="AL99" s="2258"/>
      <c r="AM99" s="2258"/>
      <c r="AN99" s="2258"/>
      <c r="AO99" s="2258"/>
      <c r="AP99" s="2258"/>
      <c r="AQ99" s="2258"/>
      <c r="AR99" s="2258"/>
      <c r="AS99" s="2258"/>
      <c r="AT99" s="2258"/>
      <c r="AU99" s="2258"/>
      <c r="AV99" s="2258"/>
      <c r="AW99" s="2258"/>
      <c r="AX99" s="2258"/>
      <c r="AY99" s="2258"/>
      <c r="AZ99" s="2258"/>
      <c r="BA99" s="2258"/>
      <c r="BB99" s="2258"/>
      <c r="BC99" s="2258"/>
      <c r="BD99" s="2258"/>
      <c r="BE99" s="2258"/>
      <c r="BF99" s="2258"/>
      <c r="BG99" s="2258"/>
      <c r="BH99" s="2258"/>
      <c r="BI99" s="2258"/>
      <c r="BJ99" s="2258"/>
      <c r="BK99" s="2258"/>
      <c r="BL99" s="2141" t="s">
        <v>1376</v>
      </c>
      <c r="BM99" s="33">
        <v>300</v>
      </c>
      <c r="BN99" s="33">
        <v>150</v>
      </c>
      <c r="BO99" s="33">
        <v>20</v>
      </c>
      <c r="BP99" s="323">
        <v>20</v>
      </c>
      <c r="BQ99" s="323">
        <v>20</v>
      </c>
      <c r="BR99" s="323">
        <f t="shared" si="42"/>
        <v>13.333333333333334</v>
      </c>
      <c r="BS99" s="323">
        <v>15</v>
      </c>
      <c r="BT99" s="323">
        <v>30</v>
      </c>
      <c r="BU99" s="1001">
        <v>9.1999999999999998E-2</v>
      </c>
      <c r="BV99" s="357">
        <v>0</v>
      </c>
      <c r="BW99" s="357"/>
      <c r="BX99" s="357"/>
      <c r="BY99" s="357"/>
      <c r="BZ99" s="357"/>
      <c r="CA99" s="357"/>
      <c r="CB99" s="357"/>
      <c r="CC99" s="357"/>
    </row>
    <row r="100" spans="1:81" ht="15.75">
      <c r="A100" s="546"/>
      <c r="B100" s="357"/>
      <c r="C100" s="357"/>
      <c r="D100" s="546"/>
      <c r="E100" s="357"/>
      <c r="F100" s="357"/>
      <c r="G100" s="357"/>
      <c r="H100" s="357"/>
      <c r="I100" s="357"/>
      <c r="J100" s="357"/>
      <c r="K100" s="357"/>
      <c r="L100" s="357"/>
      <c r="M100" s="357"/>
      <c r="N100" s="357"/>
      <c r="O100" s="357"/>
      <c r="P100" s="357"/>
      <c r="Q100" s="357"/>
      <c r="R100" s="357"/>
      <c r="S100" s="357"/>
      <c r="T100" s="357"/>
      <c r="U100" s="1395"/>
      <c r="V100" s="357"/>
      <c r="W100" s="357"/>
      <c r="X100" s="357"/>
      <c r="Z100" s="357"/>
      <c r="AA100" s="357"/>
      <c r="AB100" s="1344"/>
      <c r="AC100" s="1344"/>
      <c r="AD100" s="2255"/>
      <c r="AE100" s="2255"/>
      <c r="AF100" s="1350"/>
      <c r="AG100" s="1406"/>
      <c r="AH100" s="1406"/>
      <c r="AI100" s="1406"/>
      <c r="AJ100" s="1406"/>
      <c r="AK100" s="1406"/>
      <c r="AL100" s="1406"/>
      <c r="AM100" s="1406"/>
      <c r="AN100" s="1406"/>
      <c r="AO100" s="1406"/>
      <c r="AP100" s="1406"/>
      <c r="AQ100" s="1406"/>
      <c r="AR100" s="1406"/>
      <c r="AS100" s="1406"/>
      <c r="AT100" s="1406"/>
      <c r="AU100" s="1406"/>
      <c r="AV100" s="1406"/>
      <c r="AW100" s="1406"/>
      <c r="AX100" s="1406"/>
      <c r="AY100" s="1406"/>
      <c r="AZ100" s="1406"/>
      <c r="BA100" s="1406"/>
      <c r="BB100" s="1406"/>
      <c r="BC100" s="1406"/>
      <c r="BD100" s="1406"/>
      <c r="BE100" s="1406"/>
      <c r="BF100" s="1406"/>
      <c r="BG100" s="1406"/>
      <c r="BH100" s="1406"/>
      <c r="BI100" s="1406"/>
      <c r="BJ100" s="1406"/>
      <c r="BK100" s="1406"/>
      <c r="BL100" s="2141" t="s">
        <v>1293</v>
      </c>
      <c r="BM100" s="33">
        <v>450</v>
      </c>
      <c r="BN100" s="33">
        <v>150</v>
      </c>
      <c r="BO100" s="33">
        <v>20</v>
      </c>
      <c r="BP100" s="323">
        <v>20</v>
      </c>
      <c r="BQ100" s="323">
        <v>20</v>
      </c>
      <c r="BR100" s="323">
        <f t="shared" si="42"/>
        <v>13.333333333333334</v>
      </c>
      <c r="BS100" s="323">
        <v>10</v>
      </c>
      <c r="BT100" s="323">
        <v>30</v>
      </c>
      <c r="BU100" s="1001">
        <v>6.9000000000000006E-2</v>
      </c>
      <c r="BV100" s="357">
        <v>0</v>
      </c>
      <c r="BW100" s="357"/>
      <c r="BX100" s="357"/>
      <c r="BY100" s="357"/>
      <c r="BZ100" s="357"/>
      <c r="CA100" s="357"/>
      <c r="CB100" s="357"/>
      <c r="CC100" s="357"/>
    </row>
    <row r="101" spans="1:81" ht="15.75">
      <c r="A101" s="546"/>
      <c r="B101" s="357"/>
      <c r="C101" s="357"/>
      <c r="D101" s="546"/>
      <c r="E101" s="357"/>
      <c r="F101" s="357"/>
      <c r="G101" s="357"/>
      <c r="H101" s="357"/>
      <c r="I101" s="357"/>
      <c r="J101" s="357"/>
      <c r="K101" s="357"/>
      <c r="L101" s="357"/>
      <c r="M101" s="357"/>
      <c r="N101" s="357"/>
      <c r="O101" s="357"/>
      <c r="P101" s="357"/>
      <c r="Q101" s="357"/>
      <c r="R101" s="357"/>
      <c r="S101" s="357"/>
      <c r="T101" s="357"/>
      <c r="U101" s="1395"/>
      <c r="V101" s="357"/>
      <c r="W101" s="357"/>
      <c r="X101" s="357"/>
      <c r="Z101" s="357"/>
      <c r="AA101" s="357"/>
      <c r="AB101" s="1405"/>
      <c r="AC101" s="1405"/>
      <c r="AD101" s="2248"/>
      <c r="AE101" s="2248"/>
      <c r="AF101" s="2248"/>
      <c r="AG101" s="1409"/>
      <c r="AH101" s="1409"/>
      <c r="AI101" s="1409"/>
      <c r="AJ101" s="1409"/>
      <c r="AK101" s="1410"/>
      <c r="AL101" s="1410"/>
      <c r="AM101" s="1410"/>
      <c r="AN101" s="1410"/>
      <c r="AO101" s="1410"/>
      <c r="AP101" s="1410"/>
      <c r="AQ101" s="1410"/>
      <c r="AR101" s="1410"/>
      <c r="AS101" s="1410"/>
      <c r="AT101" s="1410"/>
      <c r="AU101" s="1410"/>
      <c r="AV101" s="1410"/>
      <c r="AW101" s="1410"/>
      <c r="AX101" s="1410"/>
      <c r="AY101" s="1410"/>
      <c r="AZ101" s="1410"/>
      <c r="BA101" s="1410"/>
      <c r="BB101" s="1410"/>
      <c r="BC101" s="1410"/>
      <c r="BD101" s="1410"/>
      <c r="BE101" s="1410"/>
      <c r="BF101" s="1410"/>
      <c r="BG101" s="1410"/>
      <c r="BH101" s="1410"/>
      <c r="BI101" s="1410"/>
      <c r="BJ101" s="1410"/>
      <c r="BK101" s="1410"/>
      <c r="BL101" s="2141" t="s">
        <v>1295</v>
      </c>
      <c r="BM101" s="33">
        <v>600</v>
      </c>
      <c r="BN101" s="33">
        <v>190</v>
      </c>
      <c r="BO101" s="33">
        <v>20</v>
      </c>
      <c r="BP101" s="323">
        <v>20</v>
      </c>
      <c r="BQ101" s="323">
        <v>20</v>
      </c>
      <c r="BR101" s="323">
        <f t="shared" si="42"/>
        <v>13.333333333333334</v>
      </c>
      <c r="BS101" s="323">
        <v>20</v>
      </c>
      <c r="BT101" s="323">
        <v>60</v>
      </c>
      <c r="BU101" s="1001">
        <v>0.115</v>
      </c>
      <c r="BV101" s="357">
        <v>0</v>
      </c>
      <c r="BW101" s="357"/>
      <c r="BX101" s="357"/>
      <c r="BY101" s="357"/>
      <c r="BZ101" s="357"/>
      <c r="CA101" s="357"/>
      <c r="CB101" s="357"/>
      <c r="CC101" s="357"/>
    </row>
    <row r="102" spans="1:81" ht="15.75">
      <c r="A102" s="546"/>
      <c r="B102" s="357"/>
      <c r="C102" s="357"/>
      <c r="D102" s="546"/>
      <c r="E102" s="357"/>
      <c r="F102" s="357"/>
      <c r="G102" s="357"/>
      <c r="H102" s="357"/>
      <c r="I102" s="357"/>
      <c r="J102" s="357"/>
      <c r="K102" s="357"/>
      <c r="L102" s="357"/>
      <c r="M102" s="357"/>
      <c r="N102" s="357"/>
      <c r="O102" s="357"/>
      <c r="P102" s="357"/>
      <c r="Q102" s="357"/>
      <c r="R102" s="357"/>
      <c r="S102" s="357"/>
      <c r="T102" s="357"/>
      <c r="U102" s="1395"/>
      <c r="V102" s="357"/>
      <c r="W102" s="357"/>
      <c r="X102" s="357"/>
      <c r="Z102" s="357"/>
      <c r="AA102" s="357"/>
      <c r="AB102" s="1405"/>
      <c r="AC102" s="1405"/>
      <c r="AD102" s="2248"/>
      <c r="AE102" s="2248"/>
      <c r="AF102" s="2248"/>
      <c r="AG102" s="1409"/>
      <c r="AH102" s="1409"/>
      <c r="AI102" s="1409"/>
      <c r="AJ102" s="1409"/>
      <c r="AK102" s="1410"/>
      <c r="AL102" s="1410"/>
      <c r="AM102" s="1410"/>
      <c r="AN102" s="1410"/>
      <c r="AO102" s="1410"/>
      <c r="AP102" s="1410"/>
      <c r="AQ102" s="1410"/>
      <c r="AR102" s="1410"/>
      <c r="AS102" s="1410"/>
      <c r="AT102" s="1410"/>
      <c r="AU102" s="1410"/>
      <c r="AV102" s="1410"/>
      <c r="AW102" s="1410"/>
      <c r="AX102" s="1410"/>
      <c r="AY102" s="1410"/>
      <c r="AZ102" s="1410"/>
      <c r="BA102" s="1410"/>
      <c r="BB102" s="1410"/>
      <c r="BC102" s="1410"/>
      <c r="BD102" s="1410"/>
      <c r="BE102" s="1410"/>
      <c r="BF102" s="1410"/>
      <c r="BG102" s="1410"/>
      <c r="BH102" s="1410"/>
      <c r="BI102" s="1410"/>
      <c r="BJ102" s="1410"/>
      <c r="BK102" s="1410"/>
      <c r="BL102" s="2159" t="s">
        <v>1667</v>
      </c>
      <c r="BM102" s="33">
        <v>350</v>
      </c>
      <c r="BN102" s="33">
        <v>210</v>
      </c>
      <c r="BO102" s="33">
        <v>10</v>
      </c>
      <c r="BP102" s="2158">
        <v>21</v>
      </c>
      <c r="BQ102" s="2158">
        <v>21</v>
      </c>
      <c r="BR102" s="2152">
        <v>0</v>
      </c>
      <c r="BS102" s="2152">
        <v>0</v>
      </c>
      <c r="BT102" s="2152">
        <v>60</v>
      </c>
      <c r="BU102" s="2155">
        <v>0.11</v>
      </c>
      <c r="BV102" s="357">
        <v>0</v>
      </c>
      <c r="BW102" s="357"/>
      <c r="BX102" s="357"/>
      <c r="BY102" s="357"/>
      <c r="BZ102" s="357"/>
      <c r="CA102" s="357"/>
      <c r="CB102" s="357"/>
      <c r="CC102" s="357"/>
    </row>
    <row r="103" spans="1:81">
      <c r="A103" s="546"/>
      <c r="B103" s="357"/>
      <c r="C103" s="357"/>
      <c r="D103" s="546"/>
      <c r="E103" s="357"/>
      <c r="F103" s="357"/>
      <c r="G103" s="357"/>
      <c r="H103" s="357"/>
      <c r="I103" s="357"/>
      <c r="J103" s="357"/>
      <c r="K103" s="357"/>
      <c r="L103" s="357"/>
      <c r="M103" s="357"/>
      <c r="N103" s="357"/>
      <c r="O103" s="357"/>
      <c r="P103" s="357"/>
      <c r="Q103" s="357"/>
      <c r="R103" s="357"/>
      <c r="S103" s="357"/>
      <c r="T103" s="357"/>
      <c r="U103" s="1395"/>
      <c r="V103" s="357"/>
      <c r="W103" s="357"/>
      <c r="X103" s="357"/>
      <c r="Z103" s="357"/>
      <c r="AA103" s="357"/>
      <c r="AB103" s="2248"/>
      <c r="AC103" s="2248"/>
      <c r="AD103" s="2248"/>
      <c r="AE103" s="2248"/>
      <c r="AF103" s="2248"/>
      <c r="AG103" s="2248"/>
      <c r="AH103" s="2248"/>
      <c r="AI103" s="2248"/>
      <c r="AJ103" s="2248"/>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2159" t="s">
        <v>1668</v>
      </c>
      <c r="BM103" s="33">
        <v>300</v>
      </c>
      <c r="BN103" s="33">
        <v>130</v>
      </c>
      <c r="BO103" s="33">
        <v>10</v>
      </c>
      <c r="BP103" s="2158">
        <v>13</v>
      </c>
      <c r="BQ103" s="2158">
        <v>13</v>
      </c>
      <c r="BR103" s="2152">
        <v>0</v>
      </c>
      <c r="BS103" s="2152">
        <v>0</v>
      </c>
      <c r="BT103" s="2152">
        <v>60</v>
      </c>
      <c r="BU103" s="2155">
        <v>0.08</v>
      </c>
      <c r="BV103" s="357">
        <v>0</v>
      </c>
      <c r="BW103" s="357"/>
      <c r="BX103" s="357"/>
      <c r="BY103" s="357"/>
      <c r="BZ103" s="357"/>
      <c r="CA103" s="357"/>
      <c r="CB103" s="357"/>
      <c r="CC103" s="357"/>
    </row>
    <row r="104" spans="1:81" ht="15.75">
      <c r="A104" s="546"/>
      <c r="B104" s="357"/>
      <c r="C104" s="357"/>
      <c r="D104" s="546"/>
      <c r="E104" s="357"/>
      <c r="F104" s="357"/>
      <c r="G104" s="357"/>
      <c r="H104" s="357"/>
      <c r="I104" s="357"/>
      <c r="J104" s="357"/>
      <c r="K104" s="357"/>
      <c r="L104" s="357"/>
      <c r="M104" s="357"/>
      <c r="N104" s="357"/>
      <c r="O104" s="357"/>
      <c r="P104" s="357"/>
      <c r="Q104" s="357"/>
      <c r="R104" s="357"/>
      <c r="S104" s="357"/>
      <c r="T104" s="357"/>
      <c r="U104" s="1395"/>
      <c r="V104" s="357"/>
      <c r="W104" s="357"/>
      <c r="X104" s="357"/>
      <c r="Z104" s="357"/>
      <c r="AA104" s="357"/>
      <c r="AB104" s="2248"/>
      <c r="AC104" s="2248"/>
      <c r="AD104" s="2248"/>
      <c r="AE104" s="2248"/>
      <c r="AF104" s="1411"/>
      <c r="AG104" s="1412"/>
      <c r="AH104" s="1412"/>
      <c r="AI104" s="1412"/>
      <c r="AJ104" s="1412"/>
      <c r="AK104" s="1413"/>
      <c r="AL104" s="1413"/>
      <c r="AM104" s="1413"/>
      <c r="AN104" s="1413"/>
      <c r="AO104" s="1413"/>
      <c r="AP104" s="1413"/>
      <c r="AQ104" s="1413"/>
      <c r="AR104" s="1413"/>
      <c r="AS104" s="1413"/>
      <c r="AT104" s="1413"/>
      <c r="AU104" s="1413"/>
      <c r="AV104" s="1413"/>
      <c r="AW104" s="1413"/>
      <c r="AX104" s="1413"/>
      <c r="AY104" s="1413"/>
      <c r="AZ104" s="1413"/>
      <c r="BA104" s="1413"/>
      <c r="BB104" s="1413"/>
      <c r="BC104" s="1413"/>
      <c r="BD104" s="1413"/>
      <c r="BE104" s="1413"/>
      <c r="BF104" s="1413"/>
      <c r="BG104" s="1413"/>
      <c r="BH104" s="1413"/>
      <c r="BI104" s="1413"/>
      <c r="BJ104" s="1413"/>
      <c r="BK104" s="1413"/>
      <c r="BL104" s="2141" t="s">
        <v>1669</v>
      </c>
      <c r="BM104" s="33">
        <v>200</v>
      </c>
      <c r="BN104" s="33">
        <v>145</v>
      </c>
      <c r="BO104" s="33">
        <v>10</v>
      </c>
      <c r="BP104" s="2153">
        <v>7</v>
      </c>
      <c r="BQ104" s="2153">
        <v>7</v>
      </c>
      <c r="BR104" s="2164">
        <v>0</v>
      </c>
      <c r="BS104" s="2164">
        <v>0</v>
      </c>
      <c r="BT104" s="2164">
        <v>60</v>
      </c>
      <c r="BU104" s="2157">
        <v>0.09</v>
      </c>
      <c r="BV104" s="357">
        <v>0</v>
      </c>
      <c r="BW104" s="357"/>
      <c r="BX104" s="357"/>
      <c r="BY104" s="357"/>
      <c r="BZ104" s="357"/>
      <c r="CA104" s="357"/>
      <c r="CB104" s="357"/>
      <c r="CC104" s="357"/>
    </row>
    <row r="105" spans="1:81" ht="15.75">
      <c r="A105" s="546"/>
      <c r="B105" s="357"/>
      <c r="C105" s="357"/>
      <c r="D105" s="546"/>
      <c r="E105" s="357"/>
      <c r="F105" s="357"/>
      <c r="G105" s="357"/>
      <c r="H105" s="357"/>
      <c r="I105" s="357"/>
      <c r="J105" s="357"/>
      <c r="K105" s="357"/>
      <c r="L105" s="357"/>
      <c r="M105" s="357"/>
      <c r="N105" s="357"/>
      <c r="O105" s="357"/>
      <c r="P105" s="357"/>
      <c r="Q105" s="357"/>
      <c r="R105" s="357"/>
      <c r="S105" s="357"/>
      <c r="T105" s="357"/>
      <c r="U105" s="1395"/>
      <c r="V105" s="357"/>
      <c r="W105" s="357"/>
      <c r="X105" s="357"/>
      <c r="Z105" s="357"/>
      <c r="AA105" s="357"/>
      <c r="AB105" s="2248"/>
      <c r="AC105" s="2248"/>
      <c r="AD105" s="2248"/>
      <c r="AE105" s="2248"/>
      <c r="AF105" s="1411"/>
      <c r="AG105" s="820"/>
      <c r="AH105" s="820"/>
      <c r="AI105" s="820"/>
      <c r="AJ105" s="820"/>
      <c r="AK105" s="1386"/>
      <c r="AL105" s="1386"/>
      <c r="AM105" s="1386"/>
      <c r="AN105" s="1386"/>
      <c r="AO105" s="1386"/>
      <c r="AP105" s="1386"/>
      <c r="AQ105" s="1386"/>
      <c r="AR105" s="1386"/>
      <c r="AS105" s="1386"/>
      <c r="AT105" s="1386"/>
      <c r="AU105" s="1386"/>
      <c r="AV105" s="1386"/>
      <c r="AW105" s="1386"/>
      <c r="AX105" s="1386"/>
      <c r="AY105" s="1386"/>
      <c r="AZ105" s="1386"/>
      <c r="BA105" s="1386"/>
      <c r="BB105" s="1386"/>
      <c r="BC105" s="1386"/>
      <c r="BD105" s="1386"/>
      <c r="BE105" s="1386"/>
      <c r="BF105" s="1386"/>
      <c r="BG105" s="1386"/>
      <c r="BH105" s="1386"/>
      <c r="BI105" s="1386"/>
      <c r="BJ105" s="1386"/>
      <c r="BK105" s="1386"/>
      <c r="BL105" s="2141" t="s">
        <v>1377</v>
      </c>
      <c r="BM105" s="33">
        <v>280</v>
      </c>
      <c r="BN105" s="33">
        <v>240</v>
      </c>
      <c r="BO105" s="33">
        <v>20</v>
      </c>
      <c r="BP105" s="323">
        <v>20</v>
      </c>
      <c r="BQ105" s="323">
        <v>20</v>
      </c>
      <c r="BR105" s="323">
        <f t="shared" ref="BR105:BR111" si="43">BQ105*2/3</f>
        <v>13.333333333333334</v>
      </c>
      <c r="BS105" s="323">
        <v>55</v>
      </c>
      <c r="BT105" s="323">
        <v>60</v>
      </c>
      <c r="BU105" s="1001">
        <v>0.13700000000000001</v>
      </c>
      <c r="BV105" s="357">
        <v>0</v>
      </c>
      <c r="BW105" s="357"/>
      <c r="BX105" s="357"/>
      <c r="BY105" s="357"/>
      <c r="BZ105" s="357"/>
      <c r="CA105" s="357"/>
      <c r="CB105" s="357"/>
      <c r="CC105" s="357"/>
    </row>
    <row r="106" spans="1:81" ht="15.75">
      <c r="A106" s="546"/>
      <c r="B106" s="357"/>
      <c r="C106" s="357"/>
      <c r="D106" s="546"/>
      <c r="E106" s="357"/>
      <c r="F106" s="357"/>
      <c r="G106" s="357"/>
      <c r="H106" s="357"/>
      <c r="I106" s="357"/>
      <c r="J106" s="357"/>
      <c r="K106" s="357"/>
      <c r="L106" s="357"/>
      <c r="M106" s="357"/>
      <c r="N106" s="357"/>
      <c r="O106" s="357"/>
      <c r="P106" s="357"/>
      <c r="Q106" s="357"/>
      <c r="R106" s="357"/>
      <c r="S106" s="357"/>
      <c r="T106" s="357"/>
      <c r="U106" s="1395"/>
      <c r="V106" s="357"/>
      <c r="W106" s="357"/>
      <c r="X106" s="357"/>
      <c r="Z106" s="357"/>
      <c r="AA106" s="357"/>
      <c r="AB106" s="2248"/>
      <c r="AC106" s="2248"/>
      <c r="AD106" s="2248"/>
      <c r="AE106" s="2248"/>
      <c r="AF106" s="1411"/>
      <c r="AG106" s="820"/>
      <c r="AH106" s="820"/>
      <c r="AI106" s="820"/>
      <c r="AJ106" s="820"/>
      <c r="AK106" s="1386"/>
      <c r="AL106" s="1386"/>
      <c r="AM106" s="1386"/>
      <c r="AN106" s="1386"/>
      <c r="AO106" s="1386"/>
      <c r="AP106" s="1386"/>
      <c r="AQ106" s="1386"/>
      <c r="AR106" s="1386"/>
      <c r="AS106" s="1386"/>
      <c r="AT106" s="1386"/>
      <c r="AU106" s="1386"/>
      <c r="AV106" s="1386"/>
      <c r="AW106" s="1386"/>
      <c r="AX106" s="1386"/>
      <c r="AY106" s="1386"/>
      <c r="AZ106" s="1386"/>
      <c r="BA106" s="1386"/>
      <c r="BB106" s="1386"/>
      <c r="BC106" s="1386"/>
      <c r="BD106" s="1386"/>
      <c r="BE106" s="1386"/>
      <c r="BF106" s="1386"/>
      <c r="BG106" s="1386"/>
      <c r="BH106" s="1386"/>
      <c r="BI106" s="1386"/>
      <c r="BJ106" s="1386"/>
      <c r="BK106" s="1386"/>
      <c r="BL106" s="2141" t="s">
        <v>1378</v>
      </c>
      <c r="BM106" s="33">
        <v>300</v>
      </c>
      <c r="BN106" s="33">
        <v>210</v>
      </c>
      <c r="BO106" s="33">
        <v>20</v>
      </c>
      <c r="BP106" s="323">
        <v>20</v>
      </c>
      <c r="BQ106" s="323">
        <v>20</v>
      </c>
      <c r="BR106" s="323">
        <f t="shared" si="43"/>
        <v>13.333333333333334</v>
      </c>
      <c r="BS106" s="323">
        <v>10</v>
      </c>
      <c r="BT106" s="323">
        <v>60</v>
      </c>
      <c r="BU106" s="1001">
        <v>0.13700000000000001</v>
      </c>
      <c r="BV106" s="357">
        <v>0</v>
      </c>
      <c r="BW106" s="357"/>
      <c r="BX106" s="357"/>
      <c r="BY106" s="357"/>
      <c r="BZ106" s="357"/>
      <c r="CA106" s="357"/>
      <c r="CB106" s="357"/>
      <c r="CC106" s="357"/>
    </row>
    <row r="107" spans="1:81" ht="15.75">
      <c r="A107" s="546"/>
      <c r="B107" s="357"/>
      <c r="C107" s="357"/>
      <c r="D107" s="546"/>
      <c r="E107" s="357"/>
      <c r="F107" s="357"/>
      <c r="G107" s="357"/>
      <c r="H107" s="357"/>
      <c r="I107" s="357"/>
      <c r="J107" s="357"/>
      <c r="K107" s="357"/>
      <c r="L107" s="357"/>
      <c r="M107" s="357"/>
      <c r="N107" s="357"/>
      <c r="O107" s="357"/>
      <c r="P107" s="357"/>
      <c r="Q107" s="357"/>
      <c r="R107" s="357"/>
      <c r="S107" s="357"/>
      <c r="T107" s="357"/>
      <c r="U107" s="1395"/>
      <c r="V107" s="357"/>
      <c r="W107" s="357"/>
      <c r="X107" s="357"/>
      <c r="Z107" s="357"/>
      <c r="AA107" s="357"/>
      <c r="AB107" s="2248"/>
      <c r="AC107" s="2248"/>
      <c r="AD107" s="2248"/>
      <c r="AE107" s="2248"/>
      <c r="AF107" s="1411"/>
      <c r="AG107" s="820"/>
      <c r="AH107" s="820"/>
      <c r="AI107" s="820"/>
      <c r="AJ107" s="820"/>
      <c r="AK107" s="1386"/>
      <c r="AL107" s="1386"/>
      <c r="AM107" s="1386"/>
      <c r="AN107" s="1386"/>
      <c r="AO107" s="1386"/>
      <c r="AP107" s="1386"/>
      <c r="AQ107" s="1386"/>
      <c r="AR107" s="1386"/>
      <c r="AS107" s="1386"/>
      <c r="AT107" s="1386"/>
      <c r="AU107" s="1386"/>
      <c r="AV107" s="1386"/>
      <c r="AW107" s="1386"/>
      <c r="AX107" s="1386"/>
      <c r="AY107" s="1386"/>
      <c r="AZ107" s="1386"/>
      <c r="BA107" s="1386"/>
      <c r="BB107" s="1386"/>
      <c r="BC107" s="1386"/>
      <c r="BD107" s="1386"/>
      <c r="BE107" s="1386"/>
      <c r="BF107" s="1386"/>
      <c r="BG107" s="1386"/>
      <c r="BH107" s="1386"/>
      <c r="BI107" s="1386"/>
      <c r="BJ107" s="1386"/>
      <c r="BK107" s="1386"/>
      <c r="BL107" s="2141" t="s">
        <v>1379</v>
      </c>
      <c r="BM107" s="33">
        <v>200</v>
      </c>
      <c r="BN107" s="33">
        <v>180</v>
      </c>
      <c r="BO107" s="33">
        <v>20</v>
      </c>
      <c r="BP107" s="323">
        <v>20</v>
      </c>
      <c r="BQ107" s="323">
        <v>20</v>
      </c>
      <c r="BR107" s="323">
        <f t="shared" si="43"/>
        <v>13.333333333333334</v>
      </c>
      <c r="BS107" s="323">
        <v>25</v>
      </c>
      <c r="BT107" s="323">
        <v>60</v>
      </c>
      <c r="BU107" s="1001">
        <v>0.13700000000000001</v>
      </c>
      <c r="BV107" s="357">
        <v>0</v>
      </c>
      <c r="BW107" s="357"/>
      <c r="BX107" s="357"/>
      <c r="BY107" s="357"/>
      <c r="BZ107" s="357"/>
      <c r="CA107" s="357"/>
      <c r="CB107" s="357"/>
      <c r="CC107" s="357"/>
    </row>
    <row r="108" spans="1:81" ht="15.75">
      <c r="A108" s="546"/>
      <c r="B108" s="357"/>
      <c r="C108" s="357"/>
      <c r="D108" s="546"/>
      <c r="E108" s="357"/>
      <c r="F108" s="357"/>
      <c r="G108" s="357"/>
      <c r="H108" s="357"/>
      <c r="I108" s="357"/>
      <c r="J108" s="357"/>
      <c r="K108" s="357"/>
      <c r="L108" s="357"/>
      <c r="M108" s="357"/>
      <c r="N108" s="357"/>
      <c r="O108" s="357"/>
      <c r="P108" s="357"/>
      <c r="Q108" s="357"/>
      <c r="R108" s="357"/>
      <c r="S108" s="357"/>
      <c r="T108" s="357"/>
      <c r="U108" s="1395"/>
      <c r="V108" s="357"/>
      <c r="W108" s="357"/>
      <c r="X108" s="357"/>
      <c r="Z108" s="357"/>
      <c r="AA108" s="357"/>
      <c r="AB108" s="2248"/>
      <c r="AC108" s="2248"/>
      <c r="AD108" s="2248"/>
      <c r="AE108" s="2248"/>
      <c r="AF108" s="1411"/>
      <c r="AG108" s="1355"/>
      <c r="AH108" s="1355"/>
      <c r="AI108" s="1355"/>
      <c r="AJ108" s="1355"/>
      <c r="AK108" s="1414"/>
      <c r="AL108" s="1414"/>
      <c r="AM108" s="1414"/>
      <c r="AN108" s="1414"/>
      <c r="AO108" s="1414"/>
      <c r="AP108" s="1414"/>
      <c r="AQ108" s="1414"/>
      <c r="AR108" s="1414"/>
      <c r="AS108" s="1414"/>
      <c r="AT108" s="1414"/>
      <c r="AU108" s="1414"/>
      <c r="AV108" s="1414"/>
      <c r="AW108" s="1414"/>
      <c r="AX108" s="1414"/>
      <c r="AY108" s="1414"/>
      <c r="AZ108" s="1414"/>
      <c r="BA108" s="1414"/>
      <c r="BB108" s="1414"/>
      <c r="BC108" s="1414"/>
      <c r="BD108" s="1414"/>
      <c r="BE108" s="1414"/>
      <c r="BF108" s="1414"/>
      <c r="BG108" s="1414"/>
      <c r="BH108" s="1414"/>
      <c r="BI108" s="1414"/>
      <c r="BJ108" s="1414"/>
      <c r="BK108" s="1414"/>
      <c r="BL108" s="2154" t="s">
        <v>1597</v>
      </c>
      <c r="BM108" s="33">
        <v>500</v>
      </c>
      <c r="BN108" s="33">
        <v>310</v>
      </c>
      <c r="BO108" s="33">
        <v>10</v>
      </c>
      <c r="BP108" s="2153">
        <v>31</v>
      </c>
      <c r="BQ108" s="2153">
        <v>31</v>
      </c>
      <c r="BR108" s="2154">
        <v>0</v>
      </c>
      <c r="BS108" s="2154">
        <v>0</v>
      </c>
      <c r="BT108" s="2154">
        <v>60</v>
      </c>
      <c r="BU108" s="2157">
        <v>0.13700000000000001</v>
      </c>
      <c r="BV108" s="357">
        <v>0</v>
      </c>
      <c r="BW108" s="357"/>
      <c r="BX108" s="357"/>
      <c r="BY108" s="357"/>
      <c r="BZ108" s="357"/>
      <c r="CA108" s="357"/>
      <c r="CB108" s="357"/>
      <c r="CC108" s="357"/>
    </row>
    <row r="109" spans="1:81" ht="15.75">
      <c r="A109" s="546"/>
      <c r="B109" s="357"/>
      <c r="C109" s="357"/>
      <c r="D109" s="546"/>
      <c r="E109" s="357"/>
      <c r="F109" s="357"/>
      <c r="G109" s="357"/>
      <c r="H109" s="357"/>
      <c r="I109" s="357"/>
      <c r="J109" s="357"/>
      <c r="K109" s="357"/>
      <c r="L109" s="357"/>
      <c r="M109" s="357"/>
      <c r="N109" s="357"/>
      <c r="O109" s="357"/>
      <c r="P109" s="357"/>
      <c r="Q109" s="357"/>
      <c r="R109" s="357"/>
      <c r="S109" s="357"/>
      <c r="T109" s="357"/>
      <c r="U109" s="1395"/>
      <c r="V109" s="357"/>
      <c r="W109" s="357"/>
      <c r="X109" s="357"/>
      <c r="Z109" s="357"/>
      <c r="AA109" s="357"/>
      <c r="AB109" s="1405"/>
      <c r="AC109" s="1405"/>
      <c r="AD109" s="2248"/>
      <c r="AE109" s="2255"/>
      <c r="AF109" s="1411"/>
      <c r="AG109" s="1355"/>
      <c r="AH109" s="1355"/>
      <c r="AI109" s="1355"/>
      <c r="AJ109" s="1355"/>
      <c r="AK109" s="1414"/>
      <c r="AL109" s="1414"/>
      <c r="AM109" s="1414"/>
      <c r="AN109" s="1414"/>
      <c r="AO109" s="1414"/>
      <c r="AP109" s="1414"/>
      <c r="AQ109" s="1414"/>
      <c r="AR109" s="1414"/>
      <c r="AS109" s="1414"/>
      <c r="AT109" s="1414"/>
      <c r="AU109" s="1414"/>
      <c r="AV109" s="1414"/>
      <c r="AW109" s="1414"/>
      <c r="AX109" s="1414"/>
      <c r="AY109" s="1414"/>
      <c r="AZ109" s="1414"/>
      <c r="BA109" s="1414"/>
      <c r="BB109" s="1414"/>
      <c r="BC109" s="1414"/>
      <c r="BD109" s="1414"/>
      <c r="BE109" s="1414"/>
      <c r="BF109" s="1414"/>
      <c r="BG109" s="1414"/>
      <c r="BH109" s="1414"/>
      <c r="BI109" s="1414"/>
      <c r="BJ109" s="1414"/>
      <c r="BK109" s="1414"/>
      <c r="BL109" s="2141" t="s">
        <v>1296</v>
      </c>
      <c r="BM109" s="33">
        <v>200</v>
      </c>
      <c r="BN109" s="33">
        <v>75</v>
      </c>
      <c r="BO109" s="33">
        <v>20</v>
      </c>
      <c r="BP109" s="323">
        <v>20</v>
      </c>
      <c r="BQ109" s="323">
        <v>20</v>
      </c>
      <c r="BR109" s="323">
        <f t="shared" si="43"/>
        <v>13.333333333333334</v>
      </c>
      <c r="BS109" s="323">
        <v>25</v>
      </c>
      <c r="BT109" s="323">
        <v>90</v>
      </c>
      <c r="BU109" s="1001">
        <v>0.16</v>
      </c>
      <c r="BV109" s="357">
        <v>0</v>
      </c>
      <c r="BW109" s="357"/>
      <c r="BX109" s="357"/>
      <c r="BY109" s="357"/>
      <c r="BZ109" s="357"/>
      <c r="CA109" s="357"/>
      <c r="CB109" s="357"/>
      <c r="CC109" s="357"/>
    </row>
    <row r="110" spans="1:81" ht="15.75">
      <c r="A110" s="546"/>
      <c r="B110" s="357"/>
      <c r="C110" s="357"/>
      <c r="D110" s="546"/>
      <c r="E110" s="357"/>
      <c r="F110" s="357"/>
      <c r="G110" s="357"/>
      <c r="H110" s="357"/>
      <c r="I110" s="357"/>
      <c r="J110" s="357"/>
      <c r="K110" s="357"/>
      <c r="L110" s="357"/>
      <c r="M110" s="357"/>
      <c r="N110" s="357"/>
      <c r="O110" s="357"/>
      <c r="P110" s="357"/>
      <c r="Q110" s="357"/>
      <c r="R110" s="357"/>
      <c r="S110" s="357"/>
      <c r="T110" s="357"/>
      <c r="U110" s="1395"/>
      <c r="V110" s="357"/>
      <c r="W110" s="357"/>
      <c r="X110" s="357"/>
      <c r="Z110" s="357"/>
      <c r="AA110" s="357"/>
      <c r="AB110" s="1405"/>
      <c r="AC110" s="1405"/>
      <c r="AD110" s="2248"/>
      <c r="AE110" s="2255"/>
      <c r="AF110" s="1411"/>
      <c r="AG110" s="1355"/>
      <c r="AH110" s="1355"/>
      <c r="AI110" s="1355"/>
      <c r="AJ110" s="1355"/>
      <c r="AK110" s="1414"/>
      <c r="AL110" s="1414"/>
      <c r="AM110" s="1414"/>
      <c r="AN110" s="1414"/>
      <c r="AO110" s="1414"/>
      <c r="AP110" s="1414"/>
      <c r="AQ110" s="1414"/>
      <c r="AR110" s="1414"/>
      <c r="AS110" s="1414"/>
      <c r="AT110" s="1414"/>
      <c r="AU110" s="1414"/>
      <c r="AV110" s="1414"/>
      <c r="AW110" s="1414"/>
      <c r="AX110" s="1414"/>
      <c r="AY110" s="1414"/>
      <c r="AZ110" s="1414"/>
      <c r="BA110" s="1414"/>
      <c r="BB110" s="1414"/>
      <c r="BC110" s="1414"/>
      <c r="BD110" s="1414"/>
      <c r="BE110" s="1414"/>
      <c r="BF110" s="1414"/>
      <c r="BG110" s="1414"/>
      <c r="BH110" s="1414"/>
      <c r="BI110" s="1414"/>
      <c r="BJ110" s="1414"/>
      <c r="BK110" s="1414"/>
      <c r="BL110" s="2141" t="s">
        <v>1380</v>
      </c>
      <c r="BM110" s="33">
        <v>600</v>
      </c>
      <c r="BN110" s="33">
        <v>205</v>
      </c>
      <c r="BO110" s="33">
        <v>20</v>
      </c>
      <c r="BP110" s="323">
        <v>20</v>
      </c>
      <c r="BQ110" s="323">
        <v>20</v>
      </c>
      <c r="BR110" s="323">
        <f t="shared" si="43"/>
        <v>13.333333333333334</v>
      </c>
      <c r="BS110" s="323">
        <v>10</v>
      </c>
      <c r="BT110" s="323">
        <v>30</v>
      </c>
      <c r="BU110" s="1001">
        <v>0.126</v>
      </c>
      <c r="BV110" s="357">
        <v>0</v>
      </c>
      <c r="BW110" s="357"/>
      <c r="BX110" s="357"/>
      <c r="BY110" s="357"/>
      <c r="BZ110" s="357"/>
      <c r="CA110" s="357"/>
      <c r="CB110" s="357"/>
      <c r="CC110" s="357"/>
    </row>
    <row r="111" spans="1:81" ht="15.75">
      <c r="A111" s="546"/>
      <c r="B111" s="357"/>
      <c r="C111" s="357"/>
      <c r="D111" s="546"/>
      <c r="E111" s="357"/>
      <c r="F111" s="357"/>
      <c r="G111" s="357"/>
      <c r="H111" s="357"/>
      <c r="I111" s="357"/>
      <c r="J111" s="357"/>
      <c r="K111" s="357"/>
      <c r="L111" s="357"/>
      <c r="M111" s="357"/>
      <c r="N111" s="357"/>
      <c r="O111" s="357"/>
      <c r="P111" s="357"/>
      <c r="Q111" s="357"/>
      <c r="R111" s="357"/>
      <c r="S111" s="357"/>
      <c r="T111" s="357"/>
      <c r="U111" s="1395"/>
      <c r="V111" s="357"/>
      <c r="W111" s="357"/>
      <c r="X111" s="357"/>
      <c r="Z111" s="357"/>
      <c r="AA111" s="357"/>
      <c r="AB111" s="2248"/>
      <c r="AC111" s="2248"/>
      <c r="AD111" s="2248"/>
      <c r="AE111" s="2248"/>
      <c r="AF111" s="1411"/>
      <c r="AG111" s="820"/>
      <c r="AH111" s="820"/>
      <c r="AI111" s="820"/>
      <c r="AJ111" s="820"/>
      <c r="AK111" s="1386"/>
      <c r="AL111" s="1386"/>
      <c r="AM111" s="1386"/>
      <c r="AN111" s="1386"/>
      <c r="AO111" s="1386"/>
      <c r="AP111" s="1386"/>
      <c r="AQ111" s="1386"/>
      <c r="AR111" s="1386"/>
      <c r="AS111" s="1386"/>
      <c r="AT111" s="1386"/>
      <c r="AU111" s="1386"/>
      <c r="AV111" s="1386"/>
      <c r="AW111" s="1386"/>
      <c r="AX111" s="1386"/>
      <c r="AY111" s="1386"/>
      <c r="AZ111" s="1386"/>
      <c r="BA111" s="1386"/>
      <c r="BB111" s="1386"/>
      <c r="BC111" s="1386"/>
      <c r="BD111" s="1386"/>
      <c r="BE111" s="1386"/>
      <c r="BF111" s="1386"/>
      <c r="BG111" s="1386"/>
      <c r="BH111" s="1386"/>
      <c r="BI111" s="1386"/>
      <c r="BJ111" s="1386"/>
      <c r="BK111" s="1386"/>
      <c r="BL111" s="2141" t="s">
        <v>1381</v>
      </c>
      <c r="BM111" s="33">
        <v>650</v>
      </c>
      <c r="BN111" s="33">
        <v>220</v>
      </c>
      <c r="BO111" s="33">
        <v>20</v>
      </c>
      <c r="BP111" s="323">
        <v>40</v>
      </c>
      <c r="BQ111" s="323">
        <v>40</v>
      </c>
      <c r="BR111" s="323">
        <f t="shared" si="43"/>
        <v>26.666666666666668</v>
      </c>
      <c r="BS111" s="323">
        <v>40</v>
      </c>
      <c r="BT111" s="323">
        <v>60</v>
      </c>
      <c r="BU111" s="1001">
        <v>0.14899999999999999</v>
      </c>
      <c r="BV111" s="357">
        <v>0</v>
      </c>
      <c r="BW111" s="357"/>
      <c r="BX111" s="357"/>
      <c r="BY111" s="357"/>
      <c r="BZ111" s="357"/>
      <c r="CA111" s="357"/>
      <c r="CB111" s="357"/>
      <c r="CC111" s="357"/>
    </row>
    <row r="112" spans="1:81" ht="15.75">
      <c r="A112" s="546"/>
      <c r="B112" s="357"/>
      <c r="C112" s="357"/>
      <c r="D112" s="546"/>
      <c r="E112" s="357"/>
      <c r="F112" s="357"/>
      <c r="G112" s="357"/>
      <c r="H112" s="357"/>
      <c r="I112" s="357"/>
      <c r="J112" s="357"/>
      <c r="K112" s="357"/>
      <c r="L112" s="357"/>
      <c r="M112" s="357"/>
      <c r="N112" s="357"/>
      <c r="O112" s="357"/>
      <c r="P112" s="357"/>
      <c r="Q112" s="357"/>
      <c r="R112" s="357"/>
      <c r="S112" s="357"/>
      <c r="T112" s="357"/>
      <c r="U112" s="1395"/>
      <c r="V112" s="357"/>
      <c r="W112" s="357"/>
      <c r="X112" s="357"/>
      <c r="Z112" s="357"/>
      <c r="AA112" s="357"/>
      <c r="AB112" s="2248"/>
      <c r="AC112" s="2248"/>
      <c r="AD112" s="2248"/>
      <c r="AE112" s="2248"/>
      <c r="AF112" s="1411"/>
      <c r="AG112" s="1355"/>
      <c r="AH112" s="1355"/>
      <c r="AI112" s="1355"/>
      <c r="AJ112" s="1355"/>
      <c r="AK112" s="1414"/>
      <c r="AL112" s="1414"/>
      <c r="AM112" s="1414"/>
      <c r="AN112" s="1414"/>
      <c r="AO112" s="1414"/>
      <c r="AP112" s="1414"/>
      <c r="AQ112" s="1414"/>
      <c r="AR112" s="1414"/>
      <c r="AS112" s="1414"/>
      <c r="AT112" s="1414"/>
      <c r="AU112" s="1414"/>
      <c r="AV112" s="1414"/>
      <c r="AW112" s="1414"/>
      <c r="AX112" s="1414"/>
      <c r="AY112" s="1414"/>
      <c r="AZ112" s="1414"/>
      <c r="BA112" s="1414"/>
      <c r="BB112" s="1414"/>
      <c r="BC112" s="1414"/>
      <c r="BD112" s="1414"/>
      <c r="BE112" s="1414"/>
      <c r="BF112" s="1414"/>
      <c r="BG112" s="1414"/>
      <c r="BH112" s="1414"/>
      <c r="BI112" s="1414"/>
      <c r="BJ112" s="1414"/>
      <c r="BK112" s="1414"/>
      <c r="BL112" s="2141" t="s">
        <v>1670</v>
      </c>
      <c r="BM112" s="33">
        <v>550</v>
      </c>
      <c r="BN112" s="33">
        <v>245</v>
      </c>
      <c r="BO112" s="33">
        <v>10</v>
      </c>
      <c r="BP112" s="2153">
        <v>25</v>
      </c>
      <c r="BQ112" s="2153">
        <v>25</v>
      </c>
      <c r="BR112" s="2164">
        <v>0</v>
      </c>
      <c r="BS112" s="2164">
        <v>0</v>
      </c>
      <c r="BT112" s="2164">
        <v>60</v>
      </c>
      <c r="BU112" s="2155">
        <v>0.11</v>
      </c>
      <c r="BV112" s="357">
        <v>0</v>
      </c>
      <c r="BW112" s="357"/>
      <c r="BX112" s="357"/>
      <c r="BY112" s="357"/>
      <c r="BZ112" s="357"/>
      <c r="CA112" s="357"/>
      <c r="CB112" s="357"/>
      <c r="CC112" s="357"/>
    </row>
    <row r="113" spans="1:81" ht="15.75">
      <c r="A113" s="546"/>
      <c r="B113" s="357"/>
      <c r="C113" s="357"/>
      <c r="D113" s="546"/>
      <c r="E113" s="357"/>
      <c r="F113" s="357"/>
      <c r="G113" s="357"/>
      <c r="H113" s="357"/>
      <c r="I113" s="357"/>
      <c r="J113" s="357"/>
      <c r="K113" s="357"/>
      <c r="L113" s="357"/>
      <c r="M113" s="357"/>
      <c r="N113" s="357"/>
      <c r="O113" s="357"/>
      <c r="P113" s="357"/>
      <c r="Q113" s="357"/>
      <c r="R113" s="357"/>
      <c r="S113" s="357"/>
      <c r="T113" s="357"/>
      <c r="U113" s="1395"/>
      <c r="V113" s="357"/>
      <c r="W113" s="357"/>
      <c r="X113" s="357"/>
      <c r="Z113" s="357"/>
      <c r="AA113" s="357"/>
      <c r="AB113" s="2248"/>
      <c r="AC113" s="2248"/>
      <c r="AD113" s="2248"/>
      <c r="AE113" s="2248"/>
      <c r="AF113" s="1411"/>
      <c r="AG113" s="1355"/>
      <c r="AH113" s="1355"/>
      <c r="AI113" s="1355"/>
      <c r="AJ113" s="1355"/>
      <c r="AK113" s="1414"/>
      <c r="AL113" s="1414"/>
      <c r="AM113" s="1414"/>
      <c r="AN113" s="1414"/>
      <c r="AO113" s="1414"/>
      <c r="AP113" s="1414"/>
      <c r="AQ113" s="1414"/>
      <c r="AR113" s="1414"/>
      <c r="AS113" s="1414"/>
      <c r="AT113" s="1414"/>
      <c r="AU113" s="1414"/>
      <c r="AV113" s="1414"/>
      <c r="AW113" s="1414"/>
      <c r="AX113" s="1414"/>
      <c r="AY113" s="1414"/>
      <c r="AZ113" s="1414"/>
      <c r="BA113" s="1414"/>
      <c r="BB113" s="1414"/>
      <c r="BC113" s="1414"/>
      <c r="BD113" s="1414"/>
      <c r="BE113" s="1414"/>
      <c r="BF113" s="1414"/>
      <c r="BG113" s="1414"/>
      <c r="BH113" s="1414"/>
      <c r="BI113" s="1414"/>
      <c r="BJ113" s="1414"/>
      <c r="BK113" s="1414"/>
      <c r="BL113" s="2141" t="s">
        <v>1382</v>
      </c>
      <c r="BM113" s="33">
        <v>500</v>
      </c>
      <c r="BN113" s="33">
        <v>230</v>
      </c>
      <c r="BO113" s="33">
        <v>20</v>
      </c>
      <c r="BP113" s="323">
        <v>20</v>
      </c>
      <c r="BQ113" s="323">
        <v>20</v>
      </c>
      <c r="BR113" s="323">
        <f t="shared" ref="BR113:BR123" si="44">BQ113*2/3</f>
        <v>13.333333333333334</v>
      </c>
      <c r="BS113" s="323">
        <v>40</v>
      </c>
      <c r="BT113" s="323">
        <v>30</v>
      </c>
      <c r="BU113" s="1001">
        <v>0.115</v>
      </c>
      <c r="BV113" s="357">
        <v>0</v>
      </c>
      <c r="BW113" s="357"/>
      <c r="BX113" s="357"/>
      <c r="BY113" s="357"/>
      <c r="BZ113" s="357"/>
      <c r="CA113" s="357"/>
      <c r="CB113" s="357"/>
      <c r="CC113" s="357"/>
    </row>
    <row r="114" spans="1:81" ht="15.75">
      <c r="A114" s="546"/>
      <c r="B114" s="357"/>
      <c r="C114" s="357"/>
      <c r="D114" s="546"/>
      <c r="E114" s="357"/>
      <c r="F114" s="357"/>
      <c r="G114" s="357"/>
      <c r="H114" s="357"/>
      <c r="I114" s="357"/>
      <c r="J114" s="357"/>
      <c r="K114" s="357"/>
      <c r="L114" s="357"/>
      <c r="M114" s="357"/>
      <c r="N114" s="357"/>
      <c r="O114" s="357"/>
      <c r="P114" s="357"/>
      <c r="Q114" s="357"/>
      <c r="R114" s="357"/>
      <c r="S114" s="357"/>
      <c r="T114" s="357"/>
      <c r="U114" s="1395"/>
      <c r="V114" s="357"/>
      <c r="W114" s="357"/>
      <c r="X114" s="357"/>
      <c r="Z114" s="357"/>
      <c r="AA114" s="357"/>
      <c r="AB114" s="2248"/>
      <c r="AC114" s="2248"/>
      <c r="AD114" s="2248"/>
      <c r="AE114" s="2248"/>
      <c r="AF114" s="1411"/>
      <c r="AG114" s="1355"/>
      <c r="AH114" s="1355"/>
      <c r="AI114" s="1355"/>
      <c r="AJ114" s="1355"/>
      <c r="AK114" s="1414"/>
      <c r="AL114" s="1414"/>
      <c r="AM114" s="1414"/>
      <c r="AN114" s="1414"/>
      <c r="AO114" s="1414"/>
      <c r="AP114" s="1414"/>
      <c r="AQ114" s="1414"/>
      <c r="AR114" s="1414"/>
      <c r="AS114" s="1414"/>
      <c r="AT114" s="1414"/>
      <c r="AU114" s="1414"/>
      <c r="AV114" s="1414"/>
      <c r="AW114" s="1414"/>
      <c r="AX114" s="1414"/>
      <c r="AY114" s="1414"/>
      <c r="AZ114" s="1414"/>
      <c r="BA114" s="1414"/>
      <c r="BB114" s="1414"/>
      <c r="BC114" s="1414"/>
      <c r="BD114" s="1414"/>
      <c r="BE114" s="1414"/>
      <c r="BF114" s="1414"/>
      <c r="BG114" s="1414"/>
      <c r="BH114" s="1414"/>
      <c r="BI114" s="1414"/>
      <c r="BJ114" s="1414"/>
      <c r="BK114" s="1414"/>
      <c r="BL114" s="2141" t="s">
        <v>1383</v>
      </c>
      <c r="BM114" s="33">
        <v>0</v>
      </c>
      <c r="BN114" s="33">
        <v>140</v>
      </c>
      <c r="BO114" s="33">
        <v>20</v>
      </c>
      <c r="BP114" s="323">
        <v>20</v>
      </c>
      <c r="BQ114" s="323">
        <v>20</v>
      </c>
      <c r="BR114" s="323">
        <f t="shared" si="44"/>
        <v>13.333333333333334</v>
      </c>
      <c r="BS114" s="323"/>
      <c r="BT114" s="323">
        <v>60</v>
      </c>
      <c r="BU114" s="1001">
        <v>8.2000000000000003E-2</v>
      </c>
      <c r="BV114" s="357">
        <v>0</v>
      </c>
      <c r="BW114" s="357"/>
      <c r="BX114" s="357"/>
      <c r="BY114" s="357"/>
      <c r="BZ114" s="357"/>
      <c r="CA114" s="357"/>
      <c r="CB114" s="357"/>
      <c r="CC114" s="357"/>
    </row>
    <row r="115" spans="1:81" ht="15.75">
      <c r="A115" s="546"/>
      <c r="B115" s="357"/>
      <c r="C115" s="357"/>
      <c r="D115" s="546"/>
      <c r="E115" s="357"/>
      <c r="F115" s="357"/>
      <c r="G115" s="357"/>
      <c r="H115" s="357"/>
      <c r="I115" s="357"/>
      <c r="J115" s="357"/>
      <c r="K115" s="357"/>
      <c r="L115" s="357"/>
      <c r="M115" s="357"/>
      <c r="N115" s="357"/>
      <c r="O115" s="357"/>
      <c r="P115" s="357"/>
      <c r="Q115" s="357"/>
      <c r="R115" s="357"/>
      <c r="S115" s="357"/>
      <c r="T115" s="357"/>
      <c r="U115" s="1395"/>
      <c r="V115" s="357"/>
      <c r="W115" s="357"/>
      <c r="X115" s="357"/>
      <c r="Z115" s="357"/>
      <c r="AA115" s="357"/>
      <c r="AB115" s="2248"/>
      <c r="AC115" s="2248"/>
      <c r="AD115" s="2248"/>
      <c r="AE115" s="2248"/>
      <c r="AF115" s="1411"/>
      <c r="AG115" s="1355"/>
      <c r="AH115" s="1355"/>
      <c r="AI115" s="1355"/>
      <c r="AJ115" s="1355"/>
      <c r="AK115" s="1414"/>
      <c r="AL115" s="1414"/>
      <c r="AM115" s="1414"/>
      <c r="AN115" s="1414"/>
      <c r="AO115" s="1414"/>
      <c r="AP115" s="1414"/>
      <c r="AQ115" s="1414"/>
      <c r="AR115" s="1414"/>
      <c r="AS115" s="1414"/>
      <c r="AT115" s="1414"/>
      <c r="AU115" s="1414"/>
      <c r="AV115" s="1414"/>
      <c r="AW115" s="1414"/>
      <c r="AX115" s="1414"/>
      <c r="AY115" s="1414"/>
      <c r="AZ115" s="1414"/>
      <c r="BA115" s="1414"/>
      <c r="BB115" s="1414"/>
      <c r="BC115" s="1414"/>
      <c r="BD115" s="1414"/>
      <c r="BE115" s="1414"/>
      <c r="BF115" s="1414"/>
      <c r="BG115" s="1414"/>
      <c r="BH115" s="1414"/>
      <c r="BI115" s="1414"/>
      <c r="BJ115" s="1414"/>
      <c r="BK115" s="1414"/>
      <c r="BL115" s="2141" t="s">
        <v>1384</v>
      </c>
      <c r="BM115" s="33">
        <v>20</v>
      </c>
      <c r="BN115" s="33">
        <v>160</v>
      </c>
      <c r="BO115" s="33">
        <v>20</v>
      </c>
      <c r="BP115" s="323">
        <v>20</v>
      </c>
      <c r="BQ115" s="323">
        <v>20</v>
      </c>
      <c r="BR115" s="323">
        <f t="shared" si="44"/>
        <v>13.333333333333334</v>
      </c>
      <c r="BS115" s="323"/>
      <c r="BT115" s="323">
        <v>90</v>
      </c>
      <c r="BU115" s="1001">
        <v>8.2000000000000003E-2</v>
      </c>
      <c r="BV115" s="357">
        <v>0</v>
      </c>
      <c r="BW115" s="357"/>
      <c r="BX115" s="357"/>
      <c r="BY115" s="357"/>
      <c r="BZ115" s="357"/>
      <c r="CA115" s="357"/>
      <c r="CB115" s="357"/>
      <c r="CC115" s="357"/>
    </row>
    <row r="116" spans="1:81" ht="15.75">
      <c r="A116" s="546"/>
      <c r="B116" s="357"/>
      <c r="C116" s="357"/>
      <c r="D116" s="546"/>
      <c r="E116" s="357"/>
      <c r="F116" s="357"/>
      <c r="G116" s="357"/>
      <c r="H116" s="357"/>
      <c r="I116" s="357"/>
      <c r="J116" s="357"/>
      <c r="K116" s="357"/>
      <c r="L116" s="357"/>
      <c r="M116" s="357"/>
      <c r="N116" s="357"/>
      <c r="O116" s="357"/>
      <c r="P116" s="357"/>
      <c r="Q116" s="357"/>
      <c r="R116" s="357"/>
      <c r="S116" s="357"/>
      <c r="T116" s="357"/>
      <c r="U116" s="1395"/>
      <c r="V116" s="357"/>
      <c r="W116" s="357"/>
      <c r="X116" s="357"/>
      <c r="Z116" s="357"/>
      <c r="AA116" s="357"/>
      <c r="AB116" s="2248"/>
      <c r="AC116" s="2248"/>
      <c r="AD116" s="2248"/>
      <c r="AE116" s="2248"/>
      <c r="AF116" s="1411"/>
      <c r="AG116" s="1355"/>
      <c r="AH116" s="1355"/>
      <c r="AI116" s="1355"/>
      <c r="AJ116" s="1355"/>
      <c r="AK116" s="1414"/>
      <c r="AL116" s="1414"/>
      <c r="AM116" s="1414"/>
      <c r="AN116" s="1414"/>
      <c r="AO116" s="1414"/>
      <c r="AP116" s="1414"/>
      <c r="AQ116" s="1414"/>
      <c r="AR116" s="1414"/>
      <c r="AS116" s="1414"/>
      <c r="AT116" s="1414"/>
      <c r="AU116" s="1414"/>
      <c r="AV116" s="1414"/>
      <c r="AW116" s="1414"/>
      <c r="AX116" s="1414"/>
      <c r="AY116" s="1414"/>
      <c r="AZ116" s="1414"/>
      <c r="BA116" s="1414"/>
      <c r="BB116" s="1414"/>
      <c r="BC116" s="1414"/>
      <c r="BD116" s="1414"/>
      <c r="BE116" s="1414"/>
      <c r="BF116" s="1414"/>
      <c r="BG116" s="1414"/>
      <c r="BH116" s="1414"/>
      <c r="BI116" s="1414"/>
      <c r="BJ116" s="1414"/>
      <c r="BK116" s="1414"/>
      <c r="BL116" s="2141" t="s">
        <v>1385</v>
      </c>
      <c r="BM116" s="33">
        <v>0</v>
      </c>
      <c r="BN116" s="33">
        <v>160</v>
      </c>
      <c r="BO116" s="33">
        <v>20</v>
      </c>
      <c r="BP116" s="323">
        <v>20</v>
      </c>
      <c r="BQ116" s="323">
        <v>20</v>
      </c>
      <c r="BR116" s="323">
        <f t="shared" si="44"/>
        <v>13.333333333333334</v>
      </c>
      <c r="BS116" s="323"/>
      <c r="BT116" s="323">
        <v>90</v>
      </c>
      <c r="BU116" s="1001">
        <v>8.2000000000000003E-2</v>
      </c>
      <c r="BV116" s="357">
        <v>0</v>
      </c>
      <c r="BW116" s="357"/>
      <c r="BX116" s="357"/>
      <c r="BY116" s="357"/>
      <c r="BZ116" s="357"/>
      <c r="CA116" s="357"/>
      <c r="CB116" s="357"/>
      <c r="CC116" s="357"/>
    </row>
    <row r="117" spans="1:81" ht="15.75">
      <c r="A117" s="546"/>
      <c r="B117" s="357"/>
      <c r="C117" s="357"/>
      <c r="D117" s="546"/>
      <c r="E117" s="357"/>
      <c r="F117" s="357"/>
      <c r="G117" s="357"/>
      <c r="H117" s="357"/>
      <c r="I117" s="357"/>
      <c r="J117" s="357"/>
      <c r="K117" s="357"/>
      <c r="L117" s="357"/>
      <c r="M117" s="357"/>
      <c r="N117" s="357"/>
      <c r="O117" s="357"/>
      <c r="P117" s="357"/>
      <c r="Q117" s="357"/>
      <c r="R117" s="357"/>
      <c r="S117" s="357"/>
      <c r="T117" s="357"/>
      <c r="U117" s="1395"/>
      <c r="V117" s="357"/>
      <c r="W117" s="357"/>
      <c r="X117" s="357"/>
      <c r="Z117" s="357"/>
      <c r="AA117" s="357"/>
      <c r="AB117" s="2248"/>
      <c r="AC117" s="2248"/>
      <c r="AD117" s="2248"/>
      <c r="AE117" s="2248"/>
      <c r="AF117" s="1411"/>
      <c r="AG117" s="1355"/>
      <c r="AH117" s="1355"/>
      <c r="AI117" s="1355"/>
      <c r="AJ117" s="1355"/>
      <c r="AK117" s="1414"/>
      <c r="AL117" s="1414"/>
      <c r="AM117" s="1414"/>
      <c r="AN117" s="1414"/>
      <c r="AO117" s="1414"/>
      <c r="AP117" s="1414"/>
      <c r="AQ117" s="1414"/>
      <c r="AR117" s="1414"/>
      <c r="AS117" s="1414"/>
      <c r="AT117" s="1414"/>
      <c r="AU117" s="1414"/>
      <c r="AV117" s="1414"/>
      <c r="AW117" s="1414"/>
      <c r="AX117" s="1414"/>
      <c r="AY117" s="1414"/>
      <c r="AZ117" s="1414"/>
      <c r="BA117" s="1414"/>
      <c r="BB117" s="1414"/>
      <c r="BC117" s="1414"/>
      <c r="BD117" s="1414"/>
      <c r="BE117" s="1414"/>
      <c r="BF117" s="1414"/>
      <c r="BG117" s="1414"/>
      <c r="BH117" s="1414"/>
      <c r="BI117" s="1414"/>
      <c r="BJ117" s="1414"/>
      <c r="BK117" s="1414"/>
      <c r="BL117" s="2141" t="s">
        <v>1386</v>
      </c>
      <c r="BM117" s="33">
        <v>80</v>
      </c>
      <c r="BN117" s="33">
        <v>160</v>
      </c>
      <c r="BO117" s="33">
        <v>20</v>
      </c>
      <c r="BP117" s="323">
        <v>20</v>
      </c>
      <c r="BQ117" s="323">
        <v>20</v>
      </c>
      <c r="BR117" s="323">
        <f t="shared" si="44"/>
        <v>13.333333333333334</v>
      </c>
      <c r="BS117" s="323"/>
      <c r="BT117" s="323">
        <v>90</v>
      </c>
      <c r="BU117" s="1001">
        <v>8.2000000000000003E-2</v>
      </c>
      <c r="BV117" s="357">
        <v>0</v>
      </c>
      <c r="BW117" s="357"/>
      <c r="BX117" s="357"/>
      <c r="BY117" s="357"/>
      <c r="BZ117" s="357"/>
      <c r="CA117" s="357"/>
      <c r="CB117" s="357"/>
      <c r="CC117" s="357"/>
    </row>
    <row r="118" spans="1:81" ht="15.75">
      <c r="A118" s="546"/>
      <c r="B118" s="357"/>
      <c r="C118" s="357"/>
      <c r="D118" s="546"/>
      <c r="E118" s="357"/>
      <c r="F118" s="357"/>
      <c r="G118" s="357"/>
      <c r="H118" s="357"/>
      <c r="I118" s="357"/>
      <c r="J118" s="357"/>
      <c r="K118" s="357"/>
      <c r="L118" s="357"/>
      <c r="M118" s="357"/>
      <c r="N118" s="357"/>
      <c r="O118" s="357"/>
      <c r="P118" s="357"/>
      <c r="Q118" s="357"/>
      <c r="R118" s="357"/>
      <c r="S118" s="357"/>
      <c r="T118" s="357"/>
      <c r="U118" s="1395"/>
      <c r="V118" s="357"/>
      <c r="W118" s="357"/>
      <c r="X118" s="357"/>
      <c r="Z118" s="357"/>
      <c r="AA118" s="357"/>
      <c r="AB118" s="2248"/>
      <c r="AC118" s="2248"/>
      <c r="AD118" s="2248"/>
      <c r="AE118" s="2248"/>
      <c r="AF118" s="1411"/>
      <c r="AG118" s="1355"/>
      <c r="AH118" s="1355"/>
      <c r="AI118" s="1355"/>
      <c r="AJ118" s="1355"/>
      <c r="AK118" s="1414"/>
      <c r="AL118" s="1414"/>
      <c r="AM118" s="1414"/>
      <c r="AN118" s="1414"/>
      <c r="AO118" s="1414"/>
      <c r="AP118" s="1414"/>
      <c r="AQ118" s="1414"/>
      <c r="AR118" s="1414"/>
      <c r="AS118" s="1414"/>
      <c r="AT118" s="1414"/>
      <c r="AU118" s="1414"/>
      <c r="AV118" s="1414"/>
      <c r="AW118" s="1414"/>
      <c r="AX118" s="1414"/>
      <c r="AY118" s="1414"/>
      <c r="AZ118" s="1414"/>
      <c r="BA118" s="1414"/>
      <c r="BB118" s="1414"/>
      <c r="BC118" s="1414"/>
      <c r="BD118" s="1414"/>
      <c r="BE118" s="1414"/>
      <c r="BF118" s="1414"/>
      <c r="BG118" s="1414"/>
      <c r="BH118" s="1414"/>
      <c r="BI118" s="1414"/>
      <c r="BJ118" s="1414"/>
      <c r="BK118" s="1414"/>
      <c r="BL118" s="2141" t="s">
        <v>1387</v>
      </c>
      <c r="BM118" s="33">
        <v>100</v>
      </c>
      <c r="BN118" s="33">
        <v>80</v>
      </c>
      <c r="BO118" s="33">
        <v>20</v>
      </c>
      <c r="BP118" s="323">
        <v>20</v>
      </c>
      <c r="BQ118" s="323">
        <v>20</v>
      </c>
      <c r="BR118" s="323">
        <f t="shared" si="44"/>
        <v>13.333333333333334</v>
      </c>
      <c r="BS118" s="323"/>
      <c r="BT118" s="323">
        <v>90</v>
      </c>
      <c r="BU118" s="1001">
        <v>8.2000000000000003E-2</v>
      </c>
      <c r="BV118" s="357">
        <v>0</v>
      </c>
      <c r="BW118" s="357"/>
      <c r="BX118" s="357"/>
      <c r="BY118" s="357"/>
      <c r="BZ118" s="357"/>
      <c r="CA118" s="357"/>
      <c r="CB118" s="357"/>
      <c r="CC118" s="357"/>
    </row>
    <row r="119" spans="1:81" ht="15.75">
      <c r="A119" s="546"/>
      <c r="B119" s="357"/>
      <c r="C119" s="357"/>
      <c r="D119" s="546"/>
      <c r="E119" s="357"/>
      <c r="F119" s="357"/>
      <c r="G119" s="357"/>
      <c r="H119" s="357"/>
      <c r="I119" s="357"/>
      <c r="J119" s="357"/>
      <c r="K119" s="357"/>
      <c r="L119" s="357"/>
      <c r="M119" s="357"/>
      <c r="N119" s="357"/>
      <c r="O119" s="357"/>
      <c r="P119" s="357"/>
      <c r="Q119" s="357"/>
      <c r="R119" s="357"/>
      <c r="S119" s="357"/>
      <c r="T119" s="357"/>
      <c r="U119" s="1395"/>
      <c r="V119" s="357"/>
      <c r="W119" s="357"/>
      <c r="X119" s="357"/>
      <c r="Z119" s="357"/>
      <c r="AA119" s="357"/>
      <c r="AB119" s="2248"/>
      <c r="AC119" s="2248"/>
      <c r="AD119" s="2248"/>
      <c r="AE119" s="2248"/>
      <c r="AF119" s="1411"/>
      <c r="AG119" s="1355"/>
      <c r="AH119" s="1355"/>
      <c r="AI119" s="1355"/>
      <c r="AJ119" s="1355"/>
      <c r="AK119" s="1414"/>
      <c r="AL119" s="1414"/>
      <c r="AM119" s="1414"/>
      <c r="AN119" s="1414"/>
      <c r="AO119" s="1414"/>
      <c r="AP119" s="1414"/>
      <c r="AQ119" s="1414"/>
      <c r="AR119" s="1414"/>
      <c r="AS119" s="1414"/>
      <c r="AT119" s="1414"/>
      <c r="AU119" s="1414"/>
      <c r="AV119" s="1414"/>
      <c r="AW119" s="1414"/>
      <c r="AX119" s="1414"/>
      <c r="AY119" s="1414"/>
      <c r="AZ119" s="1414"/>
      <c r="BA119" s="1414"/>
      <c r="BB119" s="1414"/>
      <c r="BC119" s="1414"/>
      <c r="BD119" s="1414"/>
      <c r="BE119" s="1414"/>
      <c r="BF119" s="1414"/>
      <c r="BG119" s="1414"/>
      <c r="BH119" s="1414"/>
      <c r="BI119" s="1414"/>
      <c r="BJ119" s="1414"/>
      <c r="BK119" s="1414"/>
      <c r="BL119" s="2141" t="s">
        <v>1388</v>
      </c>
      <c r="BM119" s="33">
        <v>100</v>
      </c>
      <c r="BN119" s="33">
        <v>100</v>
      </c>
      <c r="BO119" s="33">
        <v>20</v>
      </c>
      <c r="BP119" s="323">
        <v>20</v>
      </c>
      <c r="BQ119" s="323">
        <v>20</v>
      </c>
      <c r="BR119" s="323">
        <f t="shared" si="44"/>
        <v>13.333333333333334</v>
      </c>
      <c r="BS119" s="323">
        <v>10</v>
      </c>
      <c r="BT119" s="323">
        <v>30</v>
      </c>
      <c r="BU119" s="1001">
        <v>0.115</v>
      </c>
      <c r="BV119" s="357">
        <v>0</v>
      </c>
      <c r="BW119" s="357"/>
      <c r="BX119" s="357"/>
      <c r="BY119" s="357"/>
      <c r="BZ119" s="357"/>
      <c r="CA119" s="357"/>
      <c r="CB119" s="357"/>
      <c r="CC119" s="357"/>
    </row>
    <row r="120" spans="1:81" ht="15.75">
      <c r="A120" s="546"/>
      <c r="B120" s="357"/>
      <c r="C120" s="357"/>
      <c r="D120" s="546"/>
      <c r="E120" s="357"/>
      <c r="F120" s="357"/>
      <c r="G120" s="357"/>
      <c r="H120" s="357"/>
      <c r="I120" s="357"/>
      <c r="J120" s="357"/>
      <c r="K120" s="357"/>
      <c r="L120" s="357"/>
      <c r="M120" s="357"/>
      <c r="N120" s="357"/>
      <c r="O120" s="357"/>
      <c r="P120" s="357"/>
      <c r="Q120" s="357"/>
      <c r="R120" s="357"/>
      <c r="S120" s="357"/>
      <c r="T120" s="357"/>
      <c r="U120" s="1395"/>
      <c r="V120" s="357"/>
      <c r="W120" s="357"/>
      <c r="X120" s="357"/>
      <c r="Z120" s="357"/>
      <c r="AA120" s="357"/>
      <c r="AB120" s="2248"/>
      <c r="AC120" s="2248"/>
      <c r="AD120" s="2248"/>
      <c r="AE120" s="2248"/>
      <c r="AF120" s="1411"/>
      <c r="AG120" s="1355"/>
      <c r="AH120" s="1355"/>
      <c r="AI120" s="1355"/>
      <c r="AJ120" s="1355"/>
      <c r="AK120" s="1414"/>
      <c r="AL120" s="1414"/>
      <c r="AM120" s="1414"/>
      <c r="AN120" s="1414"/>
      <c r="AO120" s="1414"/>
      <c r="AP120" s="1414"/>
      <c r="AQ120" s="1414"/>
      <c r="AR120" s="1414"/>
      <c r="AS120" s="1414"/>
      <c r="AT120" s="1414"/>
      <c r="AU120" s="1414"/>
      <c r="AV120" s="1414"/>
      <c r="AW120" s="1414"/>
      <c r="AX120" s="1414"/>
      <c r="AY120" s="1414"/>
      <c r="AZ120" s="1414"/>
      <c r="BA120" s="1414"/>
      <c r="BB120" s="1414"/>
      <c r="BC120" s="1414"/>
      <c r="BD120" s="1414"/>
      <c r="BE120" s="1414"/>
      <c r="BF120" s="1414"/>
      <c r="BG120" s="1414"/>
      <c r="BH120" s="1414"/>
      <c r="BI120" s="1414"/>
      <c r="BJ120" s="1414"/>
      <c r="BK120" s="1414"/>
      <c r="BL120" s="2141" t="s">
        <v>1297</v>
      </c>
      <c r="BM120" s="33">
        <v>250</v>
      </c>
      <c r="BN120" s="33">
        <v>190</v>
      </c>
      <c r="BO120" s="33">
        <v>20</v>
      </c>
      <c r="BP120" s="323">
        <v>20</v>
      </c>
      <c r="BQ120" s="323">
        <v>20</v>
      </c>
      <c r="BR120" s="323">
        <f t="shared" si="44"/>
        <v>13.333333333333334</v>
      </c>
      <c r="BS120" s="323">
        <v>30</v>
      </c>
      <c r="BT120" s="323">
        <v>30</v>
      </c>
      <c r="BU120" s="1001">
        <v>0.115</v>
      </c>
      <c r="BV120" s="357">
        <v>0</v>
      </c>
      <c r="BW120" s="357"/>
      <c r="BX120" s="357"/>
      <c r="BY120" s="357"/>
      <c r="BZ120" s="357"/>
      <c r="CA120" s="357"/>
      <c r="CB120" s="357"/>
      <c r="CC120" s="357"/>
    </row>
    <row r="121" spans="1:81" ht="15.75">
      <c r="A121" s="546"/>
      <c r="B121" s="357"/>
      <c r="C121" s="357"/>
      <c r="D121" s="546"/>
      <c r="E121" s="357"/>
      <c r="F121" s="357"/>
      <c r="G121" s="357"/>
      <c r="H121" s="357"/>
      <c r="I121" s="357"/>
      <c r="J121" s="357"/>
      <c r="K121" s="357"/>
      <c r="L121" s="357"/>
      <c r="M121" s="357"/>
      <c r="N121" s="357"/>
      <c r="O121" s="357"/>
      <c r="P121" s="357"/>
      <c r="Q121" s="357"/>
      <c r="R121" s="357"/>
      <c r="S121" s="357"/>
      <c r="T121" s="357"/>
      <c r="U121" s="1395"/>
      <c r="V121" s="357"/>
      <c r="W121" s="357"/>
      <c r="X121" s="357"/>
      <c r="Z121" s="357"/>
      <c r="AA121" s="357"/>
      <c r="AB121" s="2248"/>
      <c r="AC121" s="2248"/>
      <c r="AD121" s="2248"/>
      <c r="AE121" s="2248"/>
      <c r="AF121" s="1411"/>
      <c r="AG121" s="1355"/>
      <c r="AH121" s="1355"/>
      <c r="AI121" s="1355"/>
      <c r="AJ121" s="1355"/>
      <c r="AK121" s="1414"/>
      <c r="AL121" s="1414"/>
      <c r="AM121" s="1414"/>
      <c r="AN121" s="1414"/>
      <c r="AO121" s="1414"/>
      <c r="AP121" s="1414"/>
      <c r="AQ121" s="1414"/>
      <c r="AR121" s="1414"/>
      <c r="AS121" s="1414"/>
      <c r="AT121" s="1414"/>
      <c r="AU121" s="1414"/>
      <c r="AV121" s="1414"/>
      <c r="AW121" s="1414"/>
      <c r="AX121" s="1414"/>
      <c r="AY121" s="1414"/>
      <c r="AZ121" s="1414"/>
      <c r="BA121" s="1414"/>
      <c r="BB121" s="1414"/>
      <c r="BC121" s="1414"/>
      <c r="BD121" s="1414"/>
      <c r="BE121" s="1414"/>
      <c r="BF121" s="1414"/>
      <c r="BG121" s="1414"/>
      <c r="BH121" s="1414"/>
      <c r="BI121" s="1414"/>
      <c r="BJ121" s="1414"/>
      <c r="BK121" s="1414"/>
      <c r="BL121" s="2141" t="s">
        <v>1298</v>
      </c>
      <c r="BM121" s="33">
        <v>300</v>
      </c>
      <c r="BN121" s="33">
        <v>205</v>
      </c>
      <c r="BO121" s="33">
        <v>20</v>
      </c>
      <c r="BP121" s="323">
        <v>20</v>
      </c>
      <c r="BQ121" s="323">
        <v>20</v>
      </c>
      <c r="BR121" s="323">
        <f t="shared" si="44"/>
        <v>13.333333333333334</v>
      </c>
      <c r="BS121" s="323">
        <v>30</v>
      </c>
      <c r="BT121" s="323">
        <v>30</v>
      </c>
      <c r="BU121" s="1001">
        <v>0.115</v>
      </c>
      <c r="BV121" s="357">
        <v>0</v>
      </c>
      <c r="BW121" s="357"/>
      <c r="BX121" s="357"/>
      <c r="BY121" s="357"/>
      <c r="BZ121" s="357"/>
      <c r="CA121" s="357"/>
      <c r="CB121" s="357"/>
      <c r="CC121" s="357"/>
    </row>
    <row r="122" spans="1:81" ht="15.75">
      <c r="A122" s="546"/>
      <c r="B122" s="357"/>
      <c r="C122" s="357"/>
      <c r="D122" s="546"/>
      <c r="E122" s="357"/>
      <c r="F122" s="357"/>
      <c r="G122" s="357"/>
      <c r="H122" s="357"/>
      <c r="I122" s="357"/>
      <c r="J122" s="357"/>
      <c r="K122" s="357"/>
      <c r="L122" s="357"/>
      <c r="M122" s="357"/>
      <c r="N122" s="357"/>
      <c r="O122" s="357"/>
      <c r="P122" s="357"/>
      <c r="Q122" s="357"/>
      <c r="R122" s="357"/>
      <c r="S122" s="357"/>
      <c r="T122" s="357"/>
      <c r="U122" s="1395"/>
      <c r="V122" s="357"/>
      <c r="W122" s="357"/>
      <c r="X122" s="357"/>
      <c r="Z122" s="357"/>
      <c r="AA122" s="357"/>
      <c r="AB122" s="2248"/>
      <c r="AC122" s="2248"/>
      <c r="AD122" s="2248"/>
      <c r="AE122" s="2248"/>
      <c r="AF122" s="1411"/>
      <c r="AG122" s="1355"/>
      <c r="AH122" s="1355"/>
      <c r="AI122" s="1355"/>
      <c r="AJ122" s="1355"/>
      <c r="AK122" s="1414"/>
      <c r="AL122" s="1414"/>
      <c r="AM122" s="1414"/>
      <c r="AN122" s="1414"/>
      <c r="AO122" s="1414"/>
      <c r="AP122" s="1414"/>
      <c r="AQ122" s="1414"/>
      <c r="AR122" s="1414"/>
      <c r="AS122" s="1414"/>
      <c r="AT122" s="1414"/>
      <c r="AU122" s="1414"/>
      <c r="AV122" s="1414"/>
      <c r="AW122" s="1414"/>
      <c r="AX122" s="1414"/>
      <c r="AY122" s="1414"/>
      <c r="AZ122" s="1414"/>
      <c r="BA122" s="1414"/>
      <c r="BB122" s="1414"/>
      <c r="BC122" s="1414"/>
      <c r="BD122" s="1414"/>
      <c r="BE122" s="1414"/>
      <c r="BF122" s="1414"/>
      <c r="BG122" s="1414"/>
      <c r="BH122" s="1414"/>
      <c r="BI122" s="1414"/>
      <c r="BJ122" s="1414"/>
      <c r="BK122" s="1414"/>
      <c r="BL122" s="2143" t="s">
        <v>1671</v>
      </c>
      <c r="BM122" s="33">
        <v>310</v>
      </c>
      <c r="BN122" s="33">
        <v>240</v>
      </c>
      <c r="BO122" s="33">
        <v>20</v>
      </c>
      <c r="BP122" s="2144">
        <v>20</v>
      </c>
      <c r="BQ122" s="2144">
        <v>20</v>
      </c>
      <c r="BR122" s="2144">
        <f t="shared" si="44"/>
        <v>13.333333333333334</v>
      </c>
      <c r="BS122" s="2144">
        <v>50</v>
      </c>
      <c r="BT122" s="2144">
        <v>30</v>
      </c>
      <c r="BU122" s="2148">
        <v>0.115</v>
      </c>
      <c r="BV122" s="357">
        <v>0</v>
      </c>
      <c r="BW122" s="357"/>
      <c r="BX122" s="357"/>
      <c r="BY122" s="357"/>
      <c r="BZ122" s="357"/>
      <c r="CA122" s="357"/>
      <c r="CB122" s="357"/>
      <c r="CC122" s="357"/>
    </row>
    <row r="123" spans="1:81" ht="15.75">
      <c r="A123" s="546"/>
      <c r="B123" s="357"/>
      <c r="C123" s="357"/>
      <c r="D123" s="546"/>
      <c r="E123" s="357"/>
      <c r="F123" s="357"/>
      <c r="G123" s="357"/>
      <c r="H123" s="357"/>
      <c r="I123" s="357"/>
      <c r="J123" s="357"/>
      <c r="K123" s="357"/>
      <c r="L123" s="357"/>
      <c r="M123" s="357"/>
      <c r="N123" s="357"/>
      <c r="O123" s="357"/>
      <c r="P123" s="357"/>
      <c r="Q123" s="357"/>
      <c r="R123" s="357"/>
      <c r="S123" s="357"/>
      <c r="T123" s="357"/>
      <c r="U123" s="1395"/>
      <c r="V123" s="357"/>
      <c r="W123" s="357"/>
      <c r="X123" s="357"/>
      <c r="Z123" s="357"/>
      <c r="AA123" s="357"/>
      <c r="AB123" s="2248"/>
      <c r="AC123" s="2248"/>
      <c r="AD123" s="2248"/>
      <c r="AE123" s="2248"/>
      <c r="AF123" s="1411"/>
      <c r="AG123" s="1355"/>
      <c r="AH123" s="1355"/>
      <c r="AI123" s="1355"/>
      <c r="AJ123" s="1355"/>
      <c r="AK123" s="1414"/>
      <c r="AL123" s="1414"/>
      <c r="AM123" s="1414"/>
      <c r="AN123" s="1414"/>
      <c r="AO123" s="1414"/>
      <c r="AP123" s="1414"/>
      <c r="AQ123" s="1414"/>
      <c r="AR123" s="1414"/>
      <c r="AS123" s="1414"/>
      <c r="AT123" s="1414"/>
      <c r="AU123" s="1414"/>
      <c r="AV123" s="1414"/>
      <c r="AW123" s="1414"/>
      <c r="AX123" s="1414"/>
      <c r="AY123" s="1414"/>
      <c r="AZ123" s="1414"/>
      <c r="BA123" s="1414"/>
      <c r="BB123" s="1414"/>
      <c r="BC123" s="1414"/>
      <c r="BD123" s="1414"/>
      <c r="BE123" s="1414"/>
      <c r="BF123" s="1414"/>
      <c r="BG123" s="1414"/>
      <c r="BH123" s="1414"/>
      <c r="BI123" s="1414"/>
      <c r="BJ123" s="1414"/>
      <c r="BK123" s="1414"/>
      <c r="BL123" s="2143" t="s">
        <v>1672</v>
      </c>
      <c r="BM123" s="33">
        <v>360</v>
      </c>
      <c r="BN123" s="33">
        <v>300</v>
      </c>
      <c r="BO123" s="33">
        <v>20</v>
      </c>
      <c r="BP123" s="2144">
        <v>20</v>
      </c>
      <c r="BQ123" s="2144">
        <v>20</v>
      </c>
      <c r="BR123" s="2144">
        <f t="shared" si="44"/>
        <v>13.333333333333334</v>
      </c>
      <c r="BS123" s="2144">
        <v>50</v>
      </c>
      <c r="BT123" s="2144">
        <v>30</v>
      </c>
      <c r="BU123" s="2148">
        <v>0.115</v>
      </c>
      <c r="BV123" s="357">
        <v>0</v>
      </c>
      <c r="BW123" s="357"/>
      <c r="BX123" s="357"/>
      <c r="BY123" s="357"/>
      <c r="BZ123" s="357"/>
      <c r="CA123" s="357"/>
      <c r="CB123" s="357"/>
      <c r="CC123" s="357"/>
    </row>
    <row r="124" spans="1:81" ht="15.75">
      <c r="A124" s="546"/>
      <c r="B124" s="357"/>
      <c r="C124" s="357"/>
      <c r="D124" s="546"/>
      <c r="E124" s="357"/>
      <c r="F124" s="357"/>
      <c r="G124" s="357"/>
      <c r="H124" s="357"/>
      <c r="I124" s="357"/>
      <c r="J124" s="357"/>
      <c r="K124" s="357"/>
      <c r="L124" s="357"/>
      <c r="M124" s="357"/>
      <c r="N124" s="357"/>
      <c r="O124" s="357"/>
      <c r="P124" s="357"/>
      <c r="Q124" s="357"/>
      <c r="R124" s="357"/>
      <c r="S124" s="357"/>
      <c r="T124" s="357"/>
      <c r="U124" s="1395"/>
      <c r="V124" s="357"/>
      <c r="W124" s="357"/>
      <c r="X124" s="357"/>
      <c r="Z124" s="357"/>
      <c r="AA124" s="357"/>
      <c r="AB124" s="2248"/>
      <c r="AC124" s="2248"/>
      <c r="AD124" s="2248"/>
      <c r="AE124" s="2248"/>
      <c r="AF124" s="1411"/>
      <c r="AG124" s="1355"/>
      <c r="AH124" s="1355"/>
      <c r="AI124" s="1355"/>
      <c r="AJ124" s="1355"/>
      <c r="AK124" s="1414"/>
      <c r="AL124" s="1414"/>
      <c r="AM124" s="1414"/>
      <c r="AN124" s="1414"/>
      <c r="AO124" s="1414"/>
      <c r="AP124" s="1414"/>
      <c r="AQ124" s="1414"/>
      <c r="AR124" s="1414"/>
      <c r="AS124" s="1414"/>
      <c r="AT124" s="1414"/>
      <c r="AU124" s="1414"/>
      <c r="AV124" s="1414"/>
      <c r="AW124" s="1414"/>
      <c r="AX124" s="1414"/>
      <c r="AY124" s="1414"/>
      <c r="AZ124" s="1414"/>
      <c r="BA124" s="1414"/>
      <c r="BB124" s="1414"/>
      <c r="BC124" s="1414"/>
      <c r="BD124" s="1414"/>
      <c r="BE124" s="1414"/>
      <c r="BF124" s="1414"/>
      <c r="BG124" s="1414"/>
      <c r="BH124" s="1414"/>
      <c r="BI124" s="1414"/>
      <c r="BJ124" s="1414"/>
      <c r="BK124" s="1414"/>
      <c r="BL124" s="2140" t="s">
        <v>1627</v>
      </c>
      <c r="BM124" s="33">
        <v>350</v>
      </c>
      <c r="BN124" s="33">
        <v>185</v>
      </c>
      <c r="BO124" s="33">
        <v>10</v>
      </c>
      <c r="BP124" s="2153">
        <v>19</v>
      </c>
      <c r="BQ124" s="2153">
        <v>19</v>
      </c>
      <c r="BR124" s="2152">
        <v>0</v>
      </c>
      <c r="BS124" s="2152">
        <v>0</v>
      </c>
      <c r="BT124" s="2152">
        <v>60</v>
      </c>
      <c r="BU124" s="2157">
        <v>0.12</v>
      </c>
      <c r="BV124" s="357">
        <v>0</v>
      </c>
      <c r="BW124" s="357"/>
      <c r="BX124" s="357"/>
      <c r="BY124" s="357"/>
      <c r="BZ124" s="357"/>
      <c r="CA124" s="357"/>
      <c r="CB124" s="357"/>
      <c r="CC124" s="357"/>
    </row>
    <row r="125" spans="1:81">
      <c r="A125" s="546"/>
      <c r="B125" s="357"/>
      <c r="C125" s="357"/>
      <c r="D125" s="546"/>
      <c r="E125" s="357"/>
      <c r="F125" s="357"/>
      <c r="G125" s="357"/>
      <c r="H125" s="357"/>
      <c r="I125" s="357"/>
      <c r="J125" s="357"/>
      <c r="K125" s="357"/>
      <c r="L125" s="357"/>
      <c r="M125" s="357"/>
      <c r="N125" s="357"/>
      <c r="O125" s="357"/>
      <c r="P125" s="357"/>
      <c r="Q125" s="357"/>
      <c r="R125" s="357"/>
      <c r="S125" s="357"/>
      <c r="T125" s="357"/>
      <c r="U125" s="1395"/>
      <c r="V125" s="357"/>
      <c r="W125" s="357"/>
      <c r="X125" s="357"/>
      <c r="Z125" s="357"/>
      <c r="AA125" s="357"/>
      <c r="AB125" s="2248"/>
      <c r="AC125" s="2248"/>
      <c r="AD125" s="2248"/>
      <c r="AE125" s="2248"/>
      <c r="AF125" s="2248"/>
      <c r="AG125" s="2248"/>
      <c r="AH125" s="2248"/>
      <c r="AI125" s="2248"/>
      <c r="AJ125" s="2248"/>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c r="BK125" s="357"/>
      <c r="BL125" s="2141" t="s">
        <v>1389</v>
      </c>
      <c r="BM125" s="33">
        <v>250</v>
      </c>
      <c r="BN125" s="33">
        <v>100</v>
      </c>
      <c r="BO125" s="33">
        <v>20</v>
      </c>
      <c r="BP125" s="323">
        <v>20</v>
      </c>
      <c r="BQ125" s="323">
        <v>20</v>
      </c>
      <c r="BR125" s="323">
        <f>BQ125*2/3</f>
        <v>13.333333333333334</v>
      </c>
      <c r="BS125" s="323">
        <v>70</v>
      </c>
      <c r="BT125" s="323">
        <v>60</v>
      </c>
      <c r="BU125" s="1001">
        <v>9.1999999999999998E-2</v>
      </c>
      <c r="BV125" s="357">
        <v>0</v>
      </c>
      <c r="BW125" s="357"/>
      <c r="BX125" s="357"/>
      <c r="BY125" s="357"/>
      <c r="BZ125" s="357"/>
      <c r="CA125" s="357"/>
      <c r="CB125" s="357"/>
      <c r="CC125" s="357"/>
    </row>
    <row r="126" spans="1:81">
      <c r="A126" s="546"/>
      <c r="B126" s="357"/>
      <c r="C126" s="357"/>
      <c r="D126" s="546"/>
      <c r="E126" s="357"/>
      <c r="F126" s="357"/>
      <c r="G126" s="357"/>
      <c r="H126" s="357"/>
      <c r="I126" s="357"/>
      <c r="J126" s="357"/>
      <c r="K126" s="357"/>
      <c r="L126" s="357"/>
      <c r="M126" s="357"/>
      <c r="N126" s="357"/>
      <c r="O126" s="357"/>
      <c r="P126" s="357"/>
      <c r="Q126" s="357"/>
      <c r="R126" s="357"/>
      <c r="S126" s="357"/>
      <c r="T126" s="357"/>
      <c r="U126" s="1395"/>
      <c r="V126" s="357"/>
      <c r="W126" s="357"/>
      <c r="X126" s="357"/>
      <c r="Z126" s="357"/>
      <c r="AA126" s="357"/>
      <c r="AB126" s="2248"/>
      <c r="AC126" s="2248"/>
      <c r="AD126" s="2248"/>
      <c r="AE126" s="2248"/>
      <c r="AF126" s="2248"/>
      <c r="AG126" s="2248"/>
      <c r="AH126" s="2248"/>
      <c r="AI126" s="2248"/>
      <c r="AJ126" s="2248"/>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2141" t="s">
        <v>1299</v>
      </c>
      <c r="BM126" s="33">
        <v>150</v>
      </c>
      <c r="BN126" s="33">
        <v>110</v>
      </c>
      <c r="BO126" s="33">
        <v>20</v>
      </c>
      <c r="BP126" s="323">
        <v>20</v>
      </c>
      <c r="BQ126" s="323">
        <v>20</v>
      </c>
      <c r="BR126" s="323">
        <f>BQ126*2/3</f>
        <v>13.333333333333334</v>
      </c>
      <c r="BS126" s="323">
        <v>30</v>
      </c>
      <c r="BT126" s="323">
        <v>60</v>
      </c>
      <c r="BU126" s="1001">
        <v>0.24099999999999999</v>
      </c>
      <c r="BV126" s="357">
        <v>0</v>
      </c>
      <c r="BW126" s="357"/>
      <c r="BX126" s="357"/>
      <c r="BY126" s="357"/>
      <c r="BZ126" s="357"/>
      <c r="CA126" s="357"/>
      <c r="CB126" s="357"/>
      <c r="CC126" s="357"/>
    </row>
    <row r="127" spans="1:81">
      <c r="A127" s="546"/>
      <c r="B127" s="357"/>
      <c r="C127" s="357"/>
      <c r="D127" s="546"/>
      <c r="E127" s="357"/>
      <c r="F127" s="357"/>
      <c r="G127" s="357"/>
      <c r="H127" s="357"/>
      <c r="I127" s="357"/>
      <c r="J127" s="357"/>
      <c r="K127" s="357"/>
      <c r="L127" s="357"/>
      <c r="M127" s="357"/>
      <c r="N127" s="357"/>
      <c r="O127" s="357"/>
      <c r="P127" s="357"/>
      <c r="Q127" s="357"/>
      <c r="R127" s="357"/>
      <c r="S127" s="357"/>
      <c r="T127" s="357"/>
      <c r="U127" s="1395"/>
      <c r="V127" s="357"/>
      <c r="W127" s="357"/>
      <c r="X127" s="357"/>
      <c r="Z127" s="357"/>
      <c r="AA127" s="357"/>
      <c r="AB127" s="2248"/>
      <c r="AC127" s="2248"/>
      <c r="AD127" s="2248"/>
      <c r="AE127" s="2248"/>
      <c r="AF127" s="2248"/>
      <c r="AG127" s="2248"/>
      <c r="AH127" s="2248"/>
      <c r="AI127" s="2248"/>
      <c r="AJ127" s="2248"/>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2159" t="s">
        <v>1673</v>
      </c>
      <c r="BM127" s="33">
        <v>150</v>
      </c>
      <c r="BN127" s="33">
        <v>100</v>
      </c>
      <c r="BO127" s="33">
        <v>10</v>
      </c>
      <c r="BP127" s="2158">
        <v>5</v>
      </c>
      <c r="BQ127" s="2158">
        <v>5</v>
      </c>
      <c r="BR127" s="2152">
        <v>0</v>
      </c>
      <c r="BS127" s="2152">
        <v>0</v>
      </c>
      <c r="BT127" s="2152">
        <v>60</v>
      </c>
      <c r="BU127" s="2155">
        <v>0.12</v>
      </c>
      <c r="BV127" s="357">
        <v>0</v>
      </c>
      <c r="BW127" s="357"/>
      <c r="BX127" s="357"/>
      <c r="BY127" s="357"/>
      <c r="BZ127" s="357"/>
      <c r="CA127" s="357"/>
      <c r="CB127" s="357"/>
      <c r="CC127" s="357"/>
    </row>
    <row r="128" spans="1:81">
      <c r="A128" s="546"/>
      <c r="B128" s="357"/>
      <c r="C128" s="357"/>
      <c r="D128" s="546"/>
      <c r="E128" s="357"/>
      <c r="F128" s="357"/>
      <c r="G128" s="357"/>
      <c r="H128" s="357"/>
      <c r="I128" s="357"/>
      <c r="J128" s="357"/>
      <c r="K128" s="357"/>
      <c r="L128" s="357"/>
      <c r="M128" s="357"/>
      <c r="N128" s="357"/>
      <c r="O128" s="357"/>
      <c r="P128" s="357"/>
      <c r="Q128" s="357"/>
      <c r="R128" s="357"/>
      <c r="S128" s="357"/>
      <c r="T128" s="357"/>
      <c r="U128" s="1395"/>
      <c r="V128" s="357"/>
      <c r="W128" s="357"/>
      <c r="X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c r="BK128" s="357"/>
      <c r="BL128" s="2141" t="s">
        <v>1390</v>
      </c>
      <c r="BM128" s="33">
        <v>700</v>
      </c>
      <c r="BN128" s="33">
        <v>260</v>
      </c>
      <c r="BO128" s="33">
        <v>20</v>
      </c>
      <c r="BP128" s="323">
        <v>40</v>
      </c>
      <c r="BQ128" s="323">
        <v>40</v>
      </c>
      <c r="BR128" s="323">
        <f>BQ128*2/3</f>
        <v>26.666666666666668</v>
      </c>
      <c r="BS128" s="323">
        <v>75</v>
      </c>
      <c r="BT128" s="323">
        <v>60</v>
      </c>
      <c r="BU128" s="1001">
        <v>7.2999999999999995E-2</v>
      </c>
      <c r="BV128" s="357">
        <v>0</v>
      </c>
      <c r="BW128" s="357"/>
      <c r="BX128" s="357"/>
      <c r="BY128" s="357"/>
      <c r="BZ128" s="357"/>
      <c r="CA128" s="357"/>
      <c r="CB128" s="357"/>
      <c r="CC128" s="357"/>
    </row>
    <row r="129" spans="1:81">
      <c r="A129" s="546"/>
      <c r="B129" s="357"/>
      <c r="C129" s="357"/>
      <c r="D129" s="546"/>
      <c r="E129" s="357"/>
      <c r="F129" s="357"/>
      <c r="G129" s="357"/>
      <c r="H129" s="357"/>
      <c r="I129" s="357"/>
      <c r="J129" s="357"/>
      <c r="K129" s="357"/>
      <c r="L129" s="357"/>
      <c r="M129" s="357"/>
      <c r="N129" s="357"/>
      <c r="O129" s="357"/>
      <c r="P129" s="357"/>
      <c r="Q129" s="357"/>
      <c r="R129" s="357"/>
      <c r="S129" s="357"/>
      <c r="T129" s="357"/>
      <c r="U129" s="1395"/>
      <c r="V129" s="357"/>
      <c r="W129" s="357"/>
      <c r="X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57"/>
      <c r="BI129" s="357"/>
      <c r="BJ129" s="357"/>
      <c r="BK129" s="357"/>
      <c r="BL129" s="2141" t="s">
        <v>1391</v>
      </c>
      <c r="BM129" s="33">
        <v>1000</v>
      </c>
      <c r="BN129" s="33">
        <v>320</v>
      </c>
      <c r="BO129" s="33">
        <v>20</v>
      </c>
      <c r="BP129" s="323">
        <v>40</v>
      </c>
      <c r="BQ129" s="323">
        <v>40</v>
      </c>
      <c r="BR129" s="323">
        <f>BQ129*2/3</f>
        <v>26.666666666666668</v>
      </c>
      <c r="BS129" s="323">
        <v>75</v>
      </c>
      <c r="BT129" s="323">
        <v>90</v>
      </c>
      <c r="BU129" s="1001">
        <v>7.2999999999999995E-2</v>
      </c>
      <c r="BV129" s="357">
        <v>0</v>
      </c>
      <c r="BW129" s="357"/>
      <c r="BX129" s="357"/>
      <c r="BY129" s="357"/>
      <c r="BZ129" s="357"/>
      <c r="CA129" s="357"/>
      <c r="CB129" s="357"/>
      <c r="CC129" s="357"/>
    </row>
    <row r="130" spans="1:81">
      <c r="A130" s="546"/>
      <c r="B130" s="357"/>
      <c r="C130" s="357"/>
      <c r="D130" s="546"/>
      <c r="E130" s="357"/>
      <c r="F130" s="357"/>
      <c r="G130" s="357"/>
      <c r="H130" s="357"/>
      <c r="I130" s="357"/>
      <c r="J130" s="357"/>
      <c r="K130" s="357"/>
      <c r="L130" s="357"/>
      <c r="M130" s="357"/>
      <c r="N130" s="357"/>
      <c r="O130" s="357"/>
      <c r="P130" s="357"/>
      <c r="Q130" s="357"/>
      <c r="R130" s="357"/>
      <c r="S130" s="357"/>
      <c r="T130" s="357"/>
      <c r="U130" s="1395"/>
      <c r="V130" s="357"/>
      <c r="W130" s="357"/>
      <c r="X130" s="357"/>
      <c r="Z130" s="357"/>
      <c r="AA130" s="357"/>
      <c r="AB130" s="357"/>
      <c r="AC130" s="357"/>
      <c r="AD130" s="357"/>
      <c r="AE130" s="357"/>
      <c r="AF130" s="357"/>
      <c r="AG130" s="357"/>
      <c r="AH130" s="357"/>
      <c r="AI130" s="357"/>
      <c r="AJ130" s="357"/>
      <c r="AK130" s="357"/>
      <c r="AL130" s="357"/>
      <c r="AM130" s="357"/>
      <c r="AN130" s="357"/>
      <c r="AO130" s="357"/>
      <c r="AP130" s="357"/>
      <c r="AQ130" s="357"/>
      <c r="AR130" s="357"/>
      <c r="AS130" s="357"/>
      <c r="AT130" s="357"/>
      <c r="AU130" s="357"/>
      <c r="AV130" s="357"/>
      <c r="AW130" s="357"/>
      <c r="AX130" s="357"/>
      <c r="AY130" s="357"/>
      <c r="AZ130" s="357"/>
      <c r="BA130" s="357"/>
      <c r="BB130" s="357"/>
      <c r="BC130" s="357"/>
      <c r="BD130" s="357"/>
      <c r="BE130" s="357"/>
      <c r="BF130" s="357"/>
      <c r="BG130" s="357"/>
      <c r="BH130" s="357"/>
      <c r="BI130" s="357"/>
      <c r="BJ130" s="357"/>
      <c r="BK130" s="357"/>
      <c r="BL130" s="2159" t="s">
        <v>1674</v>
      </c>
      <c r="BM130" s="33">
        <v>100</v>
      </c>
      <c r="BN130" s="33">
        <v>80</v>
      </c>
      <c r="BO130" s="33">
        <v>10</v>
      </c>
      <c r="BP130" s="2158">
        <v>4</v>
      </c>
      <c r="BQ130" s="2158">
        <v>4</v>
      </c>
      <c r="BR130" s="2152">
        <v>0</v>
      </c>
      <c r="BS130" s="2152">
        <v>0</v>
      </c>
      <c r="BT130" s="2152">
        <v>30</v>
      </c>
      <c r="BU130" s="2165">
        <v>0.1</v>
      </c>
      <c r="BV130" s="357">
        <v>0</v>
      </c>
      <c r="BW130" s="357"/>
      <c r="BX130" s="357"/>
      <c r="BY130" s="357"/>
      <c r="BZ130" s="357"/>
      <c r="CA130" s="357"/>
      <c r="CB130" s="357"/>
      <c r="CC130" s="357"/>
    </row>
    <row r="131" spans="1:81">
      <c r="A131" s="546"/>
      <c r="B131" s="357"/>
      <c r="C131" s="357"/>
      <c r="D131" s="546"/>
      <c r="E131" s="357"/>
      <c r="F131" s="357"/>
      <c r="G131" s="357"/>
      <c r="H131" s="357"/>
      <c r="I131" s="357"/>
      <c r="J131" s="357"/>
      <c r="K131" s="357"/>
      <c r="L131" s="357"/>
      <c r="M131" s="357"/>
      <c r="N131" s="357"/>
      <c r="O131" s="357"/>
      <c r="P131" s="357"/>
      <c r="Q131" s="357"/>
      <c r="R131" s="357"/>
      <c r="S131" s="357"/>
      <c r="T131" s="357"/>
      <c r="U131" s="1395"/>
      <c r="V131" s="357"/>
      <c r="W131" s="357"/>
      <c r="X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57"/>
      <c r="BI131" s="357"/>
      <c r="BJ131" s="357"/>
      <c r="BK131" s="357"/>
      <c r="BL131" s="2152" t="s">
        <v>1637</v>
      </c>
      <c r="BM131" s="33">
        <v>800</v>
      </c>
      <c r="BN131" s="33">
        <v>440</v>
      </c>
      <c r="BO131" s="33">
        <v>10</v>
      </c>
      <c r="BP131" s="2153">
        <v>44</v>
      </c>
      <c r="BQ131" s="2153">
        <v>44</v>
      </c>
      <c r="BR131" s="2152">
        <v>0</v>
      </c>
      <c r="BS131" s="2152">
        <v>0</v>
      </c>
      <c r="BT131" s="2154">
        <v>60</v>
      </c>
      <c r="BU131" s="2155">
        <v>0.13700000000000001</v>
      </c>
      <c r="BV131" s="357">
        <v>0</v>
      </c>
      <c r="BW131" s="357"/>
      <c r="BX131" s="357"/>
      <c r="BY131" s="357"/>
      <c r="BZ131" s="357"/>
      <c r="CA131" s="357"/>
      <c r="CB131" s="357"/>
      <c r="CC131" s="357"/>
    </row>
    <row r="132" spans="1:81">
      <c r="A132" s="546"/>
      <c r="B132" s="357"/>
      <c r="C132" s="357"/>
      <c r="D132" s="546"/>
      <c r="E132" s="357"/>
      <c r="F132" s="357"/>
      <c r="G132" s="357"/>
      <c r="H132" s="357"/>
      <c r="I132" s="357"/>
      <c r="J132" s="357"/>
      <c r="K132" s="357"/>
      <c r="L132" s="357"/>
      <c r="M132" s="357"/>
      <c r="N132" s="357"/>
      <c r="O132" s="357"/>
      <c r="P132" s="357"/>
      <c r="Q132" s="357"/>
      <c r="R132" s="357"/>
      <c r="S132" s="357"/>
      <c r="T132" s="357"/>
      <c r="U132" s="1395"/>
      <c r="V132" s="357"/>
      <c r="W132" s="357"/>
      <c r="X132" s="357"/>
      <c r="Z132" s="357"/>
      <c r="AA132" s="357"/>
      <c r="AB132" s="357"/>
      <c r="AC132" s="357"/>
      <c r="AD132" s="357"/>
      <c r="AE132" s="357"/>
      <c r="AF132" s="357"/>
      <c r="AG132" s="357"/>
      <c r="AH132" s="357"/>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57"/>
      <c r="BI132" s="357"/>
      <c r="BJ132" s="357"/>
      <c r="BK132" s="357"/>
      <c r="BL132" s="2141" t="s">
        <v>1300</v>
      </c>
      <c r="BM132" s="2129">
        <v>400</v>
      </c>
      <c r="BN132" s="2129">
        <v>285</v>
      </c>
      <c r="BO132" s="2129">
        <v>20</v>
      </c>
      <c r="BP132" s="323">
        <v>40</v>
      </c>
      <c r="BQ132" s="323">
        <v>40</v>
      </c>
      <c r="BR132" s="323">
        <f>BQ132*2/3</f>
        <v>26.666666666666668</v>
      </c>
      <c r="BS132" s="323">
        <v>80</v>
      </c>
      <c r="BT132" s="323">
        <v>60</v>
      </c>
      <c r="BU132" s="1001">
        <v>0.115</v>
      </c>
      <c r="BV132" s="357">
        <v>0</v>
      </c>
      <c r="BW132" s="357"/>
      <c r="BX132" s="357"/>
      <c r="BY132" s="357"/>
      <c r="BZ132" s="357"/>
      <c r="CA132" s="357"/>
      <c r="CB132" s="357"/>
      <c r="CC132" s="357"/>
    </row>
    <row r="133" spans="1:81">
      <c r="A133" s="546"/>
      <c r="B133" s="357"/>
      <c r="C133" s="357"/>
      <c r="D133" s="546"/>
      <c r="E133" s="357"/>
      <c r="F133" s="357"/>
      <c r="G133" s="357"/>
      <c r="H133" s="357"/>
      <c r="I133" s="357"/>
      <c r="J133" s="357"/>
      <c r="K133" s="357"/>
      <c r="L133" s="357"/>
      <c r="M133" s="357"/>
      <c r="N133" s="357"/>
      <c r="O133" s="357"/>
      <c r="P133" s="357"/>
      <c r="Q133" s="357"/>
      <c r="R133" s="357"/>
      <c r="S133" s="357"/>
      <c r="T133" s="357"/>
      <c r="U133" s="1395"/>
      <c r="V133" s="357"/>
      <c r="W133" s="357"/>
      <c r="X133" s="357"/>
      <c r="Z133" s="357"/>
      <c r="AA133" s="357"/>
      <c r="AB133" s="357"/>
      <c r="AC133" s="357"/>
      <c r="AD133" s="357"/>
      <c r="AE133" s="357"/>
      <c r="AF133" s="357"/>
      <c r="AG133" s="357"/>
      <c r="AH133" s="357"/>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57"/>
      <c r="BI133" s="357"/>
      <c r="BJ133" s="357"/>
      <c r="BK133" s="357"/>
      <c r="BL133" s="2159" t="s">
        <v>1675</v>
      </c>
      <c r="BM133" s="2129">
        <v>300</v>
      </c>
      <c r="BN133" s="2129">
        <v>185</v>
      </c>
      <c r="BO133" s="2129">
        <v>10</v>
      </c>
      <c r="BP133" s="2158">
        <v>19</v>
      </c>
      <c r="BQ133" s="2158">
        <v>19</v>
      </c>
      <c r="BR133" s="2164">
        <v>0</v>
      </c>
      <c r="BS133" s="2164">
        <v>0</v>
      </c>
      <c r="BT133" s="2164">
        <v>60</v>
      </c>
      <c r="BU133" s="2155">
        <v>0.14000000000000001</v>
      </c>
      <c r="BV133" s="357">
        <v>0</v>
      </c>
      <c r="BW133" s="357"/>
      <c r="BX133" s="357"/>
      <c r="BY133" s="357"/>
      <c r="BZ133" s="357"/>
      <c r="CA133" s="357"/>
      <c r="CB133" s="357"/>
      <c r="CC133" s="357"/>
    </row>
    <row r="134" spans="1:81">
      <c r="A134" s="546"/>
      <c r="B134" s="357"/>
      <c r="C134" s="357"/>
      <c r="D134" s="546"/>
      <c r="E134" s="357"/>
      <c r="F134" s="357"/>
      <c r="G134" s="357"/>
      <c r="H134" s="357"/>
      <c r="I134" s="357"/>
      <c r="J134" s="357"/>
      <c r="K134" s="357"/>
      <c r="L134" s="357"/>
      <c r="M134" s="357"/>
      <c r="N134" s="357"/>
      <c r="O134" s="357"/>
      <c r="P134" s="357"/>
      <c r="Q134" s="357"/>
      <c r="R134" s="357"/>
      <c r="S134" s="357"/>
      <c r="T134" s="357"/>
      <c r="U134" s="1395"/>
      <c r="V134" s="357"/>
      <c r="W134" s="357"/>
      <c r="X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2141" t="s">
        <v>1301</v>
      </c>
      <c r="BM134" s="2129">
        <v>650</v>
      </c>
      <c r="BN134" s="2129">
        <v>250</v>
      </c>
      <c r="BO134" s="2129">
        <v>20</v>
      </c>
      <c r="BP134" s="323">
        <v>20</v>
      </c>
      <c r="BQ134" s="323">
        <v>20</v>
      </c>
      <c r="BR134" s="323">
        <f>BQ134*2/3</f>
        <v>13.333333333333334</v>
      </c>
      <c r="BS134" s="323">
        <v>85</v>
      </c>
      <c r="BT134" s="323">
        <v>60</v>
      </c>
      <c r="BU134" s="1001">
        <v>0.06</v>
      </c>
      <c r="BV134" s="357">
        <v>0</v>
      </c>
      <c r="BW134" s="357"/>
      <c r="BX134" s="357"/>
      <c r="BY134" s="357"/>
      <c r="BZ134" s="357"/>
      <c r="CA134" s="357"/>
      <c r="CB134" s="357"/>
      <c r="CC134" s="357"/>
    </row>
    <row r="135" spans="1:81">
      <c r="A135" s="546"/>
      <c r="B135" s="357"/>
      <c r="C135" s="357"/>
      <c r="D135" s="546"/>
      <c r="E135" s="357"/>
      <c r="F135" s="357"/>
      <c r="G135" s="357"/>
      <c r="H135" s="357"/>
      <c r="I135" s="357"/>
      <c r="J135" s="357"/>
      <c r="K135" s="357"/>
      <c r="L135" s="357"/>
      <c r="M135" s="357"/>
      <c r="N135" s="357"/>
      <c r="O135" s="357"/>
      <c r="P135" s="357"/>
      <c r="Q135" s="357"/>
      <c r="R135" s="357"/>
      <c r="S135" s="357"/>
      <c r="T135" s="357"/>
      <c r="U135" s="1395"/>
      <c r="V135" s="357"/>
      <c r="W135" s="357"/>
      <c r="X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2141" t="s">
        <v>1302</v>
      </c>
      <c r="BM135" s="2129">
        <v>200</v>
      </c>
      <c r="BN135" s="2129">
        <v>160</v>
      </c>
      <c r="BO135" s="2129">
        <v>20</v>
      </c>
      <c r="BP135" s="323">
        <v>20</v>
      </c>
      <c r="BQ135" s="323">
        <v>20</v>
      </c>
      <c r="BR135" s="323">
        <f>BQ135*2/3</f>
        <v>13.333333333333334</v>
      </c>
      <c r="BS135" s="323">
        <v>60</v>
      </c>
      <c r="BT135" s="323">
        <v>90</v>
      </c>
      <c r="BU135" s="1001">
        <v>0.16</v>
      </c>
      <c r="BV135" s="357">
        <v>0</v>
      </c>
      <c r="BW135" s="357"/>
      <c r="BX135" s="357"/>
      <c r="BY135" s="357"/>
      <c r="BZ135" s="357"/>
      <c r="CA135" s="357"/>
      <c r="CB135" s="357"/>
      <c r="CC135" s="357"/>
    </row>
    <row r="136" spans="1:81">
      <c r="A136" s="546"/>
      <c r="B136" s="357"/>
      <c r="C136" s="357"/>
      <c r="D136" s="546"/>
      <c r="E136" s="357"/>
      <c r="F136" s="357"/>
      <c r="G136" s="357"/>
      <c r="H136" s="357"/>
      <c r="I136" s="357"/>
      <c r="J136" s="357"/>
      <c r="K136" s="357"/>
      <c r="L136" s="357"/>
      <c r="M136" s="357"/>
      <c r="N136" s="357"/>
      <c r="O136" s="357"/>
      <c r="P136" s="357"/>
      <c r="Q136" s="357"/>
      <c r="R136" s="357"/>
      <c r="S136" s="357"/>
      <c r="T136" s="357"/>
      <c r="U136" s="1395"/>
      <c r="V136" s="357"/>
      <c r="W136" s="357"/>
      <c r="X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2141" t="s">
        <v>1392</v>
      </c>
      <c r="BM136" s="2129">
        <v>680</v>
      </c>
      <c r="BN136" s="2129">
        <v>210</v>
      </c>
      <c r="BO136" s="2129">
        <v>20</v>
      </c>
      <c r="BP136" s="323">
        <v>20</v>
      </c>
      <c r="BQ136" s="323">
        <v>20</v>
      </c>
      <c r="BR136" s="323">
        <f>BQ136*2/3</f>
        <v>13.333333333333334</v>
      </c>
      <c r="BS136" s="323">
        <v>15</v>
      </c>
      <c r="BT136" s="323">
        <v>30</v>
      </c>
      <c r="BU136" s="1001">
        <v>0.06</v>
      </c>
      <c r="BV136" s="357">
        <v>0</v>
      </c>
      <c r="BW136" s="357"/>
      <c r="BX136" s="357"/>
      <c r="BY136" s="357"/>
      <c r="BZ136" s="357"/>
      <c r="CA136" s="357"/>
      <c r="CB136" s="357"/>
      <c r="CC136" s="357"/>
    </row>
    <row r="137" spans="1:81">
      <c r="A137" s="546"/>
      <c r="B137" s="357"/>
      <c r="C137" s="357"/>
      <c r="D137" s="546"/>
      <c r="E137" s="357"/>
      <c r="F137" s="357"/>
      <c r="G137" s="357"/>
      <c r="H137" s="357"/>
      <c r="I137" s="357"/>
      <c r="J137" s="357"/>
      <c r="K137" s="357"/>
      <c r="L137" s="357"/>
      <c r="M137" s="357"/>
      <c r="N137" s="357"/>
      <c r="O137" s="357"/>
      <c r="P137" s="357"/>
      <c r="Q137" s="357"/>
      <c r="R137" s="357"/>
      <c r="S137" s="357"/>
      <c r="T137" s="357"/>
      <c r="U137" s="1395"/>
      <c r="V137" s="357"/>
      <c r="W137" s="357"/>
      <c r="X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2141" t="s">
        <v>1676</v>
      </c>
      <c r="BM137" s="2129">
        <v>250</v>
      </c>
      <c r="BN137" s="2129">
        <v>130</v>
      </c>
      <c r="BO137" s="2129">
        <v>20</v>
      </c>
      <c r="BP137" s="323">
        <v>20</v>
      </c>
      <c r="BQ137" s="323">
        <v>20</v>
      </c>
      <c r="BR137" s="323">
        <f>BQ137*2/3</f>
        <v>13.333333333333334</v>
      </c>
      <c r="BS137" s="323">
        <v>30</v>
      </c>
      <c r="BT137" s="323">
        <v>60</v>
      </c>
      <c r="BU137" s="1001">
        <v>0.12</v>
      </c>
      <c r="BV137" s="357">
        <v>0</v>
      </c>
      <c r="BW137" s="357"/>
      <c r="BX137" s="357"/>
      <c r="BY137" s="357"/>
      <c r="BZ137" s="357"/>
      <c r="CA137" s="357"/>
      <c r="CB137" s="357"/>
      <c r="CC137" s="357"/>
    </row>
    <row r="138" spans="1:81">
      <c r="A138" s="546"/>
      <c r="B138" s="357"/>
      <c r="C138" s="357"/>
      <c r="D138" s="546"/>
      <c r="E138" s="357"/>
      <c r="F138" s="357"/>
      <c r="G138" s="357"/>
      <c r="H138" s="357"/>
      <c r="I138" s="357"/>
      <c r="J138" s="357"/>
      <c r="K138" s="357"/>
      <c r="L138" s="357"/>
      <c r="M138" s="357"/>
      <c r="N138" s="357"/>
      <c r="O138" s="357"/>
      <c r="P138" s="357"/>
      <c r="Q138" s="357"/>
      <c r="R138" s="357"/>
      <c r="S138" s="357"/>
      <c r="T138" s="357"/>
      <c r="U138" s="1395"/>
      <c r="V138" s="357"/>
      <c r="W138" s="357"/>
      <c r="X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2141" t="s">
        <v>1303</v>
      </c>
      <c r="BM138" s="2129">
        <v>600</v>
      </c>
      <c r="BN138" s="2129">
        <v>155</v>
      </c>
      <c r="BO138" s="2129">
        <v>20</v>
      </c>
      <c r="BP138" s="323">
        <v>20</v>
      </c>
      <c r="BQ138" s="323">
        <v>20</v>
      </c>
      <c r="BR138" s="323">
        <f>BQ138*2/3</f>
        <v>13.333333333333334</v>
      </c>
      <c r="BS138" s="323">
        <v>30</v>
      </c>
      <c r="BT138" s="323">
        <v>60</v>
      </c>
      <c r="BU138" s="1001">
        <v>0.08</v>
      </c>
      <c r="BV138" s="357">
        <v>0</v>
      </c>
      <c r="BW138" s="357"/>
      <c r="BX138" s="357"/>
      <c r="BY138" s="357"/>
      <c r="BZ138" s="357"/>
      <c r="CA138" s="357"/>
      <c r="CB138" s="357"/>
      <c r="CC138" s="357"/>
    </row>
    <row r="139" spans="1:81">
      <c r="A139" s="546"/>
      <c r="B139" s="357"/>
      <c r="C139" s="357"/>
      <c r="D139" s="546"/>
      <c r="E139" s="357"/>
      <c r="F139" s="357"/>
      <c r="G139" s="357"/>
      <c r="H139" s="357"/>
      <c r="I139" s="357"/>
      <c r="J139" s="357"/>
      <c r="K139" s="357"/>
      <c r="L139" s="357"/>
      <c r="M139" s="357"/>
      <c r="N139" s="357"/>
      <c r="O139" s="357"/>
      <c r="P139" s="357"/>
      <c r="Q139" s="357"/>
      <c r="R139" s="357"/>
      <c r="S139" s="357"/>
      <c r="T139" s="357"/>
      <c r="U139" s="1395"/>
      <c r="V139" s="357"/>
      <c r="W139" s="357"/>
      <c r="X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c r="BK139" s="357"/>
      <c r="BL139" s="1968"/>
      <c r="BM139" s="1421"/>
      <c r="BN139" s="1421"/>
      <c r="BO139" s="1421"/>
      <c r="BP139" s="1421"/>
      <c r="BQ139" s="1421"/>
      <c r="BR139" s="1421"/>
      <c r="BS139" s="1421"/>
      <c r="BT139" s="1421"/>
      <c r="BU139" s="1421"/>
      <c r="BV139" s="357"/>
      <c r="BW139" s="357"/>
      <c r="BX139" s="357"/>
      <c r="BY139" s="357"/>
      <c r="BZ139" s="357"/>
      <c r="CA139" s="357"/>
      <c r="CB139" s="357"/>
      <c r="CC139" s="357"/>
    </row>
    <row r="140" spans="1:81">
      <c r="A140" s="546"/>
      <c r="B140" s="357"/>
      <c r="C140" s="357"/>
      <c r="D140" s="546"/>
      <c r="E140" s="357"/>
      <c r="F140" s="357"/>
      <c r="G140" s="357"/>
      <c r="H140" s="357"/>
      <c r="I140" s="357"/>
      <c r="J140" s="357"/>
      <c r="K140" s="357"/>
      <c r="L140" s="357"/>
      <c r="M140" s="357"/>
      <c r="N140" s="357"/>
      <c r="O140" s="357"/>
      <c r="P140" s="357"/>
      <c r="Q140" s="357"/>
      <c r="R140" s="357"/>
      <c r="S140" s="357"/>
      <c r="T140" s="357"/>
      <c r="U140" s="1395"/>
      <c r="V140" s="357"/>
      <c r="W140" s="357"/>
      <c r="X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Z140" s="357"/>
      <c r="CA140" s="357"/>
      <c r="CB140" s="357"/>
      <c r="CC140" s="357"/>
    </row>
    <row r="141" spans="1:81">
      <c r="A141" s="546"/>
      <c r="B141" s="357"/>
      <c r="C141" s="357"/>
      <c r="D141" s="546"/>
      <c r="E141" s="357"/>
      <c r="F141" s="357"/>
      <c r="G141" s="357"/>
      <c r="H141" s="357"/>
      <c r="I141" s="357"/>
      <c r="J141" s="357"/>
      <c r="K141" s="357"/>
      <c r="L141" s="357"/>
      <c r="M141" s="357"/>
      <c r="N141" s="357"/>
      <c r="O141" s="357"/>
      <c r="P141" s="357"/>
      <c r="Q141" s="357"/>
      <c r="R141" s="357"/>
      <c r="S141" s="357"/>
      <c r="T141" s="357"/>
      <c r="U141" s="1395"/>
      <c r="V141" s="357"/>
      <c r="W141" s="357"/>
      <c r="X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Z141" s="357"/>
      <c r="CA141" s="357"/>
      <c r="CB141" s="357"/>
      <c r="CC141" s="357"/>
    </row>
    <row r="142" spans="1:81">
      <c r="A142" s="546"/>
      <c r="B142" s="357"/>
      <c r="C142" s="357"/>
      <c r="D142" s="546"/>
      <c r="E142" s="357"/>
      <c r="F142" s="357"/>
      <c r="G142" s="357"/>
      <c r="H142" s="357"/>
      <c r="I142" s="357"/>
      <c r="J142" s="357"/>
      <c r="K142" s="357"/>
      <c r="L142" s="357"/>
      <c r="M142" s="357"/>
      <c r="N142" s="357"/>
      <c r="O142" s="357"/>
      <c r="P142" s="357"/>
      <c r="Q142" s="357"/>
      <c r="R142" s="357"/>
      <c r="S142" s="357"/>
      <c r="T142" s="357"/>
      <c r="U142" s="1395"/>
      <c r="V142" s="357"/>
      <c r="W142" s="357"/>
      <c r="X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7"/>
      <c r="AT142" s="357"/>
      <c r="AU142" s="357"/>
      <c r="AV142" s="357"/>
      <c r="AW142" s="357"/>
      <c r="AX142" s="357"/>
      <c r="AY142" s="357"/>
      <c r="AZ142" s="357"/>
      <c r="BA142" s="357"/>
      <c r="BB142" s="357"/>
      <c r="BC142" s="357"/>
      <c r="BD142" s="357"/>
      <c r="BE142" s="357"/>
      <c r="BF142" s="357"/>
      <c r="BG142" s="357"/>
      <c r="BH142" s="357"/>
      <c r="BI142" s="357"/>
      <c r="BJ142" s="357"/>
      <c r="BK142" s="357"/>
      <c r="BZ142" s="357"/>
      <c r="CA142" s="357"/>
      <c r="CB142" s="357"/>
      <c r="CC142" s="357"/>
    </row>
    <row r="143" spans="1:81">
      <c r="A143" s="546"/>
      <c r="B143" s="357"/>
      <c r="C143" s="357"/>
      <c r="D143" s="546"/>
      <c r="E143" s="357"/>
      <c r="F143" s="357"/>
      <c r="G143" s="357"/>
      <c r="H143" s="357"/>
      <c r="I143" s="357"/>
      <c r="J143" s="357"/>
      <c r="K143" s="357"/>
      <c r="L143" s="357"/>
      <c r="M143" s="357"/>
      <c r="N143" s="357"/>
      <c r="O143" s="357"/>
      <c r="P143" s="357"/>
      <c r="Q143" s="357"/>
      <c r="R143" s="357"/>
      <c r="S143" s="357"/>
      <c r="T143" s="357"/>
      <c r="U143" s="1395"/>
      <c r="V143" s="357"/>
      <c r="W143" s="357"/>
      <c r="X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c r="BK143" s="357"/>
      <c r="BZ143" s="357"/>
      <c r="CA143" s="357"/>
      <c r="CB143" s="357"/>
      <c r="CC143" s="357"/>
    </row>
    <row r="144" spans="1:81">
      <c r="A144" s="546"/>
      <c r="B144" s="357"/>
      <c r="C144" s="357"/>
      <c r="D144" s="546"/>
      <c r="E144" s="357"/>
      <c r="F144" s="357"/>
      <c r="G144" s="357"/>
      <c r="H144" s="357"/>
      <c r="I144" s="357"/>
      <c r="J144" s="357"/>
      <c r="K144" s="357"/>
      <c r="L144" s="357"/>
      <c r="M144" s="357"/>
      <c r="N144" s="357"/>
      <c r="O144" s="357"/>
      <c r="P144" s="357"/>
      <c r="Q144" s="357"/>
      <c r="R144" s="357"/>
      <c r="S144" s="357"/>
      <c r="T144" s="357"/>
      <c r="U144" s="1395"/>
      <c r="V144" s="357"/>
      <c r="W144" s="357"/>
      <c r="X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c r="BK144" s="357"/>
      <c r="BZ144" s="357"/>
      <c r="CA144" s="357"/>
      <c r="CB144" s="357"/>
      <c r="CC144" s="357"/>
    </row>
    <row r="145" spans="1:81">
      <c r="A145" s="546"/>
      <c r="B145" s="357"/>
      <c r="C145" s="357"/>
      <c r="D145" s="546"/>
      <c r="E145" s="357"/>
      <c r="F145" s="357"/>
      <c r="G145" s="357"/>
      <c r="H145" s="357"/>
      <c r="I145" s="357"/>
      <c r="J145" s="357"/>
      <c r="K145" s="357"/>
      <c r="L145" s="357"/>
      <c r="M145" s="357"/>
      <c r="N145" s="357"/>
      <c r="O145" s="357"/>
      <c r="P145" s="357"/>
      <c r="Q145" s="357"/>
      <c r="R145" s="357"/>
      <c r="S145" s="357"/>
      <c r="T145" s="357"/>
      <c r="U145" s="1395"/>
      <c r="V145" s="357"/>
      <c r="W145" s="357"/>
      <c r="X145" s="357"/>
      <c r="Z145" s="357"/>
      <c r="AA145" s="357"/>
      <c r="AB145" s="357"/>
      <c r="AC145" s="357"/>
      <c r="AD145" s="357"/>
      <c r="AE145" s="357"/>
      <c r="AF145" s="357"/>
      <c r="AG145" s="357"/>
      <c r="AH145" s="357"/>
      <c r="AI145" s="357"/>
      <c r="AJ145" s="357"/>
      <c r="AK145" s="357"/>
      <c r="AL145" s="357"/>
      <c r="AM145" s="357"/>
      <c r="AN145" s="357"/>
      <c r="AO145" s="357"/>
      <c r="AP145" s="357"/>
      <c r="AQ145" s="357"/>
      <c r="AR145" s="357"/>
      <c r="AS145" s="357"/>
      <c r="AT145" s="357"/>
      <c r="AU145" s="357"/>
      <c r="AV145" s="357"/>
      <c r="AW145" s="357"/>
      <c r="AX145" s="357"/>
      <c r="AY145" s="357"/>
      <c r="AZ145" s="357"/>
      <c r="BA145" s="357"/>
      <c r="BB145" s="357"/>
      <c r="BC145" s="357"/>
      <c r="BD145" s="357"/>
      <c r="BE145" s="357"/>
      <c r="BF145" s="357"/>
      <c r="BG145" s="357"/>
      <c r="BH145" s="357"/>
      <c r="BI145" s="357"/>
      <c r="BJ145" s="357"/>
      <c r="BK145" s="357"/>
      <c r="BZ145" s="357"/>
      <c r="CA145" s="357"/>
      <c r="CB145" s="357"/>
      <c r="CC145" s="357"/>
    </row>
    <row r="146" spans="1:81">
      <c r="A146" s="546"/>
      <c r="B146" s="357"/>
      <c r="C146" s="357"/>
      <c r="D146" s="546"/>
      <c r="E146" s="357"/>
      <c r="F146" s="357"/>
      <c r="G146" s="357"/>
      <c r="H146" s="357"/>
      <c r="I146" s="357"/>
      <c r="J146" s="357"/>
      <c r="K146" s="357"/>
      <c r="L146" s="357"/>
      <c r="M146" s="357"/>
      <c r="N146" s="357"/>
      <c r="O146" s="357"/>
      <c r="P146" s="357"/>
      <c r="Q146" s="357"/>
      <c r="R146" s="357"/>
      <c r="S146" s="357"/>
      <c r="T146" s="357"/>
      <c r="U146" s="1395"/>
      <c r="V146" s="357"/>
      <c r="W146" s="357"/>
      <c r="X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57"/>
      <c r="BI146" s="357"/>
      <c r="BJ146" s="357"/>
      <c r="BK146" s="357"/>
      <c r="BZ146" s="357"/>
      <c r="CA146" s="357"/>
      <c r="CB146" s="357"/>
      <c r="CC146" s="357"/>
    </row>
    <row r="147" spans="1:81">
      <c r="A147" s="546"/>
      <c r="B147" s="357"/>
      <c r="C147" s="357"/>
      <c r="D147" s="546"/>
      <c r="E147" s="357"/>
      <c r="F147" s="357"/>
      <c r="G147" s="357"/>
      <c r="H147" s="357"/>
      <c r="I147" s="357"/>
      <c r="J147" s="357"/>
      <c r="K147" s="357"/>
      <c r="L147" s="357"/>
      <c r="M147" s="357"/>
      <c r="N147" s="357"/>
      <c r="O147" s="357"/>
      <c r="P147" s="357"/>
      <c r="Q147" s="357"/>
      <c r="R147" s="357"/>
      <c r="S147" s="357"/>
      <c r="T147" s="357"/>
      <c r="U147" s="1395"/>
      <c r="V147" s="357"/>
      <c r="W147" s="357"/>
      <c r="X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Z147" s="357"/>
      <c r="CA147" s="357"/>
      <c r="CB147" s="357"/>
      <c r="CC147" s="357"/>
    </row>
    <row r="148" spans="1:81">
      <c r="A148" s="546"/>
      <c r="B148" s="357"/>
      <c r="C148" s="357"/>
      <c r="D148" s="546"/>
      <c r="E148" s="357"/>
      <c r="F148" s="357"/>
      <c r="G148" s="357"/>
      <c r="H148" s="357"/>
      <c r="I148" s="357"/>
      <c r="J148" s="357"/>
      <c r="K148" s="357"/>
      <c r="L148" s="357"/>
      <c r="M148" s="357"/>
      <c r="N148" s="357"/>
      <c r="O148" s="357"/>
      <c r="P148" s="357"/>
      <c r="Q148" s="357"/>
      <c r="R148" s="357"/>
      <c r="S148" s="357"/>
      <c r="T148" s="357"/>
      <c r="U148" s="1395"/>
      <c r="V148" s="357"/>
      <c r="W148" s="357"/>
      <c r="X148" s="357"/>
      <c r="Z148" s="357"/>
      <c r="AA148" s="357"/>
      <c r="AB148" s="357"/>
      <c r="AC148" s="357"/>
      <c r="AD148" s="357"/>
      <c r="AE148" s="357"/>
      <c r="AF148" s="357"/>
      <c r="AG148" s="357"/>
      <c r="AH148" s="357"/>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57"/>
      <c r="BI148" s="357"/>
      <c r="BJ148" s="357"/>
      <c r="BK148" s="357"/>
      <c r="BZ148" s="357"/>
      <c r="CA148" s="357"/>
      <c r="CB148" s="357"/>
      <c r="CC148" s="357"/>
    </row>
    <row r="149" spans="1:81">
      <c r="A149" s="546"/>
      <c r="B149" s="357"/>
      <c r="C149" s="357"/>
      <c r="D149" s="546"/>
      <c r="E149" s="357"/>
      <c r="F149" s="357"/>
      <c r="G149" s="357"/>
      <c r="H149" s="357"/>
      <c r="I149" s="357"/>
      <c r="J149" s="357"/>
      <c r="K149" s="357"/>
      <c r="L149" s="357"/>
      <c r="M149" s="357"/>
      <c r="N149" s="357"/>
      <c r="O149" s="357"/>
      <c r="P149" s="357"/>
      <c r="Q149" s="357"/>
      <c r="R149" s="357"/>
      <c r="S149" s="357"/>
      <c r="T149" s="357"/>
      <c r="U149" s="1395"/>
      <c r="V149" s="357"/>
      <c r="W149" s="357"/>
      <c r="X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57"/>
      <c r="BI149" s="357"/>
      <c r="BJ149" s="357"/>
      <c r="BK149" s="357"/>
      <c r="BZ149" s="357"/>
      <c r="CA149" s="357"/>
      <c r="CB149" s="357"/>
      <c r="CC149" s="357"/>
    </row>
    <row r="150" spans="1:81">
      <c r="A150" s="546"/>
      <c r="B150" s="357"/>
      <c r="C150" s="357"/>
      <c r="D150" s="546"/>
      <c r="E150" s="357"/>
      <c r="F150" s="357"/>
      <c r="G150" s="357"/>
      <c r="H150" s="357"/>
      <c r="I150" s="357"/>
      <c r="J150" s="357"/>
      <c r="K150" s="357"/>
      <c r="L150" s="357"/>
      <c r="M150" s="357"/>
      <c r="N150" s="357"/>
      <c r="O150" s="357"/>
      <c r="P150" s="357"/>
      <c r="Q150" s="357"/>
      <c r="R150" s="357"/>
      <c r="S150" s="357"/>
      <c r="T150" s="357"/>
      <c r="U150" s="1395"/>
      <c r="V150" s="357"/>
      <c r="W150" s="357"/>
      <c r="X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57"/>
      <c r="BI150" s="357"/>
      <c r="BJ150" s="357"/>
      <c r="BK150" s="357"/>
      <c r="BZ150" s="357"/>
      <c r="CA150" s="357"/>
      <c r="CB150" s="357"/>
      <c r="CC150" s="357"/>
    </row>
    <row r="151" spans="1:81">
      <c r="A151" s="546"/>
      <c r="B151" s="357"/>
      <c r="C151" s="357"/>
      <c r="D151" s="546"/>
      <c r="E151" s="357"/>
      <c r="F151" s="357"/>
      <c r="G151" s="357"/>
      <c r="H151" s="357"/>
      <c r="I151" s="357"/>
      <c r="J151" s="357"/>
      <c r="K151" s="357"/>
      <c r="L151" s="357"/>
      <c r="M151" s="357"/>
      <c r="N151" s="357"/>
      <c r="O151" s="357"/>
      <c r="P151" s="357"/>
      <c r="Q151" s="357"/>
      <c r="R151" s="357"/>
      <c r="S151" s="357"/>
      <c r="T151" s="357"/>
      <c r="U151" s="1395"/>
      <c r="V151" s="357"/>
      <c r="W151" s="357"/>
      <c r="X151" s="357"/>
      <c r="Z151" s="357"/>
      <c r="AA151" s="357"/>
      <c r="AB151" s="357"/>
      <c r="AC151" s="357"/>
      <c r="AD151" s="357"/>
      <c r="AE151" s="357"/>
      <c r="AF151" s="357"/>
      <c r="AG151" s="357"/>
      <c r="AH151" s="357"/>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57"/>
      <c r="BI151" s="357"/>
      <c r="BJ151" s="357"/>
      <c r="BK151" s="357"/>
      <c r="BL151" s="1968"/>
      <c r="BM151" s="1421"/>
      <c r="BN151" s="1421"/>
      <c r="BO151" s="1421"/>
      <c r="BP151" s="1421"/>
      <c r="BQ151" s="1421"/>
      <c r="BR151" s="1421"/>
      <c r="BS151" s="1421"/>
      <c r="BT151" s="2131"/>
      <c r="BU151" s="2132"/>
      <c r="BV151" s="357"/>
      <c r="BW151" s="357"/>
      <c r="BX151" s="357"/>
      <c r="BY151" s="357"/>
      <c r="BZ151" s="357"/>
      <c r="CA151" s="357"/>
      <c r="CB151" s="357"/>
      <c r="CC151" s="357"/>
    </row>
    <row r="152" spans="1:81">
      <c r="A152" s="546"/>
      <c r="B152" s="357"/>
      <c r="C152" s="357"/>
      <c r="D152" s="546"/>
      <c r="E152" s="357"/>
      <c r="F152" s="357"/>
      <c r="G152" s="357"/>
      <c r="H152" s="357"/>
      <c r="I152" s="357"/>
      <c r="J152" s="357"/>
      <c r="K152" s="357"/>
      <c r="L152" s="357"/>
      <c r="M152" s="357"/>
      <c r="N152" s="357"/>
      <c r="O152" s="357"/>
      <c r="P152" s="357"/>
      <c r="Q152" s="357"/>
      <c r="R152" s="357"/>
      <c r="S152" s="357"/>
      <c r="T152" s="357"/>
      <c r="U152" s="1395"/>
      <c r="V152" s="357"/>
      <c r="W152" s="357"/>
      <c r="X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57"/>
      <c r="BI152" s="357"/>
      <c r="BJ152" s="357"/>
      <c r="BK152" s="357"/>
      <c r="BL152" s="1968"/>
      <c r="BM152" s="1421"/>
      <c r="BN152" s="1421"/>
      <c r="BO152" s="1421"/>
      <c r="BP152" s="1421"/>
      <c r="BQ152" s="1421"/>
      <c r="BR152" s="1421"/>
      <c r="BS152" s="1421"/>
      <c r="BT152" s="2133"/>
      <c r="BU152" s="2134"/>
      <c r="BV152" s="357"/>
      <c r="BW152" s="357"/>
      <c r="BX152" s="357"/>
      <c r="BY152" s="357"/>
      <c r="BZ152" s="357"/>
      <c r="CA152" s="357"/>
      <c r="CB152" s="357"/>
      <c r="CC152" s="357"/>
    </row>
    <row r="153" spans="1:81">
      <c r="A153" s="546"/>
      <c r="B153" s="357"/>
      <c r="C153" s="357"/>
      <c r="D153" s="546"/>
      <c r="E153" s="357"/>
      <c r="F153" s="357"/>
      <c r="G153" s="357"/>
      <c r="H153" s="357"/>
      <c r="I153" s="357"/>
      <c r="J153" s="357"/>
      <c r="K153" s="357"/>
      <c r="L153" s="357"/>
      <c r="M153" s="357"/>
      <c r="N153" s="357"/>
      <c r="O153" s="357"/>
      <c r="P153" s="357"/>
      <c r="Q153" s="357"/>
      <c r="R153" s="357"/>
      <c r="S153" s="357"/>
      <c r="T153" s="357"/>
      <c r="U153" s="1395"/>
      <c r="V153" s="357"/>
      <c r="W153" s="357"/>
      <c r="X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c r="AT153" s="357"/>
      <c r="AU153" s="357"/>
      <c r="AV153" s="357"/>
      <c r="AW153" s="357"/>
      <c r="AX153" s="357"/>
      <c r="AY153" s="357"/>
      <c r="AZ153" s="357"/>
      <c r="BA153" s="357"/>
      <c r="BB153" s="357"/>
      <c r="BC153" s="357"/>
      <c r="BD153" s="357"/>
      <c r="BE153" s="357"/>
      <c r="BF153" s="357"/>
      <c r="BG153" s="357"/>
      <c r="BH153" s="357"/>
      <c r="BI153" s="357"/>
      <c r="BJ153" s="357"/>
      <c r="BK153" s="357"/>
      <c r="BL153" s="1968"/>
      <c r="BM153" s="1421"/>
      <c r="BN153" s="1421"/>
      <c r="BO153" s="1421"/>
      <c r="BP153" s="1421"/>
      <c r="BQ153" s="1421"/>
      <c r="BR153" s="1421"/>
      <c r="BS153" s="1421"/>
      <c r="BT153" s="2135"/>
      <c r="BU153" s="2134"/>
      <c r="BV153" s="357"/>
      <c r="BW153" s="357"/>
      <c r="BX153" s="357"/>
      <c r="BY153" s="357"/>
      <c r="BZ153" s="357"/>
      <c r="CA153" s="357"/>
      <c r="CB153" s="357"/>
      <c r="CC153" s="357"/>
    </row>
    <row r="154" spans="1:81">
      <c r="A154" s="546"/>
      <c r="B154" s="357"/>
      <c r="C154" s="357"/>
      <c r="D154" s="546"/>
      <c r="E154" s="357"/>
      <c r="F154" s="357"/>
      <c r="G154" s="357"/>
      <c r="H154" s="357"/>
      <c r="I154" s="357"/>
      <c r="J154" s="357"/>
      <c r="K154" s="357"/>
      <c r="L154" s="357"/>
      <c r="M154" s="357"/>
      <c r="N154" s="357"/>
      <c r="O154" s="357"/>
      <c r="P154" s="357"/>
      <c r="Q154" s="357"/>
      <c r="R154" s="357"/>
      <c r="S154" s="357"/>
      <c r="T154" s="357"/>
      <c r="U154" s="1395"/>
      <c r="V154" s="357"/>
      <c r="W154" s="357"/>
      <c r="X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57"/>
      <c r="BI154" s="357"/>
      <c r="BJ154" s="357"/>
      <c r="BK154" s="357"/>
      <c r="BL154" s="1968"/>
      <c r="BM154" s="1421"/>
      <c r="BN154" s="1421"/>
      <c r="BO154" s="1421"/>
      <c r="BP154" s="1421"/>
      <c r="BQ154" s="1421"/>
      <c r="BR154" s="1421"/>
      <c r="BS154" s="1421"/>
      <c r="BT154" s="2131"/>
      <c r="BU154" s="2132"/>
      <c r="BV154" s="357"/>
      <c r="BW154" s="357"/>
      <c r="BX154" s="357"/>
      <c r="BY154" s="357"/>
      <c r="BZ154" s="357"/>
      <c r="CA154" s="357"/>
      <c r="CB154" s="357"/>
      <c r="CC154" s="357"/>
    </row>
    <row r="155" spans="1:81">
      <c r="A155" s="546"/>
      <c r="B155" s="357"/>
      <c r="C155" s="357"/>
      <c r="D155" s="546"/>
      <c r="E155" s="357"/>
      <c r="F155" s="357"/>
      <c r="G155" s="357"/>
      <c r="H155" s="357"/>
      <c r="I155" s="357"/>
      <c r="J155" s="357"/>
      <c r="K155" s="357"/>
      <c r="L155" s="357"/>
      <c r="M155" s="357"/>
      <c r="N155" s="357"/>
      <c r="O155" s="357"/>
      <c r="P155" s="357"/>
      <c r="Q155" s="357"/>
      <c r="R155" s="357"/>
      <c r="S155" s="357"/>
      <c r="T155" s="357"/>
      <c r="U155" s="1395"/>
      <c r="V155" s="357"/>
      <c r="W155" s="357"/>
      <c r="X155" s="357"/>
      <c r="Z155" s="357"/>
      <c r="AA155" s="357"/>
      <c r="AB155" s="357"/>
      <c r="AC155" s="357"/>
      <c r="AD155" s="357"/>
      <c r="AE155" s="357"/>
      <c r="AF155" s="357"/>
      <c r="AG155" s="357"/>
      <c r="AH155" s="357"/>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57"/>
      <c r="BI155" s="357"/>
      <c r="BJ155" s="357"/>
      <c r="BK155" s="357"/>
      <c r="BL155" s="1968"/>
      <c r="BM155" s="1421"/>
      <c r="BN155" s="1421"/>
      <c r="BO155" s="1421"/>
      <c r="BP155" s="1421"/>
      <c r="BQ155" s="1421"/>
      <c r="BR155" s="1421"/>
      <c r="BS155" s="1421"/>
      <c r="BT155" s="2135"/>
      <c r="BU155" s="2132"/>
      <c r="BV155" s="357"/>
      <c r="BW155" s="357"/>
      <c r="BX155" s="357"/>
      <c r="BY155" s="357"/>
      <c r="BZ155" s="357"/>
      <c r="CA155" s="357"/>
      <c r="CB155" s="357"/>
      <c r="CC155" s="357"/>
    </row>
    <row r="156" spans="1:81">
      <c r="A156" s="546"/>
      <c r="B156" s="357"/>
      <c r="C156" s="357"/>
      <c r="D156" s="546"/>
      <c r="E156" s="357"/>
      <c r="F156" s="357"/>
      <c r="G156" s="357"/>
      <c r="H156" s="357"/>
      <c r="I156" s="357"/>
      <c r="J156" s="357"/>
      <c r="K156" s="357"/>
      <c r="L156" s="357"/>
      <c r="M156" s="357"/>
      <c r="N156" s="357"/>
      <c r="O156" s="357"/>
      <c r="P156" s="357"/>
      <c r="Q156" s="357"/>
      <c r="R156" s="357"/>
      <c r="S156" s="357"/>
      <c r="T156" s="357"/>
      <c r="U156" s="1395"/>
      <c r="V156" s="357"/>
      <c r="W156" s="357"/>
      <c r="X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c r="AT156" s="357"/>
      <c r="AU156" s="357"/>
      <c r="AV156" s="357"/>
      <c r="AW156" s="357"/>
      <c r="AX156" s="357"/>
      <c r="AY156" s="357"/>
      <c r="AZ156" s="357"/>
      <c r="BA156" s="357"/>
      <c r="BB156" s="357"/>
      <c r="BC156" s="357"/>
      <c r="BD156" s="357"/>
      <c r="BE156" s="357"/>
      <c r="BF156" s="357"/>
      <c r="BG156" s="357"/>
      <c r="BH156" s="357"/>
      <c r="BI156" s="357"/>
      <c r="BJ156" s="357"/>
      <c r="BK156" s="357"/>
      <c r="BL156" s="1968"/>
      <c r="BM156" s="1421"/>
      <c r="BN156" s="1421"/>
      <c r="BO156" s="1421"/>
      <c r="BP156" s="1421"/>
      <c r="BQ156" s="1421"/>
      <c r="BR156" s="1421"/>
      <c r="BS156" s="1421"/>
      <c r="BT156" s="2131"/>
      <c r="BU156" s="2134"/>
      <c r="BV156" s="357"/>
      <c r="BW156" s="357"/>
      <c r="BX156" s="357"/>
      <c r="BY156" s="357"/>
      <c r="BZ156" s="357"/>
      <c r="CA156" s="357"/>
      <c r="CB156" s="357"/>
      <c r="CC156" s="357"/>
    </row>
    <row r="157" spans="1:81">
      <c r="A157" s="546"/>
      <c r="B157" s="357"/>
      <c r="C157" s="357"/>
      <c r="D157" s="546"/>
      <c r="E157" s="357"/>
      <c r="F157" s="357"/>
      <c r="G157" s="357"/>
      <c r="H157" s="357"/>
      <c r="I157" s="357"/>
      <c r="J157" s="357"/>
      <c r="K157" s="357"/>
      <c r="L157" s="357"/>
      <c r="M157" s="357"/>
      <c r="N157" s="357"/>
      <c r="O157" s="357"/>
      <c r="P157" s="357"/>
      <c r="Q157" s="357"/>
      <c r="R157" s="357"/>
      <c r="S157" s="357"/>
      <c r="T157" s="357"/>
      <c r="U157" s="1395"/>
      <c r="V157" s="357"/>
      <c r="W157" s="357"/>
      <c r="X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c r="BK157" s="357"/>
      <c r="BL157" s="1968"/>
      <c r="BM157" s="1421"/>
      <c r="BN157" s="1421"/>
      <c r="BO157" s="1421"/>
      <c r="BP157" s="1421"/>
      <c r="BQ157" s="1421"/>
      <c r="BR157" s="1421"/>
      <c r="BS157" s="1421"/>
      <c r="BT157" s="2136"/>
      <c r="BU157" s="2132"/>
      <c r="BV157" s="357"/>
      <c r="BW157" s="357"/>
      <c r="BX157" s="357"/>
      <c r="BY157" s="357"/>
      <c r="BZ157" s="357"/>
      <c r="CA157" s="357"/>
      <c r="CB157" s="357"/>
      <c r="CC157" s="357"/>
    </row>
    <row r="158" spans="1:81">
      <c r="A158" s="546"/>
      <c r="B158" s="357"/>
      <c r="C158" s="357"/>
      <c r="D158" s="546"/>
      <c r="E158" s="357"/>
      <c r="F158" s="357"/>
      <c r="G158" s="357"/>
      <c r="H158" s="357"/>
      <c r="I158" s="357"/>
      <c r="J158" s="357"/>
      <c r="K158" s="357"/>
      <c r="L158" s="357"/>
      <c r="M158" s="357"/>
      <c r="N158" s="357"/>
      <c r="O158" s="357"/>
      <c r="P158" s="357"/>
      <c r="Q158" s="357"/>
      <c r="R158" s="357"/>
      <c r="S158" s="357"/>
      <c r="T158" s="357"/>
      <c r="U158" s="1395"/>
      <c r="V158" s="357"/>
      <c r="W158" s="357"/>
      <c r="X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c r="AT158" s="357"/>
      <c r="AU158" s="357"/>
      <c r="AV158" s="357"/>
      <c r="AW158" s="357"/>
      <c r="AX158" s="357"/>
      <c r="AY158" s="357"/>
      <c r="AZ158" s="357"/>
      <c r="BA158" s="357"/>
      <c r="BB158" s="357"/>
      <c r="BC158" s="357"/>
      <c r="BD158" s="357"/>
      <c r="BE158" s="357"/>
      <c r="BF158" s="357"/>
      <c r="BG158" s="357"/>
      <c r="BH158" s="357"/>
      <c r="BI158" s="357"/>
      <c r="BJ158" s="357"/>
      <c r="BK158" s="357"/>
      <c r="BL158" s="1968"/>
      <c r="BM158" s="1421"/>
      <c r="BN158" s="1421"/>
      <c r="BO158" s="1421"/>
      <c r="BP158" s="1421"/>
      <c r="BQ158" s="1421"/>
      <c r="BR158" s="1421"/>
      <c r="BS158" s="1421"/>
      <c r="BT158" s="2133"/>
      <c r="BU158" s="2134"/>
      <c r="BV158" s="357"/>
      <c r="BW158" s="357"/>
      <c r="BX158" s="357"/>
      <c r="BY158" s="357"/>
      <c r="BZ158" s="357"/>
      <c r="CA158" s="357"/>
      <c r="CB158" s="357"/>
      <c r="CC158" s="357"/>
    </row>
    <row r="159" spans="1:81">
      <c r="A159" s="546"/>
      <c r="B159" s="357"/>
      <c r="C159" s="357"/>
      <c r="D159" s="546"/>
      <c r="E159" s="357"/>
      <c r="F159" s="357"/>
      <c r="G159" s="357"/>
      <c r="H159" s="357"/>
      <c r="I159" s="357"/>
      <c r="J159" s="357"/>
      <c r="K159" s="357"/>
      <c r="L159" s="357"/>
      <c r="M159" s="357"/>
      <c r="N159" s="357"/>
      <c r="O159" s="357"/>
      <c r="P159" s="357"/>
      <c r="Q159" s="357"/>
      <c r="R159" s="357"/>
      <c r="S159" s="357"/>
      <c r="T159" s="357"/>
      <c r="U159" s="1395"/>
      <c r="V159" s="357"/>
      <c r="W159" s="357"/>
      <c r="X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c r="AT159" s="357"/>
      <c r="AU159" s="357"/>
      <c r="AV159" s="357"/>
      <c r="AW159" s="357"/>
      <c r="AX159" s="357"/>
      <c r="AY159" s="357"/>
      <c r="AZ159" s="357"/>
      <c r="BA159" s="357"/>
      <c r="BB159" s="357"/>
      <c r="BC159" s="357"/>
      <c r="BD159" s="357"/>
      <c r="BE159" s="357"/>
      <c r="BF159" s="357"/>
      <c r="BG159" s="357"/>
      <c r="BH159" s="357"/>
      <c r="BI159" s="357"/>
      <c r="BJ159" s="357"/>
      <c r="BK159" s="357"/>
      <c r="BL159" s="1968"/>
      <c r="BM159" s="1421"/>
      <c r="BN159" s="1421"/>
      <c r="BO159" s="1421"/>
      <c r="BP159" s="1421"/>
      <c r="BQ159" s="1421"/>
      <c r="BR159" s="1421"/>
      <c r="BS159" s="1421"/>
      <c r="BT159" s="2131"/>
      <c r="BU159" s="2134"/>
      <c r="BV159" s="357"/>
      <c r="BW159" s="357"/>
      <c r="BX159" s="357"/>
      <c r="BY159" s="357"/>
      <c r="BZ159" s="357"/>
      <c r="CA159" s="357"/>
      <c r="CB159" s="357"/>
      <c r="CC159" s="357"/>
    </row>
    <row r="160" spans="1:81">
      <c r="A160" s="546"/>
      <c r="B160" s="357"/>
      <c r="C160" s="357"/>
      <c r="D160" s="546"/>
      <c r="E160" s="357"/>
      <c r="F160" s="357"/>
      <c r="G160" s="357"/>
      <c r="H160" s="357"/>
      <c r="I160" s="357"/>
      <c r="J160" s="357"/>
      <c r="K160" s="357"/>
      <c r="L160" s="357"/>
      <c r="M160" s="357"/>
      <c r="N160" s="357"/>
      <c r="O160" s="357"/>
      <c r="P160" s="357"/>
      <c r="Q160" s="357"/>
      <c r="R160" s="357"/>
      <c r="S160" s="357"/>
      <c r="T160" s="357"/>
      <c r="U160" s="1395"/>
      <c r="V160" s="357"/>
      <c r="W160" s="357"/>
      <c r="X160" s="357"/>
      <c r="Z160" s="357"/>
      <c r="AA160" s="357"/>
      <c r="AB160" s="357"/>
      <c r="AC160" s="357"/>
      <c r="AD160" s="357"/>
      <c r="AE160" s="357"/>
      <c r="AF160" s="357"/>
      <c r="AG160" s="357"/>
      <c r="AH160" s="357"/>
      <c r="AI160" s="357"/>
      <c r="AJ160" s="357"/>
      <c r="AK160" s="357"/>
      <c r="AL160" s="357"/>
      <c r="AM160" s="357"/>
      <c r="AN160" s="357"/>
      <c r="AO160" s="357"/>
      <c r="AP160" s="357"/>
      <c r="AQ160" s="357"/>
      <c r="AR160" s="357"/>
      <c r="AS160" s="357"/>
      <c r="AT160" s="357"/>
      <c r="AU160" s="357"/>
      <c r="AV160" s="357"/>
      <c r="AW160" s="357"/>
      <c r="AX160" s="357"/>
      <c r="AY160" s="357"/>
      <c r="AZ160" s="357"/>
      <c r="BA160" s="357"/>
      <c r="BB160" s="357"/>
      <c r="BC160" s="357"/>
      <c r="BD160" s="357"/>
      <c r="BE160" s="357"/>
      <c r="BF160" s="357"/>
      <c r="BG160" s="357"/>
      <c r="BH160" s="357"/>
      <c r="BI160" s="357"/>
      <c r="BJ160" s="357"/>
      <c r="BK160" s="357"/>
      <c r="BL160" s="1968"/>
      <c r="BM160" s="1421"/>
      <c r="BN160" s="1421"/>
      <c r="BO160" s="1421"/>
      <c r="BP160" s="1421"/>
      <c r="BQ160" s="1421"/>
      <c r="BR160" s="1421"/>
      <c r="BS160" s="1421"/>
      <c r="BT160" s="2131"/>
      <c r="BU160" s="2132"/>
      <c r="BV160" s="357"/>
      <c r="BW160" s="357"/>
      <c r="BX160" s="357"/>
      <c r="BY160" s="357"/>
      <c r="BZ160" s="357"/>
      <c r="CA160" s="357"/>
      <c r="CB160" s="357"/>
      <c r="CC160" s="357"/>
    </row>
    <row r="161" spans="1:81">
      <c r="A161" s="546"/>
      <c r="B161" s="357"/>
      <c r="C161" s="357"/>
      <c r="D161" s="546"/>
      <c r="E161" s="357"/>
      <c r="F161" s="357"/>
      <c r="G161" s="357"/>
      <c r="H161" s="357"/>
      <c r="I161" s="357"/>
      <c r="J161" s="357"/>
      <c r="K161" s="357"/>
      <c r="L161" s="357"/>
      <c r="M161" s="357"/>
      <c r="N161" s="357"/>
      <c r="O161" s="357"/>
      <c r="P161" s="357"/>
      <c r="Q161" s="357"/>
      <c r="R161" s="357"/>
      <c r="S161" s="357"/>
      <c r="T161" s="357"/>
      <c r="U161" s="1395"/>
      <c r="V161" s="357"/>
      <c r="W161" s="357"/>
      <c r="X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57"/>
      <c r="BI161" s="357"/>
      <c r="BJ161" s="357"/>
      <c r="BK161" s="357"/>
      <c r="BL161" s="1968"/>
      <c r="BM161" s="1421"/>
      <c r="BN161" s="1421"/>
      <c r="BO161" s="1421"/>
      <c r="BP161" s="1421"/>
      <c r="BQ161" s="1421"/>
      <c r="BR161" s="1421"/>
      <c r="BS161" s="1421"/>
      <c r="BT161" s="2131"/>
      <c r="BU161" s="2132"/>
      <c r="BV161" s="357"/>
      <c r="BW161" s="357"/>
      <c r="BX161" s="357"/>
      <c r="BY161" s="357"/>
      <c r="BZ161" s="357"/>
      <c r="CA161" s="357"/>
      <c r="CB161" s="357"/>
      <c r="CC161" s="357"/>
    </row>
    <row r="162" spans="1:81">
      <c r="A162" s="546"/>
      <c r="B162" s="357"/>
      <c r="C162" s="357"/>
      <c r="D162" s="546"/>
      <c r="E162" s="357"/>
      <c r="F162" s="357"/>
      <c r="G162" s="357"/>
      <c r="H162" s="357"/>
      <c r="I162" s="357"/>
      <c r="J162" s="357"/>
      <c r="K162" s="357"/>
      <c r="L162" s="357"/>
      <c r="M162" s="357"/>
      <c r="N162" s="357"/>
      <c r="O162" s="357"/>
      <c r="P162" s="357"/>
      <c r="Q162" s="357"/>
      <c r="R162" s="357"/>
      <c r="S162" s="357"/>
      <c r="T162" s="357"/>
      <c r="U162" s="1395"/>
      <c r="V162" s="357"/>
      <c r="W162" s="357"/>
      <c r="X162" s="357"/>
      <c r="Z162" s="357"/>
      <c r="AA162" s="357"/>
      <c r="AB162" s="357"/>
      <c r="AC162" s="357"/>
      <c r="AD162" s="357"/>
      <c r="AE162" s="357"/>
      <c r="AF162" s="357"/>
      <c r="AG162" s="357"/>
      <c r="AH162" s="357"/>
      <c r="AI162" s="357"/>
      <c r="AJ162" s="357"/>
      <c r="AK162" s="357"/>
      <c r="AL162" s="357"/>
      <c r="AM162" s="357"/>
      <c r="AN162" s="357"/>
      <c r="AO162" s="357"/>
      <c r="AP162" s="357"/>
      <c r="AQ162" s="357"/>
      <c r="AR162" s="357"/>
      <c r="AS162" s="357"/>
      <c r="AT162" s="357"/>
      <c r="AU162" s="357"/>
      <c r="AV162" s="357"/>
      <c r="AW162" s="357"/>
      <c r="AX162" s="357"/>
      <c r="AY162" s="357"/>
      <c r="AZ162" s="357"/>
      <c r="BA162" s="357"/>
      <c r="BB162" s="357"/>
      <c r="BC162" s="357"/>
      <c r="BD162" s="357"/>
      <c r="BE162" s="357"/>
      <c r="BF162" s="357"/>
      <c r="BG162" s="357"/>
      <c r="BH162" s="357"/>
      <c r="BI162" s="357"/>
      <c r="BJ162" s="357"/>
      <c r="BK162" s="357"/>
      <c r="BL162" s="1968"/>
      <c r="BM162" s="1421"/>
      <c r="BN162" s="1421"/>
      <c r="BO162" s="1421"/>
      <c r="BP162" s="1421"/>
      <c r="BQ162" s="1421"/>
      <c r="BR162" s="1421"/>
      <c r="BS162" s="1421"/>
      <c r="BT162" s="2131"/>
      <c r="BU162" s="2134"/>
      <c r="BV162" s="357"/>
      <c r="BW162" s="357"/>
      <c r="BX162" s="357"/>
      <c r="BY162" s="357"/>
      <c r="BZ162" s="357"/>
      <c r="CA162" s="357"/>
      <c r="CB162" s="357"/>
      <c r="CC162" s="357"/>
    </row>
    <row r="163" spans="1:81">
      <c r="A163" s="546"/>
      <c r="B163" s="357"/>
      <c r="C163" s="357"/>
      <c r="D163" s="546"/>
      <c r="E163" s="357"/>
      <c r="F163" s="357"/>
      <c r="G163" s="357"/>
      <c r="H163" s="357"/>
      <c r="I163" s="357"/>
      <c r="J163" s="357"/>
      <c r="K163" s="357"/>
      <c r="L163" s="357"/>
      <c r="M163" s="357"/>
      <c r="N163" s="357"/>
      <c r="O163" s="357"/>
      <c r="P163" s="357"/>
      <c r="Q163" s="357"/>
      <c r="R163" s="357"/>
      <c r="S163" s="357"/>
      <c r="T163" s="357"/>
      <c r="U163" s="1395"/>
      <c r="V163" s="357"/>
      <c r="W163" s="357"/>
      <c r="X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57"/>
      <c r="BI163" s="357"/>
      <c r="BJ163" s="357"/>
      <c r="BK163" s="357"/>
      <c r="BL163" s="1968"/>
      <c r="BM163" s="1421"/>
      <c r="BN163" s="1421"/>
      <c r="BO163" s="1421"/>
      <c r="BP163" s="1421"/>
      <c r="BQ163" s="1421"/>
      <c r="BR163" s="1421"/>
      <c r="BS163" s="1421"/>
      <c r="BT163" s="2131"/>
      <c r="BU163" s="2132"/>
      <c r="BV163" s="357"/>
      <c r="BW163" s="357"/>
      <c r="BX163" s="357"/>
      <c r="BY163" s="357"/>
      <c r="BZ163" s="357"/>
      <c r="CA163" s="357"/>
      <c r="CB163" s="357"/>
      <c r="CC163" s="357"/>
    </row>
    <row r="164" spans="1:81">
      <c r="A164" s="546"/>
      <c r="B164" s="357"/>
      <c r="C164" s="357"/>
      <c r="D164" s="546"/>
      <c r="E164" s="357"/>
      <c r="F164" s="357"/>
      <c r="G164" s="357"/>
      <c r="H164" s="357"/>
      <c r="I164" s="357"/>
      <c r="J164" s="357"/>
      <c r="K164" s="357"/>
      <c r="L164" s="357"/>
      <c r="M164" s="357"/>
      <c r="N164" s="357"/>
      <c r="O164" s="357"/>
      <c r="P164" s="357"/>
      <c r="Q164" s="357"/>
      <c r="R164" s="357"/>
      <c r="S164" s="357"/>
      <c r="T164" s="357"/>
      <c r="U164" s="1395"/>
      <c r="V164" s="357"/>
      <c r="W164" s="357"/>
      <c r="X164" s="357"/>
      <c r="Z164" s="357"/>
      <c r="AA164" s="357"/>
      <c r="AB164" s="357"/>
      <c r="AC164" s="357"/>
      <c r="AD164" s="357"/>
      <c r="AE164" s="357"/>
      <c r="AF164" s="357"/>
      <c r="AG164" s="357"/>
      <c r="AH164" s="357"/>
      <c r="AI164" s="357"/>
      <c r="AJ164" s="357"/>
      <c r="AK164" s="357"/>
      <c r="AL164" s="357"/>
      <c r="AM164" s="357"/>
      <c r="AN164" s="357"/>
      <c r="AO164" s="357"/>
      <c r="AP164" s="357"/>
      <c r="AQ164" s="357"/>
      <c r="AR164" s="357"/>
      <c r="AS164" s="357"/>
      <c r="AT164" s="357"/>
      <c r="AU164" s="357"/>
      <c r="AV164" s="357"/>
      <c r="AW164" s="357"/>
      <c r="AX164" s="357"/>
      <c r="AY164" s="357"/>
      <c r="AZ164" s="357"/>
      <c r="BA164" s="357"/>
      <c r="BB164" s="357"/>
      <c r="BC164" s="357"/>
      <c r="BD164" s="357"/>
      <c r="BE164" s="357"/>
      <c r="BF164" s="357"/>
      <c r="BG164" s="357"/>
      <c r="BH164" s="357"/>
      <c r="BI164" s="357"/>
      <c r="BJ164" s="357"/>
      <c r="BK164" s="357"/>
      <c r="BL164" s="1968"/>
      <c r="BM164" s="1421"/>
      <c r="BN164" s="1421"/>
      <c r="BO164" s="1421"/>
      <c r="BP164" s="1421"/>
      <c r="BQ164" s="1421"/>
      <c r="BR164" s="1421"/>
      <c r="BS164" s="1421"/>
      <c r="BT164" s="2131"/>
      <c r="BU164" s="2132"/>
      <c r="BV164" s="357"/>
      <c r="BW164" s="357"/>
      <c r="BX164" s="357"/>
      <c r="BY164" s="357"/>
      <c r="BZ164" s="357"/>
      <c r="CA164" s="357"/>
      <c r="CB164" s="357"/>
      <c r="CC164" s="357"/>
    </row>
    <row r="165" spans="1:81">
      <c r="A165" s="546"/>
      <c r="B165" s="357"/>
      <c r="C165" s="357"/>
      <c r="D165" s="546"/>
      <c r="E165" s="357"/>
      <c r="F165" s="357"/>
      <c r="G165" s="357"/>
      <c r="H165" s="357"/>
      <c r="I165" s="357"/>
      <c r="J165" s="357"/>
      <c r="K165" s="357"/>
      <c r="L165" s="357"/>
      <c r="M165" s="357"/>
      <c r="N165" s="357"/>
      <c r="O165" s="357"/>
      <c r="P165" s="357"/>
      <c r="Q165" s="357"/>
      <c r="R165" s="357"/>
      <c r="S165" s="357"/>
      <c r="T165" s="357"/>
      <c r="U165" s="1395"/>
      <c r="V165" s="357"/>
      <c r="W165" s="357"/>
      <c r="X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c r="BK165" s="357"/>
      <c r="BL165" s="1968"/>
      <c r="BM165" s="1421"/>
      <c r="BN165" s="1421"/>
      <c r="BO165" s="1421"/>
      <c r="BP165" s="1421"/>
      <c r="BQ165" s="1421"/>
      <c r="BR165" s="1421"/>
      <c r="BS165" s="1421"/>
      <c r="BT165" s="2131"/>
      <c r="BU165" s="2132"/>
      <c r="BV165" s="357"/>
      <c r="BW165" s="357"/>
      <c r="BX165" s="357"/>
      <c r="BY165" s="357"/>
      <c r="BZ165" s="357"/>
      <c r="CA165" s="357"/>
      <c r="CB165" s="357"/>
      <c r="CC165" s="357"/>
    </row>
    <row r="166" spans="1:81">
      <c r="A166" s="546"/>
      <c r="B166" s="357"/>
      <c r="C166" s="357"/>
      <c r="D166" s="546"/>
      <c r="E166" s="357"/>
      <c r="F166" s="357"/>
      <c r="G166" s="357"/>
      <c r="H166" s="357"/>
      <c r="I166" s="357"/>
      <c r="J166" s="357"/>
      <c r="K166" s="357"/>
      <c r="L166" s="357"/>
      <c r="M166" s="357"/>
      <c r="N166" s="357"/>
      <c r="O166" s="357"/>
      <c r="P166" s="357"/>
      <c r="Q166" s="357"/>
      <c r="R166" s="357"/>
      <c r="S166" s="357"/>
      <c r="T166" s="357"/>
      <c r="U166" s="1395"/>
      <c r="V166" s="357"/>
      <c r="W166" s="357"/>
      <c r="X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c r="BK166" s="357"/>
      <c r="BL166" s="1968"/>
      <c r="BM166" s="1421"/>
      <c r="BN166" s="1421"/>
      <c r="BO166" s="1421"/>
      <c r="BP166" s="1421"/>
      <c r="BQ166" s="1421"/>
      <c r="BR166" s="1421"/>
      <c r="BS166" s="1421"/>
      <c r="BT166" s="2136"/>
      <c r="BU166" s="2132"/>
      <c r="BV166" s="357"/>
      <c r="BW166" s="357"/>
      <c r="BX166" s="357"/>
      <c r="BY166" s="357"/>
      <c r="BZ166" s="357"/>
      <c r="CA166" s="357"/>
      <c r="CB166" s="357"/>
      <c r="CC166" s="357"/>
    </row>
    <row r="167" spans="1:81">
      <c r="A167" s="546"/>
      <c r="B167" s="357"/>
      <c r="C167" s="357"/>
      <c r="D167" s="546"/>
      <c r="E167" s="357"/>
      <c r="F167" s="357"/>
      <c r="G167" s="357"/>
      <c r="H167" s="357"/>
      <c r="I167" s="357"/>
      <c r="J167" s="357"/>
      <c r="K167" s="357"/>
      <c r="L167" s="357"/>
      <c r="M167" s="357"/>
      <c r="N167" s="357"/>
      <c r="O167" s="357"/>
      <c r="P167" s="357"/>
      <c r="Q167" s="357"/>
      <c r="R167" s="357"/>
      <c r="S167" s="357"/>
      <c r="T167" s="357"/>
      <c r="U167" s="1395"/>
      <c r="V167" s="357"/>
      <c r="W167" s="357"/>
      <c r="X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c r="BK167" s="357"/>
      <c r="BL167" s="1968"/>
      <c r="BM167" s="1421"/>
      <c r="BN167" s="1421"/>
      <c r="BO167" s="1421"/>
      <c r="BP167" s="1421"/>
      <c r="BQ167" s="1421"/>
      <c r="BR167" s="1421"/>
      <c r="BS167" s="1421"/>
      <c r="BT167" s="2136"/>
      <c r="BU167" s="2132"/>
      <c r="BV167" s="357"/>
      <c r="BW167" s="357"/>
      <c r="BX167" s="357"/>
      <c r="BY167" s="357"/>
      <c r="BZ167" s="357"/>
      <c r="CA167" s="357"/>
      <c r="CB167" s="357"/>
      <c r="CC167" s="357"/>
    </row>
    <row r="168" spans="1:81">
      <c r="A168" s="546"/>
      <c r="B168" s="357"/>
      <c r="C168" s="357"/>
      <c r="D168" s="546"/>
      <c r="E168" s="357"/>
      <c r="F168" s="357"/>
      <c r="G168" s="357"/>
      <c r="H168" s="357"/>
      <c r="I168" s="357"/>
      <c r="J168" s="357"/>
      <c r="K168" s="357"/>
      <c r="L168" s="357"/>
      <c r="M168" s="357"/>
      <c r="N168" s="357"/>
      <c r="O168" s="357"/>
      <c r="P168" s="357"/>
      <c r="Q168" s="357"/>
      <c r="R168" s="357"/>
      <c r="S168" s="357"/>
      <c r="T168" s="357"/>
      <c r="U168" s="1395"/>
      <c r="V168" s="357"/>
      <c r="W168" s="357"/>
      <c r="X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57"/>
      <c r="BI168" s="357"/>
      <c r="BJ168" s="357"/>
      <c r="BK168" s="357"/>
      <c r="BL168" s="1968"/>
      <c r="BM168" s="1421"/>
      <c r="BN168" s="1421"/>
      <c r="BO168" s="1421"/>
      <c r="BP168" s="1421"/>
      <c r="BQ168" s="1421"/>
      <c r="BR168" s="1421"/>
      <c r="BS168" s="1421"/>
      <c r="BT168" s="2131"/>
      <c r="BU168" s="2132"/>
      <c r="BV168" s="357"/>
      <c r="BW168" s="357"/>
      <c r="BX168" s="357"/>
      <c r="BY168" s="357"/>
      <c r="BZ168" s="357"/>
      <c r="CA168" s="357"/>
      <c r="CB168" s="357"/>
      <c r="CC168" s="357"/>
    </row>
    <row r="169" spans="1:81">
      <c r="A169" s="546"/>
      <c r="B169" s="357"/>
      <c r="C169" s="357"/>
      <c r="D169" s="546"/>
      <c r="E169" s="357"/>
      <c r="F169" s="357"/>
      <c r="G169" s="357"/>
      <c r="H169" s="357"/>
      <c r="I169" s="357"/>
      <c r="J169" s="357"/>
      <c r="K169" s="357"/>
      <c r="L169" s="357"/>
      <c r="M169" s="357"/>
      <c r="N169" s="357"/>
      <c r="O169" s="357"/>
      <c r="P169" s="357"/>
      <c r="Q169" s="357"/>
      <c r="R169" s="357"/>
      <c r="S169" s="357"/>
      <c r="T169" s="357"/>
      <c r="U169" s="1395"/>
      <c r="V169" s="357"/>
      <c r="W169" s="357"/>
      <c r="X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57"/>
      <c r="BI169" s="357"/>
      <c r="BJ169" s="357"/>
      <c r="BK169" s="357"/>
      <c r="BL169" s="1968"/>
      <c r="BM169" s="1421"/>
      <c r="BN169" s="1421"/>
      <c r="BO169" s="1421"/>
      <c r="BP169" s="1421"/>
      <c r="BQ169" s="1421"/>
      <c r="BR169" s="1421"/>
      <c r="BS169" s="1421"/>
      <c r="BT169" s="2131"/>
      <c r="BU169" s="2132"/>
      <c r="BV169" s="357"/>
      <c r="BW169" s="357"/>
      <c r="BX169" s="357"/>
      <c r="BY169" s="357"/>
      <c r="BZ169" s="357"/>
      <c r="CA169" s="357"/>
      <c r="CB169" s="357"/>
      <c r="CC169" s="357"/>
    </row>
    <row r="170" spans="1:81">
      <c r="A170" s="546"/>
      <c r="B170" s="357"/>
      <c r="C170" s="357"/>
      <c r="D170" s="546"/>
      <c r="E170" s="357"/>
      <c r="F170" s="357"/>
      <c r="G170" s="357"/>
      <c r="H170" s="357"/>
      <c r="I170" s="357"/>
      <c r="J170" s="357"/>
      <c r="K170" s="357"/>
      <c r="L170" s="357"/>
      <c r="M170" s="357"/>
      <c r="N170" s="357"/>
      <c r="O170" s="357"/>
      <c r="P170" s="357"/>
      <c r="Q170" s="357"/>
      <c r="R170" s="357"/>
      <c r="S170" s="357"/>
      <c r="T170" s="357"/>
      <c r="U170" s="1395"/>
      <c r="V170" s="357"/>
      <c r="W170" s="357"/>
      <c r="X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c r="BK170" s="357"/>
      <c r="BL170" s="1968"/>
      <c r="BM170" s="1421"/>
      <c r="BN170" s="1421"/>
      <c r="BO170" s="1421"/>
      <c r="BP170" s="1421"/>
      <c r="BQ170" s="1421"/>
      <c r="BR170" s="1421"/>
      <c r="BS170" s="1421"/>
      <c r="BT170" s="2133"/>
      <c r="BU170" s="2134"/>
      <c r="BV170" s="357"/>
      <c r="BW170" s="357"/>
      <c r="BX170" s="357"/>
      <c r="BY170" s="357"/>
      <c r="BZ170" s="357"/>
      <c r="CA170" s="357"/>
      <c r="CB170" s="357"/>
      <c r="CC170" s="357"/>
    </row>
    <row r="171" spans="1:81">
      <c r="A171" s="546"/>
      <c r="B171" s="357"/>
      <c r="C171" s="357"/>
      <c r="D171" s="546"/>
      <c r="E171" s="357"/>
      <c r="F171" s="357"/>
      <c r="G171" s="357"/>
      <c r="H171" s="357"/>
      <c r="I171" s="357"/>
      <c r="J171" s="357"/>
      <c r="K171" s="357"/>
      <c r="L171" s="357"/>
      <c r="M171" s="357"/>
      <c r="N171" s="357"/>
      <c r="O171" s="357"/>
      <c r="P171" s="357"/>
      <c r="Q171" s="357"/>
      <c r="R171" s="357"/>
      <c r="S171" s="357"/>
      <c r="T171" s="357"/>
      <c r="U171" s="1395"/>
      <c r="V171" s="357"/>
      <c r="W171" s="357"/>
      <c r="X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1968"/>
      <c r="BM171" s="1421"/>
      <c r="BN171" s="1421"/>
      <c r="BO171" s="1421"/>
      <c r="BP171" s="1421"/>
      <c r="BQ171" s="1421"/>
      <c r="BR171" s="1421"/>
      <c r="BS171" s="1421"/>
      <c r="BT171" s="2131"/>
      <c r="BU171" s="2132"/>
      <c r="BV171" s="357"/>
      <c r="BW171" s="357"/>
      <c r="BX171" s="357"/>
      <c r="BY171" s="357"/>
      <c r="BZ171" s="357"/>
      <c r="CA171" s="357"/>
      <c r="CB171" s="357"/>
      <c r="CC171" s="357"/>
    </row>
    <row r="172" spans="1:81">
      <c r="A172" s="546"/>
      <c r="B172" s="357"/>
      <c r="C172" s="357"/>
      <c r="D172" s="546"/>
      <c r="E172" s="357"/>
      <c r="F172" s="357"/>
      <c r="G172" s="357"/>
      <c r="H172" s="357"/>
      <c r="I172" s="357"/>
      <c r="J172" s="357"/>
      <c r="K172" s="357"/>
      <c r="L172" s="357"/>
      <c r="M172" s="357"/>
      <c r="N172" s="357"/>
      <c r="O172" s="357"/>
      <c r="P172" s="357"/>
      <c r="Q172" s="357"/>
      <c r="R172" s="357"/>
      <c r="S172" s="357"/>
      <c r="T172" s="357"/>
      <c r="U172" s="1395"/>
      <c r="V172" s="357"/>
      <c r="W172" s="357"/>
      <c r="X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c r="BK172" s="357"/>
      <c r="BL172" s="1968"/>
      <c r="BM172" s="1421"/>
      <c r="BN172" s="1421"/>
      <c r="BO172" s="1421"/>
      <c r="BP172" s="1421"/>
      <c r="BQ172" s="1421"/>
      <c r="BR172" s="1421"/>
      <c r="BS172" s="1421"/>
      <c r="BT172" s="2133"/>
      <c r="BU172" s="2134"/>
      <c r="BV172" s="357"/>
      <c r="BW172" s="357"/>
      <c r="BX172" s="357"/>
      <c r="BY172" s="357"/>
      <c r="BZ172" s="357"/>
      <c r="CA172" s="357"/>
      <c r="CB172" s="357"/>
      <c r="CC172" s="357"/>
    </row>
    <row r="173" spans="1:81">
      <c r="A173" s="546"/>
      <c r="B173" s="357"/>
      <c r="C173" s="357"/>
      <c r="D173" s="546"/>
      <c r="E173" s="357"/>
      <c r="F173" s="357"/>
      <c r="G173" s="357"/>
      <c r="H173" s="357"/>
      <c r="I173" s="357"/>
      <c r="J173" s="357"/>
      <c r="K173" s="357"/>
      <c r="L173" s="357"/>
      <c r="M173" s="357"/>
      <c r="N173" s="357"/>
      <c r="O173" s="357"/>
      <c r="P173" s="357"/>
      <c r="Q173" s="357"/>
      <c r="R173" s="357"/>
      <c r="S173" s="357"/>
      <c r="T173" s="357"/>
      <c r="U173" s="1395"/>
      <c r="V173" s="357"/>
      <c r="W173" s="357"/>
      <c r="X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c r="BK173" s="357"/>
      <c r="BL173" s="1968"/>
      <c r="BM173" s="1421"/>
      <c r="BN173" s="1421"/>
      <c r="BO173" s="1421"/>
      <c r="BP173" s="1421"/>
      <c r="BQ173" s="1421"/>
      <c r="BR173" s="1421"/>
      <c r="BS173" s="1421"/>
      <c r="BT173" s="2133"/>
      <c r="BU173" s="2134"/>
      <c r="BV173" s="357"/>
      <c r="BW173" s="357"/>
      <c r="BX173" s="357"/>
      <c r="BY173" s="357"/>
      <c r="BZ173" s="357"/>
      <c r="CA173" s="357"/>
      <c r="CB173" s="357"/>
      <c r="CC173" s="357"/>
    </row>
    <row r="174" spans="1:81">
      <c r="A174" s="546"/>
      <c r="B174" s="357"/>
      <c r="C174" s="357"/>
      <c r="D174" s="546"/>
      <c r="E174" s="357"/>
      <c r="F174" s="357"/>
      <c r="G174" s="357"/>
      <c r="H174" s="357"/>
      <c r="I174" s="357"/>
      <c r="J174" s="357"/>
      <c r="K174" s="357"/>
      <c r="L174" s="357"/>
      <c r="M174" s="357"/>
      <c r="N174" s="357"/>
      <c r="O174" s="357"/>
      <c r="P174" s="357"/>
      <c r="Q174" s="357"/>
      <c r="R174" s="357"/>
      <c r="S174" s="357"/>
      <c r="T174" s="357"/>
      <c r="U174" s="1395"/>
      <c r="V174" s="357"/>
      <c r="W174" s="357"/>
      <c r="X174" s="357"/>
      <c r="Z174" s="357"/>
      <c r="AA174" s="357"/>
      <c r="AB174" s="357"/>
      <c r="AC174" s="357"/>
      <c r="AD174" s="357"/>
      <c r="AE174" s="357"/>
      <c r="AF174" s="357"/>
      <c r="AG174" s="357"/>
      <c r="AH174" s="357"/>
      <c r="AI174" s="357"/>
      <c r="AJ174" s="357"/>
      <c r="AK174" s="357"/>
      <c r="AL174" s="357"/>
      <c r="AM174" s="357"/>
      <c r="AN174" s="357"/>
      <c r="AO174" s="357"/>
      <c r="AP174" s="357"/>
      <c r="AQ174" s="357"/>
      <c r="AR174" s="357"/>
      <c r="AS174" s="357"/>
      <c r="AT174" s="357"/>
      <c r="AU174" s="357"/>
      <c r="AV174" s="357"/>
      <c r="AW174" s="357"/>
      <c r="AX174" s="357"/>
      <c r="AY174" s="357"/>
      <c r="AZ174" s="357"/>
      <c r="BA174" s="357"/>
      <c r="BB174" s="357"/>
      <c r="BC174" s="357"/>
      <c r="BD174" s="357"/>
      <c r="BE174" s="357"/>
      <c r="BF174" s="357"/>
      <c r="BG174" s="357"/>
      <c r="BH174" s="357"/>
      <c r="BI174" s="357"/>
      <c r="BJ174" s="357"/>
      <c r="BK174" s="357"/>
      <c r="BL174" s="1968"/>
      <c r="BM174" s="1421"/>
      <c r="BN174" s="1421"/>
      <c r="BO174" s="1421"/>
      <c r="BP174" s="1421"/>
      <c r="BQ174" s="1421"/>
      <c r="BR174" s="1421"/>
      <c r="BS174" s="1421"/>
      <c r="BT174" s="2131"/>
      <c r="BU174" s="2134"/>
      <c r="BV174" s="357"/>
      <c r="BW174" s="357"/>
      <c r="BX174" s="357"/>
      <c r="BY174" s="357"/>
      <c r="BZ174" s="357"/>
      <c r="CA174" s="357"/>
      <c r="CB174" s="357"/>
      <c r="CC174" s="357"/>
    </row>
    <row r="175" spans="1:81">
      <c r="A175" s="546"/>
      <c r="B175" s="357"/>
      <c r="C175" s="357"/>
      <c r="D175" s="546"/>
      <c r="E175" s="357"/>
      <c r="F175" s="357"/>
      <c r="G175" s="357"/>
      <c r="H175" s="357"/>
      <c r="I175" s="357"/>
      <c r="J175" s="357"/>
      <c r="K175" s="357"/>
      <c r="L175" s="357"/>
      <c r="M175" s="357"/>
      <c r="N175" s="357"/>
      <c r="O175" s="357"/>
      <c r="P175" s="357"/>
      <c r="Q175" s="357"/>
      <c r="R175" s="357"/>
      <c r="S175" s="357"/>
      <c r="T175" s="357"/>
      <c r="U175" s="1395"/>
      <c r="V175" s="357"/>
      <c r="W175" s="357"/>
      <c r="X175" s="357"/>
      <c r="Z175" s="357"/>
      <c r="AA175" s="357"/>
      <c r="AB175" s="357"/>
      <c r="AC175" s="357"/>
      <c r="AD175" s="357"/>
      <c r="AE175" s="357"/>
      <c r="AF175" s="357"/>
      <c r="AG175" s="357"/>
      <c r="AH175" s="357"/>
      <c r="AI175" s="357"/>
      <c r="AJ175" s="357"/>
      <c r="AK175" s="357"/>
      <c r="AL175" s="357"/>
      <c r="AM175" s="357"/>
      <c r="AN175" s="357"/>
      <c r="AO175" s="357"/>
      <c r="AP175" s="357"/>
      <c r="AQ175" s="357"/>
      <c r="AR175" s="357"/>
      <c r="AS175" s="357"/>
      <c r="AT175" s="357"/>
      <c r="AU175" s="357"/>
      <c r="AV175" s="357"/>
      <c r="AW175" s="357"/>
      <c r="AX175" s="357"/>
      <c r="AY175" s="357"/>
      <c r="AZ175" s="357"/>
      <c r="BA175" s="357"/>
      <c r="BB175" s="357"/>
      <c r="BC175" s="357"/>
      <c r="BD175" s="357"/>
      <c r="BE175" s="357"/>
      <c r="BF175" s="357"/>
      <c r="BG175" s="357"/>
      <c r="BH175" s="357"/>
      <c r="BI175" s="357"/>
      <c r="BJ175" s="357"/>
      <c r="BK175" s="357"/>
      <c r="BL175" s="1968"/>
      <c r="BM175" s="1421"/>
      <c r="BN175" s="1421"/>
      <c r="BO175" s="1421"/>
      <c r="BP175" s="1421"/>
      <c r="BQ175" s="1421"/>
      <c r="BR175" s="1421"/>
      <c r="BS175" s="1421"/>
      <c r="BT175" s="2133"/>
      <c r="BU175" s="2134"/>
      <c r="BV175" s="357"/>
      <c r="BW175" s="357"/>
      <c r="BX175" s="357"/>
      <c r="BY175" s="357"/>
      <c r="BZ175" s="357"/>
      <c r="CA175" s="357"/>
      <c r="CB175" s="357"/>
      <c r="CC175" s="357"/>
    </row>
    <row r="176" spans="1:81">
      <c r="A176" s="546"/>
      <c r="B176" s="357"/>
      <c r="C176" s="357"/>
      <c r="D176" s="546"/>
      <c r="E176" s="357"/>
      <c r="F176" s="357"/>
      <c r="G176" s="357"/>
      <c r="H176" s="357"/>
      <c r="I176" s="357"/>
      <c r="J176" s="357"/>
      <c r="K176" s="357"/>
      <c r="L176" s="357"/>
      <c r="M176" s="357"/>
      <c r="N176" s="357"/>
      <c r="O176" s="357"/>
      <c r="P176" s="357"/>
      <c r="Q176" s="357"/>
      <c r="R176" s="357"/>
      <c r="S176" s="357"/>
      <c r="T176" s="357"/>
      <c r="U176" s="1395"/>
      <c r="V176" s="357"/>
      <c r="W176" s="357"/>
      <c r="X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c r="BK176" s="357"/>
      <c r="BL176" s="1968"/>
      <c r="BM176" s="1421"/>
      <c r="BN176" s="1421"/>
      <c r="BO176" s="1421"/>
      <c r="BP176" s="1421"/>
      <c r="BQ176" s="1421"/>
      <c r="BR176" s="1421"/>
      <c r="BS176" s="1421"/>
      <c r="BT176" s="2133"/>
      <c r="BU176" s="2134"/>
      <c r="BV176" s="357"/>
      <c r="BW176" s="357"/>
      <c r="BX176" s="357"/>
      <c r="BY176" s="357"/>
      <c r="BZ176" s="357"/>
      <c r="CA176" s="357"/>
      <c r="CB176" s="357"/>
      <c r="CC176" s="357"/>
    </row>
    <row r="177" spans="1:81">
      <c r="A177" s="546"/>
      <c r="B177" s="357"/>
      <c r="C177" s="357"/>
      <c r="D177" s="546"/>
      <c r="E177" s="357"/>
      <c r="F177" s="357"/>
      <c r="G177" s="357"/>
      <c r="H177" s="357"/>
      <c r="I177" s="357"/>
      <c r="J177" s="357"/>
      <c r="K177" s="357"/>
      <c r="L177" s="357"/>
      <c r="M177" s="357"/>
      <c r="N177" s="357"/>
      <c r="O177" s="357"/>
      <c r="P177" s="357"/>
      <c r="Q177" s="357"/>
      <c r="R177" s="357"/>
      <c r="S177" s="357"/>
      <c r="T177" s="357"/>
      <c r="U177" s="1395"/>
      <c r="V177" s="357"/>
      <c r="W177" s="357"/>
      <c r="X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c r="AT177" s="357"/>
      <c r="AU177" s="357"/>
      <c r="AV177" s="357"/>
      <c r="AW177" s="357"/>
      <c r="AX177" s="357"/>
      <c r="AY177" s="357"/>
      <c r="AZ177" s="357"/>
      <c r="BA177" s="357"/>
      <c r="BB177" s="357"/>
      <c r="BC177" s="357"/>
      <c r="BD177" s="357"/>
      <c r="BE177" s="357"/>
      <c r="BF177" s="357"/>
      <c r="BG177" s="357"/>
      <c r="BH177" s="357"/>
      <c r="BI177" s="357"/>
      <c r="BJ177" s="357"/>
      <c r="BK177" s="357"/>
      <c r="BL177" s="1968"/>
      <c r="BM177" s="1421"/>
      <c r="BN177" s="1421"/>
      <c r="BO177" s="1421"/>
      <c r="BP177" s="1421"/>
      <c r="BQ177" s="1421"/>
      <c r="BR177" s="1421"/>
      <c r="BS177" s="1421"/>
      <c r="BT177" s="2136"/>
      <c r="BU177" s="2132"/>
      <c r="BV177" s="357"/>
      <c r="BW177" s="357"/>
      <c r="BX177" s="357"/>
      <c r="BY177" s="357"/>
      <c r="BZ177" s="357"/>
      <c r="CA177" s="357"/>
      <c r="CB177" s="357"/>
      <c r="CC177" s="357"/>
    </row>
    <row r="178" spans="1:81">
      <c r="A178" s="546"/>
      <c r="B178" s="357"/>
      <c r="C178" s="357"/>
      <c r="D178" s="546"/>
      <c r="E178" s="357"/>
      <c r="F178" s="357"/>
      <c r="G178" s="357"/>
      <c r="H178" s="357"/>
      <c r="I178" s="357"/>
      <c r="J178" s="357"/>
      <c r="K178" s="357"/>
      <c r="L178" s="357"/>
      <c r="M178" s="357"/>
      <c r="N178" s="357"/>
      <c r="O178" s="357"/>
      <c r="P178" s="357"/>
      <c r="Q178" s="357"/>
      <c r="R178" s="357"/>
      <c r="S178" s="357"/>
      <c r="T178" s="357"/>
      <c r="U178" s="1395"/>
      <c r="V178" s="357"/>
      <c r="W178" s="357"/>
      <c r="X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c r="AT178" s="357"/>
      <c r="AU178" s="357"/>
      <c r="AV178" s="357"/>
      <c r="AW178" s="357"/>
      <c r="AX178" s="357"/>
      <c r="AY178" s="357"/>
      <c r="AZ178" s="357"/>
      <c r="BA178" s="357"/>
      <c r="BB178" s="357"/>
      <c r="BC178" s="357"/>
      <c r="BD178" s="357"/>
      <c r="BE178" s="357"/>
      <c r="BF178" s="357"/>
      <c r="BG178" s="357"/>
      <c r="BH178" s="357"/>
      <c r="BI178" s="357"/>
      <c r="BJ178" s="357"/>
      <c r="BK178" s="357"/>
      <c r="BL178" s="1968"/>
      <c r="BM178" s="1421"/>
      <c r="BN178" s="1421"/>
      <c r="BO178" s="1421"/>
      <c r="BP178" s="1421"/>
      <c r="BQ178" s="1421"/>
      <c r="BR178" s="1421"/>
      <c r="BS178" s="1421"/>
      <c r="BT178" s="2136"/>
      <c r="BU178" s="2134"/>
      <c r="BV178" s="357"/>
      <c r="BW178" s="357"/>
      <c r="BX178" s="357"/>
      <c r="BY178" s="357"/>
      <c r="BZ178" s="357"/>
      <c r="CA178" s="357"/>
      <c r="CB178" s="357"/>
      <c r="CC178" s="357"/>
    </row>
    <row r="179" spans="1:81">
      <c r="A179" s="546"/>
      <c r="B179" s="357"/>
      <c r="C179" s="357"/>
      <c r="D179" s="546"/>
      <c r="E179" s="357"/>
      <c r="F179" s="357"/>
      <c r="G179" s="357"/>
      <c r="H179" s="357"/>
      <c r="I179" s="357"/>
      <c r="J179" s="357"/>
      <c r="K179" s="357"/>
      <c r="L179" s="357"/>
      <c r="M179" s="357"/>
      <c r="N179" s="357"/>
      <c r="O179" s="357"/>
      <c r="P179" s="357"/>
      <c r="Q179" s="357"/>
      <c r="R179" s="357"/>
      <c r="S179" s="357"/>
      <c r="T179" s="357"/>
      <c r="U179" s="1395"/>
      <c r="V179" s="357"/>
      <c r="W179" s="357"/>
      <c r="X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c r="BK179" s="357"/>
      <c r="BL179" s="1968"/>
      <c r="BM179" s="1421"/>
      <c r="BN179" s="1421"/>
      <c r="BO179" s="1421"/>
      <c r="BP179" s="1421"/>
      <c r="BQ179" s="1421"/>
      <c r="BR179" s="1421"/>
      <c r="BS179" s="1421"/>
      <c r="BT179" s="2136"/>
      <c r="BU179" s="2134"/>
      <c r="BV179" s="357"/>
      <c r="BW179" s="357"/>
      <c r="BX179" s="357"/>
      <c r="BY179" s="357"/>
      <c r="BZ179" s="357"/>
      <c r="CA179" s="357"/>
      <c r="CB179" s="357"/>
      <c r="CC179" s="357"/>
    </row>
    <row r="180" spans="1:81">
      <c r="A180" s="546"/>
      <c r="B180" s="357"/>
      <c r="C180" s="357"/>
      <c r="D180" s="546"/>
      <c r="E180" s="357"/>
      <c r="F180" s="357"/>
      <c r="G180" s="357"/>
      <c r="H180" s="357"/>
      <c r="I180" s="357"/>
      <c r="J180" s="357"/>
      <c r="K180" s="357"/>
      <c r="L180" s="357"/>
      <c r="M180" s="357"/>
      <c r="N180" s="357"/>
      <c r="O180" s="357"/>
      <c r="P180" s="357"/>
      <c r="Q180" s="357"/>
      <c r="R180" s="357"/>
      <c r="S180" s="357"/>
      <c r="T180" s="357"/>
      <c r="U180" s="1395"/>
      <c r="V180" s="357"/>
      <c r="W180" s="357"/>
      <c r="X180" s="357"/>
      <c r="Z180" s="357"/>
      <c r="AA180" s="357"/>
      <c r="AB180" s="357"/>
      <c r="AC180" s="357"/>
      <c r="AD180" s="357"/>
      <c r="AE180" s="357"/>
      <c r="AF180" s="357"/>
      <c r="AG180" s="357"/>
      <c r="AH180" s="357"/>
      <c r="AI180" s="357"/>
      <c r="AJ180" s="357"/>
      <c r="AK180" s="357"/>
      <c r="AL180" s="357"/>
      <c r="AM180" s="357"/>
      <c r="AN180" s="357"/>
      <c r="AO180" s="357"/>
      <c r="AP180" s="357"/>
      <c r="AQ180" s="357"/>
      <c r="AR180" s="357"/>
      <c r="AS180" s="357"/>
      <c r="AT180" s="357"/>
      <c r="AU180" s="357"/>
      <c r="AV180" s="357"/>
      <c r="AW180" s="357"/>
      <c r="AX180" s="357"/>
      <c r="AY180" s="357"/>
      <c r="AZ180" s="357"/>
      <c r="BA180" s="357"/>
      <c r="BB180" s="357"/>
      <c r="BC180" s="357"/>
      <c r="BD180" s="357"/>
      <c r="BE180" s="357"/>
      <c r="BF180" s="357"/>
      <c r="BG180" s="357"/>
      <c r="BH180" s="357"/>
      <c r="BI180" s="357"/>
      <c r="BJ180" s="357"/>
      <c r="BK180" s="357"/>
      <c r="BL180" s="1968"/>
      <c r="BM180" s="1421"/>
      <c r="BN180" s="1421"/>
      <c r="BO180" s="1421"/>
      <c r="BP180" s="1421"/>
      <c r="BQ180" s="1421"/>
      <c r="BR180" s="1421"/>
      <c r="BS180" s="1421"/>
      <c r="BT180" s="2136"/>
      <c r="BU180" s="2132"/>
      <c r="BV180" s="357"/>
      <c r="BW180" s="357"/>
      <c r="BX180" s="357"/>
      <c r="BY180" s="357"/>
      <c r="BZ180" s="357"/>
      <c r="CA180" s="357"/>
      <c r="CB180" s="357"/>
      <c r="CC180" s="357"/>
    </row>
    <row r="181" spans="1:81">
      <c r="A181" s="546"/>
      <c r="B181" s="357"/>
      <c r="C181" s="357"/>
      <c r="D181" s="546"/>
      <c r="E181" s="357"/>
      <c r="F181" s="357"/>
      <c r="G181" s="357"/>
      <c r="H181" s="357"/>
      <c r="I181" s="357"/>
      <c r="J181" s="357"/>
      <c r="K181" s="357"/>
      <c r="L181" s="357"/>
      <c r="M181" s="357"/>
      <c r="N181" s="357"/>
      <c r="O181" s="357"/>
      <c r="P181" s="357"/>
      <c r="Q181" s="357"/>
      <c r="R181" s="357"/>
      <c r="S181" s="357"/>
      <c r="T181" s="357"/>
      <c r="U181" s="1395"/>
      <c r="V181" s="357"/>
      <c r="W181" s="357"/>
      <c r="X181" s="357"/>
      <c r="Z181" s="357"/>
      <c r="AA181" s="357"/>
      <c r="AB181" s="357"/>
      <c r="AC181" s="357"/>
      <c r="AD181" s="357"/>
      <c r="AE181" s="357"/>
      <c r="AF181" s="357"/>
      <c r="AG181" s="357"/>
      <c r="AH181" s="357"/>
      <c r="AI181" s="357"/>
      <c r="AJ181" s="357"/>
      <c r="AK181" s="357"/>
      <c r="AL181" s="357"/>
      <c r="AM181" s="357"/>
      <c r="AN181" s="357"/>
      <c r="AO181" s="357"/>
      <c r="AP181" s="357"/>
      <c r="AQ181" s="357"/>
      <c r="AR181" s="357"/>
      <c r="AS181" s="357"/>
      <c r="AT181" s="357"/>
      <c r="AU181" s="357"/>
      <c r="AV181" s="357"/>
      <c r="AW181" s="357"/>
      <c r="AX181" s="357"/>
      <c r="AY181" s="357"/>
      <c r="AZ181" s="357"/>
      <c r="BA181" s="357"/>
      <c r="BB181" s="357"/>
      <c r="BC181" s="357"/>
      <c r="BD181" s="357"/>
      <c r="BE181" s="357"/>
      <c r="BF181" s="357"/>
      <c r="BG181" s="357"/>
      <c r="BH181" s="357"/>
      <c r="BI181" s="357"/>
      <c r="BJ181" s="357"/>
      <c r="BK181" s="357"/>
      <c r="BL181" s="1968"/>
      <c r="BM181" s="1421"/>
      <c r="BN181" s="1421"/>
      <c r="BO181" s="1421"/>
      <c r="BP181" s="1421"/>
      <c r="BQ181" s="1421"/>
      <c r="BR181" s="1421"/>
      <c r="BS181" s="1421"/>
      <c r="BT181" s="2131"/>
      <c r="BU181" s="2132"/>
      <c r="BV181" s="357"/>
      <c r="BW181" s="357"/>
      <c r="BX181" s="357"/>
      <c r="BY181" s="357"/>
      <c r="BZ181" s="357"/>
      <c r="CA181" s="357"/>
      <c r="CB181" s="357"/>
      <c r="CC181" s="357"/>
    </row>
    <row r="182" spans="1:81">
      <c r="A182" s="546"/>
      <c r="B182" s="357"/>
      <c r="C182" s="357"/>
      <c r="D182" s="546"/>
      <c r="E182" s="357"/>
      <c r="F182" s="357"/>
      <c r="G182" s="357"/>
      <c r="H182" s="357"/>
      <c r="I182" s="357"/>
      <c r="J182" s="357"/>
      <c r="K182" s="357"/>
      <c r="L182" s="357"/>
      <c r="M182" s="357"/>
      <c r="N182" s="357"/>
      <c r="O182" s="357"/>
      <c r="P182" s="357"/>
      <c r="Q182" s="357"/>
      <c r="R182" s="357"/>
      <c r="S182" s="357"/>
      <c r="T182" s="357"/>
      <c r="U182" s="1395"/>
      <c r="V182" s="357"/>
      <c r="W182" s="357"/>
      <c r="X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c r="AT182" s="357"/>
      <c r="AU182" s="357"/>
      <c r="AV182" s="357"/>
      <c r="AW182" s="357"/>
      <c r="AX182" s="357"/>
      <c r="AY182" s="357"/>
      <c r="AZ182" s="357"/>
      <c r="BA182" s="357"/>
      <c r="BB182" s="357"/>
      <c r="BC182" s="357"/>
      <c r="BD182" s="357"/>
      <c r="BE182" s="357"/>
      <c r="BF182" s="357"/>
      <c r="BG182" s="357"/>
      <c r="BH182" s="357"/>
      <c r="BI182" s="357"/>
      <c r="BJ182" s="357"/>
      <c r="BK182" s="357"/>
      <c r="BL182" s="1968"/>
      <c r="BM182" s="1421"/>
      <c r="BN182" s="1421"/>
      <c r="BO182" s="1421"/>
      <c r="BP182" s="1421"/>
      <c r="BQ182" s="1421"/>
      <c r="BR182" s="1421"/>
      <c r="BS182" s="1421"/>
      <c r="BT182" s="2133"/>
      <c r="BU182" s="2134"/>
      <c r="BV182" s="357"/>
      <c r="BW182" s="357"/>
      <c r="BX182" s="357"/>
      <c r="BY182" s="357"/>
      <c r="BZ182" s="357"/>
      <c r="CA182" s="357"/>
      <c r="CB182" s="357"/>
      <c r="CC182" s="357"/>
    </row>
    <row r="183" spans="1:81">
      <c r="A183" s="546"/>
      <c r="B183" s="357"/>
      <c r="C183" s="357"/>
      <c r="D183" s="546"/>
      <c r="E183" s="357"/>
      <c r="F183" s="357"/>
      <c r="G183" s="357"/>
      <c r="H183" s="357"/>
      <c r="I183" s="357"/>
      <c r="J183" s="357"/>
      <c r="K183" s="357"/>
      <c r="L183" s="357"/>
      <c r="M183" s="357"/>
      <c r="N183" s="357"/>
      <c r="O183" s="357"/>
      <c r="P183" s="357"/>
      <c r="Q183" s="357"/>
      <c r="R183" s="357"/>
      <c r="S183" s="357"/>
      <c r="T183" s="357"/>
      <c r="U183" s="1395"/>
      <c r="V183" s="357"/>
      <c r="W183" s="357"/>
      <c r="X183" s="357"/>
      <c r="Z183" s="357"/>
      <c r="AA183" s="357"/>
      <c r="AB183" s="357"/>
      <c r="AC183" s="357"/>
      <c r="AD183" s="357"/>
      <c r="AE183" s="357"/>
      <c r="AF183" s="357"/>
      <c r="AG183" s="357"/>
      <c r="AH183" s="357"/>
      <c r="AI183" s="357"/>
      <c r="AJ183" s="357"/>
      <c r="AK183" s="357"/>
      <c r="AL183" s="357"/>
      <c r="AM183" s="357"/>
      <c r="AN183" s="357"/>
      <c r="AO183" s="357"/>
      <c r="AP183" s="357"/>
      <c r="AQ183" s="357"/>
      <c r="AR183" s="357"/>
      <c r="AS183" s="357"/>
      <c r="AT183" s="357"/>
      <c r="AU183" s="357"/>
      <c r="AV183" s="357"/>
      <c r="AW183" s="357"/>
      <c r="AX183" s="357"/>
      <c r="AY183" s="357"/>
      <c r="AZ183" s="357"/>
      <c r="BA183" s="357"/>
      <c r="BB183" s="357"/>
      <c r="BC183" s="357"/>
      <c r="BD183" s="357"/>
      <c r="BE183" s="357"/>
      <c r="BF183" s="357"/>
      <c r="BG183" s="357"/>
      <c r="BH183" s="357"/>
      <c r="BI183" s="357"/>
      <c r="BJ183" s="357"/>
      <c r="BK183" s="357"/>
      <c r="BL183" s="1968"/>
      <c r="BM183" s="1421"/>
      <c r="BN183" s="1421"/>
      <c r="BO183" s="1421"/>
      <c r="BP183" s="1421"/>
      <c r="BQ183" s="1421"/>
      <c r="BR183" s="1421"/>
      <c r="BS183" s="1421"/>
      <c r="BT183" s="2133"/>
      <c r="BU183" s="2134"/>
      <c r="BV183" s="357"/>
      <c r="BW183" s="357"/>
      <c r="BX183" s="357"/>
      <c r="BY183" s="357"/>
      <c r="BZ183" s="357"/>
      <c r="CA183" s="357"/>
      <c r="CB183" s="357"/>
      <c r="CC183" s="357"/>
    </row>
    <row r="184" spans="1:81">
      <c r="A184" s="546"/>
      <c r="B184" s="357"/>
      <c r="C184" s="357"/>
      <c r="D184" s="546"/>
      <c r="E184" s="357"/>
      <c r="F184" s="357"/>
      <c r="G184" s="357"/>
      <c r="H184" s="357"/>
      <c r="I184" s="357"/>
      <c r="J184" s="357"/>
      <c r="K184" s="357"/>
      <c r="L184" s="357"/>
      <c r="M184" s="357"/>
      <c r="N184" s="357"/>
      <c r="O184" s="357"/>
      <c r="P184" s="357"/>
      <c r="Q184" s="357"/>
      <c r="R184" s="357"/>
      <c r="S184" s="357"/>
      <c r="T184" s="357"/>
      <c r="U184" s="1395"/>
      <c r="V184" s="357"/>
      <c r="W184" s="357"/>
      <c r="X184" s="357"/>
      <c r="Z184" s="357"/>
      <c r="AA184" s="357"/>
      <c r="AB184" s="357"/>
      <c r="AC184" s="357"/>
      <c r="AD184" s="357"/>
      <c r="AE184" s="357"/>
      <c r="AF184" s="357"/>
      <c r="AG184" s="357"/>
      <c r="AH184" s="357"/>
      <c r="AI184" s="357"/>
      <c r="AJ184" s="357"/>
      <c r="AK184" s="357"/>
      <c r="AL184" s="357"/>
      <c r="AM184" s="357"/>
      <c r="AN184" s="357"/>
      <c r="AO184" s="357"/>
      <c r="AP184" s="357"/>
      <c r="AQ184" s="357"/>
      <c r="AR184" s="357"/>
      <c r="AS184" s="357"/>
      <c r="AT184" s="357"/>
      <c r="AU184" s="357"/>
      <c r="AV184" s="357"/>
      <c r="AW184" s="357"/>
      <c r="AX184" s="357"/>
      <c r="AY184" s="357"/>
      <c r="AZ184" s="357"/>
      <c r="BA184" s="357"/>
      <c r="BB184" s="357"/>
      <c r="BC184" s="357"/>
      <c r="BD184" s="357"/>
      <c r="BE184" s="357"/>
      <c r="BF184" s="357"/>
      <c r="BG184" s="357"/>
      <c r="BH184" s="357"/>
      <c r="BI184" s="357"/>
      <c r="BJ184" s="357"/>
      <c r="BK184" s="357"/>
      <c r="BL184" s="1968"/>
      <c r="BM184" s="1421"/>
      <c r="BN184" s="1421"/>
      <c r="BO184" s="1421"/>
      <c r="BP184" s="1421"/>
      <c r="BQ184" s="1421"/>
      <c r="BR184" s="1421"/>
      <c r="BS184" s="1421"/>
      <c r="BT184" s="2131"/>
      <c r="BU184" s="2132"/>
      <c r="BV184" s="357"/>
      <c r="BW184" s="357"/>
      <c r="BX184" s="357"/>
      <c r="BY184" s="357"/>
      <c r="BZ184" s="357"/>
      <c r="CA184" s="357"/>
      <c r="CB184" s="357"/>
      <c r="CC184" s="357"/>
    </row>
    <row r="185" spans="1:81">
      <c r="A185" s="546"/>
      <c r="B185" s="357"/>
      <c r="C185" s="357"/>
      <c r="D185" s="546"/>
      <c r="E185" s="357"/>
      <c r="F185" s="357"/>
      <c r="G185" s="357"/>
      <c r="H185" s="357"/>
      <c r="I185" s="357"/>
      <c r="J185" s="357"/>
      <c r="K185" s="357"/>
      <c r="L185" s="357"/>
      <c r="M185" s="357"/>
      <c r="N185" s="357"/>
      <c r="O185" s="357"/>
      <c r="P185" s="357"/>
      <c r="Q185" s="357"/>
      <c r="R185" s="357"/>
      <c r="S185" s="357"/>
      <c r="T185" s="357"/>
      <c r="U185" s="1395"/>
      <c r="V185" s="357"/>
      <c r="W185" s="357"/>
      <c r="X185" s="357"/>
      <c r="Z185" s="357"/>
      <c r="AA185" s="357"/>
      <c r="AB185" s="357"/>
      <c r="AC185" s="357"/>
      <c r="AD185" s="357"/>
      <c r="AE185" s="357"/>
      <c r="AF185" s="357"/>
      <c r="AG185" s="357"/>
      <c r="AH185" s="357"/>
      <c r="AI185" s="357"/>
      <c r="AJ185" s="357"/>
      <c r="AK185" s="357"/>
      <c r="AL185" s="357"/>
      <c r="AM185" s="357"/>
      <c r="AN185" s="357"/>
      <c r="AO185" s="357"/>
      <c r="AP185" s="357"/>
      <c r="AQ185" s="357"/>
      <c r="AR185" s="357"/>
      <c r="AS185" s="357"/>
      <c r="AT185" s="357"/>
      <c r="AU185" s="357"/>
      <c r="AV185" s="357"/>
      <c r="AW185" s="357"/>
      <c r="AX185" s="357"/>
      <c r="AY185" s="357"/>
      <c r="AZ185" s="357"/>
      <c r="BA185" s="357"/>
      <c r="BB185" s="357"/>
      <c r="BC185" s="357"/>
      <c r="BD185" s="357"/>
      <c r="BE185" s="357"/>
      <c r="BF185" s="357"/>
      <c r="BG185" s="357"/>
      <c r="BH185" s="357"/>
      <c r="BI185" s="357"/>
      <c r="BJ185" s="357"/>
      <c r="BK185" s="357"/>
      <c r="BL185" s="1968"/>
      <c r="BM185" s="1421"/>
      <c r="BN185" s="1421"/>
      <c r="BO185" s="1421"/>
      <c r="BP185" s="1421"/>
      <c r="BQ185" s="1421"/>
      <c r="BR185" s="1421"/>
      <c r="BS185" s="1421"/>
      <c r="BT185" s="2131"/>
      <c r="BU185" s="2132"/>
      <c r="BV185" s="357"/>
      <c r="BW185" s="357"/>
      <c r="BX185" s="357"/>
      <c r="BY185" s="357"/>
      <c r="BZ185" s="357"/>
      <c r="CA185" s="357"/>
      <c r="CB185" s="357"/>
      <c r="CC185" s="357"/>
    </row>
    <row r="186" spans="1:81">
      <c r="A186" s="546"/>
      <c r="B186" s="357"/>
      <c r="C186" s="357"/>
      <c r="D186" s="546"/>
      <c r="E186" s="357"/>
      <c r="F186" s="357"/>
      <c r="G186" s="357"/>
      <c r="H186" s="357"/>
      <c r="I186" s="357"/>
      <c r="J186" s="357"/>
      <c r="K186" s="357"/>
      <c r="L186" s="357"/>
      <c r="M186" s="357"/>
      <c r="N186" s="357"/>
      <c r="O186" s="357"/>
      <c r="P186" s="357"/>
      <c r="Q186" s="357"/>
      <c r="R186" s="357"/>
      <c r="S186" s="357"/>
      <c r="T186" s="357"/>
      <c r="U186" s="1395"/>
      <c r="V186" s="357"/>
      <c r="W186" s="357"/>
      <c r="X186" s="357"/>
      <c r="Z186" s="357"/>
      <c r="AA186" s="357"/>
      <c r="AB186" s="357"/>
      <c r="AC186" s="357"/>
      <c r="AD186" s="357"/>
      <c r="AE186" s="357"/>
      <c r="AF186" s="357"/>
      <c r="AG186" s="357"/>
      <c r="AH186" s="357"/>
      <c r="AI186" s="357"/>
      <c r="AJ186" s="357"/>
      <c r="AK186" s="357"/>
      <c r="AL186" s="357"/>
      <c r="AM186" s="357"/>
      <c r="AN186" s="357"/>
      <c r="AO186" s="357"/>
      <c r="AP186" s="357"/>
      <c r="AQ186" s="357"/>
      <c r="AR186" s="357"/>
      <c r="AS186" s="357"/>
      <c r="AT186" s="357"/>
      <c r="AU186" s="357"/>
      <c r="AV186" s="357"/>
      <c r="AW186" s="357"/>
      <c r="AX186" s="357"/>
      <c r="AY186" s="357"/>
      <c r="AZ186" s="357"/>
      <c r="BA186" s="357"/>
      <c r="BB186" s="357"/>
      <c r="BC186" s="357"/>
      <c r="BD186" s="357"/>
      <c r="BE186" s="357"/>
      <c r="BF186" s="357"/>
      <c r="BG186" s="357"/>
      <c r="BH186" s="357"/>
      <c r="BI186" s="357"/>
      <c r="BJ186" s="357"/>
      <c r="BK186" s="357"/>
      <c r="BL186" s="1968"/>
      <c r="BM186" s="1421"/>
      <c r="BN186" s="1421"/>
      <c r="BO186" s="1421"/>
      <c r="BP186" s="1421"/>
      <c r="BQ186" s="1421"/>
      <c r="BR186" s="1421"/>
      <c r="BS186" s="1421"/>
      <c r="BT186" s="2131"/>
      <c r="BU186" s="2132"/>
      <c r="BV186" s="357"/>
      <c r="BW186" s="357"/>
      <c r="BX186" s="357"/>
      <c r="BY186" s="357"/>
      <c r="BZ186" s="357"/>
      <c r="CA186" s="357"/>
      <c r="CB186" s="357"/>
      <c r="CC186" s="357"/>
    </row>
    <row r="187" spans="1:81">
      <c r="A187" s="546"/>
      <c r="B187" s="357"/>
      <c r="C187" s="357"/>
      <c r="D187" s="546"/>
      <c r="E187" s="357"/>
      <c r="F187" s="357"/>
      <c r="G187" s="357"/>
      <c r="H187" s="357"/>
      <c r="I187" s="357"/>
      <c r="J187" s="357"/>
      <c r="K187" s="357"/>
      <c r="L187" s="357"/>
      <c r="M187" s="357"/>
      <c r="N187" s="357"/>
      <c r="O187" s="357"/>
      <c r="P187" s="357"/>
      <c r="Q187" s="357"/>
      <c r="R187" s="357"/>
      <c r="S187" s="357"/>
      <c r="T187" s="357"/>
      <c r="U187" s="1395"/>
      <c r="V187" s="357"/>
      <c r="W187" s="357"/>
      <c r="X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c r="AT187" s="357"/>
      <c r="AU187" s="357"/>
      <c r="AV187" s="357"/>
      <c r="AW187" s="357"/>
      <c r="AX187" s="357"/>
      <c r="AY187" s="357"/>
      <c r="AZ187" s="357"/>
      <c r="BA187" s="357"/>
      <c r="BB187" s="357"/>
      <c r="BC187" s="357"/>
      <c r="BD187" s="357"/>
      <c r="BE187" s="357"/>
      <c r="BF187" s="357"/>
      <c r="BG187" s="357"/>
      <c r="BH187" s="357"/>
      <c r="BI187" s="357"/>
      <c r="BJ187" s="357"/>
      <c r="BK187" s="357"/>
      <c r="BL187" s="1968"/>
      <c r="BM187" s="1421"/>
      <c r="BN187" s="1421"/>
      <c r="BO187" s="1421"/>
      <c r="BP187" s="1421"/>
      <c r="BQ187" s="1421"/>
      <c r="BR187" s="1421"/>
      <c r="BS187" s="1421"/>
      <c r="BT187" s="2131"/>
      <c r="BU187" s="2132"/>
      <c r="BV187" s="357"/>
      <c r="BW187" s="357"/>
      <c r="BX187" s="357"/>
      <c r="BY187" s="357"/>
      <c r="BZ187" s="357"/>
      <c r="CA187" s="357"/>
      <c r="CB187" s="357"/>
      <c r="CC187" s="357"/>
    </row>
    <row r="188" spans="1:81">
      <c r="A188" s="546"/>
      <c r="B188" s="357"/>
      <c r="C188" s="357"/>
      <c r="D188" s="546"/>
      <c r="E188" s="357"/>
      <c r="F188" s="357"/>
      <c r="G188" s="357"/>
      <c r="H188" s="357"/>
      <c r="I188" s="357"/>
      <c r="J188" s="357"/>
      <c r="K188" s="357"/>
      <c r="L188" s="357"/>
      <c r="M188" s="357"/>
      <c r="N188" s="357"/>
      <c r="O188" s="357"/>
      <c r="P188" s="357"/>
      <c r="Q188" s="357"/>
      <c r="R188" s="357"/>
      <c r="S188" s="357"/>
      <c r="T188" s="357"/>
      <c r="U188" s="1395"/>
      <c r="V188" s="357"/>
      <c r="W188" s="357"/>
      <c r="X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c r="AT188" s="357"/>
      <c r="AU188" s="357"/>
      <c r="AV188" s="357"/>
      <c r="AW188" s="357"/>
      <c r="AX188" s="357"/>
      <c r="AY188" s="357"/>
      <c r="AZ188" s="357"/>
      <c r="BA188" s="357"/>
      <c r="BB188" s="357"/>
      <c r="BC188" s="357"/>
      <c r="BD188" s="357"/>
      <c r="BE188" s="357"/>
      <c r="BF188" s="357"/>
      <c r="BG188" s="357"/>
      <c r="BH188" s="357"/>
      <c r="BI188" s="357"/>
      <c r="BJ188" s="357"/>
      <c r="BK188" s="357"/>
      <c r="BL188" s="1968"/>
      <c r="BM188" s="1421"/>
      <c r="BN188" s="1421"/>
      <c r="BO188" s="1421"/>
      <c r="BP188" s="1421"/>
      <c r="BQ188" s="1421"/>
      <c r="BR188" s="1421"/>
      <c r="BS188" s="1421"/>
      <c r="BT188" s="2131"/>
      <c r="BU188" s="2132"/>
      <c r="BV188" s="357"/>
      <c r="BW188" s="357"/>
      <c r="BX188" s="357"/>
      <c r="BY188" s="357"/>
      <c r="BZ188" s="357"/>
      <c r="CA188" s="357"/>
      <c r="CB188" s="357"/>
      <c r="CC188" s="357"/>
    </row>
    <row r="189" spans="1:81">
      <c r="A189" s="546"/>
      <c r="B189" s="357"/>
      <c r="C189" s="357"/>
      <c r="D189" s="546"/>
      <c r="E189" s="357"/>
      <c r="F189" s="357"/>
      <c r="G189" s="357"/>
      <c r="H189" s="357"/>
      <c r="I189" s="357"/>
      <c r="J189" s="357"/>
      <c r="K189" s="357"/>
      <c r="L189" s="357"/>
      <c r="M189" s="357"/>
      <c r="N189" s="357"/>
      <c r="O189" s="357"/>
      <c r="P189" s="357"/>
      <c r="Q189" s="357"/>
      <c r="R189" s="357"/>
      <c r="S189" s="357"/>
      <c r="T189" s="357"/>
      <c r="U189" s="1395"/>
      <c r="V189" s="357"/>
      <c r="W189" s="357"/>
      <c r="X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c r="AT189" s="357"/>
      <c r="AU189" s="357"/>
      <c r="AV189" s="357"/>
      <c r="AW189" s="357"/>
      <c r="AX189" s="357"/>
      <c r="AY189" s="357"/>
      <c r="AZ189" s="357"/>
      <c r="BA189" s="357"/>
      <c r="BB189" s="357"/>
      <c r="BC189" s="357"/>
      <c r="BD189" s="357"/>
      <c r="BE189" s="357"/>
      <c r="BF189" s="357"/>
      <c r="BG189" s="357"/>
      <c r="BH189" s="357"/>
      <c r="BI189" s="357"/>
      <c r="BJ189" s="357"/>
      <c r="BK189" s="357"/>
      <c r="BL189" s="1968"/>
      <c r="BM189" s="1421"/>
      <c r="BN189" s="1421"/>
      <c r="BO189" s="1421"/>
      <c r="BP189" s="1421"/>
      <c r="BQ189" s="1421"/>
      <c r="BR189" s="1421"/>
      <c r="BS189" s="1421"/>
      <c r="BT189" s="2131"/>
      <c r="BU189" s="2132"/>
      <c r="BV189" s="357"/>
      <c r="BW189" s="357"/>
      <c r="BX189" s="357"/>
      <c r="BY189" s="357"/>
      <c r="BZ189" s="357"/>
      <c r="CA189" s="357"/>
      <c r="CB189" s="357"/>
      <c r="CC189" s="357"/>
    </row>
    <row r="190" spans="1:81">
      <c r="A190" s="546"/>
      <c r="B190" s="357"/>
      <c r="C190" s="357"/>
      <c r="D190" s="546"/>
      <c r="E190" s="357"/>
      <c r="F190" s="357"/>
      <c r="G190" s="357"/>
      <c r="H190" s="357"/>
      <c r="I190" s="357"/>
      <c r="J190" s="357"/>
      <c r="K190" s="357"/>
      <c r="L190" s="357"/>
      <c r="M190" s="357"/>
      <c r="N190" s="357"/>
      <c r="O190" s="357"/>
      <c r="P190" s="357"/>
      <c r="Q190" s="357"/>
      <c r="R190" s="357"/>
      <c r="S190" s="357"/>
      <c r="T190" s="357"/>
      <c r="U190" s="1395"/>
      <c r="V190" s="357"/>
      <c r="W190" s="357"/>
      <c r="X190" s="357"/>
      <c r="Z190" s="357"/>
      <c r="AA190" s="357"/>
      <c r="AB190" s="357"/>
      <c r="AC190" s="357"/>
      <c r="AD190" s="357"/>
      <c r="AE190" s="357"/>
      <c r="AF190" s="357"/>
      <c r="AG190" s="357"/>
      <c r="AH190" s="357"/>
      <c r="AI190" s="357"/>
      <c r="AJ190" s="357"/>
      <c r="AK190" s="357"/>
      <c r="AL190" s="357"/>
      <c r="AM190" s="357"/>
      <c r="AN190" s="357"/>
      <c r="AO190" s="357"/>
      <c r="AP190" s="357"/>
      <c r="AQ190" s="357"/>
      <c r="AR190" s="357"/>
      <c r="AS190" s="357"/>
      <c r="AT190" s="357"/>
      <c r="AU190" s="357"/>
      <c r="AV190" s="357"/>
      <c r="AW190" s="357"/>
      <c r="AX190" s="357"/>
      <c r="AY190" s="357"/>
      <c r="AZ190" s="357"/>
      <c r="BA190" s="357"/>
      <c r="BB190" s="357"/>
      <c r="BC190" s="357"/>
      <c r="BD190" s="357"/>
      <c r="BE190" s="357"/>
      <c r="BF190" s="357"/>
      <c r="BG190" s="357"/>
      <c r="BH190" s="357"/>
      <c r="BI190" s="357"/>
      <c r="BJ190" s="357"/>
      <c r="BK190" s="357"/>
      <c r="BL190" s="1968"/>
      <c r="BM190" s="1421"/>
      <c r="BN190" s="1421"/>
      <c r="BO190" s="1421"/>
      <c r="BP190" s="1421"/>
      <c r="BQ190" s="1421"/>
      <c r="BR190" s="1421"/>
      <c r="BS190" s="1421"/>
      <c r="BT190" s="2131"/>
      <c r="BU190" s="2132"/>
      <c r="BV190" s="357"/>
      <c r="BW190" s="357"/>
      <c r="BX190" s="357"/>
      <c r="BY190" s="357"/>
      <c r="BZ190" s="357"/>
      <c r="CA190" s="357"/>
      <c r="CB190" s="357"/>
      <c r="CC190" s="357"/>
    </row>
    <row r="191" spans="1:81">
      <c r="A191" s="546"/>
      <c r="B191" s="357"/>
      <c r="C191" s="357"/>
      <c r="D191" s="546"/>
      <c r="E191" s="357"/>
      <c r="F191" s="357"/>
      <c r="G191" s="357"/>
      <c r="H191" s="357"/>
      <c r="I191" s="357"/>
      <c r="J191" s="357"/>
      <c r="K191" s="357"/>
      <c r="L191" s="357"/>
      <c r="M191" s="357"/>
      <c r="N191" s="357"/>
      <c r="O191" s="357"/>
      <c r="P191" s="357"/>
      <c r="Q191" s="357"/>
      <c r="R191" s="357"/>
      <c r="S191" s="357"/>
      <c r="T191" s="357"/>
      <c r="U191" s="1395"/>
      <c r="V191" s="357"/>
      <c r="W191" s="357"/>
      <c r="X191" s="357"/>
      <c r="Z191" s="357"/>
      <c r="AA191" s="357"/>
      <c r="AB191" s="357"/>
      <c r="AC191" s="357"/>
      <c r="AD191" s="357"/>
      <c r="AE191" s="357"/>
      <c r="AF191" s="357"/>
      <c r="AG191" s="357"/>
      <c r="AH191" s="357"/>
      <c r="AI191" s="357"/>
      <c r="AJ191" s="357"/>
      <c r="AK191" s="357"/>
      <c r="AL191" s="357"/>
      <c r="AM191" s="357"/>
      <c r="AN191" s="357"/>
      <c r="AO191" s="357"/>
      <c r="AP191" s="357"/>
      <c r="AQ191" s="357"/>
      <c r="AR191" s="357"/>
      <c r="AS191" s="357"/>
      <c r="AT191" s="357"/>
      <c r="AU191" s="357"/>
      <c r="AV191" s="357"/>
      <c r="AW191" s="357"/>
      <c r="AX191" s="357"/>
      <c r="AY191" s="357"/>
      <c r="AZ191" s="357"/>
      <c r="BA191" s="357"/>
      <c r="BB191" s="357"/>
      <c r="BC191" s="357"/>
      <c r="BD191" s="357"/>
      <c r="BE191" s="357"/>
      <c r="BF191" s="357"/>
      <c r="BG191" s="357"/>
      <c r="BH191" s="357"/>
      <c r="BI191" s="357"/>
      <c r="BJ191" s="357"/>
      <c r="BK191" s="357"/>
      <c r="BL191" s="1968"/>
      <c r="BM191" s="1421"/>
      <c r="BN191" s="1421"/>
      <c r="BO191" s="1421"/>
      <c r="BP191" s="1421"/>
      <c r="BQ191" s="1421"/>
      <c r="BR191" s="1421"/>
      <c r="BS191" s="1421"/>
      <c r="BT191" s="2131"/>
      <c r="BU191" s="2132"/>
      <c r="BV191" s="357"/>
      <c r="BW191" s="357"/>
      <c r="BX191" s="357"/>
      <c r="BY191" s="357"/>
      <c r="BZ191" s="357"/>
      <c r="CA191" s="357"/>
      <c r="CB191" s="357"/>
      <c r="CC191" s="357"/>
    </row>
    <row r="192" spans="1:81">
      <c r="A192" s="546"/>
      <c r="B192" s="357"/>
      <c r="C192" s="357"/>
      <c r="D192" s="546"/>
      <c r="E192" s="357"/>
      <c r="F192" s="357"/>
      <c r="G192" s="357"/>
      <c r="H192" s="357"/>
      <c r="I192" s="357"/>
      <c r="J192" s="357"/>
      <c r="K192" s="357"/>
      <c r="L192" s="357"/>
      <c r="M192" s="357"/>
      <c r="N192" s="357"/>
      <c r="O192" s="357"/>
      <c r="P192" s="357"/>
      <c r="Q192" s="357"/>
      <c r="R192" s="357"/>
      <c r="S192" s="357"/>
      <c r="T192" s="357"/>
      <c r="U192" s="1395"/>
      <c r="V192" s="357"/>
      <c r="W192" s="357"/>
      <c r="X192" s="357"/>
      <c r="Z192" s="357"/>
      <c r="AA192" s="357"/>
      <c r="AB192" s="357"/>
      <c r="AC192" s="357"/>
      <c r="AD192" s="357"/>
      <c r="AE192" s="357"/>
      <c r="AF192" s="357"/>
      <c r="AG192" s="357"/>
      <c r="AH192" s="357"/>
      <c r="AI192" s="357"/>
      <c r="AJ192" s="357"/>
      <c r="AK192" s="357"/>
      <c r="AL192" s="357"/>
      <c r="AM192" s="357"/>
      <c r="AN192" s="357"/>
      <c r="AO192" s="357"/>
      <c r="AP192" s="357"/>
      <c r="AQ192" s="357"/>
      <c r="AR192" s="357"/>
      <c r="AS192" s="357"/>
      <c r="AT192" s="357"/>
      <c r="AU192" s="357"/>
      <c r="AV192" s="357"/>
      <c r="AW192" s="357"/>
      <c r="AX192" s="357"/>
      <c r="AY192" s="357"/>
      <c r="AZ192" s="357"/>
      <c r="BA192" s="357"/>
      <c r="BB192" s="357"/>
      <c r="BC192" s="357"/>
      <c r="BD192" s="357"/>
      <c r="BE192" s="357"/>
      <c r="BF192" s="357"/>
      <c r="BG192" s="357"/>
      <c r="BH192" s="357"/>
      <c r="BI192" s="357"/>
      <c r="BJ192" s="357"/>
      <c r="BK192" s="357"/>
      <c r="BL192" s="1968"/>
      <c r="BM192" s="1421"/>
      <c r="BN192" s="1421"/>
      <c r="BO192" s="1421"/>
      <c r="BP192" s="1421"/>
      <c r="BQ192" s="1421"/>
      <c r="BR192" s="1421"/>
      <c r="BS192" s="1421"/>
      <c r="BT192" s="2131"/>
      <c r="BU192" s="2134"/>
      <c r="BV192" s="357"/>
      <c r="BW192" s="357"/>
      <c r="BX192" s="357"/>
      <c r="BY192" s="357"/>
      <c r="BZ192" s="357"/>
      <c r="CA192" s="357"/>
      <c r="CB192" s="357"/>
      <c r="CC192" s="357"/>
    </row>
    <row r="193" spans="1:81">
      <c r="A193" s="546"/>
      <c r="B193" s="357"/>
      <c r="C193" s="357"/>
      <c r="D193" s="546"/>
      <c r="E193" s="357"/>
      <c r="F193" s="357"/>
      <c r="G193" s="357"/>
      <c r="H193" s="357"/>
      <c r="I193" s="357"/>
      <c r="J193" s="357"/>
      <c r="K193" s="357"/>
      <c r="L193" s="357"/>
      <c r="M193" s="357"/>
      <c r="N193" s="357"/>
      <c r="O193" s="357"/>
      <c r="P193" s="357"/>
      <c r="Q193" s="357"/>
      <c r="R193" s="357"/>
      <c r="S193" s="357"/>
      <c r="T193" s="357"/>
      <c r="U193" s="1395"/>
      <c r="V193" s="357"/>
      <c r="W193" s="357"/>
      <c r="X193" s="357"/>
      <c r="Z193" s="357"/>
      <c r="AA193" s="357"/>
      <c r="AB193" s="357"/>
      <c r="AC193" s="357"/>
      <c r="AD193" s="357"/>
      <c r="AE193" s="357"/>
      <c r="AF193" s="357"/>
      <c r="AG193" s="357"/>
      <c r="AH193" s="357"/>
      <c r="AI193" s="357"/>
      <c r="AJ193" s="357"/>
      <c r="AK193" s="357"/>
      <c r="AL193" s="357"/>
      <c r="AM193" s="357"/>
      <c r="AN193" s="357"/>
      <c r="AO193" s="357"/>
      <c r="AP193" s="357"/>
      <c r="AQ193" s="357"/>
      <c r="AR193" s="357"/>
      <c r="AS193" s="357"/>
      <c r="AT193" s="357"/>
      <c r="AU193" s="357"/>
      <c r="AV193" s="357"/>
      <c r="AW193" s="357"/>
      <c r="AX193" s="357"/>
      <c r="AY193" s="357"/>
      <c r="AZ193" s="357"/>
      <c r="BA193" s="357"/>
      <c r="BB193" s="357"/>
      <c r="BC193" s="357"/>
      <c r="BD193" s="357"/>
      <c r="BE193" s="357"/>
      <c r="BF193" s="357"/>
      <c r="BG193" s="357"/>
      <c r="BH193" s="357"/>
      <c r="BI193" s="357"/>
      <c r="BJ193" s="357"/>
      <c r="BK193" s="357"/>
      <c r="BL193" s="1968"/>
      <c r="BM193" s="1421"/>
      <c r="BN193" s="1421"/>
      <c r="BO193" s="1421"/>
      <c r="BP193" s="1421"/>
      <c r="BQ193" s="1421"/>
      <c r="BR193" s="1421"/>
      <c r="BS193" s="1421"/>
      <c r="BT193" s="2131"/>
      <c r="BU193" s="2134"/>
      <c r="BV193" s="357"/>
      <c r="BW193" s="357"/>
      <c r="BX193" s="357"/>
      <c r="BY193" s="357"/>
      <c r="BZ193" s="357"/>
      <c r="CA193" s="357"/>
      <c r="CB193" s="357"/>
      <c r="CC193" s="357"/>
    </row>
    <row r="194" spans="1:81">
      <c r="A194" s="546"/>
      <c r="B194" s="357"/>
      <c r="C194" s="357"/>
      <c r="D194" s="546"/>
      <c r="E194" s="357"/>
      <c r="F194" s="357"/>
      <c r="G194" s="357"/>
      <c r="H194" s="357"/>
      <c r="I194" s="357"/>
      <c r="J194" s="357"/>
      <c r="K194" s="357"/>
      <c r="L194" s="357"/>
      <c r="M194" s="357"/>
      <c r="N194" s="357"/>
      <c r="O194" s="357"/>
      <c r="P194" s="357"/>
      <c r="Q194" s="357"/>
      <c r="R194" s="357"/>
      <c r="S194" s="357"/>
      <c r="T194" s="357"/>
      <c r="U194" s="1395"/>
      <c r="V194" s="357"/>
      <c r="W194" s="357"/>
      <c r="X194" s="357"/>
      <c r="Z194" s="357"/>
      <c r="AA194" s="357"/>
      <c r="AB194" s="357"/>
      <c r="AC194" s="357"/>
      <c r="AD194" s="357"/>
      <c r="AE194" s="357"/>
      <c r="AF194" s="357"/>
      <c r="AG194" s="357"/>
      <c r="AH194" s="357"/>
      <c r="AI194" s="357"/>
      <c r="AJ194" s="357"/>
      <c r="AK194" s="357"/>
      <c r="AL194" s="357"/>
      <c r="AM194" s="357"/>
      <c r="AN194" s="357"/>
      <c r="AO194" s="357"/>
      <c r="AP194" s="357"/>
      <c r="AQ194" s="357"/>
      <c r="AR194" s="357"/>
      <c r="AS194" s="357"/>
      <c r="AT194" s="357"/>
      <c r="AU194" s="357"/>
      <c r="AV194" s="357"/>
      <c r="AW194" s="357"/>
      <c r="AX194" s="357"/>
      <c r="AY194" s="357"/>
      <c r="AZ194" s="357"/>
      <c r="BA194" s="357"/>
      <c r="BB194" s="357"/>
      <c r="BC194" s="357"/>
      <c r="BD194" s="357"/>
      <c r="BE194" s="357"/>
      <c r="BF194" s="357"/>
      <c r="BG194" s="357"/>
      <c r="BH194" s="357"/>
      <c r="BI194" s="357"/>
      <c r="BJ194" s="357"/>
      <c r="BK194" s="357"/>
      <c r="BL194" s="1968"/>
      <c r="BM194" s="1421"/>
      <c r="BN194" s="1421"/>
      <c r="BO194" s="1421"/>
      <c r="BP194" s="1421"/>
      <c r="BQ194" s="1421"/>
      <c r="BR194" s="1421"/>
      <c r="BS194" s="1421"/>
      <c r="BT194" s="2131"/>
      <c r="BU194" s="2132"/>
      <c r="BV194" s="357"/>
      <c r="BW194" s="357"/>
      <c r="BX194" s="357"/>
      <c r="BY194" s="357"/>
      <c r="BZ194" s="357"/>
      <c r="CA194" s="357"/>
      <c r="CB194" s="357"/>
      <c r="CC194" s="357"/>
    </row>
    <row r="195" spans="1:81">
      <c r="A195" s="546"/>
      <c r="B195" s="357"/>
      <c r="C195" s="357"/>
      <c r="D195" s="546"/>
      <c r="E195" s="357"/>
      <c r="F195" s="357"/>
      <c r="G195" s="357"/>
      <c r="H195" s="357"/>
      <c r="I195" s="357"/>
      <c r="J195" s="357"/>
      <c r="K195" s="357"/>
      <c r="L195" s="357"/>
      <c r="M195" s="357"/>
      <c r="N195" s="357"/>
      <c r="O195" s="357"/>
      <c r="P195" s="357"/>
      <c r="Q195" s="357"/>
      <c r="R195" s="357"/>
      <c r="S195" s="357"/>
      <c r="T195" s="357"/>
      <c r="U195" s="1395"/>
      <c r="V195" s="357"/>
      <c r="W195" s="357"/>
      <c r="X195" s="357"/>
      <c r="Z195" s="357"/>
      <c r="AA195" s="357"/>
      <c r="AB195" s="357"/>
      <c r="AC195" s="357"/>
      <c r="AD195" s="357"/>
      <c r="AE195" s="357"/>
      <c r="AF195" s="357"/>
      <c r="AG195" s="357"/>
      <c r="AH195" s="357"/>
      <c r="AI195" s="357"/>
      <c r="AJ195" s="357"/>
      <c r="AK195" s="357"/>
      <c r="AL195" s="357"/>
      <c r="AM195" s="357"/>
      <c r="AN195" s="357"/>
      <c r="AO195" s="357"/>
      <c r="AP195" s="357"/>
      <c r="AQ195" s="357"/>
      <c r="AR195" s="357"/>
      <c r="AS195" s="357"/>
      <c r="AT195" s="357"/>
      <c r="AU195" s="357"/>
      <c r="AV195" s="357"/>
      <c r="AW195" s="357"/>
      <c r="AX195" s="357"/>
      <c r="AY195" s="357"/>
      <c r="AZ195" s="357"/>
      <c r="BA195" s="357"/>
      <c r="BB195" s="357"/>
      <c r="BC195" s="357"/>
      <c r="BD195" s="357"/>
      <c r="BE195" s="357"/>
      <c r="BF195" s="357"/>
      <c r="BG195" s="357"/>
      <c r="BH195" s="357"/>
      <c r="BI195" s="357"/>
      <c r="BJ195" s="357"/>
      <c r="BK195" s="357"/>
      <c r="BL195" s="1968"/>
      <c r="BM195" s="1421"/>
      <c r="BN195" s="1421"/>
      <c r="BO195" s="1421"/>
      <c r="BP195" s="1421"/>
      <c r="BQ195" s="1421"/>
      <c r="BR195" s="1421"/>
      <c r="BS195" s="1421"/>
      <c r="BT195" s="2131"/>
      <c r="BU195" s="2132"/>
      <c r="BV195" s="357"/>
      <c r="BW195" s="357"/>
      <c r="BX195" s="357"/>
      <c r="BY195" s="357"/>
      <c r="BZ195" s="357"/>
      <c r="CA195" s="357"/>
      <c r="CB195" s="357"/>
      <c r="CC195" s="357"/>
    </row>
    <row r="196" spans="1:81">
      <c r="A196" s="546"/>
      <c r="B196" s="357"/>
      <c r="C196" s="357"/>
      <c r="D196" s="546"/>
      <c r="E196" s="357"/>
      <c r="F196" s="357"/>
      <c r="G196" s="357"/>
      <c r="H196" s="357"/>
      <c r="I196" s="357"/>
      <c r="J196" s="357"/>
      <c r="K196" s="357"/>
      <c r="L196" s="357"/>
      <c r="M196" s="357"/>
      <c r="N196" s="357"/>
      <c r="O196" s="357"/>
      <c r="P196" s="357"/>
      <c r="Q196" s="357"/>
      <c r="R196" s="357"/>
      <c r="S196" s="357"/>
      <c r="T196" s="357"/>
      <c r="U196" s="1395"/>
      <c r="V196" s="357"/>
      <c r="W196" s="357"/>
      <c r="X196" s="357"/>
      <c r="Z196" s="357"/>
      <c r="AA196" s="357"/>
      <c r="AB196" s="357"/>
      <c r="AC196" s="357"/>
      <c r="AD196" s="357"/>
      <c r="AE196" s="357"/>
      <c r="AF196" s="357"/>
      <c r="AG196" s="357"/>
      <c r="AH196" s="357"/>
      <c r="AI196" s="357"/>
      <c r="AJ196" s="357"/>
      <c r="AK196" s="357"/>
      <c r="AL196" s="357"/>
      <c r="AM196" s="357"/>
      <c r="AN196" s="357"/>
      <c r="AO196" s="357"/>
      <c r="AP196" s="357"/>
      <c r="AQ196" s="357"/>
      <c r="AR196" s="357"/>
      <c r="AS196" s="357"/>
      <c r="AT196" s="357"/>
      <c r="AU196" s="357"/>
      <c r="AV196" s="357"/>
      <c r="AW196" s="357"/>
      <c r="AX196" s="357"/>
      <c r="AY196" s="357"/>
      <c r="AZ196" s="357"/>
      <c r="BA196" s="357"/>
      <c r="BB196" s="357"/>
      <c r="BC196" s="357"/>
      <c r="BD196" s="357"/>
      <c r="BE196" s="357"/>
      <c r="BF196" s="357"/>
      <c r="BG196" s="357"/>
      <c r="BH196" s="357"/>
      <c r="BI196" s="357"/>
      <c r="BJ196" s="357"/>
      <c r="BK196" s="357"/>
      <c r="BL196" s="1968"/>
      <c r="BM196" s="1421"/>
      <c r="BN196" s="1421"/>
      <c r="BO196" s="1421"/>
      <c r="BP196" s="1421"/>
      <c r="BQ196" s="1421"/>
      <c r="BR196" s="1421"/>
      <c r="BS196" s="1421"/>
      <c r="BT196" s="2131"/>
      <c r="BU196" s="2132"/>
      <c r="BV196" s="357"/>
      <c r="BW196" s="357"/>
      <c r="BX196" s="357"/>
      <c r="BY196" s="357"/>
      <c r="BZ196" s="357"/>
      <c r="CA196" s="357"/>
      <c r="CB196" s="357"/>
      <c r="CC196" s="357"/>
    </row>
    <row r="197" spans="1:81">
      <c r="A197" s="546"/>
      <c r="B197" s="357"/>
      <c r="C197" s="357"/>
      <c r="D197" s="546"/>
      <c r="E197" s="357"/>
      <c r="F197" s="357"/>
      <c r="G197" s="357"/>
      <c r="H197" s="357"/>
      <c r="I197" s="357"/>
      <c r="J197" s="357"/>
      <c r="K197" s="357"/>
      <c r="L197" s="357"/>
      <c r="M197" s="357"/>
      <c r="N197" s="357"/>
      <c r="O197" s="357"/>
      <c r="P197" s="357"/>
      <c r="Q197" s="357"/>
      <c r="R197" s="357"/>
      <c r="S197" s="357"/>
      <c r="T197" s="357"/>
      <c r="U197" s="1395"/>
      <c r="V197" s="357"/>
      <c r="W197" s="357"/>
      <c r="X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c r="AT197" s="357"/>
      <c r="AU197" s="357"/>
      <c r="AV197" s="357"/>
      <c r="AW197" s="357"/>
      <c r="AX197" s="357"/>
      <c r="AY197" s="357"/>
      <c r="AZ197" s="357"/>
      <c r="BA197" s="357"/>
      <c r="BB197" s="357"/>
      <c r="BC197" s="357"/>
      <c r="BD197" s="357"/>
      <c r="BE197" s="357"/>
      <c r="BF197" s="357"/>
      <c r="BG197" s="357"/>
      <c r="BH197" s="357"/>
      <c r="BI197" s="357"/>
      <c r="BJ197" s="357"/>
      <c r="BK197" s="357"/>
      <c r="BL197" s="1968"/>
      <c r="BM197" s="1421"/>
      <c r="BN197" s="1421"/>
      <c r="BO197" s="1421"/>
      <c r="BP197" s="1421"/>
      <c r="BQ197" s="1421"/>
      <c r="BR197" s="1421"/>
      <c r="BS197" s="1421"/>
      <c r="BT197" s="2131"/>
      <c r="BU197" s="2132"/>
      <c r="BV197" s="357"/>
      <c r="BW197" s="357"/>
      <c r="BX197" s="357"/>
      <c r="BY197" s="357"/>
      <c r="BZ197" s="357"/>
      <c r="CA197" s="357"/>
      <c r="CB197" s="357"/>
      <c r="CC197" s="357"/>
    </row>
    <row r="198" spans="1:81">
      <c r="A198" s="546"/>
      <c r="B198" s="357"/>
      <c r="C198" s="357"/>
      <c r="D198" s="546"/>
      <c r="E198" s="357"/>
      <c r="F198" s="357"/>
      <c r="G198" s="357"/>
      <c r="H198" s="357"/>
      <c r="I198" s="357"/>
      <c r="J198" s="357"/>
      <c r="K198" s="357"/>
      <c r="L198" s="357"/>
      <c r="M198" s="357"/>
      <c r="N198" s="357"/>
      <c r="O198" s="357"/>
      <c r="P198" s="357"/>
      <c r="Q198" s="357"/>
      <c r="R198" s="357"/>
      <c r="S198" s="357"/>
      <c r="T198" s="357"/>
      <c r="U198" s="1395"/>
      <c r="V198" s="357"/>
      <c r="W198" s="357"/>
      <c r="X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c r="AT198" s="357"/>
      <c r="AU198" s="357"/>
      <c r="AV198" s="357"/>
      <c r="AW198" s="357"/>
      <c r="AX198" s="357"/>
      <c r="AY198" s="357"/>
      <c r="AZ198" s="357"/>
      <c r="BA198" s="357"/>
      <c r="BB198" s="357"/>
      <c r="BC198" s="357"/>
      <c r="BD198" s="357"/>
      <c r="BE198" s="357"/>
      <c r="BF198" s="357"/>
      <c r="BG198" s="357"/>
      <c r="BH198" s="357"/>
      <c r="BI198" s="357"/>
      <c r="BJ198" s="357"/>
      <c r="BK198" s="357"/>
      <c r="BL198" s="1968"/>
      <c r="BM198" s="1421"/>
      <c r="BN198" s="1421"/>
      <c r="BO198" s="1421"/>
      <c r="BP198" s="1421"/>
      <c r="BQ198" s="1421"/>
      <c r="BR198" s="1421"/>
      <c r="BS198" s="1421"/>
      <c r="BT198" s="2133"/>
      <c r="BU198" s="2134"/>
      <c r="BV198" s="357"/>
      <c r="BW198" s="357"/>
      <c r="BX198" s="357"/>
      <c r="BY198" s="357"/>
      <c r="BZ198" s="357"/>
      <c r="CA198" s="357"/>
      <c r="CB198" s="357"/>
      <c r="CC198" s="357"/>
    </row>
    <row r="199" spans="1:81">
      <c r="A199" s="546"/>
      <c r="B199" s="357"/>
      <c r="C199" s="357"/>
      <c r="D199" s="546"/>
      <c r="E199" s="357"/>
      <c r="F199" s="357"/>
      <c r="G199" s="357"/>
      <c r="H199" s="357"/>
      <c r="I199" s="357"/>
      <c r="J199" s="357"/>
      <c r="K199" s="357"/>
      <c r="L199" s="357"/>
      <c r="M199" s="357"/>
      <c r="N199" s="357"/>
      <c r="O199" s="357"/>
      <c r="P199" s="357"/>
      <c r="Q199" s="357"/>
      <c r="R199" s="357"/>
      <c r="S199" s="357"/>
      <c r="T199" s="357"/>
      <c r="U199" s="1395"/>
      <c r="V199" s="357"/>
      <c r="W199" s="357"/>
      <c r="X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c r="BI199" s="357"/>
      <c r="BJ199" s="357"/>
      <c r="BK199" s="357"/>
      <c r="BL199" s="1968"/>
      <c r="BM199" s="1421"/>
      <c r="BN199" s="1421"/>
      <c r="BO199" s="1421"/>
      <c r="BP199" s="1421"/>
      <c r="BQ199" s="1421"/>
      <c r="BR199" s="1421"/>
      <c r="BS199" s="1421"/>
      <c r="BT199" s="2133"/>
      <c r="BU199" s="2134"/>
      <c r="BV199" s="357"/>
      <c r="BW199" s="357"/>
      <c r="BX199" s="357"/>
      <c r="BY199" s="357"/>
      <c r="BZ199" s="357"/>
      <c r="CA199" s="357"/>
      <c r="CB199" s="357"/>
      <c r="CC199" s="357"/>
    </row>
    <row r="200" spans="1:81">
      <c r="A200" s="546"/>
      <c r="B200" s="357"/>
      <c r="C200" s="357"/>
      <c r="D200" s="546"/>
      <c r="E200" s="357"/>
      <c r="F200" s="357"/>
      <c r="G200" s="357"/>
      <c r="H200" s="357"/>
      <c r="I200" s="357"/>
      <c r="J200" s="357"/>
      <c r="K200" s="357"/>
      <c r="L200" s="357"/>
      <c r="M200" s="357"/>
      <c r="N200" s="357"/>
      <c r="O200" s="357"/>
      <c r="P200" s="357"/>
      <c r="Q200" s="357"/>
      <c r="R200" s="357"/>
      <c r="S200" s="357"/>
      <c r="T200" s="357"/>
      <c r="U200" s="1395"/>
      <c r="V200" s="357"/>
      <c r="W200" s="357"/>
      <c r="X200" s="357"/>
      <c r="Z200" s="357"/>
      <c r="AA200" s="357"/>
      <c r="AB200" s="357"/>
      <c r="AC200" s="357"/>
      <c r="AD200" s="357"/>
      <c r="AE200" s="357"/>
      <c r="AF200" s="357"/>
      <c r="AG200" s="357"/>
      <c r="AH200" s="357"/>
      <c r="AI200" s="357"/>
      <c r="AJ200" s="357"/>
      <c r="AK200" s="357"/>
      <c r="AL200" s="357"/>
      <c r="AM200" s="357"/>
      <c r="AN200" s="357"/>
      <c r="AO200" s="357"/>
      <c r="AP200" s="357"/>
      <c r="AQ200" s="357"/>
      <c r="AR200" s="357"/>
      <c r="AS200" s="357"/>
      <c r="AT200" s="357"/>
      <c r="AU200" s="357"/>
      <c r="AV200" s="357"/>
      <c r="AW200" s="357"/>
      <c r="AX200" s="357"/>
      <c r="AY200" s="357"/>
      <c r="AZ200" s="357"/>
      <c r="BA200" s="357"/>
      <c r="BB200" s="357"/>
      <c r="BC200" s="357"/>
      <c r="BD200" s="357"/>
      <c r="BE200" s="357"/>
      <c r="BF200" s="357"/>
      <c r="BG200" s="357"/>
      <c r="BH200" s="357"/>
      <c r="BI200" s="357"/>
      <c r="BJ200" s="357"/>
      <c r="BK200" s="357"/>
      <c r="BL200" s="1968"/>
      <c r="BM200" s="1421"/>
      <c r="BN200" s="1421"/>
      <c r="BO200" s="1421"/>
      <c r="BP200" s="1421"/>
      <c r="BQ200" s="1421"/>
      <c r="BR200" s="1421"/>
      <c r="BS200" s="1421"/>
      <c r="BT200" s="2133"/>
      <c r="BU200" s="2134"/>
      <c r="BV200" s="357"/>
      <c r="BW200" s="357"/>
      <c r="BX200" s="357"/>
      <c r="BY200" s="357"/>
      <c r="BZ200" s="357"/>
      <c r="CA200" s="357"/>
      <c r="CB200" s="357"/>
      <c r="CC200" s="357"/>
    </row>
    <row r="201" spans="1:81">
      <c r="A201" s="546"/>
      <c r="B201" s="357"/>
      <c r="C201" s="357"/>
      <c r="D201" s="546"/>
      <c r="E201" s="357"/>
      <c r="F201" s="357"/>
      <c r="G201" s="357"/>
      <c r="H201" s="357"/>
      <c r="I201" s="357"/>
      <c r="J201" s="357"/>
      <c r="K201" s="357"/>
      <c r="L201" s="357"/>
      <c r="M201" s="357"/>
      <c r="N201" s="357"/>
      <c r="O201" s="357"/>
      <c r="P201" s="357"/>
      <c r="Q201" s="357"/>
      <c r="R201" s="357"/>
      <c r="S201" s="357"/>
      <c r="T201" s="357"/>
      <c r="U201" s="1395"/>
      <c r="V201" s="357"/>
      <c r="W201" s="357"/>
      <c r="X201" s="357"/>
      <c r="Z201" s="357"/>
      <c r="AA201" s="357"/>
      <c r="AB201" s="357"/>
      <c r="AC201" s="357"/>
      <c r="AD201" s="357"/>
      <c r="AE201" s="357"/>
      <c r="AF201" s="357"/>
      <c r="AG201" s="357"/>
      <c r="AH201" s="357"/>
      <c r="AI201" s="357"/>
      <c r="AJ201" s="357"/>
      <c r="AK201" s="357"/>
      <c r="AL201" s="357"/>
      <c r="AM201" s="357"/>
      <c r="AN201" s="357"/>
      <c r="AO201" s="357"/>
      <c r="AP201" s="357"/>
      <c r="AQ201" s="357"/>
      <c r="AR201" s="357"/>
      <c r="AS201" s="357"/>
      <c r="AT201" s="357"/>
      <c r="AU201" s="357"/>
      <c r="AV201" s="357"/>
      <c r="AW201" s="357"/>
      <c r="AX201" s="357"/>
      <c r="AY201" s="357"/>
      <c r="AZ201" s="357"/>
      <c r="BA201" s="357"/>
      <c r="BB201" s="357"/>
      <c r="BC201" s="357"/>
      <c r="BD201" s="357"/>
      <c r="BE201" s="357"/>
      <c r="BF201" s="357"/>
      <c r="BG201" s="357"/>
      <c r="BH201" s="357"/>
      <c r="BI201" s="357"/>
      <c r="BJ201" s="357"/>
      <c r="BK201" s="357"/>
      <c r="BL201" s="1968"/>
      <c r="BM201" s="1421"/>
      <c r="BN201" s="1421"/>
      <c r="BO201" s="1421"/>
      <c r="BP201" s="1421"/>
      <c r="BQ201" s="1421"/>
      <c r="BR201" s="1421"/>
      <c r="BS201" s="1421"/>
      <c r="BT201" s="2131"/>
      <c r="BU201" s="2132"/>
      <c r="BV201" s="357"/>
      <c r="BW201" s="357"/>
      <c r="BX201" s="357"/>
      <c r="BY201" s="357"/>
      <c r="BZ201" s="357"/>
      <c r="CA201" s="357"/>
      <c r="CB201" s="357"/>
      <c r="CC201" s="357"/>
    </row>
    <row r="202" spans="1:81">
      <c r="A202" s="546"/>
      <c r="B202" s="357"/>
      <c r="C202" s="357"/>
      <c r="D202" s="546"/>
      <c r="E202" s="357"/>
      <c r="F202" s="357"/>
      <c r="G202" s="357"/>
      <c r="H202" s="357"/>
      <c r="I202" s="357"/>
      <c r="J202" s="357"/>
      <c r="K202" s="357"/>
      <c r="L202" s="357"/>
      <c r="M202" s="357"/>
      <c r="N202" s="357"/>
      <c r="O202" s="357"/>
      <c r="P202" s="357"/>
      <c r="Q202" s="357"/>
      <c r="R202" s="357"/>
      <c r="S202" s="357"/>
      <c r="T202" s="357"/>
      <c r="U202" s="1395"/>
      <c r="V202" s="357"/>
      <c r="W202" s="357"/>
      <c r="X202" s="357"/>
      <c r="Z202" s="357"/>
      <c r="AA202" s="357"/>
      <c r="AB202" s="357"/>
      <c r="AC202" s="357"/>
      <c r="AD202" s="357"/>
      <c r="AE202" s="357"/>
      <c r="AF202" s="357"/>
      <c r="AG202" s="357"/>
      <c r="AH202" s="357"/>
      <c r="AI202" s="357"/>
      <c r="AJ202" s="357"/>
      <c r="AK202" s="357"/>
      <c r="AL202" s="357"/>
      <c r="AM202" s="357"/>
      <c r="AN202" s="357"/>
      <c r="AO202" s="357"/>
      <c r="AP202" s="357"/>
      <c r="AQ202" s="357"/>
      <c r="AR202" s="357"/>
      <c r="AS202" s="357"/>
      <c r="AT202" s="357"/>
      <c r="AU202" s="357"/>
      <c r="AV202" s="357"/>
      <c r="AW202" s="357"/>
      <c r="AX202" s="357"/>
      <c r="AY202" s="357"/>
      <c r="AZ202" s="357"/>
      <c r="BA202" s="357"/>
      <c r="BB202" s="357"/>
      <c r="BC202" s="357"/>
      <c r="BD202" s="357"/>
      <c r="BE202" s="357"/>
      <c r="BF202" s="357"/>
      <c r="BG202" s="357"/>
      <c r="BH202" s="357"/>
      <c r="BI202" s="357"/>
      <c r="BJ202" s="357"/>
      <c r="BK202" s="357"/>
      <c r="BL202" s="1968"/>
      <c r="BM202" s="1421"/>
      <c r="BN202" s="1421"/>
      <c r="BO202" s="1421"/>
      <c r="BP202" s="1421"/>
      <c r="BQ202" s="1421"/>
      <c r="BR202" s="1421"/>
      <c r="BS202" s="1421"/>
      <c r="BT202" s="2133"/>
      <c r="BU202" s="2134"/>
      <c r="BV202" s="357"/>
      <c r="BW202" s="357"/>
      <c r="BX202" s="357"/>
      <c r="BY202" s="357"/>
      <c r="BZ202" s="357"/>
      <c r="CA202" s="357"/>
      <c r="CB202" s="357"/>
      <c r="CC202" s="357"/>
    </row>
    <row r="203" spans="1:81">
      <c r="A203" s="546"/>
      <c r="B203" s="357"/>
      <c r="C203" s="357"/>
      <c r="D203" s="546"/>
      <c r="E203" s="357"/>
      <c r="F203" s="357"/>
      <c r="G203" s="357"/>
      <c r="H203" s="357"/>
      <c r="I203" s="357"/>
      <c r="J203" s="357"/>
      <c r="K203" s="357"/>
      <c r="L203" s="357"/>
      <c r="M203" s="357"/>
      <c r="N203" s="357"/>
      <c r="O203" s="357"/>
      <c r="P203" s="357"/>
      <c r="Q203" s="357"/>
      <c r="R203" s="357"/>
      <c r="S203" s="357"/>
      <c r="T203" s="357"/>
      <c r="U203" s="1395"/>
      <c r="V203" s="357"/>
      <c r="W203" s="357"/>
      <c r="X203" s="357"/>
      <c r="Z203" s="357"/>
      <c r="AA203" s="357"/>
      <c r="AB203" s="357"/>
      <c r="AC203" s="357"/>
      <c r="AD203" s="357"/>
      <c r="AE203" s="357"/>
      <c r="AF203" s="357"/>
      <c r="AG203" s="357"/>
      <c r="AH203" s="357"/>
      <c r="AI203" s="357"/>
      <c r="AJ203" s="357"/>
      <c r="AK203" s="357"/>
      <c r="AL203" s="357"/>
      <c r="AM203" s="357"/>
      <c r="AN203" s="357"/>
      <c r="AO203" s="357"/>
      <c r="AP203" s="357"/>
      <c r="AQ203" s="357"/>
      <c r="AR203" s="357"/>
      <c r="AS203" s="357"/>
      <c r="AT203" s="357"/>
      <c r="AU203" s="357"/>
      <c r="AV203" s="357"/>
      <c r="AW203" s="357"/>
      <c r="AX203" s="357"/>
      <c r="AY203" s="357"/>
      <c r="AZ203" s="357"/>
      <c r="BA203" s="357"/>
      <c r="BB203" s="357"/>
      <c r="BC203" s="357"/>
      <c r="BD203" s="357"/>
      <c r="BE203" s="357"/>
      <c r="BF203" s="357"/>
      <c r="BG203" s="357"/>
      <c r="BH203" s="357"/>
      <c r="BI203" s="357"/>
      <c r="BJ203" s="357"/>
      <c r="BK203" s="357"/>
      <c r="BL203" s="1968"/>
      <c r="BM203" s="1421"/>
      <c r="BN203" s="1421"/>
      <c r="BO203" s="1421"/>
      <c r="BP203" s="1421"/>
      <c r="BQ203" s="1421"/>
      <c r="BR203" s="1421"/>
      <c r="BS203" s="1421"/>
      <c r="BT203" s="2131"/>
      <c r="BU203" s="2132"/>
      <c r="BV203" s="357"/>
      <c r="BW203" s="357"/>
      <c r="BX203" s="357"/>
      <c r="BY203" s="357"/>
      <c r="BZ203" s="357"/>
      <c r="CA203" s="357"/>
      <c r="CB203" s="357"/>
      <c r="CC203" s="357"/>
    </row>
    <row r="204" spans="1:81">
      <c r="A204" s="546"/>
      <c r="B204" s="357"/>
      <c r="C204" s="357"/>
      <c r="D204" s="546"/>
      <c r="E204" s="357"/>
      <c r="F204" s="357"/>
      <c r="G204" s="357"/>
      <c r="H204" s="357"/>
      <c r="I204" s="357"/>
      <c r="J204" s="357"/>
      <c r="K204" s="357"/>
      <c r="L204" s="357"/>
      <c r="M204" s="357"/>
      <c r="N204" s="357"/>
      <c r="O204" s="357"/>
      <c r="P204" s="357"/>
      <c r="Q204" s="357"/>
      <c r="R204" s="357"/>
      <c r="S204" s="357"/>
      <c r="T204" s="357"/>
      <c r="U204" s="1395"/>
      <c r="V204" s="357"/>
      <c r="W204" s="357"/>
      <c r="X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c r="AT204" s="357"/>
      <c r="AU204" s="357"/>
      <c r="AV204" s="357"/>
      <c r="AW204" s="357"/>
      <c r="AX204" s="357"/>
      <c r="AY204" s="357"/>
      <c r="AZ204" s="357"/>
      <c r="BA204" s="357"/>
      <c r="BB204" s="357"/>
      <c r="BC204" s="357"/>
      <c r="BD204" s="357"/>
      <c r="BE204" s="357"/>
      <c r="BF204" s="357"/>
      <c r="BG204" s="357"/>
      <c r="BH204" s="357"/>
      <c r="BI204" s="357"/>
      <c r="BJ204" s="357"/>
      <c r="BK204" s="357"/>
      <c r="BL204" s="1968"/>
      <c r="BM204" s="1421"/>
      <c r="BN204" s="1421"/>
      <c r="BO204" s="1421"/>
      <c r="BP204" s="1421"/>
      <c r="BQ204" s="1421"/>
      <c r="BR204" s="1421"/>
      <c r="BS204" s="1421"/>
      <c r="BT204" s="2131"/>
      <c r="BU204" s="2132"/>
      <c r="BV204" s="357"/>
      <c r="BW204" s="357"/>
      <c r="BX204" s="357"/>
      <c r="BY204" s="357"/>
      <c r="BZ204" s="357"/>
      <c r="CA204" s="357"/>
      <c r="CB204" s="357"/>
      <c r="CC204" s="357"/>
    </row>
    <row r="205" spans="1:81">
      <c r="A205" s="546"/>
      <c r="B205" s="357"/>
      <c r="C205" s="357"/>
      <c r="D205" s="546"/>
      <c r="E205" s="357"/>
      <c r="F205" s="357"/>
      <c r="G205" s="357"/>
      <c r="H205" s="357"/>
      <c r="I205" s="357"/>
      <c r="J205" s="357"/>
      <c r="K205" s="357"/>
      <c r="L205" s="357"/>
      <c r="M205" s="357"/>
      <c r="N205" s="357"/>
      <c r="O205" s="357"/>
      <c r="P205" s="357"/>
      <c r="Q205" s="357"/>
      <c r="R205" s="357"/>
      <c r="S205" s="357"/>
      <c r="T205" s="357"/>
      <c r="U205" s="1395"/>
      <c r="V205" s="357"/>
      <c r="W205" s="357"/>
      <c r="X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c r="AT205" s="357"/>
      <c r="AU205" s="357"/>
      <c r="AV205" s="357"/>
      <c r="AW205" s="357"/>
      <c r="AX205" s="357"/>
      <c r="AY205" s="357"/>
      <c r="AZ205" s="357"/>
      <c r="BA205" s="357"/>
      <c r="BB205" s="357"/>
      <c r="BC205" s="357"/>
      <c r="BD205" s="357"/>
      <c r="BE205" s="357"/>
      <c r="BF205" s="357"/>
      <c r="BG205" s="357"/>
      <c r="BH205" s="357"/>
      <c r="BI205" s="357"/>
      <c r="BJ205" s="357"/>
      <c r="BK205" s="357"/>
      <c r="BL205" s="1968"/>
      <c r="BM205" s="1421"/>
      <c r="BN205" s="1421"/>
      <c r="BO205" s="1421"/>
      <c r="BP205" s="1421"/>
      <c r="BQ205" s="1421"/>
      <c r="BR205" s="1421"/>
      <c r="BS205" s="1421"/>
      <c r="BT205" s="2131"/>
      <c r="BU205" s="2132"/>
      <c r="BV205" s="357"/>
      <c r="BW205" s="357"/>
      <c r="BX205" s="357"/>
      <c r="BY205" s="357"/>
      <c r="BZ205" s="357"/>
      <c r="CA205" s="357"/>
      <c r="CB205" s="357"/>
      <c r="CC205" s="357"/>
    </row>
    <row r="206" spans="1:81">
      <c r="A206" s="546"/>
      <c r="B206" s="357"/>
      <c r="C206" s="357"/>
      <c r="D206" s="546"/>
      <c r="E206" s="357"/>
      <c r="F206" s="357"/>
      <c r="G206" s="357"/>
      <c r="H206" s="357"/>
      <c r="I206" s="357"/>
      <c r="J206" s="357"/>
      <c r="K206" s="357"/>
      <c r="L206" s="357"/>
      <c r="M206" s="357"/>
      <c r="N206" s="357"/>
      <c r="O206" s="357"/>
      <c r="P206" s="357"/>
      <c r="Q206" s="357"/>
      <c r="R206" s="357"/>
      <c r="S206" s="357"/>
      <c r="T206" s="357"/>
      <c r="U206" s="1395"/>
      <c r="V206" s="357"/>
      <c r="W206" s="357"/>
      <c r="X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c r="AT206" s="357"/>
      <c r="AU206" s="357"/>
      <c r="AV206" s="357"/>
      <c r="AW206" s="357"/>
      <c r="AX206" s="357"/>
      <c r="AY206" s="357"/>
      <c r="AZ206" s="357"/>
      <c r="BA206" s="357"/>
      <c r="BB206" s="357"/>
      <c r="BC206" s="357"/>
      <c r="BD206" s="357"/>
      <c r="BE206" s="357"/>
      <c r="BF206" s="357"/>
      <c r="BG206" s="357"/>
      <c r="BH206" s="357"/>
      <c r="BI206" s="357"/>
      <c r="BJ206" s="357"/>
      <c r="BK206" s="357"/>
      <c r="BL206" s="1968"/>
      <c r="BM206" s="1421"/>
      <c r="BN206" s="1421"/>
      <c r="BO206" s="1421"/>
      <c r="BP206" s="1421"/>
      <c r="BQ206" s="1421"/>
      <c r="BR206" s="1421"/>
      <c r="BS206" s="1421"/>
      <c r="BT206" s="2131"/>
      <c r="BU206" s="2132"/>
      <c r="BV206" s="357"/>
      <c r="BW206" s="357"/>
      <c r="BX206" s="357"/>
      <c r="BY206" s="357"/>
      <c r="BZ206" s="357"/>
      <c r="CA206" s="357"/>
      <c r="CB206" s="357"/>
      <c r="CC206" s="357"/>
    </row>
    <row r="207" spans="1:81">
      <c r="A207" s="546"/>
      <c r="B207" s="357"/>
      <c r="C207" s="357"/>
      <c r="D207" s="546"/>
      <c r="E207" s="357"/>
      <c r="F207" s="357"/>
      <c r="G207" s="357"/>
      <c r="H207" s="357"/>
      <c r="I207" s="357"/>
      <c r="J207" s="357"/>
      <c r="K207" s="357"/>
      <c r="L207" s="357"/>
      <c r="M207" s="357"/>
      <c r="N207" s="357"/>
      <c r="O207" s="357"/>
      <c r="P207" s="357"/>
      <c r="Q207" s="357"/>
      <c r="R207" s="357"/>
      <c r="S207" s="357"/>
      <c r="T207" s="357"/>
      <c r="U207" s="1395"/>
      <c r="V207" s="357"/>
      <c r="W207" s="357"/>
      <c r="X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c r="AT207" s="357"/>
      <c r="AU207" s="357"/>
      <c r="AV207" s="357"/>
      <c r="AW207" s="357"/>
      <c r="AX207" s="357"/>
      <c r="AY207" s="357"/>
      <c r="AZ207" s="357"/>
      <c r="BA207" s="357"/>
      <c r="BB207" s="357"/>
      <c r="BC207" s="357"/>
      <c r="BD207" s="357"/>
      <c r="BE207" s="357"/>
      <c r="BF207" s="357"/>
      <c r="BG207" s="357"/>
      <c r="BH207" s="357"/>
      <c r="BI207" s="357"/>
      <c r="BJ207" s="357"/>
      <c r="BK207" s="357"/>
      <c r="BL207" s="1968"/>
      <c r="BM207" s="1421"/>
      <c r="BN207" s="1421"/>
      <c r="BO207" s="1421"/>
      <c r="BP207" s="1421"/>
      <c r="BQ207" s="1421"/>
      <c r="BR207" s="1421"/>
      <c r="BS207" s="1421"/>
      <c r="BT207" s="2131"/>
      <c r="BU207" s="2132"/>
      <c r="BV207" s="357"/>
      <c r="BW207" s="357"/>
      <c r="BX207" s="357"/>
      <c r="BY207" s="357"/>
      <c r="BZ207" s="357"/>
      <c r="CA207" s="357"/>
      <c r="CB207" s="357"/>
      <c r="CC207" s="357"/>
    </row>
    <row r="208" spans="1:81">
      <c r="A208" s="546"/>
      <c r="B208" s="357"/>
      <c r="C208" s="357"/>
      <c r="D208" s="546"/>
      <c r="E208" s="357"/>
      <c r="F208" s="357"/>
      <c r="G208" s="357"/>
      <c r="H208" s="357"/>
      <c r="I208" s="357"/>
      <c r="J208" s="357"/>
      <c r="K208" s="357"/>
      <c r="L208" s="357"/>
      <c r="M208" s="357"/>
      <c r="N208" s="357"/>
      <c r="O208" s="357"/>
      <c r="P208" s="357"/>
      <c r="Q208" s="357"/>
      <c r="R208" s="357"/>
      <c r="S208" s="357"/>
      <c r="T208" s="357"/>
      <c r="U208" s="1395"/>
      <c r="V208" s="357"/>
      <c r="W208" s="357"/>
      <c r="X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c r="AT208" s="357"/>
      <c r="AU208" s="357"/>
      <c r="AV208" s="357"/>
      <c r="AW208" s="357"/>
      <c r="AX208" s="357"/>
      <c r="AY208" s="357"/>
      <c r="AZ208" s="357"/>
      <c r="BA208" s="357"/>
      <c r="BB208" s="357"/>
      <c r="BC208" s="357"/>
      <c r="BD208" s="357"/>
      <c r="BE208" s="357"/>
      <c r="BF208" s="357"/>
      <c r="BG208" s="357"/>
      <c r="BH208" s="357"/>
      <c r="BI208" s="357"/>
      <c r="BJ208" s="357"/>
      <c r="BK208" s="357"/>
      <c r="BL208" s="1968"/>
      <c r="BM208" s="1421"/>
      <c r="BN208" s="1421"/>
      <c r="BO208" s="1421"/>
      <c r="BP208" s="1421"/>
      <c r="BQ208" s="1421"/>
      <c r="BR208" s="1421"/>
      <c r="BS208" s="1421"/>
      <c r="BT208" s="2131"/>
      <c r="BU208" s="2132"/>
      <c r="BV208" s="357"/>
      <c r="BW208" s="357"/>
      <c r="BX208" s="357"/>
      <c r="BY208" s="357"/>
      <c r="BZ208" s="357"/>
      <c r="CA208" s="357"/>
      <c r="CB208" s="357"/>
      <c r="CC208" s="357"/>
    </row>
    <row r="209" spans="1:81">
      <c r="A209" s="546"/>
      <c r="B209" s="357"/>
      <c r="C209" s="357"/>
      <c r="D209" s="546"/>
      <c r="E209" s="357"/>
      <c r="F209" s="357"/>
      <c r="G209" s="357"/>
      <c r="H209" s="357"/>
      <c r="I209" s="357"/>
      <c r="J209" s="357"/>
      <c r="K209" s="357"/>
      <c r="L209" s="357"/>
      <c r="M209" s="357"/>
      <c r="N209" s="357"/>
      <c r="O209" s="357"/>
      <c r="P209" s="357"/>
      <c r="Q209" s="357"/>
      <c r="R209" s="357"/>
      <c r="S209" s="357"/>
      <c r="T209" s="357"/>
      <c r="U209" s="1395"/>
      <c r="V209" s="357"/>
      <c r="W209" s="357"/>
      <c r="X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c r="AT209" s="357"/>
      <c r="AU209" s="357"/>
      <c r="AV209" s="357"/>
      <c r="AW209" s="357"/>
      <c r="AX209" s="357"/>
      <c r="AY209" s="357"/>
      <c r="AZ209" s="357"/>
      <c r="BA209" s="357"/>
      <c r="BB209" s="357"/>
      <c r="BC209" s="357"/>
      <c r="BD209" s="357"/>
      <c r="BE209" s="357"/>
      <c r="BF209" s="357"/>
      <c r="BG209" s="357"/>
      <c r="BH209" s="357"/>
      <c r="BI209" s="357"/>
      <c r="BJ209" s="357"/>
      <c r="BK209" s="357"/>
      <c r="BL209" s="1968"/>
      <c r="BM209" s="1421"/>
      <c r="BN209" s="1421"/>
      <c r="BO209" s="1421"/>
      <c r="BP209" s="1421"/>
      <c r="BQ209" s="1421"/>
      <c r="BR209" s="1421"/>
      <c r="BS209" s="1421"/>
      <c r="BT209" s="2131"/>
      <c r="BU209" s="2132"/>
      <c r="BV209" s="357"/>
      <c r="BW209" s="357"/>
      <c r="BX209" s="357"/>
      <c r="BY209" s="357"/>
      <c r="BZ209" s="357"/>
      <c r="CA209" s="357"/>
      <c r="CB209" s="357"/>
      <c r="CC209" s="357"/>
    </row>
    <row r="210" spans="1:81">
      <c r="A210" s="546"/>
      <c r="B210" s="357"/>
      <c r="C210" s="357"/>
      <c r="D210" s="546"/>
      <c r="E210" s="357"/>
      <c r="F210" s="357"/>
      <c r="G210" s="357"/>
      <c r="H210" s="357"/>
      <c r="I210" s="357"/>
      <c r="J210" s="357"/>
      <c r="K210" s="357"/>
      <c r="L210" s="357"/>
      <c r="M210" s="357"/>
      <c r="N210" s="357"/>
      <c r="O210" s="357"/>
      <c r="P210" s="357"/>
      <c r="Q210" s="357"/>
      <c r="R210" s="357"/>
      <c r="S210" s="357"/>
      <c r="T210" s="357"/>
      <c r="U210" s="1395"/>
      <c r="V210" s="357"/>
      <c r="W210" s="357"/>
      <c r="X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1968"/>
      <c r="BM210" s="1421"/>
      <c r="BN210" s="1421"/>
      <c r="BO210" s="1421"/>
      <c r="BP210" s="1421"/>
      <c r="BQ210" s="1421"/>
      <c r="BR210" s="1421"/>
      <c r="BS210" s="1421"/>
      <c r="BT210" s="2133"/>
      <c r="BU210" s="2134"/>
      <c r="BV210" s="357"/>
      <c r="BW210" s="357"/>
      <c r="BX210" s="357"/>
      <c r="BY210" s="357"/>
      <c r="BZ210" s="357"/>
      <c r="CA210" s="357"/>
      <c r="CB210" s="357"/>
      <c r="CC210" s="357"/>
    </row>
    <row r="211" spans="1:81">
      <c r="A211" s="546"/>
      <c r="B211" s="357"/>
      <c r="C211" s="357"/>
      <c r="D211" s="546"/>
      <c r="E211" s="357"/>
      <c r="F211" s="357"/>
      <c r="G211" s="357"/>
      <c r="H211" s="357"/>
      <c r="I211" s="357"/>
      <c r="J211" s="357"/>
      <c r="K211" s="357"/>
      <c r="L211" s="357"/>
      <c r="M211" s="357"/>
      <c r="N211" s="357"/>
      <c r="O211" s="357"/>
      <c r="P211" s="357"/>
      <c r="Q211" s="357"/>
      <c r="R211" s="357"/>
      <c r="S211" s="357"/>
      <c r="T211" s="357"/>
      <c r="U211" s="1395"/>
      <c r="V211" s="357"/>
      <c r="W211" s="357"/>
      <c r="X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1968"/>
      <c r="BM211" s="1421"/>
      <c r="BN211" s="1421"/>
      <c r="BO211" s="1421"/>
      <c r="BP211" s="1421"/>
      <c r="BQ211" s="1421"/>
      <c r="BR211" s="1421"/>
      <c r="BS211" s="1421"/>
      <c r="BT211" s="2136"/>
      <c r="BU211" s="2132"/>
      <c r="BV211" s="357"/>
      <c r="BW211" s="357"/>
      <c r="BX211" s="357"/>
      <c r="BY211" s="357"/>
      <c r="BZ211" s="357"/>
      <c r="CA211" s="357"/>
      <c r="CB211" s="357"/>
      <c r="CC211" s="357"/>
    </row>
    <row r="212" spans="1:81">
      <c r="A212" s="546"/>
      <c r="B212" s="357"/>
      <c r="C212" s="357"/>
      <c r="D212" s="546"/>
      <c r="E212" s="357"/>
      <c r="F212" s="357"/>
      <c r="G212" s="357"/>
      <c r="H212" s="357"/>
      <c r="I212" s="357"/>
      <c r="J212" s="357"/>
      <c r="K212" s="357"/>
      <c r="L212" s="357"/>
      <c r="M212" s="357"/>
      <c r="N212" s="357"/>
      <c r="O212" s="357"/>
      <c r="P212" s="357"/>
      <c r="Q212" s="357"/>
      <c r="R212" s="357"/>
      <c r="S212" s="357"/>
      <c r="T212" s="357"/>
      <c r="U212" s="1395"/>
      <c r="V212" s="357"/>
      <c r="W212" s="357"/>
      <c r="X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c r="AT212" s="357"/>
      <c r="AU212" s="357"/>
      <c r="AV212" s="357"/>
      <c r="AW212" s="357"/>
      <c r="AX212" s="357"/>
      <c r="AY212" s="357"/>
      <c r="AZ212" s="357"/>
      <c r="BA212" s="357"/>
      <c r="BB212" s="357"/>
      <c r="BC212" s="357"/>
      <c r="BD212" s="357"/>
      <c r="BE212" s="357"/>
      <c r="BF212" s="357"/>
      <c r="BG212" s="357"/>
      <c r="BH212" s="357"/>
      <c r="BI212" s="357"/>
      <c r="BJ212" s="357"/>
      <c r="BK212" s="357"/>
      <c r="BL212" s="1968"/>
      <c r="BM212" s="1421"/>
      <c r="BN212" s="1421"/>
      <c r="BO212" s="1421"/>
      <c r="BP212" s="1421"/>
      <c r="BQ212" s="1421"/>
      <c r="BR212" s="1421"/>
      <c r="BS212" s="1421"/>
      <c r="BT212" s="2131"/>
      <c r="BU212" s="2132"/>
      <c r="BV212" s="357"/>
      <c r="BW212" s="357"/>
      <c r="BX212" s="357"/>
      <c r="BY212" s="357"/>
      <c r="BZ212" s="357"/>
      <c r="CA212" s="357"/>
      <c r="CB212" s="357"/>
      <c r="CC212" s="357"/>
    </row>
    <row r="213" spans="1:81">
      <c r="A213" s="546"/>
      <c r="B213" s="357"/>
      <c r="C213" s="357"/>
      <c r="D213" s="546"/>
      <c r="E213" s="357"/>
      <c r="F213" s="357"/>
      <c r="G213" s="357"/>
      <c r="H213" s="357"/>
      <c r="I213" s="357"/>
      <c r="J213" s="357"/>
      <c r="K213" s="357"/>
      <c r="L213" s="357"/>
      <c r="M213" s="357"/>
      <c r="N213" s="357"/>
      <c r="O213" s="357"/>
      <c r="P213" s="357"/>
      <c r="Q213" s="357"/>
      <c r="R213" s="357"/>
      <c r="S213" s="357"/>
      <c r="T213" s="357"/>
      <c r="U213" s="1395"/>
      <c r="V213" s="357"/>
      <c r="W213" s="357"/>
      <c r="X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c r="AT213" s="357"/>
      <c r="AU213" s="357"/>
      <c r="AV213" s="357"/>
      <c r="AW213" s="357"/>
      <c r="AX213" s="357"/>
      <c r="AY213" s="357"/>
      <c r="AZ213" s="357"/>
      <c r="BA213" s="357"/>
      <c r="BB213" s="357"/>
      <c r="BC213" s="357"/>
      <c r="BD213" s="357"/>
      <c r="BE213" s="357"/>
      <c r="BF213" s="357"/>
      <c r="BG213" s="357"/>
      <c r="BH213" s="357"/>
      <c r="BI213" s="357"/>
      <c r="BJ213" s="357"/>
      <c r="BK213" s="357"/>
      <c r="BL213" s="1968"/>
      <c r="BM213" s="1421"/>
      <c r="BN213" s="1421"/>
      <c r="BO213" s="1421"/>
      <c r="BP213" s="1421"/>
      <c r="BQ213" s="1421"/>
      <c r="BR213" s="1421"/>
      <c r="BS213" s="1421"/>
      <c r="BT213" s="2131"/>
      <c r="BU213" s="2134"/>
      <c r="BV213" s="357"/>
      <c r="BW213" s="357"/>
      <c r="BX213" s="357"/>
      <c r="BY213" s="357"/>
      <c r="BZ213" s="357"/>
      <c r="CA213" s="357"/>
      <c r="CB213" s="357"/>
      <c r="CC213" s="357"/>
    </row>
    <row r="214" spans="1:81">
      <c r="A214" s="546"/>
      <c r="B214" s="357"/>
      <c r="C214" s="357"/>
      <c r="D214" s="546"/>
      <c r="E214" s="357"/>
      <c r="F214" s="357"/>
      <c r="G214" s="357"/>
      <c r="H214" s="357"/>
      <c r="I214" s="357"/>
      <c r="J214" s="357"/>
      <c r="K214" s="357"/>
      <c r="L214" s="357"/>
      <c r="M214" s="357"/>
      <c r="N214" s="357"/>
      <c r="O214" s="357"/>
      <c r="P214" s="357"/>
      <c r="Q214" s="357"/>
      <c r="R214" s="357"/>
      <c r="S214" s="357"/>
      <c r="T214" s="357"/>
      <c r="U214" s="1395"/>
      <c r="V214" s="357"/>
      <c r="W214" s="357"/>
      <c r="X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c r="AT214" s="357"/>
      <c r="AU214" s="357"/>
      <c r="AV214" s="357"/>
      <c r="AW214" s="357"/>
      <c r="AX214" s="357"/>
      <c r="AY214" s="357"/>
      <c r="AZ214" s="357"/>
      <c r="BA214" s="357"/>
      <c r="BB214" s="357"/>
      <c r="BC214" s="357"/>
      <c r="BD214" s="357"/>
      <c r="BE214" s="357"/>
      <c r="BF214" s="357"/>
      <c r="BG214" s="357"/>
      <c r="BH214" s="357"/>
      <c r="BI214" s="357"/>
      <c r="BJ214" s="357"/>
      <c r="BK214" s="357"/>
      <c r="BL214" s="1968"/>
      <c r="BM214" s="1421"/>
      <c r="BN214" s="1421"/>
      <c r="BO214" s="1421"/>
      <c r="BP214" s="1421"/>
      <c r="BQ214" s="1421"/>
      <c r="BR214" s="1421"/>
      <c r="BS214" s="1421"/>
      <c r="BT214" s="2131"/>
      <c r="BU214" s="2134"/>
      <c r="BV214" s="357"/>
      <c r="BW214" s="357"/>
      <c r="BX214" s="357"/>
      <c r="BY214" s="357"/>
      <c r="BZ214" s="357"/>
      <c r="CA214" s="357"/>
      <c r="CB214" s="357"/>
      <c r="CC214" s="357"/>
    </row>
    <row r="215" spans="1:81">
      <c r="A215" s="546"/>
      <c r="B215" s="357"/>
      <c r="C215" s="357"/>
      <c r="D215" s="546"/>
      <c r="E215" s="357"/>
      <c r="F215" s="357"/>
      <c r="G215" s="357"/>
      <c r="H215" s="357"/>
      <c r="I215" s="357"/>
      <c r="J215" s="357"/>
      <c r="K215" s="357"/>
      <c r="L215" s="357"/>
      <c r="M215" s="357"/>
      <c r="N215" s="357"/>
      <c r="O215" s="357"/>
      <c r="P215" s="357"/>
      <c r="Q215" s="357"/>
      <c r="R215" s="357"/>
      <c r="S215" s="357"/>
      <c r="T215" s="357"/>
      <c r="U215" s="1395"/>
      <c r="V215" s="357"/>
      <c r="W215" s="357"/>
      <c r="X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c r="BK215" s="357"/>
      <c r="BL215" s="1968"/>
      <c r="BM215" s="1421"/>
      <c r="BN215" s="1421"/>
      <c r="BO215" s="1421"/>
      <c r="BP215" s="1421"/>
      <c r="BQ215" s="1421"/>
      <c r="BR215" s="1421"/>
      <c r="BS215" s="1421"/>
      <c r="BT215" s="2133"/>
      <c r="BU215" s="2134"/>
      <c r="BV215" s="357"/>
      <c r="BW215" s="357"/>
      <c r="BX215" s="357"/>
      <c r="BY215" s="357"/>
      <c r="BZ215" s="357"/>
      <c r="CA215" s="357"/>
      <c r="CB215" s="357"/>
      <c r="CC215" s="357"/>
    </row>
    <row r="216" spans="1:81">
      <c r="A216" s="546"/>
      <c r="B216" s="357"/>
      <c r="C216" s="357"/>
      <c r="D216" s="546"/>
      <c r="E216" s="357"/>
      <c r="F216" s="357"/>
      <c r="G216" s="357"/>
      <c r="H216" s="357"/>
      <c r="I216" s="357"/>
      <c r="J216" s="357"/>
      <c r="K216" s="357"/>
      <c r="L216" s="357"/>
      <c r="M216" s="357"/>
      <c r="N216" s="357"/>
      <c r="O216" s="357"/>
      <c r="P216" s="357"/>
      <c r="Q216" s="357"/>
      <c r="R216" s="357"/>
      <c r="S216" s="357"/>
      <c r="T216" s="357"/>
      <c r="U216" s="1395"/>
      <c r="V216" s="357"/>
      <c r="W216" s="357"/>
      <c r="X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c r="AT216" s="357"/>
      <c r="AU216" s="357"/>
      <c r="AV216" s="357"/>
      <c r="AW216" s="357"/>
      <c r="AX216" s="357"/>
      <c r="AY216" s="357"/>
      <c r="AZ216" s="357"/>
      <c r="BA216" s="357"/>
      <c r="BB216" s="357"/>
      <c r="BC216" s="357"/>
      <c r="BD216" s="357"/>
      <c r="BE216" s="357"/>
      <c r="BF216" s="357"/>
      <c r="BG216" s="357"/>
      <c r="BH216" s="357"/>
      <c r="BI216" s="357"/>
      <c r="BJ216" s="357"/>
      <c r="BK216" s="357"/>
      <c r="BL216" s="1968"/>
      <c r="BM216" s="1421"/>
      <c r="BN216" s="1421"/>
      <c r="BO216" s="1421"/>
      <c r="BP216" s="1421"/>
      <c r="BQ216" s="1421"/>
      <c r="BR216" s="1421"/>
      <c r="BS216" s="1421"/>
      <c r="BT216" s="2135"/>
      <c r="BU216" s="2132"/>
      <c r="BV216" s="357"/>
      <c r="BW216" s="357"/>
      <c r="BX216" s="357"/>
      <c r="BY216" s="357"/>
      <c r="BZ216" s="357"/>
      <c r="CA216" s="357"/>
      <c r="CB216" s="357"/>
      <c r="CC216" s="357"/>
    </row>
    <row r="217" spans="1:81">
      <c r="A217" s="546"/>
      <c r="B217" s="357"/>
      <c r="C217" s="357"/>
      <c r="D217" s="546"/>
      <c r="E217" s="357"/>
      <c r="F217" s="357"/>
      <c r="G217" s="357"/>
      <c r="H217" s="357"/>
      <c r="I217" s="357"/>
      <c r="J217" s="357"/>
      <c r="K217" s="357"/>
      <c r="L217" s="357"/>
      <c r="M217" s="357"/>
      <c r="N217" s="357"/>
      <c r="O217" s="357"/>
      <c r="P217" s="357"/>
      <c r="Q217" s="357"/>
      <c r="R217" s="357"/>
      <c r="S217" s="357"/>
      <c r="T217" s="357"/>
      <c r="U217" s="1395"/>
      <c r="V217" s="357"/>
      <c r="W217" s="357"/>
      <c r="X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c r="AT217" s="357"/>
      <c r="AU217" s="357"/>
      <c r="AV217" s="357"/>
      <c r="AW217" s="357"/>
      <c r="AX217" s="357"/>
      <c r="AY217" s="357"/>
      <c r="AZ217" s="357"/>
      <c r="BA217" s="357"/>
      <c r="BB217" s="357"/>
      <c r="BC217" s="357"/>
      <c r="BD217" s="357"/>
      <c r="BE217" s="357"/>
      <c r="BF217" s="357"/>
      <c r="BG217" s="357"/>
      <c r="BH217" s="357"/>
      <c r="BI217" s="357"/>
      <c r="BJ217" s="357"/>
      <c r="BK217" s="357"/>
      <c r="BL217" s="1968"/>
      <c r="BM217" s="1421"/>
      <c r="BN217" s="1421"/>
      <c r="BO217" s="1421"/>
      <c r="BP217" s="1421"/>
      <c r="BQ217" s="1421"/>
      <c r="BR217" s="1421"/>
      <c r="BS217" s="1421"/>
      <c r="BT217" s="2135"/>
      <c r="BU217" s="2132"/>
      <c r="BV217" s="357"/>
      <c r="BW217" s="357"/>
      <c r="BX217" s="357"/>
      <c r="BY217" s="357"/>
      <c r="BZ217" s="357"/>
      <c r="CA217" s="357"/>
      <c r="CB217" s="357"/>
      <c r="CC217" s="357"/>
    </row>
    <row r="218" spans="1:81">
      <c r="A218" s="546"/>
      <c r="B218" s="357"/>
      <c r="C218" s="357"/>
      <c r="D218" s="546"/>
      <c r="E218" s="357"/>
      <c r="F218" s="357"/>
      <c r="G218" s="357"/>
      <c r="H218" s="357"/>
      <c r="I218" s="357"/>
      <c r="J218" s="357"/>
      <c r="K218" s="357"/>
      <c r="L218" s="357"/>
      <c r="M218" s="357"/>
      <c r="N218" s="357"/>
      <c r="O218" s="357"/>
      <c r="P218" s="357"/>
      <c r="Q218" s="357"/>
      <c r="R218" s="357"/>
      <c r="S218" s="357"/>
      <c r="T218" s="357"/>
      <c r="U218" s="1395"/>
      <c r="V218" s="357"/>
      <c r="W218" s="357"/>
      <c r="X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1968"/>
      <c r="BM218" s="1421"/>
      <c r="BN218" s="1421"/>
      <c r="BO218" s="1421"/>
      <c r="BP218" s="1421"/>
      <c r="BQ218" s="1421"/>
      <c r="BR218" s="1421"/>
      <c r="BS218" s="1421"/>
      <c r="BT218" s="2131"/>
      <c r="BU218" s="2132"/>
      <c r="BV218" s="357"/>
      <c r="BW218" s="357"/>
      <c r="BX218" s="357"/>
      <c r="BY218" s="357"/>
      <c r="BZ218" s="357"/>
      <c r="CA218" s="357"/>
      <c r="CB218" s="357"/>
      <c r="CC218" s="357"/>
    </row>
    <row r="219" spans="1:81">
      <c r="A219" s="546"/>
      <c r="B219" s="357"/>
      <c r="C219" s="357"/>
      <c r="D219" s="546"/>
      <c r="E219" s="357"/>
      <c r="F219" s="357"/>
      <c r="G219" s="357"/>
      <c r="H219" s="357"/>
      <c r="I219" s="357"/>
      <c r="J219" s="357"/>
      <c r="K219" s="357"/>
      <c r="L219" s="357"/>
      <c r="M219" s="357"/>
      <c r="N219" s="357"/>
      <c r="O219" s="357"/>
      <c r="P219" s="357"/>
      <c r="Q219" s="357"/>
      <c r="R219" s="357"/>
      <c r="S219" s="357"/>
      <c r="T219" s="357"/>
      <c r="U219" s="1395"/>
      <c r="V219" s="357"/>
      <c r="W219" s="357"/>
      <c r="X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1968"/>
      <c r="BM219" s="1421"/>
      <c r="BN219" s="1421"/>
      <c r="BO219" s="1421"/>
      <c r="BP219" s="1421"/>
      <c r="BQ219" s="1421"/>
      <c r="BR219" s="1421"/>
      <c r="BS219" s="1421"/>
      <c r="BT219" s="2131"/>
      <c r="BU219" s="2134"/>
      <c r="BV219" s="357"/>
      <c r="BW219" s="357"/>
      <c r="BX219" s="357"/>
      <c r="BY219" s="357"/>
      <c r="BZ219" s="357"/>
      <c r="CA219" s="357"/>
      <c r="CB219" s="357"/>
      <c r="CC219" s="357"/>
    </row>
    <row r="220" spans="1:81">
      <c r="A220" s="546"/>
      <c r="B220" s="357"/>
      <c r="C220" s="357"/>
      <c r="D220" s="546"/>
      <c r="E220" s="357"/>
      <c r="F220" s="357"/>
      <c r="G220" s="357"/>
      <c r="H220" s="357"/>
      <c r="I220" s="357"/>
      <c r="J220" s="357"/>
      <c r="K220" s="357"/>
      <c r="L220" s="357"/>
      <c r="M220" s="357"/>
      <c r="N220" s="357"/>
      <c r="O220" s="357"/>
      <c r="P220" s="357"/>
      <c r="Q220" s="357"/>
      <c r="R220" s="357"/>
      <c r="S220" s="357"/>
      <c r="T220" s="357"/>
      <c r="U220" s="1395"/>
      <c r="V220" s="357"/>
      <c r="W220" s="357"/>
      <c r="X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1968"/>
      <c r="BM220" s="1421"/>
      <c r="BN220" s="1421"/>
      <c r="BO220" s="1421"/>
      <c r="BP220" s="1421"/>
      <c r="BQ220" s="1421"/>
      <c r="BR220" s="1421"/>
      <c r="BS220" s="1421"/>
      <c r="BT220" s="2131"/>
      <c r="BU220" s="2134"/>
      <c r="BV220" s="357"/>
      <c r="BW220" s="357"/>
      <c r="BX220" s="357"/>
      <c r="BY220" s="357"/>
      <c r="BZ220" s="357"/>
      <c r="CA220" s="357"/>
      <c r="CB220" s="357"/>
      <c r="CC220" s="357"/>
    </row>
    <row r="221" spans="1:81">
      <c r="A221" s="546"/>
      <c r="B221" s="357"/>
      <c r="C221" s="357"/>
      <c r="D221" s="546"/>
      <c r="E221" s="357"/>
      <c r="F221" s="357"/>
      <c r="G221" s="357"/>
      <c r="H221" s="357"/>
      <c r="I221" s="357"/>
      <c r="J221" s="357"/>
      <c r="K221" s="357"/>
      <c r="L221" s="357"/>
      <c r="M221" s="357"/>
      <c r="N221" s="357"/>
      <c r="O221" s="357"/>
      <c r="P221" s="357"/>
      <c r="Q221" s="357"/>
      <c r="R221" s="357"/>
      <c r="S221" s="357"/>
      <c r="T221" s="357"/>
      <c r="U221" s="1395"/>
      <c r="V221" s="357"/>
      <c r="W221" s="357"/>
      <c r="X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1968"/>
      <c r="BM221" s="1421"/>
      <c r="BN221" s="1421"/>
      <c r="BO221" s="1421"/>
      <c r="BP221" s="1421"/>
      <c r="BQ221" s="1421"/>
      <c r="BR221" s="1421"/>
      <c r="BS221" s="1421"/>
      <c r="BT221" s="2133"/>
      <c r="BU221" s="2134"/>
      <c r="BV221" s="357"/>
      <c r="BW221" s="357"/>
      <c r="BX221" s="357"/>
      <c r="BY221" s="357"/>
      <c r="BZ221" s="357"/>
      <c r="CA221" s="357"/>
      <c r="CB221" s="357"/>
      <c r="CC221" s="357"/>
    </row>
    <row r="222" spans="1:81">
      <c r="A222" s="546"/>
      <c r="B222" s="357"/>
      <c r="C222" s="357"/>
      <c r="D222" s="546"/>
      <c r="E222" s="357"/>
      <c r="F222" s="357"/>
      <c r="G222" s="357"/>
      <c r="H222" s="357"/>
      <c r="I222" s="357"/>
      <c r="J222" s="357"/>
      <c r="K222" s="357"/>
      <c r="L222" s="357"/>
      <c r="M222" s="357"/>
      <c r="N222" s="357"/>
      <c r="O222" s="357"/>
      <c r="P222" s="357"/>
      <c r="Q222" s="357"/>
      <c r="R222" s="357"/>
      <c r="S222" s="357"/>
      <c r="T222" s="357"/>
      <c r="U222" s="1395"/>
      <c r="V222" s="357"/>
      <c r="W222" s="357"/>
      <c r="X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1968"/>
      <c r="BM222" s="1421"/>
      <c r="BN222" s="1421"/>
      <c r="BO222" s="1421"/>
      <c r="BP222" s="1421"/>
      <c r="BQ222" s="1421"/>
      <c r="BR222" s="1421"/>
      <c r="BS222" s="1421"/>
      <c r="BT222" s="2133"/>
      <c r="BU222" s="2134"/>
      <c r="BV222" s="357"/>
      <c r="BW222" s="357"/>
      <c r="BX222" s="357"/>
      <c r="BY222" s="357"/>
      <c r="BZ222" s="357"/>
      <c r="CA222" s="357"/>
      <c r="CB222" s="357"/>
      <c r="CC222" s="357"/>
    </row>
    <row r="223" spans="1:81">
      <c r="A223" s="546"/>
      <c r="B223" s="357"/>
      <c r="C223" s="357"/>
      <c r="D223" s="546"/>
      <c r="E223" s="357"/>
      <c r="F223" s="357"/>
      <c r="G223" s="357"/>
      <c r="H223" s="357"/>
      <c r="I223" s="357"/>
      <c r="J223" s="357"/>
      <c r="K223" s="357"/>
      <c r="L223" s="357"/>
      <c r="M223" s="357"/>
      <c r="N223" s="357"/>
      <c r="O223" s="357"/>
      <c r="P223" s="357"/>
      <c r="Q223" s="357"/>
      <c r="R223" s="357"/>
      <c r="S223" s="357"/>
      <c r="T223" s="357"/>
      <c r="U223" s="1395"/>
      <c r="V223" s="357"/>
      <c r="W223" s="357"/>
      <c r="X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1968"/>
      <c r="BM223" s="1421"/>
      <c r="BN223" s="1421"/>
      <c r="BO223" s="1421"/>
      <c r="BP223" s="1421"/>
      <c r="BQ223" s="1421"/>
      <c r="BR223" s="1421"/>
      <c r="BS223" s="1421"/>
      <c r="BT223" s="2131"/>
      <c r="BU223" s="2132"/>
      <c r="BV223" s="357"/>
      <c r="BW223" s="357"/>
      <c r="BX223" s="357"/>
      <c r="BY223" s="357"/>
      <c r="BZ223" s="357"/>
      <c r="CA223" s="357"/>
      <c r="CB223" s="357"/>
      <c r="CC223" s="357"/>
    </row>
    <row r="224" spans="1:81">
      <c r="A224" s="546"/>
      <c r="B224" s="357"/>
      <c r="C224" s="357"/>
      <c r="D224" s="546"/>
      <c r="E224" s="357"/>
      <c r="F224" s="357"/>
      <c r="G224" s="357"/>
      <c r="H224" s="357"/>
      <c r="I224" s="357"/>
      <c r="J224" s="357"/>
      <c r="K224" s="357"/>
      <c r="L224" s="357"/>
      <c r="M224" s="357"/>
      <c r="N224" s="357"/>
      <c r="O224" s="357"/>
      <c r="P224" s="357"/>
      <c r="Q224" s="357"/>
      <c r="R224" s="357"/>
      <c r="S224" s="357"/>
      <c r="T224" s="357"/>
      <c r="U224" s="1395"/>
      <c r="V224" s="357"/>
      <c r="W224" s="357"/>
      <c r="X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1968"/>
      <c r="BM224" s="1421"/>
      <c r="BN224" s="1421"/>
      <c r="BO224" s="1421"/>
      <c r="BP224" s="1421"/>
      <c r="BQ224" s="1421"/>
      <c r="BR224" s="1421"/>
      <c r="BS224" s="1421"/>
      <c r="BT224" s="2133"/>
      <c r="BU224" s="2134"/>
      <c r="BV224" s="357"/>
      <c r="BW224" s="357"/>
      <c r="BX224" s="357"/>
      <c r="BY224" s="357"/>
      <c r="BZ224" s="357"/>
      <c r="CA224" s="357"/>
      <c r="CB224" s="357"/>
      <c r="CC224" s="357"/>
    </row>
    <row r="225" spans="1:81">
      <c r="A225" s="546"/>
      <c r="B225" s="357"/>
      <c r="C225" s="357"/>
      <c r="D225" s="546"/>
      <c r="E225" s="357"/>
      <c r="F225" s="357"/>
      <c r="G225" s="357"/>
      <c r="H225" s="357"/>
      <c r="I225" s="357"/>
      <c r="J225" s="357"/>
      <c r="K225" s="357"/>
      <c r="L225" s="357"/>
      <c r="M225" s="357"/>
      <c r="N225" s="357"/>
      <c r="O225" s="357"/>
      <c r="P225" s="357"/>
      <c r="Q225" s="357"/>
      <c r="R225" s="357"/>
      <c r="S225" s="357"/>
      <c r="T225" s="357"/>
      <c r="U225" s="1395"/>
      <c r="V225" s="357"/>
      <c r="W225" s="357"/>
      <c r="X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1968"/>
      <c r="BM225" s="1421"/>
      <c r="BN225" s="1421"/>
      <c r="BO225" s="1421"/>
      <c r="BP225" s="1421"/>
      <c r="BQ225" s="1421"/>
      <c r="BR225" s="1421"/>
      <c r="BS225" s="1421"/>
      <c r="BT225" s="2133"/>
      <c r="BU225" s="2134"/>
      <c r="BV225" s="357"/>
      <c r="BW225" s="357"/>
      <c r="BX225" s="357"/>
      <c r="BY225" s="357"/>
      <c r="BZ225" s="357"/>
      <c r="CA225" s="357"/>
      <c r="CB225" s="357"/>
      <c r="CC225" s="357"/>
    </row>
    <row r="226" spans="1:81">
      <c r="A226" s="546"/>
      <c r="B226" s="357"/>
      <c r="C226" s="357"/>
      <c r="D226" s="546"/>
      <c r="E226" s="357"/>
      <c r="F226" s="357"/>
      <c r="G226" s="357"/>
      <c r="H226" s="357"/>
      <c r="I226" s="357"/>
      <c r="J226" s="357"/>
      <c r="K226" s="357"/>
      <c r="L226" s="357"/>
      <c r="M226" s="357"/>
      <c r="N226" s="357"/>
      <c r="O226" s="357"/>
      <c r="P226" s="357"/>
      <c r="Q226" s="357"/>
      <c r="R226" s="357"/>
      <c r="S226" s="357"/>
      <c r="T226" s="357"/>
      <c r="U226" s="1395"/>
      <c r="V226" s="357"/>
      <c r="W226" s="357"/>
      <c r="X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1968"/>
      <c r="BM226" s="1421"/>
      <c r="BN226" s="1421"/>
      <c r="BO226" s="1421"/>
      <c r="BP226" s="1421"/>
      <c r="BQ226" s="1421"/>
      <c r="BR226" s="1421"/>
      <c r="BS226" s="1421"/>
      <c r="BT226" s="2131"/>
      <c r="BU226" s="2132"/>
      <c r="BV226" s="357"/>
      <c r="BW226" s="357"/>
      <c r="BX226" s="357"/>
      <c r="BY226" s="357"/>
      <c r="BZ226" s="357"/>
      <c r="CA226" s="357"/>
      <c r="CB226" s="357"/>
      <c r="CC226" s="357"/>
    </row>
    <row r="227" spans="1:81">
      <c r="A227" s="546"/>
      <c r="B227" s="357"/>
      <c r="C227" s="357"/>
      <c r="D227" s="546"/>
      <c r="E227" s="357"/>
      <c r="F227" s="357"/>
      <c r="G227" s="357"/>
      <c r="H227" s="357"/>
      <c r="I227" s="357"/>
      <c r="J227" s="357"/>
      <c r="K227" s="357"/>
      <c r="L227" s="357"/>
      <c r="M227" s="357"/>
      <c r="N227" s="357"/>
      <c r="O227" s="357"/>
      <c r="P227" s="357"/>
      <c r="Q227" s="357"/>
      <c r="R227" s="357"/>
      <c r="S227" s="357"/>
      <c r="T227" s="357"/>
      <c r="U227" s="1395"/>
      <c r="V227" s="357"/>
      <c r="W227" s="357"/>
      <c r="X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1968"/>
      <c r="BM227" s="1421"/>
      <c r="BN227" s="1421"/>
      <c r="BO227" s="1421"/>
      <c r="BP227" s="1421"/>
      <c r="BQ227" s="1421"/>
      <c r="BR227" s="1421"/>
      <c r="BS227" s="1421"/>
      <c r="BT227" s="2136"/>
      <c r="BU227" s="2134"/>
      <c r="BV227" s="357"/>
      <c r="BW227" s="357"/>
      <c r="BX227" s="357"/>
      <c r="BY227" s="357"/>
      <c r="BZ227" s="357"/>
      <c r="CA227" s="357"/>
      <c r="CB227" s="357"/>
      <c r="CC227" s="357"/>
    </row>
    <row r="228" spans="1:81">
      <c r="A228" s="546"/>
      <c r="B228" s="357"/>
      <c r="C228" s="357"/>
      <c r="D228" s="546"/>
      <c r="E228" s="357"/>
      <c r="F228" s="357"/>
      <c r="G228" s="357"/>
      <c r="H228" s="357"/>
      <c r="I228" s="357"/>
      <c r="J228" s="357"/>
      <c r="K228" s="357"/>
      <c r="L228" s="357"/>
      <c r="M228" s="357"/>
      <c r="N228" s="357"/>
      <c r="O228" s="357"/>
      <c r="P228" s="357"/>
      <c r="Q228" s="357"/>
      <c r="R228" s="357"/>
      <c r="S228" s="357"/>
      <c r="T228" s="357"/>
      <c r="U228" s="1395"/>
      <c r="V228" s="357"/>
      <c r="W228" s="357"/>
      <c r="X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1968"/>
      <c r="BM228" s="1421"/>
      <c r="BN228" s="1421"/>
      <c r="BO228" s="1421"/>
      <c r="BP228" s="1421"/>
      <c r="BQ228" s="1421"/>
      <c r="BR228" s="1421"/>
      <c r="BS228" s="1421"/>
      <c r="BT228" s="2136"/>
      <c r="BU228" s="2134"/>
      <c r="BV228" s="357"/>
      <c r="BW228" s="357"/>
      <c r="BX228" s="357"/>
      <c r="BY228" s="357"/>
      <c r="BZ228" s="357"/>
      <c r="CA228" s="357"/>
      <c r="CB228" s="357"/>
      <c r="CC228" s="357"/>
    </row>
    <row r="229" spans="1:81">
      <c r="A229" s="546"/>
      <c r="B229" s="357"/>
      <c r="C229" s="357"/>
      <c r="D229" s="546"/>
      <c r="E229" s="357"/>
      <c r="F229" s="357"/>
      <c r="G229" s="357"/>
      <c r="H229" s="357"/>
      <c r="I229" s="357"/>
      <c r="J229" s="357"/>
      <c r="K229" s="357"/>
      <c r="L229" s="357"/>
      <c r="M229" s="357"/>
      <c r="N229" s="357"/>
      <c r="O229" s="357"/>
      <c r="P229" s="357"/>
      <c r="Q229" s="357"/>
      <c r="R229" s="357"/>
      <c r="S229" s="357"/>
      <c r="T229" s="357"/>
      <c r="U229" s="1395"/>
      <c r="V229" s="357"/>
      <c r="W229" s="357"/>
      <c r="X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1968"/>
      <c r="BM229" s="1421"/>
      <c r="BN229" s="1421"/>
      <c r="BO229" s="1421"/>
      <c r="BP229" s="1421"/>
      <c r="BQ229" s="1421"/>
      <c r="BR229" s="1421"/>
      <c r="BS229" s="1421"/>
      <c r="BT229" s="2136"/>
      <c r="BU229" s="2134"/>
      <c r="BV229" s="357"/>
      <c r="BW229" s="357"/>
      <c r="BX229" s="357"/>
      <c r="BY229" s="357"/>
      <c r="BZ229" s="357"/>
      <c r="CA229" s="357"/>
      <c r="CB229" s="357"/>
      <c r="CC229" s="357"/>
    </row>
    <row r="230" spans="1:81">
      <c r="A230" s="546"/>
      <c r="B230" s="357"/>
      <c r="C230" s="357"/>
      <c r="D230" s="546"/>
      <c r="E230" s="357"/>
      <c r="F230" s="357"/>
      <c r="G230" s="357"/>
      <c r="H230" s="357"/>
      <c r="I230" s="357"/>
      <c r="J230" s="357"/>
      <c r="K230" s="357"/>
      <c r="L230" s="357"/>
      <c r="M230" s="357"/>
      <c r="N230" s="357"/>
      <c r="O230" s="357"/>
      <c r="P230" s="357"/>
      <c r="Q230" s="357"/>
      <c r="R230" s="357"/>
      <c r="S230" s="357"/>
      <c r="T230" s="357"/>
      <c r="U230" s="1395"/>
      <c r="V230" s="357"/>
      <c r="W230" s="357"/>
      <c r="X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1968"/>
      <c r="BM230" s="1421"/>
      <c r="BN230" s="1421"/>
      <c r="BO230" s="1421"/>
      <c r="BP230" s="1421"/>
      <c r="BQ230" s="1421"/>
      <c r="BR230" s="1421"/>
      <c r="BS230" s="1421"/>
      <c r="BT230" s="2136"/>
      <c r="BU230" s="2132"/>
      <c r="BV230" s="357"/>
      <c r="BW230" s="357"/>
      <c r="BX230" s="357"/>
      <c r="BY230" s="357"/>
      <c r="BZ230" s="357"/>
      <c r="CA230" s="357"/>
      <c r="CB230" s="357"/>
      <c r="CC230" s="357"/>
    </row>
    <row r="231" spans="1:81">
      <c r="A231" s="546"/>
      <c r="B231" s="357"/>
      <c r="C231" s="357"/>
      <c r="D231" s="546"/>
      <c r="E231" s="357"/>
      <c r="F231" s="357"/>
      <c r="G231" s="357"/>
      <c r="H231" s="357"/>
      <c r="I231" s="357"/>
      <c r="J231" s="357"/>
      <c r="K231" s="357"/>
      <c r="L231" s="357"/>
      <c r="M231" s="357"/>
      <c r="N231" s="357"/>
      <c r="O231" s="357"/>
      <c r="P231" s="357"/>
      <c r="Q231" s="357"/>
      <c r="R231" s="357"/>
      <c r="S231" s="357"/>
      <c r="T231" s="357"/>
      <c r="U231" s="1395"/>
      <c r="V231" s="357"/>
      <c r="W231" s="357"/>
      <c r="X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1968"/>
      <c r="BM231" s="1421"/>
      <c r="BN231" s="1421"/>
      <c r="BO231" s="1421"/>
      <c r="BP231" s="1421"/>
      <c r="BQ231" s="1421"/>
      <c r="BR231" s="1421"/>
      <c r="BS231" s="1421"/>
      <c r="BT231" s="2131"/>
      <c r="BU231" s="2134"/>
      <c r="BV231" s="357"/>
      <c r="BW231" s="357"/>
      <c r="BX231" s="357"/>
      <c r="BY231" s="357"/>
      <c r="BZ231" s="357"/>
      <c r="CA231" s="357"/>
      <c r="CB231" s="357"/>
      <c r="CC231" s="357"/>
    </row>
    <row r="232" spans="1:81">
      <c r="A232" s="546"/>
      <c r="B232" s="357"/>
      <c r="C232" s="357"/>
      <c r="D232" s="546"/>
      <c r="E232" s="357"/>
      <c r="F232" s="357"/>
      <c r="G232" s="357"/>
      <c r="H232" s="357"/>
      <c r="I232" s="357"/>
      <c r="J232" s="357"/>
      <c r="K232" s="357"/>
      <c r="L232" s="357"/>
      <c r="M232" s="357"/>
      <c r="N232" s="357"/>
      <c r="O232" s="357"/>
      <c r="P232" s="357"/>
      <c r="Q232" s="357"/>
      <c r="R232" s="357"/>
      <c r="S232" s="357"/>
      <c r="T232" s="357"/>
      <c r="U232" s="1395"/>
      <c r="V232" s="357"/>
      <c r="W232" s="357"/>
      <c r="X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1968"/>
      <c r="BM232" s="1421"/>
      <c r="BN232" s="1421"/>
      <c r="BO232" s="1421"/>
      <c r="BP232" s="1421"/>
      <c r="BQ232" s="1421"/>
      <c r="BR232" s="1421"/>
      <c r="BS232" s="1421"/>
      <c r="BT232" s="2133"/>
      <c r="BU232" s="2134"/>
      <c r="BV232" s="357"/>
      <c r="BW232" s="357"/>
      <c r="BX232" s="357"/>
      <c r="BY232" s="357"/>
      <c r="BZ232" s="357"/>
      <c r="CA232" s="357"/>
      <c r="CB232" s="357"/>
      <c r="CC232" s="357"/>
    </row>
    <row r="233" spans="1:81">
      <c r="A233" s="546"/>
      <c r="B233" s="357"/>
      <c r="C233" s="357"/>
      <c r="D233" s="546"/>
      <c r="E233" s="357"/>
      <c r="F233" s="357"/>
      <c r="G233" s="357"/>
      <c r="H233" s="357"/>
      <c r="I233" s="357"/>
      <c r="J233" s="357"/>
      <c r="K233" s="357"/>
      <c r="L233" s="357"/>
      <c r="M233" s="357"/>
      <c r="N233" s="357"/>
      <c r="O233" s="357"/>
      <c r="P233" s="357"/>
      <c r="Q233" s="357"/>
      <c r="R233" s="357"/>
      <c r="S233" s="357"/>
      <c r="T233" s="357"/>
      <c r="U233" s="1395"/>
      <c r="V233" s="357"/>
      <c r="W233" s="357"/>
      <c r="X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1968"/>
      <c r="BM233" s="1421"/>
      <c r="BN233" s="1421"/>
      <c r="BO233" s="1421"/>
      <c r="BP233" s="1421"/>
      <c r="BQ233" s="1421"/>
      <c r="BR233" s="1421"/>
      <c r="BS233" s="1421"/>
      <c r="BT233" s="2131"/>
      <c r="BU233" s="2132"/>
      <c r="BV233" s="357"/>
      <c r="BW233" s="357"/>
      <c r="BX233" s="357"/>
      <c r="BY233" s="357"/>
      <c r="BZ233" s="357"/>
      <c r="CA233" s="357"/>
      <c r="CB233" s="357"/>
      <c r="CC233" s="357"/>
    </row>
    <row r="234" spans="1:81">
      <c r="A234" s="546"/>
      <c r="B234" s="357"/>
      <c r="C234" s="357"/>
      <c r="D234" s="546"/>
      <c r="E234" s="357"/>
      <c r="F234" s="357"/>
      <c r="G234" s="357"/>
      <c r="H234" s="357"/>
      <c r="I234" s="357"/>
      <c r="J234" s="357"/>
      <c r="K234" s="357"/>
      <c r="L234" s="357"/>
      <c r="M234" s="357"/>
      <c r="N234" s="357"/>
      <c r="O234" s="357"/>
      <c r="P234" s="357"/>
      <c r="Q234" s="357"/>
      <c r="R234" s="357"/>
      <c r="S234" s="357"/>
      <c r="T234" s="357"/>
      <c r="U234" s="1395"/>
      <c r="V234" s="357"/>
      <c r="W234" s="357"/>
      <c r="X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1968"/>
      <c r="BM234" s="1421"/>
      <c r="BN234" s="1421"/>
      <c r="BO234" s="1421"/>
      <c r="BP234" s="1421"/>
      <c r="BQ234" s="1421"/>
      <c r="BR234" s="1421"/>
      <c r="BS234" s="1421"/>
      <c r="BT234" s="2131"/>
      <c r="BU234" s="2134"/>
      <c r="BV234" s="357"/>
      <c r="BW234" s="357"/>
      <c r="BX234" s="357"/>
      <c r="BY234" s="357"/>
      <c r="BZ234" s="357"/>
      <c r="CA234" s="357"/>
      <c r="CB234" s="357"/>
      <c r="CC234" s="357"/>
    </row>
    <row r="235" spans="1:81">
      <c r="A235" s="546"/>
      <c r="B235" s="357"/>
      <c r="C235" s="357"/>
      <c r="D235" s="546"/>
      <c r="E235" s="357"/>
      <c r="F235" s="357"/>
      <c r="G235" s="357"/>
      <c r="H235" s="357"/>
      <c r="I235" s="357"/>
      <c r="J235" s="357"/>
      <c r="K235" s="357"/>
      <c r="L235" s="357"/>
      <c r="M235" s="357"/>
      <c r="N235" s="357"/>
      <c r="O235" s="357"/>
      <c r="P235" s="357"/>
      <c r="Q235" s="357"/>
      <c r="R235" s="357"/>
      <c r="S235" s="357"/>
      <c r="T235" s="357"/>
      <c r="U235" s="1395"/>
      <c r="V235" s="357"/>
      <c r="W235" s="357"/>
      <c r="X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1968"/>
      <c r="BM235" s="1421"/>
      <c r="BN235" s="1421"/>
      <c r="BO235" s="1421"/>
      <c r="BP235" s="1421"/>
      <c r="BQ235" s="1421"/>
      <c r="BR235" s="1421"/>
      <c r="BS235" s="1421"/>
      <c r="BT235" s="2131"/>
      <c r="BU235" s="2134"/>
      <c r="BV235" s="357"/>
      <c r="BW235" s="357"/>
      <c r="BX235" s="357"/>
      <c r="BY235" s="357"/>
      <c r="BZ235" s="357"/>
      <c r="CA235" s="357"/>
      <c r="CB235" s="357"/>
      <c r="CC235" s="357"/>
    </row>
    <row r="236" spans="1:81">
      <c r="A236" s="546"/>
      <c r="B236" s="357"/>
      <c r="C236" s="357"/>
      <c r="D236" s="546"/>
      <c r="E236" s="357"/>
      <c r="F236" s="357"/>
      <c r="G236" s="357"/>
      <c r="H236" s="357"/>
      <c r="I236" s="357"/>
      <c r="J236" s="357"/>
      <c r="K236" s="357"/>
      <c r="L236" s="357"/>
      <c r="M236" s="357"/>
      <c r="N236" s="357"/>
      <c r="O236" s="357"/>
      <c r="P236" s="357"/>
      <c r="Q236" s="357"/>
      <c r="R236" s="357"/>
      <c r="S236" s="357"/>
      <c r="T236" s="357"/>
      <c r="U236" s="1395"/>
      <c r="V236" s="357"/>
      <c r="W236" s="357"/>
      <c r="X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1968"/>
      <c r="BM236" s="1421"/>
      <c r="BN236" s="1421"/>
      <c r="BO236" s="1421"/>
      <c r="BP236" s="1421"/>
      <c r="BQ236" s="1421"/>
      <c r="BR236" s="1421"/>
      <c r="BS236" s="1421"/>
      <c r="BT236" s="2131"/>
      <c r="BU236" s="2134"/>
      <c r="BV236" s="357"/>
      <c r="BW236" s="357"/>
      <c r="BX236" s="357"/>
      <c r="BY236" s="357"/>
      <c r="BZ236" s="357"/>
      <c r="CA236" s="357"/>
      <c r="CB236" s="357"/>
      <c r="CC236" s="357"/>
    </row>
    <row r="237" spans="1:81">
      <c r="A237" s="546"/>
      <c r="B237" s="357"/>
      <c r="C237" s="357"/>
      <c r="D237" s="546"/>
      <c r="E237" s="357"/>
      <c r="F237" s="357"/>
      <c r="G237" s="357"/>
      <c r="H237" s="357"/>
      <c r="I237" s="357"/>
      <c r="J237" s="357"/>
      <c r="K237" s="357"/>
      <c r="L237" s="357"/>
      <c r="M237" s="357"/>
      <c r="N237" s="357"/>
      <c r="O237" s="357"/>
      <c r="P237" s="357"/>
      <c r="Q237" s="357"/>
      <c r="R237" s="357"/>
      <c r="S237" s="357"/>
      <c r="T237" s="357"/>
      <c r="U237" s="1395"/>
      <c r="V237" s="357"/>
      <c r="W237" s="357"/>
      <c r="X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1968"/>
      <c r="BM237" s="1421"/>
      <c r="BN237" s="1421"/>
      <c r="BO237" s="1421"/>
      <c r="BP237" s="1421"/>
      <c r="BQ237" s="1421"/>
      <c r="BR237" s="1421"/>
      <c r="BS237" s="1421"/>
      <c r="BT237" s="2136"/>
      <c r="BU237" s="2134"/>
      <c r="BV237" s="357"/>
      <c r="BW237" s="357"/>
      <c r="BX237" s="357"/>
      <c r="BY237" s="357"/>
      <c r="BZ237" s="357"/>
      <c r="CA237" s="357"/>
      <c r="CB237" s="357"/>
      <c r="CC237" s="357"/>
    </row>
    <row r="238" spans="1:81">
      <c r="A238" s="546"/>
      <c r="B238" s="357"/>
      <c r="C238" s="357"/>
      <c r="D238" s="546"/>
      <c r="E238" s="357"/>
      <c r="F238" s="357"/>
      <c r="G238" s="357"/>
      <c r="H238" s="357"/>
      <c r="I238" s="357"/>
      <c r="J238" s="357"/>
      <c r="K238" s="357"/>
      <c r="L238" s="357"/>
      <c r="M238" s="357"/>
      <c r="N238" s="357"/>
      <c r="O238" s="357"/>
      <c r="P238" s="357"/>
      <c r="Q238" s="357"/>
      <c r="R238" s="357"/>
      <c r="S238" s="357"/>
      <c r="T238" s="357"/>
      <c r="U238" s="1395"/>
      <c r="V238" s="357"/>
      <c r="W238" s="357"/>
      <c r="X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1968"/>
      <c r="BM238" s="1421"/>
      <c r="BN238" s="1421"/>
      <c r="BO238" s="1421"/>
      <c r="BP238" s="1421"/>
      <c r="BQ238" s="1421"/>
      <c r="BR238" s="1421"/>
      <c r="BS238" s="1421"/>
      <c r="BT238" s="2136"/>
      <c r="BU238" s="2132"/>
      <c r="BV238" s="357"/>
      <c r="BW238" s="357"/>
      <c r="BX238" s="357"/>
      <c r="BY238" s="357"/>
      <c r="BZ238" s="357"/>
      <c r="CA238" s="357"/>
      <c r="CB238" s="357"/>
      <c r="CC238" s="357"/>
    </row>
    <row r="239" spans="1:81">
      <c r="A239" s="546"/>
      <c r="B239" s="357"/>
      <c r="C239" s="357"/>
      <c r="D239" s="546"/>
      <c r="E239" s="357"/>
      <c r="F239" s="357"/>
      <c r="G239" s="357"/>
      <c r="H239" s="357"/>
      <c r="I239" s="357"/>
      <c r="J239" s="357"/>
      <c r="K239" s="357"/>
      <c r="L239" s="357"/>
      <c r="M239" s="357"/>
      <c r="N239" s="357"/>
      <c r="O239" s="357"/>
      <c r="P239" s="357"/>
      <c r="Q239" s="357"/>
      <c r="R239" s="357"/>
      <c r="S239" s="357"/>
      <c r="T239" s="357"/>
      <c r="U239" s="1395"/>
      <c r="V239" s="357"/>
      <c r="W239" s="357"/>
      <c r="X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1968"/>
      <c r="BM239" s="1421"/>
      <c r="BN239" s="1421"/>
      <c r="BO239" s="1421"/>
      <c r="BP239" s="1421"/>
      <c r="BQ239" s="1421"/>
      <c r="BR239" s="1421"/>
      <c r="BS239" s="1421"/>
      <c r="BT239" s="2131"/>
      <c r="BU239" s="2132"/>
      <c r="BV239" s="357"/>
      <c r="BW239" s="357"/>
      <c r="BX239" s="357"/>
      <c r="BY239" s="357"/>
      <c r="BZ239" s="357"/>
      <c r="CA239" s="357"/>
      <c r="CB239" s="357"/>
      <c r="CC239" s="357"/>
    </row>
    <row r="240" spans="1:81">
      <c r="A240" s="546"/>
      <c r="B240" s="357"/>
      <c r="C240" s="357"/>
      <c r="D240" s="546"/>
      <c r="E240" s="357"/>
      <c r="F240" s="357"/>
      <c r="G240" s="357"/>
      <c r="H240" s="357"/>
      <c r="I240" s="357"/>
      <c r="J240" s="357"/>
      <c r="K240" s="357"/>
      <c r="L240" s="357"/>
      <c r="M240" s="357"/>
      <c r="N240" s="357"/>
      <c r="O240" s="357"/>
      <c r="P240" s="357"/>
      <c r="Q240" s="357"/>
      <c r="R240" s="357"/>
      <c r="S240" s="357"/>
      <c r="T240" s="357"/>
      <c r="U240" s="1395"/>
      <c r="V240" s="357"/>
      <c r="W240" s="357"/>
      <c r="X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1968"/>
      <c r="BM240" s="1421"/>
      <c r="BN240" s="1421"/>
      <c r="BO240" s="1421"/>
      <c r="BP240" s="1421"/>
      <c r="BQ240" s="1421"/>
      <c r="BR240" s="1421"/>
      <c r="BS240" s="1421"/>
      <c r="BT240" s="2131"/>
      <c r="BU240" s="2134"/>
      <c r="BV240" s="357"/>
      <c r="BW240" s="357"/>
      <c r="BX240" s="357"/>
      <c r="BY240" s="357"/>
      <c r="BZ240" s="357"/>
      <c r="CA240" s="357"/>
      <c r="CB240" s="357"/>
      <c r="CC240" s="357"/>
    </row>
    <row r="241" spans="1:81">
      <c r="A241" s="546"/>
      <c r="B241" s="357"/>
      <c r="C241" s="357"/>
      <c r="D241" s="546"/>
      <c r="E241" s="357"/>
      <c r="F241" s="357"/>
      <c r="G241" s="357"/>
      <c r="H241" s="357"/>
      <c r="I241" s="357"/>
      <c r="J241" s="357"/>
      <c r="K241" s="357"/>
      <c r="L241" s="357"/>
      <c r="M241" s="357"/>
      <c r="N241" s="357"/>
      <c r="O241" s="357"/>
      <c r="P241" s="357"/>
      <c r="Q241" s="357"/>
      <c r="R241" s="357"/>
      <c r="S241" s="357"/>
      <c r="T241" s="357"/>
      <c r="U241" s="1395"/>
      <c r="V241" s="357"/>
      <c r="W241" s="357"/>
      <c r="X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1968"/>
      <c r="BM241" s="1421"/>
      <c r="BN241" s="1421"/>
      <c r="BO241" s="1421"/>
      <c r="BP241" s="1421"/>
      <c r="BQ241" s="1421"/>
      <c r="BR241" s="1421"/>
      <c r="BS241" s="1421"/>
      <c r="BT241" s="2131"/>
      <c r="BU241" s="2132"/>
      <c r="BV241" s="357"/>
      <c r="BW241" s="357"/>
      <c r="BX241" s="357"/>
      <c r="BY241" s="357"/>
      <c r="BZ241" s="357"/>
      <c r="CA241" s="357"/>
      <c r="CB241" s="357"/>
      <c r="CC241" s="357"/>
    </row>
    <row r="242" spans="1:81">
      <c r="A242" s="546"/>
      <c r="B242" s="357"/>
      <c r="C242" s="357"/>
      <c r="D242" s="546"/>
      <c r="E242" s="357"/>
      <c r="F242" s="357"/>
      <c r="G242" s="357"/>
      <c r="H242" s="357"/>
      <c r="I242" s="357"/>
      <c r="J242" s="357"/>
      <c r="K242" s="357"/>
      <c r="L242" s="357"/>
      <c r="M242" s="357"/>
      <c r="N242" s="357"/>
      <c r="O242" s="357"/>
      <c r="P242" s="357"/>
      <c r="Q242" s="357"/>
      <c r="R242" s="357"/>
      <c r="S242" s="357"/>
      <c r="T242" s="357"/>
      <c r="U242" s="1395"/>
      <c r="V242" s="357"/>
      <c r="W242" s="357"/>
      <c r="X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1968"/>
      <c r="BM242" s="1421"/>
      <c r="BN242" s="1421"/>
      <c r="BO242" s="1421"/>
      <c r="BP242" s="1421"/>
      <c r="BQ242" s="1421"/>
      <c r="BR242" s="1421"/>
      <c r="BS242" s="1421"/>
      <c r="BT242" s="2133"/>
      <c r="BU242" s="2134"/>
      <c r="BV242" s="357"/>
      <c r="BW242" s="357"/>
      <c r="BX242" s="357"/>
      <c r="BY242" s="357"/>
      <c r="BZ242" s="357"/>
      <c r="CA242" s="357"/>
      <c r="CB242" s="357"/>
      <c r="CC242" s="357"/>
    </row>
    <row r="243" spans="1:81">
      <c r="A243" s="546"/>
      <c r="B243" s="357"/>
      <c r="C243" s="357"/>
      <c r="D243" s="546"/>
      <c r="E243" s="357"/>
      <c r="F243" s="357"/>
      <c r="G243" s="357"/>
      <c r="H243" s="357"/>
      <c r="I243" s="357"/>
      <c r="J243" s="357"/>
      <c r="K243" s="357"/>
      <c r="L243" s="357"/>
      <c r="M243" s="357"/>
      <c r="N243" s="357"/>
      <c r="O243" s="357"/>
      <c r="P243" s="357"/>
      <c r="Q243" s="357"/>
      <c r="R243" s="357"/>
      <c r="S243" s="357"/>
      <c r="T243" s="357"/>
      <c r="U243" s="1395"/>
      <c r="V243" s="357"/>
      <c r="W243" s="357"/>
      <c r="X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1968"/>
      <c r="BM243" s="1421"/>
      <c r="BN243" s="1421"/>
      <c r="BO243" s="1421"/>
      <c r="BP243" s="1421"/>
      <c r="BQ243" s="1421"/>
      <c r="BR243" s="1421"/>
      <c r="BS243" s="1421"/>
      <c r="BT243" s="2133"/>
      <c r="BU243" s="2134"/>
      <c r="BV243" s="357"/>
      <c r="BW243" s="357"/>
      <c r="BX243" s="357"/>
      <c r="BY243" s="357"/>
      <c r="BZ243" s="357"/>
      <c r="CA243" s="357"/>
      <c r="CB243" s="357"/>
      <c r="CC243" s="357"/>
    </row>
    <row r="244" spans="1:81">
      <c r="A244" s="546"/>
      <c r="B244" s="357"/>
      <c r="C244" s="357"/>
      <c r="D244" s="546"/>
      <c r="E244" s="357"/>
      <c r="F244" s="357"/>
      <c r="G244" s="357"/>
      <c r="H244" s="357"/>
      <c r="I244" s="357"/>
      <c r="J244" s="357"/>
      <c r="K244" s="357"/>
      <c r="L244" s="357"/>
      <c r="M244" s="357"/>
      <c r="N244" s="357"/>
      <c r="O244" s="357"/>
      <c r="P244" s="357"/>
      <c r="Q244" s="357"/>
      <c r="R244" s="357"/>
      <c r="S244" s="357"/>
      <c r="T244" s="357"/>
      <c r="U244" s="1395"/>
      <c r="V244" s="357"/>
      <c r="W244" s="357"/>
      <c r="X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1968"/>
      <c r="BM244" s="1421"/>
      <c r="BN244" s="1421"/>
      <c r="BO244" s="1421"/>
      <c r="BP244" s="1421"/>
      <c r="BQ244" s="1421"/>
      <c r="BR244" s="1421"/>
      <c r="BS244" s="1421"/>
      <c r="BT244" s="2136"/>
      <c r="BU244" s="2134"/>
      <c r="BV244" s="357"/>
      <c r="BW244" s="357"/>
      <c r="BX244" s="357"/>
      <c r="BY244" s="357"/>
      <c r="BZ244" s="357"/>
      <c r="CA244" s="357"/>
      <c r="CB244" s="357"/>
      <c r="CC244" s="357"/>
    </row>
    <row r="245" spans="1:81">
      <c r="A245" s="546"/>
      <c r="B245" s="357"/>
      <c r="C245" s="357"/>
      <c r="D245" s="546"/>
      <c r="E245" s="357"/>
      <c r="F245" s="357"/>
      <c r="G245" s="357"/>
      <c r="H245" s="357"/>
      <c r="I245" s="357"/>
      <c r="J245" s="357"/>
      <c r="K245" s="357"/>
      <c r="L245" s="357"/>
      <c r="M245" s="357"/>
      <c r="N245" s="357"/>
      <c r="O245" s="357"/>
      <c r="P245" s="357"/>
      <c r="Q245" s="357"/>
      <c r="R245" s="357"/>
      <c r="S245" s="357"/>
      <c r="T245" s="357"/>
      <c r="U245" s="1395"/>
      <c r="V245" s="357"/>
      <c r="W245" s="357"/>
      <c r="X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1968"/>
      <c r="BM245" s="1421"/>
      <c r="BN245" s="1421"/>
      <c r="BO245" s="1421"/>
      <c r="BP245" s="1421"/>
      <c r="BQ245" s="1421"/>
      <c r="BR245" s="1421"/>
      <c r="BS245" s="1421"/>
      <c r="BT245" s="2136"/>
      <c r="BU245" s="2134"/>
      <c r="BV245" s="357"/>
      <c r="BW245" s="357"/>
      <c r="BX245" s="357"/>
      <c r="BY245" s="357"/>
      <c r="BZ245" s="357"/>
      <c r="CA245" s="357"/>
      <c r="CB245" s="357"/>
      <c r="CC245" s="357"/>
    </row>
    <row r="246" spans="1:81">
      <c r="A246" s="546"/>
      <c r="B246" s="357"/>
      <c r="C246" s="357"/>
      <c r="D246" s="546"/>
      <c r="E246" s="357"/>
      <c r="F246" s="357"/>
      <c r="G246" s="357"/>
      <c r="H246" s="357"/>
      <c r="I246" s="357"/>
      <c r="J246" s="357"/>
      <c r="K246" s="357"/>
      <c r="L246" s="357"/>
      <c r="M246" s="357"/>
      <c r="N246" s="357"/>
      <c r="O246" s="357"/>
      <c r="P246" s="357"/>
      <c r="Q246" s="357"/>
      <c r="R246" s="357"/>
      <c r="S246" s="357"/>
      <c r="T246" s="357"/>
      <c r="U246" s="1395"/>
      <c r="V246" s="357"/>
      <c r="W246" s="357"/>
      <c r="X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1968"/>
      <c r="BM246" s="1421"/>
      <c r="BN246" s="1421"/>
      <c r="BO246" s="1421"/>
      <c r="BP246" s="1421"/>
      <c r="BQ246" s="1421"/>
      <c r="BR246" s="1421"/>
      <c r="BS246" s="1421"/>
      <c r="BT246" s="2131"/>
      <c r="BU246" s="2134"/>
      <c r="BV246" s="357"/>
      <c r="BW246" s="357"/>
      <c r="BX246" s="357"/>
      <c r="BY246" s="357"/>
      <c r="BZ246" s="357"/>
      <c r="CA246" s="357"/>
      <c r="CB246" s="357"/>
      <c r="CC246" s="357"/>
    </row>
    <row r="247" spans="1:81">
      <c r="A247" s="546"/>
      <c r="B247" s="357"/>
      <c r="C247" s="357"/>
      <c r="D247" s="546"/>
      <c r="E247" s="357"/>
      <c r="F247" s="357"/>
      <c r="G247" s="357"/>
      <c r="H247" s="357"/>
      <c r="I247" s="357"/>
      <c r="J247" s="357"/>
      <c r="K247" s="357"/>
      <c r="L247" s="357"/>
      <c r="M247" s="357"/>
      <c r="N247" s="357"/>
      <c r="O247" s="357"/>
      <c r="P247" s="357"/>
      <c r="Q247" s="357"/>
      <c r="R247" s="357"/>
      <c r="S247" s="357"/>
      <c r="T247" s="357"/>
      <c r="U247" s="1395"/>
      <c r="V247" s="357"/>
      <c r="W247" s="357"/>
      <c r="X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1968"/>
      <c r="BM247" s="1421"/>
      <c r="BN247" s="1421"/>
      <c r="BO247" s="1421"/>
      <c r="BP247" s="1421"/>
      <c r="BQ247" s="1421"/>
      <c r="BR247" s="1421"/>
      <c r="BS247" s="1421"/>
      <c r="BT247" s="2131"/>
      <c r="BU247" s="2132"/>
      <c r="BV247" s="357"/>
      <c r="BW247" s="357"/>
      <c r="BX247" s="357"/>
      <c r="BY247" s="357"/>
      <c r="BZ247" s="357"/>
      <c r="CA247" s="357"/>
      <c r="CB247" s="357"/>
      <c r="CC247" s="357"/>
    </row>
    <row r="248" spans="1:81">
      <c r="A248" s="546"/>
      <c r="B248" s="357"/>
      <c r="C248" s="357"/>
      <c r="D248" s="546"/>
      <c r="E248" s="357"/>
      <c r="F248" s="357"/>
      <c r="G248" s="357"/>
      <c r="H248" s="357"/>
      <c r="I248" s="357"/>
      <c r="J248" s="357"/>
      <c r="K248" s="357"/>
      <c r="L248" s="357"/>
      <c r="M248" s="357"/>
      <c r="N248" s="357"/>
      <c r="O248" s="357"/>
      <c r="P248" s="357"/>
      <c r="Q248" s="357"/>
      <c r="R248" s="357"/>
      <c r="S248" s="357"/>
      <c r="T248" s="357"/>
      <c r="U248" s="1395"/>
      <c r="V248" s="357"/>
      <c r="W248" s="357"/>
      <c r="X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1968"/>
      <c r="BM248" s="1421"/>
      <c r="BN248" s="1421"/>
      <c r="BO248" s="1421"/>
      <c r="BP248" s="1421"/>
      <c r="BQ248" s="1421"/>
      <c r="BR248" s="1421"/>
      <c r="BS248" s="1421"/>
      <c r="BT248" s="2133"/>
      <c r="BU248" s="2134"/>
      <c r="BV248" s="357"/>
      <c r="BW248" s="357"/>
      <c r="BX248" s="357"/>
      <c r="BY248" s="357"/>
      <c r="BZ248" s="357"/>
      <c r="CA248" s="357"/>
      <c r="CB248" s="357"/>
      <c r="CC248" s="357"/>
    </row>
    <row r="249" spans="1:81">
      <c r="A249" s="546"/>
      <c r="B249" s="357"/>
      <c r="C249" s="357"/>
      <c r="D249" s="546"/>
      <c r="E249" s="357"/>
      <c r="F249" s="357"/>
      <c r="G249" s="357"/>
      <c r="H249" s="357"/>
      <c r="I249" s="357"/>
      <c r="J249" s="357"/>
      <c r="K249" s="357"/>
      <c r="L249" s="357"/>
      <c r="M249" s="357"/>
      <c r="N249" s="357"/>
      <c r="O249" s="357"/>
      <c r="P249" s="357"/>
      <c r="Q249" s="357"/>
      <c r="R249" s="357"/>
      <c r="S249" s="357"/>
      <c r="T249" s="357"/>
      <c r="U249" s="1395"/>
      <c r="V249" s="357"/>
      <c r="W249" s="357"/>
      <c r="X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1968"/>
      <c r="BM249" s="1421"/>
      <c r="BN249" s="1421"/>
      <c r="BO249" s="1421"/>
      <c r="BP249" s="1421"/>
      <c r="BQ249" s="1421"/>
      <c r="BR249" s="1421"/>
      <c r="BS249" s="1421"/>
      <c r="BT249" s="2136"/>
      <c r="BU249" s="2132"/>
      <c r="BV249" s="357"/>
      <c r="BW249" s="357"/>
      <c r="BX249" s="357"/>
      <c r="BY249" s="357"/>
      <c r="BZ249" s="357"/>
      <c r="CA249" s="357"/>
      <c r="CB249" s="357"/>
      <c r="CC249" s="357"/>
    </row>
    <row r="250" spans="1:81">
      <c r="A250" s="546"/>
      <c r="B250" s="357"/>
      <c r="C250" s="357"/>
      <c r="D250" s="546"/>
      <c r="E250" s="357"/>
      <c r="F250" s="357"/>
      <c r="G250" s="357"/>
      <c r="H250" s="357"/>
      <c r="I250" s="357"/>
      <c r="J250" s="357"/>
      <c r="K250" s="357"/>
      <c r="L250" s="357"/>
      <c r="M250" s="357"/>
      <c r="N250" s="357"/>
      <c r="O250" s="357"/>
      <c r="P250" s="357"/>
      <c r="Q250" s="357"/>
      <c r="R250" s="357"/>
      <c r="S250" s="357"/>
      <c r="T250" s="357"/>
      <c r="U250" s="1395"/>
      <c r="V250" s="357"/>
      <c r="W250" s="357"/>
      <c r="X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1968"/>
      <c r="BM250" s="1421"/>
      <c r="BN250" s="1421"/>
      <c r="BO250" s="1421"/>
      <c r="BP250" s="1421"/>
      <c r="BQ250" s="1421"/>
      <c r="BR250" s="1421"/>
      <c r="BS250" s="1421"/>
      <c r="BT250" s="2131"/>
      <c r="BU250" s="2132"/>
      <c r="BV250" s="357"/>
      <c r="BW250" s="357"/>
      <c r="BX250" s="357"/>
      <c r="BY250" s="357"/>
      <c r="BZ250" s="357"/>
      <c r="CA250" s="357"/>
      <c r="CB250" s="357"/>
      <c r="CC250" s="357"/>
    </row>
    <row r="251" spans="1:81">
      <c r="A251" s="546"/>
      <c r="B251" s="357"/>
      <c r="C251" s="357"/>
      <c r="D251" s="546"/>
      <c r="E251" s="357"/>
      <c r="F251" s="357"/>
      <c r="G251" s="357"/>
      <c r="H251" s="357"/>
      <c r="I251" s="357"/>
      <c r="J251" s="357"/>
      <c r="K251" s="357"/>
      <c r="L251" s="357"/>
      <c r="M251" s="357"/>
      <c r="N251" s="357"/>
      <c r="O251" s="357"/>
      <c r="P251" s="357"/>
      <c r="Q251" s="357"/>
      <c r="R251" s="357"/>
      <c r="S251" s="357"/>
      <c r="T251" s="357"/>
      <c r="U251" s="1395"/>
      <c r="V251" s="357"/>
      <c r="W251" s="357"/>
      <c r="X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1968"/>
      <c r="BM251" s="1421"/>
      <c r="BN251" s="1421"/>
      <c r="BO251" s="1421"/>
      <c r="BP251" s="1421"/>
      <c r="BQ251" s="1421"/>
      <c r="BR251" s="1421"/>
      <c r="BS251" s="1421"/>
      <c r="BT251" s="2131"/>
      <c r="BU251" s="2132"/>
      <c r="BV251" s="357"/>
      <c r="BW251" s="357"/>
      <c r="BX251" s="357"/>
      <c r="BY251" s="357"/>
      <c r="BZ251" s="357"/>
      <c r="CA251" s="357"/>
      <c r="CB251" s="357"/>
      <c r="CC251" s="357"/>
    </row>
    <row r="252" spans="1:81">
      <c r="A252" s="546"/>
      <c r="B252" s="357"/>
      <c r="C252" s="357"/>
      <c r="D252" s="546"/>
      <c r="E252" s="357"/>
      <c r="F252" s="357"/>
      <c r="G252" s="357"/>
      <c r="H252" s="357"/>
      <c r="I252" s="357"/>
      <c r="J252" s="357"/>
      <c r="K252" s="357"/>
      <c r="L252" s="357"/>
      <c r="M252" s="357"/>
      <c r="N252" s="357"/>
      <c r="O252" s="357"/>
      <c r="P252" s="357"/>
      <c r="Q252" s="357"/>
      <c r="R252" s="357"/>
      <c r="S252" s="357"/>
      <c r="T252" s="357"/>
      <c r="U252" s="1395"/>
      <c r="V252" s="357"/>
      <c r="W252" s="357"/>
      <c r="X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1421"/>
      <c r="BM252" s="1421"/>
      <c r="BN252" s="1421"/>
      <c r="BO252" s="1421"/>
      <c r="BP252" s="1421"/>
      <c r="BQ252" s="1421"/>
      <c r="BR252" s="1421"/>
      <c r="BS252" s="1421"/>
      <c r="BT252" s="2131"/>
      <c r="BU252" s="2132"/>
      <c r="BV252" s="357"/>
      <c r="BW252" s="357"/>
      <c r="BX252" s="357"/>
      <c r="BY252" s="357"/>
      <c r="BZ252" s="357"/>
      <c r="CA252" s="357"/>
      <c r="CB252" s="357"/>
      <c r="CC252" s="357"/>
    </row>
    <row r="253" spans="1:81">
      <c r="A253" s="546"/>
      <c r="B253" s="357"/>
      <c r="C253" s="357"/>
      <c r="D253" s="546"/>
      <c r="E253" s="357"/>
      <c r="F253" s="357"/>
      <c r="G253" s="357"/>
      <c r="H253" s="357"/>
      <c r="I253" s="357"/>
      <c r="J253" s="357"/>
      <c r="K253" s="357"/>
      <c r="L253" s="357"/>
      <c r="M253" s="357"/>
      <c r="N253" s="357"/>
      <c r="O253" s="357"/>
      <c r="P253" s="357"/>
      <c r="Q253" s="357"/>
      <c r="R253" s="357"/>
      <c r="S253" s="357"/>
      <c r="T253" s="357"/>
      <c r="U253" s="1395"/>
      <c r="V253" s="357"/>
      <c r="W253" s="357"/>
      <c r="X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1421"/>
      <c r="BM253" s="1421"/>
      <c r="BN253" s="1421"/>
      <c r="BO253" s="1421"/>
      <c r="BP253" s="1421"/>
      <c r="BQ253" s="1421"/>
      <c r="BR253" s="1421"/>
      <c r="BS253" s="1421"/>
      <c r="BT253" s="2135"/>
      <c r="BU253" s="2132"/>
      <c r="BV253" s="357"/>
      <c r="BW253" s="357"/>
      <c r="BX253" s="357"/>
      <c r="BY253" s="357"/>
      <c r="BZ253" s="357"/>
      <c r="CA253" s="357"/>
      <c r="CB253" s="357"/>
      <c r="CC253" s="357"/>
    </row>
    <row r="254" spans="1:81">
      <c r="A254" s="546"/>
      <c r="B254" s="357"/>
      <c r="C254" s="357"/>
      <c r="D254" s="546"/>
      <c r="E254" s="357"/>
      <c r="F254" s="357"/>
      <c r="G254" s="357"/>
      <c r="H254" s="357"/>
      <c r="I254" s="357"/>
      <c r="J254" s="357"/>
      <c r="K254" s="357"/>
      <c r="L254" s="357"/>
      <c r="M254" s="357"/>
      <c r="N254" s="357"/>
      <c r="O254" s="357"/>
      <c r="P254" s="357"/>
      <c r="Q254" s="357"/>
      <c r="R254" s="357"/>
      <c r="S254" s="357"/>
      <c r="T254" s="357"/>
      <c r="U254" s="1395"/>
      <c r="V254" s="357"/>
      <c r="W254" s="357"/>
      <c r="X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1421"/>
      <c r="BM254" s="1421"/>
      <c r="BN254" s="2137"/>
      <c r="BO254" s="1421"/>
      <c r="BP254" s="1421"/>
      <c r="BQ254" s="1421"/>
      <c r="BR254" s="1421"/>
      <c r="BS254" s="1421"/>
      <c r="BT254" s="2136"/>
      <c r="BU254" s="2132"/>
      <c r="BV254" s="357"/>
      <c r="BW254" s="357"/>
      <c r="BX254" s="357"/>
      <c r="BY254" s="357"/>
      <c r="BZ254" s="357"/>
      <c r="CA254" s="357"/>
      <c r="CB254" s="357"/>
      <c r="CC254" s="357"/>
    </row>
    <row r="255" spans="1:81">
      <c r="A255" s="546"/>
      <c r="B255" s="357"/>
      <c r="C255" s="357"/>
      <c r="D255" s="546"/>
      <c r="E255" s="357"/>
      <c r="F255" s="357"/>
      <c r="G255" s="357"/>
      <c r="H255" s="357"/>
      <c r="I255" s="357"/>
      <c r="J255" s="357"/>
      <c r="K255" s="357"/>
      <c r="L255" s="357"/>
      <c r="M255" s="357"/>
      <c r="N255" s="357"/>
      <c r="O255" s="357"/>
      <c r="P255" s="357"/>
      <c r="Q255" s="357"/>
      <c r="R255" s="357"/>
      <c r="S255" s="357"/>
      <c r="T255" s="357"/>
      <c r="U255" s="1395"/>
      <c r="V255" s="357"/>
      <c r="W255" s="357"/>
      <c r="X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c r="AT255" s="357"/>
      <c r="AU255" s="357"/>
      <c r="AV255" s="357"/>
      <c r="AW255" s="357"/>
      <c r="AX255" s="357"/>
      <c r="AY255" s="357"/>
      <c r="AZ255" s="357"/>
      <c r="BA255" s="357"/>
      <c r="BB255" s="357"/>
      <c r="BC255" s="357"/>
      <c r="BD255" s="357"/>
      <c r="BE255" s="357"/>
      <c r="BF255" s="357"/>
      <c r="BG255" s="357"/>
      <c r="BH255" s="357"/>
      <c r="BI255" s="357"/>
      <c r="BJ255" s="357"/>
      <c r="BK255" s="357"/>
      <c r="BL255" s="1421"/>
      <c r="BM255" s="1421"/>
      <c r="BN255" s="2137"/>
      <c r="BO255" s="1421"/>
      <c r="BP255" s="1421"/>
      <c r="BQ255" s="1421"/>
      <c r="BR255" s="1421"/>
      <c r="BS255" s="1421"/>
      <c r="BT255" s="2131"/>
      <c r="BU255" s="2132"/>
      <c r="BV255" s="357"/>
      <c r="BW255" s="357"/>
      <c r="BX255" s="357"/>
      <c r="BY255" s="357"/>
      <c r="BZ255" s="357"/>
      <c r="CA255" s="357"/>
      <c r="CB255" s="357"/>
      <c r="CC255" s="357"/>
    </row>
    <row r="256" spans="1:81">
      <c r="A256" s="546"/>
      <c r="B256" s="357"/>
      <c r="C256" s="357"/>
      <c r="D256" s="546"/>
      <c r="E256" s="357"/>
      <c r="F256" s="357"/>
      <c r="G256" s="357"/>
      <c r="H256" s="357"/>
      <c r="I256" s="357"/>
      <c r="J256" s="357"/>
      <c r="K256" s="357"/>
      <c r="L256" s="357"/>
      <c r="M256" s="357"/>
      <c r="N256" s="357"/>
      <c r="O256" s="357"/>
      <c r="P256" s="357"/>
      <c r="Q256" s="357"/>
      <c r="R256" s="357"/>
      <c r="S256" s="357"/>
      <c r="T256" s="357"/>
      <c r="U256" s="1395"/>
      <c r="V256" s="357"/>
      <c r="W256" s="357"/>
      <c r="X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c r="AT256" s="357"/>
      <c r="AU256" s="357"/>
      <c r="AV256" s="357"/>
      <c r="AW256" s="357"/>
      <c r="AX256" s="357"/>
      <c r="AY256" s="357"/>
      <c r="AZ256" s="357"/>
      <c r="BA256" s="357"/>
      <c r="BB256" s="357"/>
      <c r="BC256" s="357"/>
      <c r="BD256" s="357"/>
      <c r="BE256" s="357"/>
      <c r="BF256" s="357"/>
      <c r="BG256" s="357"/>
      <c r="BH256" s="357"/>
      <c r="BI256" s="357"/>
      <c r="BJ256" s="357"/>
      <c r="BK256" s="357"/>
      <c r="BL256" s="1421"/>
      <c r="BM256" s="1421"/>
      <c r="BN256" s="2137"/>
      <c r="BO256" s="1421"/>
      <c r="BP256" s="1421"/>
      <c r="BQ256" s="1421"/>
      <c r="BR256" s="1421"/>
      <c r="BS256" s="1421"/>
      <c r="BT256" s="2131"/>
      <c r="BU256" s="2132"/>
      <c r="BV256" s="357"/>
      <c r="BW256" s="357"/>
      <c r="BX256" s="357"/>
      <c r="BY256" s="357"/>
      <c r="BZ256" s="357"/>
      <c r="CA256" s="357"/>
      <c r="CB256" s="357"/>
      <c r="CC256" s="357"/>
    </row>
    <row r="257" spans="1:81">
      <c r="A257" s="546"/>
      <c r="B257" s="357"/>
      <c r="C257" s="357"/>
      <c r="D257" s="546"/>
      <c r="E257" s="357"/>
      <c r="F257" s="357"/>
      <c r="G257" s="357"/>
      <c r="H257" s="357"/>
      <c r="I257" s="357"/>
      <c r="J257" s="357"/>
      <c r="K257" s="357"/>
      <c r="L257" s="357"/>
      <c r="M257" s="357"/>
      <c r="N257" s="357"/>
      <c r="O257" s="357"/>
      <c r="P257" s="357"/>
      <c r="Q257" s="357"/>
      <c r="R257" s="357"/>
      <c r="S257" s="357"/>
      <c r="T257" s="357"/>
      <c r="U257" s="1395"/>
      <c r="V257" s="357"/>
      <c r="W257" s="357"/>
      <c r="X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c r="AT257" s="357"/>
      <c r="AU257" s="357"/>
      <c r="AV257" s="357"/>
      <c r="AW257" s="357"/>
      <c r="AX257" s="357"/>
      <c r="AY257" s="357"/>
      <c r="AZ257" s="357"/>
      <c r="BA257" s="357"/>
      <c r="BB257" s="357"/>
      <c r="BC257" s="357"/>
      <c r="BD257" s="357"/>
      <c r="BE257" s="357"/>
      <c r="BF257" s="357"/>
      <c r="BG257" s="357"/>
      <c r="BH257" s="357"/>
      <c r="BI257" s="357"/>
      <c r="BJ257" s="357"/>
      <c r="BK257" s="357"/>
      <c r="BL257" s="1421"/>
      <c r="BM257" s="1421"/>
      <c r="BN257" s="1967"/>
      <c r="BO257" s="1421"/>
      <c r="BP257" s="1421"/>
      <c r="BQ257" s="1421"/>
      <c r="BR257" s="1421"/>
      <c r="BS257" s="1421"/>
      <c r="BT257" s="2131"/>
      <c r="BU257" s="2132"/>
      <c r="BV257" s="357"/>
      <c r="BW257" s="357"/>
      <c r="BX257" s="357"/>
      <c r="BY257" s="357"/>
      <c r="BZ257" s="357"/>
      <c r="CA257" s="357"/>
      <c r="CB257" s="357"/>
      <c r="CC257" s="357"/>
    </row>
    <row r="258" spans="1:81">
      <c r="A258" s="546"/>
      <c r="B258" s="357"/>
      <c r="C258" s="357"/>
      <c r="D258" s="546"/>
      <c r="E258" s="357"/>
      <c r="F258" s="357"/>
      <c r="G258" s="357"/>
      <c r="H258" s="357"/>
      <c r="I258" s="357"/>
      <c r="J258" s="357"/>
      <c r="K258" s="357"/>
      <c r="L258" s="357"/>
      <c r="M258" s="357"/>
      <c r="N258" s="357"/>
      <c r="O258" s="357"/>
      <c r="P258" s="357"/>
      <c r="Q258" s="357"/>
      <c r="R258" s="357"/>
      <c r="S258" s="357"/>
      <c r="T258" s="357"/>
      <c r="U258" s="1395"/>
      <c r="V258" s="357"/>
      <c r="W258" s="357"/>
      <c r="X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357"/>
      <c r="AV258" s="357"/>
      <c r="AW258" s="357"/>
      <c r="AX258" s="357"/>
      <c r="AY258" s="357"/>
      <c r="AZ258" s="357"/>
      <c r="BA258" s="357"/>
      <c r="BB258" s="357"/>
      <c r="BC258" s="357"/>
      <c r="BD258" s="357"/>
      <c r="BE258" s="357"/>
      <c r="BF258" s="357"/>
      <c r="BG258" s="357"/>
      <c r="BH258" s="357"/>
      <c r="BI258" s="357"/>
      <c r="BJ258" s="357"/>
      <c r="BK258" s="357"/>
      <c r="BL258" s="1421"/>
      <c r="BM258" s="1421"/>
      <c r="BN258" s="1967"/>
      <c r="BO258" s="1421"/>
      <c r="BP258" s="1421"/>
      <c r="BQ258" s="1421"/>
      <c r="BR258" s="1421"/>
      <c r="BS258" s="1421"/>
      <c r="BT258" s="2131"/>
      <c r="BU258" s="2132"/>
      <c r="BV258" s="357"/>
      <c r="BW258" s="357"/>
      <c r="BX258" s="357"/>
      <c r="BY258" s="357"/>
      <c r="BZ258" s="357"/>
      <c r="CA258" s="357"/>
      <c r="CB258" s="357"/>
      <c r="CC258" s="357"/>
    </row>
    <row r="259" spans="1:81">
      <c r="A259" s="546"/>
      <c r="B259" s="357"/>
      <c r="C259" s="357"/>
      <c r="D259" s="546"/>
      <c r="E259" s="357"/>
      <c r="F259" s="357"/>
      <c r="G259" s="357"/>
      <c r="H259" s="357"/>
      <c r="I259" s="357"/>
      <c r="J259" s="357"/>
      <c r="K259" s="357"/>
      <c r="L259" s="357"/>
      <c r="M259" s="357"/>
      <c r="N259" s="357"/>
      <c r="O259" s="357"/>
      <c r="P259" s="357"/>
      <c r="Q259" s="357"/>
      <c r="R259" s="357"/>
      <c r="S259" s="357"/>
      <c r="T259" s="357"/>
      <c r="U259" s="1395"/>
      <c r="V259" s="357"/>
      <c r="W259" s="357"/>
      <c r="X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c r="AT259" s="357"/>
      <c r="AU259" s="357"/>
      <c r="AV259" s="357"/>
      <c r="AW259" s="357"/>
      <c r="AX259" s="357"/>
      <c r="AY259" s="357"/>
      <c r="AZ259" s="357"/>
      <c r="BA259" s="357"/>
      <c r="BB259" s="357"/>
      <c r="BC259" s="357"/>
      <c r="BD259" s="357"/>
      <c r="BE259" s="357"/>
      <c r="BF259" s="357"/>
      <c r="BG259" s="357"/>
      <c r="BH259" s="357"/>
      <c r="BI259" s="357"/>
      <c r="BJ259" s="357"/>
      <c r="BK259" s="357"/>
      <c r="BL259" s="1421"/>
      <c r="BM259" s="1421"/>
      <c r="BN259" s="1967"/>
      <c r="BO259" s="1421"/>
      <c r="BP259" s="1421"/>
      <c r="BQ259" s="1421"/>
      <c r="BR259" s="1421"/>
      <c r="BS259" s="1421"/>
      <c r="BT259" s="2131"/>
      <c r="BU259" s="2132"/>
      <c r="BV259" s="357"/>
      <c r="BW259" s="357"/>
      <c r="BX259" s="357"/>
      <c r="BY259" s="357"/>
      <c r="BZ259" s="357"/>
      <c r="CA259" s="357"/>
      <c r="CB259" s="357"/>
      <c r="CC259" s="357"/>
    </row>
    <row r="260" spans="1:81">
      <c r="A260" s="546"/>
      <c r="B260" s="357"/>
      <c r="C260" s="357"/>
      <c r="D260" s="546"/>
      <c r="E260" s="357"/>
      <c r="F260" s="357"/>
      <c r="G260" s="357"/>
      <c r="H260" s="357"/>
      <c r="I260" s="357"/>
      <c r="J260" s="357"/>
      <c r="K260" s="357"/>
      <c r="L260" s="357"/>
      <c r="M260" s="357"/>
      <c r="N260" s="357"/>
      <c r="O260" s="357"/>
      <c r="P260" s="357"/>
      <c r="Q260" s="357"/>
      <c r="R260" s="357"/>
      <c r="S260" s="357"/>
      <c r="T260" s="357"/>
      <c r="U260" s="1395"/>
      <c r="V260" s="357"/>
      <c r="W260" s="357"/>
      <c r="X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c r="AT260" s="357"/>
      <c r="AU260" s="357"/>
      <c r="AV260" s="357"/>
      <c r="AW260" s="357"/>
      <c r="AX260" s="357"/>
      <c r="AY260" s="357"/>
      <c r="AZ260" s="357"/>
      <c r="BA260" s="357"/>
      <c r="BB260" s="357"/>
      <c r="BC260" s="357"/>
      <c r="BD260" s="357"/>
      <c r="BE260" s="357"/>
      <c r="BF260" s="357"/>
      <c r="BG260" s="357"/>
      <c r="BH260" s="357"/>
      <c r="BI260" s="357"/>
      <c r="BJ260" s="357"/>
      <c r="BK260" s="357"/>
      <c r="BL260" s="1421"/>
      <c r="BM260" s="1421"/>
      <c r="BN260" s="1967"/>
      <c r="BO260" s="1421"/>
      <c r="BP260" s="1421"/>
      <c r="BQ260" s="1421"/>
      <c r="BR260" s="1421"/>
      <c r="BS260" s="1421"/>
      <c r="BT260" s="2133"/>
      <c r="BU260" s="2134"/>
      <c r="BV260" s="357"/>
      <c r="BW260" s="357"/>
      <c r="BX260" s="357"/>
      <c r="BY260" s="357"/>
      <c r="BZ260" s="357"/>
      <c r="CA260" s="357"/>
      <c r="CB260" s="357"/>
      <c r="CC260" s="357"/>
    </row>
    <row r="261" spans="1:81">
      <c r="A261" s="546"/>
      <c r="B261" s="357"/>
      <c r="C261" s="357"/>
      <c r="D261" s="546"/>
      <c r="E261" s="357"/>
      <c r="F261" s="357"/>
      <c r="G261" s="357"/>
      <c r="H261" s="357"/>
      <c r="I261" s="357"/>
      <c r="J261" s="357"/>
      <c r="K261" s="357"/>
      <c r="L261" s="357"/>
      <c r="M261" s="357"/>
      <c r="N261" s="357"/>
      <c r="O261" s="357"/>
      <c r="P261" s="357"/>
      <c r="Q261" s="357"/>
      <c r="R261" s="357"/>
      <c r="S261" s="357"/>
      <c r="T261" s="357"/>
      <c r="U261" s="1395"/>
      <c r="V261" s="357"/>
      <c r="W261" s="357"/>
      <c r="X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1421"/>
      <c r="BM261" s="1421"/>
      <c r="BN261" s="1967"/>
      <c r="BO261" s="1421"/>
      <c r="BP261" s="1421"/>
      <c r="BQ261" s="1421"/>
      <c r="BR261" s="1421"/>
      <c r="BS261" s="1421"/>
      <c r="BT261" s="2133"/>
      <c r="BU261" s="2132"/>
      <c r="BV261" s="357"/>
      <c r="BW261" s="357"/>
      <c r="BX261" s="357"/>
      <c r="BY261" s="357"/>
      <c r="BZ261" s="357"/>
      <c r="CA261" s="357"/>
      <c r="CB261" s="357"/>
      <c r="CC261" s="357"/>
    </row>
    <row r="262" spans="1:81">
      <c r="A262" s="546"/>
      <c r="B262" s="357"/>
      <c r="C262" s="357"/>
      <c r="D262" s="546"/>
      <c r="E262" s="357"/>
      <c r="F262" s="357"/>
      <c r="G262" s="357"/>
      <c r="H262" s="357"/>
      <c r="I262" s="357"/>
      <c r="J262" s="357"/>
      <c r="K262" s="357"/>
      <c r="L262" s="357"/>
      <c r="M262" s="357"/>
      <c r="N262" s="357"/>
      <c r="O262" s="357"/>
      <c r="P262" s="357"/>
      <c r="Q262" s="357"/>
      <c r="R262" s="357"/>
      <c r="S262" s="357"/>
      <c r="T262" s="357"/>
      <c r="U262" s="1395"/>
      <c r="V262" s="357"/>
      <c r="W262" s="357"/>
      <c r="X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1421"/>
      <c r="BM262" s="1421"/>
      <c r="BN262" s="1967"/>
      <c r="BO262" s="1421"/>
      <c r="BP262" s="1421"/>
      <c r="BQ262" s="1421"/>
      <c r="BR262" s="1421"/>
      <c r="BS262" s="1421"/>
      <c r="BT262" s="2133"/>
      <c r="BU262" s="2132"/>
      <c r="BV262" s="357"/>
      <c r="BW262" s="357"/>
      <c r="BX262" s="357"/>
      <c r="BY262" s="357"/>
      <c r="BZ262" s="357"/>
      <c r="CA262" s="357"/>
      <c r="CB262" s="357"/>
      <c r="CC262" s="357"/>
    </row>
    <row r="263" spans="1:81">
      <c r="A263" s="546"/>
      <c r="B263" s="357"/>
      <c r="C263" s="357"/>
      <c r="D263" s="546"/>
      <c r="E263" s="357"/>
      <c r="F263" s="357"/>
      <c r="G263" s="357"/>
      <c r="H263" s="357"/>
      <c r="I263" s="357"/>
      <c r="J263" s="357"/>
      <c r="K263" s="357"/>
      <c r="L263" s="357"/>
      <c r="M263" s="357"/>
      <c r="N263" s="357"/>
      <c r="O263" s="357"/>
      <c r="P263" s="357"/>
      <c r="Q263" s="357"/>
      <c r="R263" s="357"/>
      <c r="S263" s="357"/>
      <c r="T263" s="357"/>
      <c r="U263" s="1395"/>
      <c r="V263" s="357"/>
      <c r="W263" s="357"/>
      <c r="X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1421"/>
      <c r="BM263" s="1421"/>
      <c r="BN263" s="1967"/>
      <c r="BO263" s="1421"/>
      <c r="BP263" s="1421"/>
      <c r="BQ263" s="1421"/>
      <c r="BR263" s="1421"/>
      <c r="BS263" s="1421"/>
      <c r="BT263" s="2131"/>
      <c r="BU263" s="2132"/>
      <c r="BV263" s="357"/>
      <c r="BW263" s="357"/>
      <c r="BX263" s="357"/>
      <c r="BY263" s="357"/>
      <c r="BZ263" s="357"/>
      <c r="CA263" s="357"/>
      <c r="CB263" s="357"/>
      <c r="CC263" s="357"/>
    </row>
    <row r="264" spans="1:81">
      <c r="A264" s="546"/>
      <c r="B264" s="357"/>
      <c r="C264" s="357"/>
      <c r="D264" s="546"/>
      <c r="E264" s="357"/>
      <c r="F264" s="357"/>
      <c r="G264" s="357"/>
      <c r="H264" s="357"/>
      <c r="I264" s="357"/>
      <c r="J264" s="357"/>
      <c r="K264" s="357"/>
      <c r="L264" s="357"/>
      <c r="M264" s="357"/>
      <c r="N264" s="357"/>
      <c r="O264" s="357"/>
      <c r="P264" s="357"/>
      <c r="Q264" s="357"/>
      <c r="R264" s="357"/>
      <c r="S264" s="357"/>
      <c r="T264" s="357"/>
      <c r="U264" s="1395"/>
      <c r="V264" s="357"/>
      <c r="W264" s="357"/>
      <c r="X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1421"/>
      <c r="BM264" s="1421"/>
      <c r="BN264" s="1967"/>
      <c r="BO264" s="1421"/>
      <c r="BP264" s="1421"/>
      <c r="BQ264" s="1421"/>
      <c r="BR264" s="1421"/>
      <c r="BS264" s="1421"/>
      <c r="BT264" s="2131"/>
      <c r="BU264" s="2132"/>
      <c r="BV264" s="357"/>
      <c r="BW264" s="357"/>
      <c r="BX264" s="357"/>
      <c r="BY264" s="357"/>
      <c r="BZ264" s="357"/>
      <c r="CA264" s="357"/>
      <c r="CB264" s="357"/>
      <c r="CC264" s="357"/>
    </row>
    <row r="265" spans="1:81">
      <c r="A265" s="546"/>
      <c r="B265" s="357"/>
      <c r="C265" s="357"/>
      <c r="D265" s="546"/>
      <c r="E265" s="357"/>
      <c r="F265" s="357"/>
      <c r="G265" s="357"/>
      <c r="H265" s="357"/>
      <c r="I265" s="357"/>
      <c r="J265" s="357"/>
      <c r="K265" s="357"/>
      <c r="L265" s="357"/>
      <c r="M265" s="357"/>
      <c r="N265" s="357"/>
      <c r="O265" s="357"/>
      <c r="P265" s="357"/>
      <c r="Q265" s="357"/>
      <c r="R265" s="357"/>
      <c r="S265" s="357"/>
      <c r="T265" s="357"/>
      <c r="U265" s="1395"/>
      <c r="V265" s="357"/>
      <c r="W265" s="357"/>
      <c r="X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1421"/>
      <c r="BM265" s="1421"/>
      <c r="BN265" s="1967"/>
      <c r="BO265" s="1421"/>
      <c r="BP265" s="1421"/>
      <c r="BQ265" s="1421"/>
      <c r="BR265" s="1421"/>
      <c r="BS265" s="1421"/>
      <c r="BT265" s="2133"/>
      <c r="BU265" s="2134"/>
      <c r="BV265" s="357"/>
      <c r="BW265" s="357"/>
      <c r="BX265" s="357"/>
      <c r="BY265" s="357"/>
      <c r="BZ265" s="357"/>
      <c r="CA265" s="357"/>
      <c r="CB265" s="357"/>
      <c r="CC265" s="357"/>
    </row>
    <row r="266" spans="1:81">
      <c r="A266" s="546"/>
      <c r="B266" s="357"/>
      <c r="C266" s="357"/>
      <c r="D266" s="546"/>
      <c r="E266" s="357"/>
      <c r="F266" s="357"/>
      <c r="G266" s="357"/>
      <c r="H266" s="357"/>
      <c r="I266" s="357"/>
      <c r="J266" s="357"/>
      <c r="K266" s="357"/>
      <c r="L266" s="357"/>
      <c r="M266" s="357"/>
      <c r="N266" s="357"/>
      <c r="O266" s="357"/>
      <c r="P266" s="357"/>
      <c r="Q266" s="357"/>
      <c r="R266" s="357"/>
      <c r="S266" s="357"/>
      <c r="T266" s="357"/>
      <c r="U266" s="1395"/>
      <c r="V266" s="357"/>
      <c r="W266" s="357"/>
      <c r="X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1421"/>
      <c r="BM266" s="1421"/>
      <c r="BN266" s="1967"/>
      <c r="BO266" s="1421"/>
      <c r="BP266" s="1421"/>
      <c r="BQ266" s="1421"/>
      <c r="BR266" s="1421"/>
      <c r="BS266" s="1421"/>
      <c r="BT266" s="2133"/>
      <c r="BU266" s="2134"/>
      <c r="BV266" s="357"/>
      <c r="BW266" s="357"/>
      <c r="BX266" s="357"/>
      <c r="BY266" s="357"/>
      <c r="BZ266" s="357"/>
      <c r="CA266" s="357"/>
      <c r="CB266" s="357"/>
      <c r="CC266" s="357"/>
    </row>
    <row r="267" spans="1:81">
      <c r="A267" s="546"/>
      <c r="B267" s="357"/>
      <c r="C267" s="357"/>
      <c r="D267" s="546"/>
      <c r="E267" s="357"/>
      <c r="F267" s="357"/>
      <c r="G267" s="357"/>
      <c r="H267" s="357"/>
      <c r="I267" s="357"/>
      <c r="J267" s="357"/>
      <c r="K267" s="357"/>
      <c r="L267" s="357"/>
      <c r="M267" s="357"/>
      <c r="N267" s="357"/>
      <c r="O267" s="357"/>
      <c r="P267" s="357"/>
      <c r="Q267" s="357"/>
      <c r="R267" s="357"/>
      <c r="S267" s="357"/>
      <c r="T267" s="357"/>
      <c r="U267" s="1395"/>
      <c r="V267" s="357"/>
      <c r="W267" s="357"/>
      <c r="X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1421"/>
      <c r="BM267" s="1421"/>
      <c r="BN267" s="1967"/>
      <c r="BO267" s="1421"/>
      <c r="BP267" s="1421"/>
      <c r="BQ267" s="1421"/>
      <c r="BR267" s="1421"/>
      <c r="BS267" s="1421"/>
      <c r="BT267" s="2131"/>
      <c r="BU267" s="2132"/>
      <c r="BV267" s="357"/>
      <c r="BW267" s="357"/>
      <c r="BX267" s="357"/>
      <c r="BY267" s="357"/>
      <c r="BZ267" s="357"/>
      <c r="CA267" s="357"/>
      <c r="CB267" s="357"/>
      <c r="CC267" s="357"/>
    </row>
    <row r="268" spans="1:81">
      <c r="A268" s="546"/>
      <c r="B268" s="357"/>
      <c r="C268" s="357"/>
      <c r="D268" s="546"/>
      <c r="E268" s="357"/>
      <c r="F268" s="357"/>
      <c r="G268" s="357"/>
      <c r="H268" s="357"/>
      <c r="I268" s="357"/>
      <c r="J268" s="357"/>
      <c r="K268" s="357"/>
      <c r="L268" s="357"/>
      <c r="M268" s="357"/>
      <c r="N268" s="357"/>
      <c r="O268" s="357"/>
      <c r="P268" s="357"/>
      <c r="Q268" s="357"/>
      <c r="R268" s="357"/>
      <c r="S268" s="357"/>
      <c r="T268" s="357"/>
      <c r="U268" s="1395"/>
      <c r="V268" s="357"/>
      <c r="W268" s="357"/>
      <c r="X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1421"/>
      <c r="BM268" s="1421"/>
      <c r="BN268" s="1967"/>
      <c r="BO268" s="1421"/>
      <c r="BP268" s="1421"/>
      <c r="BQ268" s="1421"/>
      <c r="BR268" s="1421"/>
      <c r="BS268" s="1421"/>
      <c r="BT268" s="2131"/>
      <c r="BU268" s="2134"/>
      <c r="BV268" s="357"/>
      <c r="BW268" s="357"/>
      <c r="BX268" s="357"/>
      <c r="BY268" s="357"/>
      <c r="BZ268" s="357"/>
      <c r="CA268" s="357"/>
      <c r="CB268" s="357"/>
      <c r="CC268" s="357"/>
    </row>
    <row r="269" spans="1:81">
      <c r="A269" s="546"/>
      <c r="B269" s="357"/>
      <c r="C269" s="357"/>
      <c r="D269" s="546"/>
      <c r="E269" s="357"/>
      <c r="F269" s="357"/>
      <c r="G269" s="357"/>
      <c r="H269" s="357"/>
      <c r="I269" s="357"/>
      <c r="J269" s="357"/>
      <c r="K269" s="357"/>
      <c r="L269" s="357"/>
      <c r="M269" s="357"/>
      <c r="N269" s="357"/>
      <c r="O269" s="357"/>
      <c r="P269" s="357"/>
      <c r="Q269" s="357"/>
      <c r="R269" s="357"/>
      <c r="S269" s="357"/>
      <c r="T269" s="357"/>
      <c r="U269" s="1395"/>
      <c r="V269" s="357"/>
      <c r="W269" s="357"/>
      <c r="X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c r="BK269" s="357"/>
      <c r="BL269" s="1421"/>
      <c r="BM269" s="1421"/>
      <c r="BN269" s="1967"/>
      <c r="BO269" s="1421"/>
      <c r="BP269" s="1421"/>
      <c r="BQ269" s="1421"/>
      <c r="BR269" s="1421"/>
      <c r="BS269" s="1421"/>
      <c r="BT269" s="2131"/>
      <c r="BU269" s="2132"/>
      <c r="BV269" s="357"/>
      <c r="BW269" s="357"/>
      <c r="BX269" s="357"/>
      <c r="BY269" s="357"/>
      <c r="BZ269" s="357"/>
      <c r="CA269" s="357"/>
      <c r="CB269" s="357"/>
      <c r="CC269" s="357"/>
    </row>
    <row r="270" spans="1:81">
      <c r="A270" s="546"/>
      <c r="B270" s="357"/>
      <c r="C270" s="357"/>
      <c r="D270" s="546"/>
      <c r="E270" s="357"/>
      <c r="F270" s="357"/>
      <c r="G270" s="357"/>
      <c r="H270" s="357"/>
      <c r="I270" s="357"/>
      <c r="J270" s="357"/>
      <c r="K270" s="357"/>
      <c r="L270" s="357"/>
      <c r="M270" s="357"/>
      <c r="N270" s="357"/>
      <c r="O270" s="357"/>
      <c r="P270" s="357"/>
      <c r="Q270" s="357"/>
      <c r="R270" s="357"/>
      <c r="S270" s="357"/>
      <c r="T270" s="357"/>
      <c r="U270" s="1395"/>
      <c r="V270" s="357"/>
      <c r="W270" s="357"/>
      <c r="X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c r="BK270" s="357"/>
      <c r="BL270" s="1421"/>
      <c r="BM270" s="1421"/>
      <c r="BN270" s="1967"/>
      <c r="BO270" s="1421"/>
      <c r="BP270" s="1421"/>
      <c r="BQ270" s="1421"/>
      <c r="BR270" s="1421"/>
      <c r="BS270" s="1421"/>
      <c r="BT270" s="2131"/>
      <c r="BU270" s="2134"/>
      <c r="BV270" s="357"/>
      <c r="BW270" s="357"/>
      <c r="BX270" s="357"/>
      <c r="BY270" s="357"/>
      <c r="BZ270" s="357"/>
      <c r="CA270" s="357"/>
      <c r="CB270" s="357"/>
      <c r="CC270" s="357"/>
    </row>
    <row r="271" spans="1:81">
      <c r="A271" s="546"/>
      <c r="B271" s="357"/>
      <c r="C271" s="357"/>
      <c r="D271" s="546"/>
      <c r="E271" s="357"/>
      <c r="F271" s="357"/>
      <c r="G271" s="357"/>
      <c r="H271" s="357"/>
      <c r="I271" s="357"/>
      <c r="J271" s="357"/>
      <c r="K271" s="357"/>
      <c r="L271" s="357"/>
      <c r="M271" s="357"/>
      <c r="N271" s="357"/>
      <c r="O271" s="357"/>
      <c r="P271" s="357"/>
      <c r="Q271" s="357"/>
      <c r="R271" s="357"/>
      <c r="S271" s="357"/>
      <c r="T271" s="357"/>
      <c r="U271" s="1395"/>
      <c r="V271" s="357"/>
      <c r="W271" s="357"/>
      <c r="X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c r="BK271" s="357"/>
      <c r="BL271" s="1421"/>
      <c r="BM271" s="1421"/>
      <c r="BN271" s="1967"/>
      <c r="BO271" s="1421"/>
      <c r="BP271" s="1421"/>
      <c r="BQ271" s="1421"/>
      <c r="BR271" s="1421"/>
      <c r="BS271" s="1421"/>
      <c r="BT271" s="2131"/>
      <c r="BU271" s="2132"/>
      <c r="BV271" s="357"/>
      <c r="BW271" s="357"/>
      <c r="BX271" s="357"/>
      <c r="BY271" s="357"/>
      <c r="BZ271" s="357"/>
      <c r="CA271" s="357"/>
      <c r="CB271" s="357"/>
      <c r="CC271" s="357"/>
    </row>
    <row r="272" spans="1:81">
      <c r="A272" s="546"/>
      <c r="B272" s="357"/>
      <c r="C272" s="357"/>
      <c r="D272" s="546"/>
      <c r="E272" s="357"/>
      <c r="F272" s="357"/>
      <c r="G272" s="357"/>
      <c r="H272" s="357"/>
      <c r="I272" s="357"/>
      <c r="J272" s="357"/>
      <c r="K272" s="357"/>
      <c r="L272" s="357"/>
      <c r="M272" s="357"/>
      <c r="N272" s="357"/>
      <c r="O272" s="357"/>
      <c r="P272" s="357"/>
      <c r="Q272" s="357"/>
      <c r="R272" s="357"/>
      <c r="S272" s="357"/>
      <c r="T272" s="357"/>
      <c r="U272" s="1395"/>
      <c r="V272" s="357"/>
      <c r="W272" s="357"/>
      <c r="X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1421"/>
      <c r="BM272" s="1421"/>
      <c r="BN272" s="1967"/>
      <c r="BO272" s="1421"/>
      <c r="BP272" s="1421"/>
      <c r="BQ272" s="1421"/>
      <c r="BR272" s="1421"/>
      <c r="BS272" s="1421"/>
      <c r="BT272" s="2131"/>
      <c r="BU272" s="2132"/>
      <c r="BV272" s="357"/>
      <c r="BW272" s="357"/>
      <c r="BX272" s="357"/>
      <c r="BY272" s="357"/>
      <c r="BZ272" s="357"/>
      <c r="CA272" s="357"/>
      <c r="CB272" s="357"/>
      <c r="CC272" s="357"/>
    </row>
    <row r="273" spans="1:81">
      <c r="A273" s="546"/>
      <c r="B273" s="357"/>
      <c r="C273" s="357"/>
      <c r="D273" s="546"/>
      <c r="E273" s="357"/>
      <c r="F273" s="357"/>
      <c r="G273" s="357"/>
      <c r="H273" s="357"/>
      <c r="I273" s="357"/>
      <c r="J273" s="357"/>
      <c r="K273" s="357"/>
      <c r="L273" s="357"/>
      <c r="M273" s="357"/>
      <c r="N273" s="357"/>
      <c r="O273" s="357"/>
      <c r="P273" s="357"/>
      <c r="Q273" s="357"/>
      <c r="R273" s="357"/>
      <c r="S273" s="357"/>
      <c r="T273" s="357"/>
      <c r="U273" s="1395"/>
      <c r="V273" s="357"/>
      <c r="W273" s="357"/>
      <c r="X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1421"/>
      <c r="BM273" s="1421"/>
      <c r="BN273" s="1967"/>
      <c r="BO273" s="1421"/>
      <c r="BP273" s="1421"/>
      <c r="BQ273" s="1421"/>
      <c r="BR273" s="1421"/>
      <c r="BS273" s="1421"/>
      <c r="BT273" s="2131"/>
      <c r="BU273" s="2134"/>
      <c r="BV273" s="357"/>
      <c r="BW273" s="357"/>
      <c r="BX273" s="357"/>
      <c r="BY273" s="357"/>
      <c r="BZ273" s="357"/>
      <c r="CA273" s="357"/>
      <c r="CB273" s="357"/>
      <c r="CC273" s="357"/>
    </row>
    <row r="274" spans="1:81">
      <c r="A274" s="546"/>
      <c r="B274" s="357"/>
      <c r="C274" s="357"/>
      <c r="D274" s="546"/>
      <c r="E274" s="357"/>
      <c r="F274" s="357"/>
      <c r="G274" s="357"/>
      <c r="H274" s="357"/>
      <c r="I274" s="357"/>
      <c r="J274" s="357"/>
      <c r="K274" s="357"/>
      <c r="L274" s="357"/>
      <c r="M274" s="357"/>
      <c r="N274" s="357"/>
      <c r="O274" s="357"/>
      <c r="P274" s="357"/>
      <c r="Q274" s="357"/>
      <c r="R274" s="357"/>
      <c r="S274" s="357"/>
      <c r="T274" s="357"/>
      <c r="U274" s="1395"/>
      <c r="V274" s="357"/>
      <c r="W274" s="357"/>
      <c r="X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1421"/>
      <c r="BM274" s="1421"/>
      <c r="BN274" s="1967"/>
      <c r="BO274" s="1421"/>
      <c r="BP274" s="1421"/>
      <c r="BQ274" s="1421"/>
      <c r="BR274" s="1421"/>
      <c r="BS274" s="1421"/>
      <c r="BT274" s="2131"/>
      <c r="BU274" s="2132"/>
      <c r="BV274" s="357"/>
      <c r="BW274" s="357"/>
      <c r="BX274" s="357"/>
      <c r="BY274" s="357"/>
      <c r="BZ274" s="357"/>
      <c r="CA274" s="357"/>
      <c r="CB274" s="357"/>
      <c r="CC274" s="357"/>
    </row>
    <row r="275" spans="1:81">
      <c r="A275" s="546"/>
      <c r="B275" s="357"/>
      <c r="C275" s="357"/>
      <c r="D275" s="546"/>
      <c r="E275" s="357"/>
      <c r="F275" s="357"/>
      <c r="G275" s="357"/>
      <c r="H275" s="357"/>
      <c r="I275" s="357"/>
      <c r="J275" s="357"/>
      <c r="K275" s="357"/>
      <c r="L275" s="357"/>
      <c r="M275" s="357"/>
      <c r="N275" s="357"/>
      <c r="O275" s="357"/>
      <c r="P275" s="357"/>
      <c r="Q275" s="357"/>
      <c r="R275" s="357"/>
      <c r="S275" s="357"/>
      <c r="T275" s="357"/>
      <c r="U275" s="1395"/>
      <c r="V275" s="357"/>
      <c r="W275" s="357"/>
      <c r="X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1421"/>
      <c r="BM275" s="1421"/>
      <c r="BN275" s="1967"/>
      <c r="BO275" s="1421"/>
      <c r="BP275" s="1421"/>
      <c r="BQ275" s="1421"/>
      <c r="BR275" s="1421"/>
      <c r="BS275" s="1421"/>
      <c r="BT275" s="2133"/>
      <c r="BU275" s="2134"/>
      <c r="BV275" s="357"/>
      <c r="BW275" s="357"/>
      <c r="BX275" s="357"/>
      <c r="BY275" s="357"/>
      <c r="BZ275" s="357"/>
      <c r="CA275" s="357"/>
      <c r="CB275" s="357"/>
      <c r="CC275" s="357"/>
    </row>
    <row r="276" spans="1:81">
      <c r="A276" s="546"/>
      <c r="B276" s="357"/>
      <c r="C276" s="357"/>
      <c r="D276" s="546"/>
      <c r="E276" s="357"/>
      <c r="F276" s="357"/>
      <c r="G276" s="357"/>
      <c r="H276" s="357"/>
      <c r="I276" s="357"/>
      <c r="J276" s="357"/>
      <c r="K276" s="357"/>
      <c r="L276" s="357"/>
      <c r="M276" s="357"/>
      <c r="N276" s="357"/>
      <c r="O276" s="357"/>
      <c r="P276" s="357"/>
      <c r="Q276" s="357"/>
      <c r="R276" s="357"/>
      <c r="S276" s="357"/>
      <c r="T276" s="357"/>
      <c r="U276" s="1395"/>
      <c r="V276" s="357"/>
      <c r="W276" s="357"/>
      <c r="X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1421"/>
      <c r="BM276" s="1421"/>
      <c r="BN276" s="1967"/>
      <c r="BO276" s="1421"/>
      <c r="BP276" s="1421"/>
      <c r="BQ276" s="1421"/>
      <c r="BR276" s="1421"/>
      <c r="BS276" s="1421"/>
      <c r="BT276" s="2133"/>
      <c r="BU276" s="2134"/>
      <c r="BV276" s="357"/>
      <c r="BW276" s="357"/>
      <c r="BX276" s="357"/>
      <c r="BY276" s="357"/>
      <c r="BZ276" s="357"/>
      <c r="CA276" s="357"/>
      <c r="CB276" s="357"/>
      <c r="CC276" s="357"/>
    </row>
    <row r="277" spans="1:81">
      <c r="A277" s="546"/>
      <c r="B277" s="357"/>
      <c r="C277" s="357"/>
      <c r="D277" s="546"/>
      <c r="E277" s="357"/>
      <c r="F277" s="357"/>
      <c r="G277" s="357"/>
      <c r="H277" s="357"/>
      <c r="I277" s="357"/>
      <c r="J277" s="357"/>
      <c r="K277" s="357"/>
      <c r="L277" s="357"/>
      <c r="M277" s="357"/>
      <c r="N277" s="357"/>
      <c r="O277" s="357"/>
      <c r="P277" s="357"/>
      <c r="Q277" s="357"/>
      <c r="R277" s="357"/>
      <c r="S277" s="357"/>
      <c r="T277" s="357"/>
      <c r="U277" s="1395"/>
      <c r="V277" s="357"/>
      <c r="W277" s="357"/>
      <c r="X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1421"/>
      <c r="BM277" s="1421"/>
      <c r="BN277" s="1967"/>
      <c r="BO277" s="1421"/>
      <c r="BP277" s="1421"/>
      <c r="BQ277" s="1421"/>
      <c r="BR277" s="1421"/>
      <c r="BS277" s="1421"/>
      <c r="BT277" s="2133"/>
      <c r="BU277" s="2134"/>
      <c r="BV277" s="357"/>
      <c r="BW277" s="357"/>
      <c r="BX277" s="357"/>
      <c r="BY277" s="357"/>
      <c r="BZ277" s="357"/>
      <c r="CA277" s="357"/>
      <c r="CB277" s="357"/>
      <c r="CC277" s="357"/>
    </row>
    <row r="278" spans="1:81">
      <c r="A278" s="546"/>
      <c r="B278" s="357"/>
      <c r="C278" s="357"/>
      <c r="D278" s="546"/>
      <c r="E278" s="357"/>
      <c r="F278" s="357"/>
      <c r="G278" s="357"/>
      <c r="H278" s="357"/>
      <c r="I278" s="357"/>
      <c r="J278" s="357"/>
      <c r="K278" s="357"/>
      <c r="L278" s="357"/>
      <c r="M278" s="357"/>
      <c r="N278" s="357"/>
      <c r="O278" s="357"/>
      <c r="P278" s="357"/>
      <c r="Q278" s="357"/>
      <c r="R278" s="357"/>
      <c r="S278" s="357"/>
      <c r="T278" s="357"/>
      <c r="U278" s="1395"/>
      <c r="V278" s="357"/>
      <c r="W278" s="357"/>
      <c r="X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1421"/>
      <c r="BM278" s="1421"/>
      <c r="BN278" s="1967"/>
      <c r="BO278" s="1421"/>
      <c r="BP278" s="1421"/>
      <c r="BQ278" s="1421"/>
      <c r="BR278" s="1421"/>
      <c r="BS278" s="1421"/>
      <c r="BT278" s="2131"/>
      <c r="BU278" s="2132"/>
      <c r="BV278" s="357"/>
      <c r="BW278" s="357"/>
      <c r="BX278" s="357"/>
      <c r="BY278" s="357"/>
      <c r="BZ278" s="357"/>
      <c r="CA278" s="357"/>
      <c r="CB278" s="357"/>
      <c r="CC278" s="357"/>
    </row>
    <row r="279" spans="1:81">
      <c r="A279" s="546"/>
      <c r="B279" s="357"/>
      <c r="C279" s="357"/>
      <c r="D279" s="546"/>
      <c r="E279" s="357"/>
      <c r="F279" s="357"/>
      <c r="G279" s="357"/>
      <c r="H279" s="357"/>
      <c r="I279" s="357"/>
      <c r="J279" s="357"/>
      <c r="K279" s="357"/>
      <c r="L279" s="357"/>
      <c r="M279" s="357"/>
      <c r="N279" s="357"/>
      <c r="O279" s="357"/>
      <c r="P279" s="357"/>
      <c r="Q279" s="357"/>
      <c r="R279" s="357"/>
      <c r="S279" s="357"/>
      <c r="T279" s="357"/>
      <c r="U279" s="1395"/>
      <c r="V279" s="357"/>
      <c r="W279" s="357"/>
      <c r="X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c r="AT279" s="357"/>
      <c r="AU279" s="357"/>
      <c r="AV279" s="357"/>
      <c r="AW279" s="357"/>
      <c r="AX279" s="357"/>
      <c r="AY279" s="357"/>
      <c r="AZ279" s="357"/>
      <c r="BA279" s="357"/>
      <c r="BB279" s="357"/>
      <c r="BC279" s="357"/>
      <c r="BD279" s="357"/>
      <c r="BE279" s="357"/>
      <c r="BF279" s="357"/>
      <c r="BG279" s="357"/>
      <c r="BH279" s="357"/>
      <c r="BI279" s="357"/>
      <c r="BJ279" s="357"/>
      <c r="BK279" s="357"/>
      <c r="BL279" s="1421"/>
      <c r="BM279" s="1421"/>
      <c r="BN279" s="1967"/>
      <c r="BO279" s="1421"/>
      <c r="BP279" s="1421"/>
      <c r="BQ279" s="1421"/>
      <c r="BR279" s="1421"/>
      <c r="BS279" s="1421"/>
      <c r="BT279" s="2133"/>
      <c r="BU279" s="2134"/>
      <c r="BV279" s="357"/>
      <c r="BW279" s="357"/>
      <c r="BX279" s="357"/>
      <c r="BY279" s="357"/>
      <c r="BZ279" s="357"/>
      <c r="CA279" s="357"/>
      <c r="CB279" s="357"/>
      <c r="CC279" s="357"/>
    </row>
    <row r="280" spans="1:81">
      <c r="A280" s="546"/>
      <c r="B280" s="357"/>
      <c r="C280" s="357"/>
      <c r="D280" s="546"/>
      <c r="E280" s="357"/>
      <c r="F280" s="357"/>
      <c r="G280" s="357"/>
      <c r="H280" s="357"/>
      <c r="I280" s="357"/>
      <c r="J280" s="357"/>
      <c r="K280" s="357"/>
      <c r="L280" s="357"/>
      <c r="M280" s="357"/>
      <c r="N280" s="357"/>
      <c r="O280" s="357"/>
      <c r="P280" s="357"/>
      <c r="Q280" s="357"/>
      <c r="R280" s="357"/>
      <c r="S280" s="357"/>
      <c r="T280" s="357"/>
      <c r="U280" s="1395"/>
      <c r="V280" s="357"/>
      <c r="W280" s="357"/>
      <c r="X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c r="AT280" s="357"/>
      <c r="AU280" s="357"/>
      <c r="AV280" s="357"/>
      <c r="AW280" s="357"/>
      <c r="AX280" s="357"/>
      <c r="AY280" s="357"/>
      <c r="AZ280" s="357"/>
      <c r="BA280" s="357"/>
      <c r="BB280" s="357"/>
      <c r="BC280" s="357"/>
      <c r="BD280" s="357"/>
      <c r="BE280" s="357"/>
      <c r="BF280" s="357"/>
      <c r="BG280" s="357"/>
      <c r="BH280" s="357"/>
      <c r="BI280" s="357"/>
      <c r="BJ280" s="357"/>
      <c r="BK280" s="357"/>
      <c r="BL280" s="1421"/>
      <c r="BM280" s="1421"/>
      <c r="BN280" s="1967"/>
      <c r="BO280" s="1421"/>
      <c r="BP280" s="1421"/>
      <c r="BQ280" s="1421"/>
      <c r="BR280" s="1421"/>
      <c r="BS280" s="1421"/>
      <c r="BT280" s="2133"/>
      <c r="BU280" s="2138"/>
      <c r="BV280" s="357"/>
      <c r="BW280" s="357"/>
      <c r="BX280" s="357"/>
      <c r="BY280" s="357"/>
      <c r="BZ280" s="357"/>
      <c r="CA280" s="357"/>
      <c r="CB280" s="357"/>
      <c r="CC280" s="357"/>
    </row>
    <row r="281" spans="1:81">
      <c r="A281" s="546"/>
      <c r="B281" s="357"/>
      <c r="C281" s="357"/>
      <c r="D281" s="546"/>
      <c r="E281" s="357"/>
      <c r="F281" s="357"/>
      <c r="G281" s="357"/>
      <c r="H281" s="357"/>
      <c r="I281" s="357"/>
      <c r="J281" s="357"/>
      <c r="K281" s="357"/>
      <c r="L281" s="357"/>
      <c r="M281" s="357"/>
      <c r="N281" s="357"/>
      <c r="O281" s="357"/>
      <c r="P281" s="357"/>
      <c r="Q281" s="357"/>
      <c r="R281" s="357"/>
      <c r="S281" s="357"/>
      <c r="T281" s="357"/>
      <c r="U281" s="1395"/>
      <c r="V281" s="357"/>
      <c r="W281" s="357"/>
      <c r="X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c r="AT281" s="357"/>
      <c r="AU281" s="357"/>
      <c r="AV281" s="357"/>
      <c r="AW281" s="357"/>
      <c r="AX281" s="357"/>
      <c r="AY281" s="357"/>
      <c r="AZ281" s="357"/>
      <c r="BA281" s="357"/>
      <c r="BB281" s="357"/>
      <c r="BC281" s="357"/>
      <c r="BD281" s="357"/>
      <c r="BE281" s="357"/>
      <c r="BF281" s="357"/>
      <c r="BG281" s="357"/>
      <c r="BH281" s="357"/>
      <c r="BI281" s="357"/>
      <c r="BJ281" s="357"/>
      <c r="BK281" s="357"/>
      <c r="BL281" s="1421"/>
      <c r="BM281" s="1421"/>
      <c r="BN281" s="1967"/>
      <c r="BO281" s="1421"/>
      <c r="BP281" s="1421"/>
      <c r="BQ281" s="1421"/>
      <c r="BR281" s="1421"/>
      <c r="BS281" s="1421"/>
      <c r="BT281" s="2133"/>
      <c r="BU281" s="2138"/>
      <c r="BV281" s="357"/>
      <c r="BW281" s="357"/>
      <c r="BX281" s="357"/>
      <c r="BY281" s="357"/>
      <c r="BZ281" s="357"/>
      <c r="CA281" s="357"/>
      <c r="CB281" s="357"/>
      <c r="CC281" s="357"/>
    </row>
    <row r="282" spans="1:81">
      <c r="A282" s="546"/>
      <c r="B282" s="357"/>
      <c r="C282" s="357"/>
      <c r="D282" s="546"/>
      <c r="E282" s="357"/>
      <c r="F282" s="357"/>
      <c r="G282" s="357"/>
      <c r="H282" s="357"/>
      <c r="I282" s="357"/>
      <c r="J282" s="357"/>
      <c r="K282" s="357"/>
      <c r="L282" s="357"/>
      <c r="M282" s="357"/>
      <c r="N282" s="357"/>
      <c r="O282" s="357"/>
      <c r="P282" s="357"/>
      <c r="Q282" s="357"/>
      <c r="R282" s="357"/>
      <c r="S282" s="357"/>
      <c r="T282" s="357"/>
      <c r="U282" s="1395"/>
      <c r="V282" s="357"/>
      <c r="W282" s="357"/>
      <c r="X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c r="AT282" s="357"/>
      <c r="AU282" s="357"/>
      <c r="AV282" s="357"/>
      <c r="AW282" s="357"/>
      <c r="AX282" s="357"/>
      <c r="AY282" s="357"/>
      <c r="AZ282" s="357"/>
      <c r="BA282" s="357"/>
      <c r="BB282" s="357"/>
      <c r="BC282" s="357"/>
      <c r="BD282" s="357"/>
      <c r="BE282" s="357"/>
      <c r="BF282" s="357"/>
      <c r="BG282" s="357"/>
      <c r="BH282" s="357"/>
      <c r="BI282" s="357"/>
      <c r="BJ282" s="357"/>
      <c r="BK282" s="357"/>
      <c r="BL282" s="1421"/>
      <c r="BM282" s="1421"/>
      <c r="BN282" s="1967"/>
      <c r="BO282" s="1421"/>
      <c r="BP282" s="1421"/>
      <c r="BQ282" s="1421"/>
      <c r="BR282" s="1421"/>
      <c r="BS282" s="1421"/>
      <c r="BT282" s="2131"/>
      <c r="BU282" s="2132"/>
      <c r="BV282" s="357"/>
      <c r="BW282" s="357"/>
      <c r="BX282" s="357"/>
      <c r="BY282" s="357"/>
      <c r="BZ282" s="357"/>
      <c r="CA282" s="357"/>
      <c r="CB282" s="357"/>
      <c r="CC282" s="357"/>
    </row>
    <row r="283" spans="1:81">
      <c r="A283" s="546"/>
      <c r="B283" s="357"/>
      <c r="C283" s="357"/>
      <c r="D283" s="546"/>
      <c r="E283" s="357"/>
      <c r="F283" s="357"/>
      <c r="G283" s="357"/>
      <c r="H283" s="357"/>
      <c r="I283" s="357"/>
      <c r="J283" s="357"/>
      <c r="K283" s="357"/>
      <c r="L283" s="357"/>
      <c r="M283" s="357"/>
      <c r="N283" s="357"/>
      <c r="O283" s="357"/>
      <c r="P283" s="357"/>
      <c r="Q283" s="357"/>
      <c r="R283" s="357"/>
      <c r="S283" s="357"/>
      <c r="T283" s="357"/>
      <c r="U283" s="1395"/>
      <c r="V283" s="357"/>
      <c r="W283" s="357"/>
      <c r="X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c r="AT283" s="357"/>
      <c r="AU283" s="357"/>
      <c r="AV283" s="357"/>
      <c r="AW283" s="357"/>
      <c r="AX283" s="357"/>
      <c r="AY283" s="357"/>
      <c r="AZ283" s="357"/>
      <c r="BA283" s="357"/>
      <c r="BB283" s="357"/>
      <c r="BC283" s="357"/>
      <c r="BD283" s="357"/>
      <c r="BE283" s="357"/>
      <c r="BF283" s="357"/>
      <c r="BG283" s="357"/>
      <c r="BH283" s="357"/>
      <c r="BI283" s="357"/>
      <c r="BJ283" s="357"/>
      <c r="BK283" s="357"/>
      <c r="BL283" s="1421"/>
      <c r="BM283" s="1421"/>
      <c r="BN283" s="1967"/>
      <c r="BO283" s="1421"/>
      <c r="BP283" s="1421"/>
      <c r="BQ283" s="1421"/>
      <c r="BR283" s="1421"/>
      <c r="BS283" s="1421"/>
      <c r="BT283" s="2131"/>
      <c r="BU283" s="2132"/>
      <c r="BV283" s="357"/>
      <c r="BW283" s="357"/>
      <c r="BX283" s="357"/>
      <c r="BY283" s="357"/>
      <c r="BZ283" s="357"/>
      <c r="CA283" s="357"/>
      <c r="CB283" s="357"/>
      <c r="CC283" s="357"/>
    </row>
    <row r="284" spans="1:81">
      <c r="A284" s="546"/>
      <c r="B284" s="357"/>
      <c r="C284" s="357"/>
      <c r="D284" s="546"/>
      <c r="E284" s="357"/>
      <c r="F284" s="357"/>
      <c r="G284" s="357"/>
      <c r="H284" s="357"/>
      <c r="I284" s="357"/>
      <c r="J284" s="357"/>
      <c r="K284" s="357"/>
      <c r="L284" s="357"/>
      <c r="M284" s="357"/>
      <c r="N284" s="357"/>
      <c r="O284" s="357"/>
      <c r="P284" s="357"/>
      <c r="Q284" s="357"/>
      <c r="R284" s="357"/>
      <c r="S284" s="357"/>
      <c r="T284" s="357"/>
      <c r="U284" s="1395"/>
      <c r="V284" s="357"/>
      <c r="W284" s="357"/>
      <c r="X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1421"/>
      <c r="BM284" s="1421"/>
      <c r="BN284" s="1967"/>
      <c r="BO284" s="1421"/>
      <c r="BP284" s="1421"/>
      <c r="BQ284" s="1421"/>
      <c r="BR284" s="1421"/>
      <c r="BS284" s="1421"/>
      <c r="BT284" s="2133"/>
      <c r="BU284" s="2134"/>
      <c r="BV284" s="357"/>
      <c r="BW284" s="357"/>
      <c r="BX284" s="357"/>
      <c r="BY284" s="357"/>
      <c r="BZ284" s="357"/>
      <c r="CA284" s="357"/>
      <c r="CB284" s="357"/>
      <c r="CC284" s="357"/>
    </row>
    <row r="285" spans="1:81">
      <c r="A285" s="546"/>
      <c r="B285" s="357"/>
      <c r="C285" s="357"/>
      <c r="D285" s="546"/>
      <c r="E285" s="357"/>
      <c r="F285" s="357"/>
      <c r="G285" s="357"/>
      <c r="H285" s="357"/>
      <c r="I285" s="357"/>
      <c r="J285" s="357"/>
      <c r="K285" s="357"/>
      <c r="L285" s="357"/>
      <c r="M285" s="357"/>
      <c r="N285" s="357"/>
      <c r="O285" s="357"/>
      <c r="P285" s="357"/>
      <c r="Q285" s="357"/>
      <c r="R285" s="357"/>
      <c r="S285" s="357"/>
      <c r="T285" s="357"/>
      <c r="U285" s="1395"/>
      <c r="V285" s="357"/>
      <c r="W285" s="357"/>
      <c r="X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1421"/>
      <c r="BM285" s="1421"/>
      <c r="BN285" s="1967"/>
      <c r="BO285" s="1421"/>
      <c r="BP285" s="1421"/>
      <c r="BQ285" s="1421"/>
      <c r="BR285" s="1421"/>
      <c r="BS285" s="1421"/>
      <c r="BT285" s="2131"/>
      <c r="BU285" s="2132"/>
      <c r="BV285" s="357"/>
      <c r="BW285" s="357"/>
      <c r="BX285" s="357"/>
      <c r="BY285" s="357"/>
      <c r="BZ285" s="357"/>
      <c r="CA285" s="357"/>
      <c r="CB285" s="357"/>
      <c r="CC285" s="357"/>
    </row>
    <row r="286" spans="1:81">
      <c r="A286" s="546"/>
      <c r="B286" s="357"/>
      <c r="C286" s="357"/>
      <c r="D286" s="546"/>
      <c r="E286" s="357"/>
      <c r="F286" s="357"/>
      <c r="G286" s="357"/>
      <c r="H286" s="357"/>
      <c r="I286" s="357"/>
      <c r="J286" s="357"/>
      <c r="K286" s="357"/>
      <c r="L286" s="357"/>
      <c r="M286" s="357"/>
      <c r="N286" s="357"/>
      <c r="O286" s="357"/>
      <c r="P286" s="357"/>
      <c r="Q286" s="357"/>
      <c r="R286" s="357"/>
      <c r="S286" s="357"/>
      <c r="T286" s="357"/>
      <c r="U286" s="1395"/>
      <c r="V286" s="357"/>
      <c r="W286" s="357"/>
      <c r="X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1421"/>
      <c r="BM286" s="1421"/>
      <c r="BN286" s="1967"/>
      <c r="BO286" s="1421"/>
      <c r="BP286" s="1421"/>
      <c r="BQ286" s="1421"/>
      <c r="BR286" s="1421"/>
      <c r="BS286" s="1421"/>
      <c r="BT286" s="2135"/>
      <c r="BU286" s="2132"/>
      <c r="BV286" s="357"/>
      <c r="BW286" s="357"/>
      <c r="BX286" s="357"/>
      <c r="BY286" s="357"/>
      <c r="BZ286" s="357"/>
      <c r="CA286" s="357"/>
      <c r="CB286" s="357"/>
      <c r="CC286" s="357"/>
    </row>
    <row r="287" spans="1:81">
      <c r="A287" s="546"/>
      <c r="B287" s="357"/>
      <c r="C287" s="357"/>
      <c r="D287" s="546"/>
      <c r="E287" s="357"/>
      <c r="F287" s="357"/>
      <c r="G287" s="357"/>
      <c r="H287" s="357"/>
      <c r="I287" s="357"/>
      <c r="J287" s="357"/>
      <c r="K287" s="357"/>
      <c r="L287" s="357"/>
      <c r="M287" s="357"/>
      <c r="N287" s="357"/>
      <c r="O287" s="357"/>
      <c r="P287" s="357"/>
      <c r="Q287" s="357"/>
      <c r="R287" s="357"/>
      <c r="S287" s="357"/>
      <c r="T287" s="357"/>
      <c r="U287" s="1395"/>
      <c r="V287" s="357"/>
      <c r="W287" s="357"/>
      <c r="X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1421"/>
      <c r="BM287" s="1421"/>
      <c r="BN287" s="1421"/>
      <c r="BO287" s="1421"/>
      <c r="BP287" s="1421"/>
      <c r="BQ287" s="1421"/>
      <c r="BR287" s="1421"/>
      <c r="BS287" s="1421"/>
      <c r="BT287" s="2131"/>
      <c r="BU287" s="2132"/>
      <c r="BV287" s="357"/>
      <c r="BW287" s="357"/>
      <c r="BX287" s="357"/>
      <c r="BY287" s="357"/>
      <c r="BZ287" s="357"/>
      <c r="CA287" s="357"/>
      <c r="CB287" s="357"/>
      <c r="CC287" s="357"/>
    </row>
    <row r="288" spans="1:81">
      <c r="A288" s="546"/>
      <c r="B288" s="357"/>
      <c r="C288" s="357"/>
      <c r="D288" s="546"/>
      <c r="E288" s="357"/>
      <c r="F288" s="357"/>
      <c r="G288" s="357"/>
      <c r="H288" s="357"/>
      <c r="I288" s="357"/>
      <c r="J288" s="357"/>
      <c r="K288" s="357"/>
      <c r="L288" s="357"/>
      <c r="M288" s="357"/>
      <c r="N288" s="357"/>
      <c r="O288" s="357"/>
      <c r="P288" s="357"/>
      <c r="Q288" s="357"/>
      <c r="R288" s="357"/>
      <c r="S288" s="357"/>
      <c r="T288" s="357"/>
      <c r="U288" s="1395"/>
      <c r="V288" s="357"/>
      <c r="W288" s="357"/>
      <c r="X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1421"/>
      <c r="BM288" s="1421"/>
      <c r="BN288" s="1421"/>
      <c r="BO288" s="1421"/>
      <c r="BP288" s="1421"/>
      <c r="BQ288" s="1421"/>
      <c r="BR288" s="1421"/>
      <c r="BS288" s="1421"/>
      <c r="BT288" s="2131"/>
      <c r="BU288" s="2132"/>
      <c r="BV288" s="357"/>
      <c r="BW288" s="357"/>
      <c r="BX288" s="357"/>
      <c r="BY288" s="357"/>
      <c r="BZ288" s="357"/>
      <c r="CA288" s="357"/>
      <c r="CB288" s="357"/>
      <c r="CC288" s="357"/>
    </row>
    <row r="289" spans="1:81">
      <c r="A289" s="546"/>
      <c r="B289" s="357"/>
      <c r="C289" s="357"/>
      <c r="D289" s="546"/>
      <c r="E289" s="357"/>
      <c r="F289" s="357"/>
      <c r="G289" s="357"/>
      <c r="H289" s="357"/>
      <c r="I289" s="357"/>
      <c r="J289" s="357"/>
      <c r="K289" s="357"/>
      <c r="L289" s="357"/>
      <c r="M289" s="357"/>
      <c r="N289" s="357"/>
      <c r="O289" s="357"/>
      <c r="P289" s="357"/>
      <c r="Q289" s="357"/>
      <c r="R289" s="357"/>
      <c r="S289" s="357"/>
      <c r="T289" s="357"/>
      <c r="U289" s="1395"/>
      <c r="V289" s="357"/>
      <c r="W289" s="357"/>
      <c r="X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c r="AT289" s="357"/>
      <c r="AU289" s="357"/>
      <c r="AV289" s="357"/>
      <c r="AW289" s="357"/>
      <c r="AX289" s="357"/>
      <c r="AY289" s="357"/>
      <c r="AZ289" s="357"/>
      <c r="BA289" s="357"/>
      <c r="BB289" s="357"/>
      <c r="BC289" s="357"/>
      <c r="BD289" s="357"/>
      <c r="BE289" s="357"/>
      <c r="BF289" s="357"/>
      <c r="BG289" s="357"/>
      <c r="BH289" s="357"/>
      <c r="BI289" s="357"/>
      <c r="BJ289" s="357"/>
      <c r="BK289" s="357"/>
      <c r="BL289" s="1421"/>
      <c r="BM289" s="1421"/>
      <c r="BN289" s="1421"/>
      <c r="BO289" s="1421"/>
      <c r="BP289" s="1421"/>
      <c r="BQ289" s="1421"/>
      <c r="BR289" s="1421"/>
      <c r="BS289" s="1421"/>
      <c r="BT289" s="2133"/>
      <c r="BU289" s="2134"/>
      <c r="BV289" s="357"/>
      <c r="BW289" s="357"/>
      <c r="BX289" s="357"/>
      <c r="BY289" s="357"/>
      <c r="BZ289" s="357"/>
      <c r="CA289" s="357"/>
      <c r="CB289" s="357"/>
      <c r="CC289" s="357"/>
    </row>
    <row r="290" spans="1:81">
      <c r="A290" s="546"/>
      <c r="B290" s="357"/>
      <c r="C290" s="357"/>
      <c r="D290" s="546"/>
      <c r="E290" s="357"/>
      <c r="F290" s="357"/>
      <c r="G290" s="357"/>
      <c r="H290" s="357"/>
      <c r="I290" s="357"/>
      <c r="J290" s="357"/>
      <c r="K290" s="357"/>
      <c r="L290" s="357"/>
      <c r="M290" s="357"/>
      <c r="N290" s="357"/>
      <c r="O290" s="357"/>
      <c r="P290" s="357"/>
      <c r="Q290" s="357"/>
      <c r="R290" s="357"/>
      <c r="S290" s="357"/>
      <c r="T290" s="357"/>
      <c r="U290" s="1395"/>
      <c r="V290" s="357"/>
      <c r="W290" s="357"/>
      <c r="X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c r="AT290" s="357"/>
      <c r="AU290" s="357"/>
      <c r="AV290" s="357"/>
      <c r="AW290" s="357"/>
      <c r="AX290" s="357"/>
      <c r="AY290" s="357"/>
      <c r="AZ290" s="357"/>
      <c r="BA290" s="357"/>
      <c r="BB290" s="357"/>
      <c r="BC290" s="357"/>
      <c r="BD290" s="357"/>
      <c r="BE290" s="357"/>
      <c r="BF290" s="357"/>
      <c r="BG290" s="357"/>
      <c r="BH290" s="357"/>
      <c r="BI290" s="357"/>
      <c r="BJ290" s="357"/>
      <c r="BK290" s="357"/>
      <c r="BL290" s="1421"/>
      <c r="BM290" s="1421"/>
      <c r="BN290" s="1421"/>
      <c r="BO290" s="1421"/>
      <c r="BP290" s="1421"/>
      <c r="BQ290" s="1421"/>
      <c r="BR290" s="1421"/>
      <c r="BS290" s="1421"/>
      <c r="BT290" s="2131"/>
      <c r="BU290" s="2132"/>
      <c r="BV290" s="357"/>
      <c r="BW290" s="357"/>
      <c r="BX290" s="357"/>
      <c r="BY290" s="357"/>
      <c r="BZ290" s="357"/>
      <c r="CA290" s="357"/>
      <c r="CB290" s="357"/>
      <c r="CC290" s="357"/>
    </row>
    <row r="291" spans="1:81">
      <c r="A291" s="546"/>
      <c r="B291" s="357"/>
      <c r="C291" s="357"/>
      <c r="D291" s="546"/>
      <c r="E291" s="357"/>
      <c r="F291" s="357"/>
      <c r="G291" s="357"/>
      <c r="H291" s="357"/>
      <c r="I291" s="357"/>
      <c r="J291" s="357"/>
      <c r="K291" s="357"/>
      <c r="L291" s="357"/>
      <c r="M291" s="357"/>
      <c r="N291" s="357"/>
      <c r="O291" s="357"/>
      <c r="P291" s="357"/>
      <c r="Q291" s="357"/>
      <c r="R291" s="357"/>
      <c r="S291" s="357"/>
      <c r="T291" s="357"/>
      <c r="U291" s="1395"/>
      <c r="V291" s="357"/>
      <c r="W291" s="357"/>
      <c r="X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c r="AT291" s="357"/>
      <c r="AU291" s="357"/>
      <c r="AV291" s="357"/>
      <c r="AW291" s="357"/>
      <c r="AX291" s="357"/>
      <c r="AY291" s="357"/>
      <c r="AZ291" s="357"/>
      <c r="BA291" s="357"/>
      <c r="BB291" s="357"/>
      <c r="BC291" s="357"/>
      <c r="BD291" s="357"/>
      <c r="BE291" s="357"/>
      <c r="BF291" s="357"/>
      <c r="BG291" s="357"/>
      <c r="BH291" s="357"/>
      <c r="BI291" s="357"/>
      <c r="BJ291" s="357"/>
      <c r="BK291" s="357"/>
      <c r="BL291" s="1421"/>
      <c r="BM291" s="1421"/>
      <c r="BN291" s="1421"/>
      <c r="BO291" s="1421"/>
      <c r="BP291" s="1421"/>
      <c r="BQ291" s="1421"/>
      <c r="BR291" s="1421"/>
      <c r="BS291" s="1421"/>
      <c r="BT291" s="2131"/>
      <c r="BU291" s="2132"/>
      <c r="BV291" s="357"/>
      <c r="BW291" s="357"/>
      <c r="BX291" s="357"/>
      <c r="BY291" s="357"/>
      <c r="BZ291" s="357"/>
      <c r="CA291" s="357"/>
      <c r="CB291" s="357"/>
      <c r="CC291" s="357"/>
    </row>
    <row r="292" spans="1:81">
      <c r="A292" s="546"/>
      <c r="B292" s="357"/>
      <c r="C292" s="357"/>
      <c r="D292" s="546"/>
      <c r="E292" s="357"/>
      <c r="F292" s="357"/>
      <c r="G292" s="357"/>
      <c r="H292" s="357"/>
      <c r="I292" s="357"/>
      <c r="J292" s="357"/>
      <c r="K292" s="357"/>
      <c r="L292" s="357"/>
      <c r="M292" s="357"/>
      <c r="N292" s="357"/>
      <c r="O292" s="357"/>
      <c r="P292" s="357"/>
      <c r="Q292" s="357"/>
      <c r="R292" s="357"/>
      <c r="S292" s="357"/>
      <c r="T292" s="357"/>
      <c r="U292" s="1395"/>
      <c r="V292" s="357"/>
      <c r="W292" s="357"/>
      <c r="X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c r="AT292" s="357"/>
      <c r="AU292" s="357"/>
      <c r="AV292" s="357"/>
      <c r="AW292" s="357"/>
      <c r="AX292" s="357"/>
      <c r="AY292" s="357"/>
      <c r="AZ292" s="357"/>
      <c r="BA292" s="357"/>
      <c r="BB292" s="357"/>
      <c r="BC292" s="357"/>
      <c r="BD292" s="357"/>
      <c r="BE292" s="357"/>
      <c r="BF292" s="357"/>
      <c r="BG292" s="357"/>
      <c r="BH292" s="357"/>
      <c r="BI292" s="357"/>
      <c r="BJ292" s="357"/>
      <c r="BK292" s="357"/>
      <c r="BL292" s="1421"/>
      <c r="BM292" s="1421"/>
      <c r="BN292" s="1421"/>
      <c r="BO292" s="1421"/>
      <c r="BP292" s="1421"/>
      <c r="BQ292" s="1421"/>
      <c r="BR292" s="1421"/>
      <c r="BS292" s="1421"/>
      <c r="BT292" s="2131"/>
      <c r="BU292" s="2132"/>
      <c r="BV292" s="357"/>
      <c r="BW292" s="357"/>
      <c r="BX292" s="357"/>
      <c r="BY292" s="357"/>
      <c r="BZ292" s="357"/>
      <c r="CA292" s="357"/>
      <c r="CB292" s="357"/>
      <c r="CC292" s="357"/>
    </row>
    <row r="293" spans="1:81">
      <c r="A293" s="546"/>
      <c r="B293" s="357"/>
      <c r="C293" s="357"/>
      <c r="D293" s="546"/>
      <c r="E293" s="357"/>
      <c r="F293" s="357"/>
      <c r="G293" s="357"/>
      <c r="H293" s="357"/>
      <c r="I293" s="357"/>
      <c r="J293" s="357"/>
      <c r="K293" s="357"/>
      <c r="L293" s="357"/>
      <c r="M293" s="357"/>
      <c r="N293" s="357"/>
      <c r="O293" s="357"/>
      <c r="P293" s="357"/>
      <c r="Q293" s="357"/>
      <c r="R293" s="357"/>
      <c r="S293" s="357"/>
      <c r="T293" s="357"/>
      <c r="U293" s="1395"/>
      <c r="V293" s="357"/>
      <c r="W293" s="357"/>
      <c r="X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c r="AT293" s="357"/>
      <c r="AU293" s="357"/>
      <c r="AV293" s="357"/>
      <c r="AW293" s="357"/>
      <c r="AX293" s="357"/>
      <c r="AY293" s="357"/>
      <c r="AZ293" s="357"/>
      <c r="BA293" s="357"/>
      <c r="BB293" s="357"/>
      <c r="BC293" s="357"/>
      <c r="BD293" s="357"/>
      <c r="BE293" s="357"/>
      <c r="BF293" s="357"/>
      <c r="BG293" s="357"/>
      <c r="BH293" s="357"/>
      <c r="BI293" s="357"/>
      <c r="BJ293" s="357"/>
      <c r="BK293" s="357"/>
      <c r="BL293" s="1421"/>
      <c r="BM293" s="1421"/>
      <c r="BN293" s="1421"/>
      <c r="BO293" s="1421"/>
      <c r="BP293" s="1421"/>
      <c r="BQ293" s="1421"/>
      <c r="BR293" s="1421"/>
      <c r="BS293" s="1421"/>
      <c r="BT293" s="2131"/>
      <c r="BU293" s="2132"/>
      <c r="BV293" s="357"/>
      <c r="BW293" s="357"/>
      <c r="BX293" s="357"/>
      <c r="BY293" s="357"/>
      <c r="BZ293" s="357"/>
      <c r="CA293" s="357"/>
      <c r="CB293" s="357"/>
      <c r="CC293" s="357"/>
    </row>
    <row r="294" spans="1:81">
      <c r="A294" s="546"/>
      <c r="B294" s="357"/>
      <c r="C294" s="357"/>
      <c r="D294" s="546"/>
      <c r="E294" s="357"/>
      <c r="F294" s="357"/>
      <c r="G294" s="357"/>
      <c r="H294" s="357"/>
      <c r="I294" s="357"/>
      <c r="J294" s="357"/>
      <c r="K294" s="357"/>
      <c r="L294" s="357"/>
      <c r="M294" s="357"/>
      <c r="N294" s="357"/>
      <c r="O294" s="357"/>
      <c r="P294" s="357"/>
      <c r="Q294" s="357"/>
      <c r="R294" s="357"/>
      <c r="S294" s="357"/>
      <c r="T294" s="357"/>
      <c r="U294" s="1395"/>
      <c r="V294" s="357"/>
      <c r="W294" s="357"/>
      <c r="X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c r="AT294" s="357"/>
      <c r="AU294" s="357"/>
      <c r="AV294" s="357"/>
      <c r="AW294" s="357"/>
      <c r="AX294" s="357"/>
      <c r="AY294" s="357"/>
      <c r="AZ294" s="357"/>
      <c r="BA294" s="357"/>
      <c r="BB294" s="357"/>
      <c r="BC294" s="357"/>
      <c r="BD294" s="357"/>
      <c r="BE294" s="357"/>
      <c r="BF294" s="357"/>
      <c r="BG294" s="357"/>
      <c r="BH294" s="357"/>
      <c r="BI294" s="357"/>
      <c r="BJ294" s="357"/>
      <c r="BK294" s="357"/>
      <c r="BL294" s="1421"/>
      <c r="BM294" s="1421"/>
      <c r="BN294" s="1421"/>
      <c r="BO294" s="1421"/>
      <c r="BP294" s="1421"/>
      <c r="BQ294" s="1421"/>
      <c r="BR294" s="1421"/>
      <c r="BS294" s="1421"/>
      <c r="BT294" s="2131"/>
      <c r="BU294" s="2132"/>
      <c r="BV294" s="357"/>
      <c r="BW294" s="357"/>
      <c r="BX294" s="357"/>
      <c r="BY294" s="357"/>
      <c r="BZ294" s="357"/>
      <c r="CA294" s="357"/>
      <c r="CB294" s="357"/>
      <c r="CC294" s="357"/>
    </row>
    <row r="295" spans="1:81">
      <c r="A295" s="546"/>
      <c r="B295" s="357"/>
      <c r="C295" s="357"/>
      <c r="D295" s="546"/>
      <c r="E295" s="357"/>
      <c r="F295" s="357"/>
      <c r="G295" s="357"/>
      <c r="H295" s="357"/>
      <c r="I295" s="357"/>
      <c r="J295" s="357"/>
      <c r="K295" s="357"/>
      <c r="L295" s="357"/>
      <c r="M295" s="357"/>
      <c r="N295" s="357"/>
      <c r="O295" s="357"/>
      <c r="P295" s="357"/>
      <c r="Q295" s="357"/>
      <c r="R295" s="357"/>
      <c r="S295" s="357"/>
      <c r="T295" s="357"/>
      <c r="U295" s="1395"/>
      <c r="V295" s="357"/>
      <c r="W295" s="357"/>
      <c r="X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357"/>
      <c r="AV295" s="357"/>
      <c r="AW295" s="357"/>
      <c r="AX295" s="357"/>
      <c r="AY295" s="357"/>
      <c r="AZ295" s="357"/>
      <c r="BA295" s="357"/>
      <c r="BB295" s="357"/>
      <c r="BC295" s="357"/>
      <c r="BD295" s="357"/>
      <c r="BE295" s="357"/>
      <c r="BF295" s="357"/>
      <c r="BG295" s="357"/>
      <c r="BH295" s="357"/>
      <c r="BI295" s="357"/>
      <c r="BJ295" s="357"/>
      <c r="BK295" s="357"/>
      <c r="BL295" s="1421"/>
      <c r="BM295" s="1421"/>
      <c r="BN295" s="1421"/>
      <c r="BO295" s="1421"/>
      <c r="BP295" s="1421"/>
      <c r="BQ295" s="1421"/>
      <c r="BR295" s="1421"/>
      <c r="BS295" s="1421"/>
      <c r="BT295" s="2131"/>
      <c r="BU295" s="2132"/>
      <c r="BV295" s="357"/>
      <c r="BW295" s="357"/>
      <c r="BX295" s="357"/>
      <c r="BY295" s="357"/>
      <c r="BZ295" s="357"/>
      <c r="CA295" s="357"/>
      <c r="CB295" s="357"/>
      <c r="CC295" s="357"/>
    </row>
    <row r="296" spans="1:81">
      <c r="A296" s="546"/>
      <c r="B296" s="357"/>
      <c r="C296" s="357"/>
      <c r="D296" s="546"/>
      <c r="E296" s="357"/>
      <c r="F296" s="357"/>
      <c r="G296" s="357"/>
      <c r="H296" s="357"/>
      <c r="I296" s="357"/>
      <c r="J296" s="357"/>
      <c r="K296" s="357"/>
      <c r="L296" s="357"/>
      <c r="M296" s="357"/>
      <c r="N296" s="357"/>
      <c r="O296" s="357"/>
      <c r="P296" s="357"/>
      <c r="Q296" s="357"/>
      <c r="R296" s="357"/>
      <c r="S296" s="357"/>
      <c r="T296" s="357"/>
      <c r="U296" s="1395"/>
      <c r="V296" s="357"/>
      <c r="W296" s="357"/>
      <c r="X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c r="AT296" s="357"/>
      <c r="AU296" s="357"/>
      <c r="AV296" s="357"/>
      <c r="AW296" s="357"/>
      <c r="AX296" s="357"/>
      <c r="AY296" s="357"/>
      <c r="AZ296" s="357"/>
      <c r="BA296" s="357"/>
      <c r="BB296" s="357"/>
      <c r="BC296" s="357"/>
      <c r="BD296" s="357"/>
      <c r="BE296" s="357"/>
      <c r="BF296" s="357"/>
      <c r="BG296" s="357"/>
      <c r="BH296" s="357"/>
      <c r="BI296" s="357"/>
      <c r="BJ296" s="357"/>
      <c r="BK296" s="357"/>
      <c r="BL296" s="1421"/>
      <c r="BM296" s="1421"/>
      <c r="BN296" s="1421"/>
      <c r="BO296" s="1421"/>
      <c r="BP296" s="1421"/>
      <c r="BQ296" s="1421"/>
      <c r="BR296" s="1421"/>
      <c r="BS296" s="1421"/>
      <c r="BT296" s="2135"/>
      <c r="BU296" s="2132"/>
      <c r="BV296" s="357"/>
      <c r="BW296" s="357"/>
      <c r="BX296" s="357"/>
      <c r="BY296" s="357"/>
      <c r="BZ296" s="357"/>
      <c r="CA296" s="357"/>
      <c r="CB296" s="357"/>
      <c r="CC296" s="357"/>
    </row>
    <row r="297" spans="1:81">
      <c r="A297" s="546"/>
      <c r="B297" s="357"/>
      <c r="C297" s="357"/>
      <c r="D297" s="546"/>
      <c r="E297" s="357"/>
      <c r="F297" s="357"/>
      <c r="G297" s="357"/>
      <c r="H297" s="357"/>
      <c r="I297" s="357"/>
      <c r="J297" s="357"/>
      <c r="K297" s="357"/>
      <c r="L297" s="357"/>
      <c r="M297" s="357"/>
      <c r="N297" s="357"/>
      <c r="O297" s="357"/>
      <c r="P297" s="357"/>
      <c r="Q297" s="357"/>
      <c r="R297" s="357"/>
      <c r="S297" s="357"/>
      <c r="T297" s="357"/>
      <c r="U297" s="1395"/>
      <c r="V297" s="357"/>
      <c r="W297" s="357"/>
      <c r="X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c r="AT297" s="357"/>
      <c r="AU297" s="357"/>
      <c r="AV297" s="357"/>
      <c r="AW297" s="357"/>
      <c r="AX297" s="357"/>
      <c r="AY297" s="357"/>
      <c r="AZ297" s="357"/>
      <c r="BA297" s="357"/>
      <c r="BB297" s="357"/>
      <c r="BC297" s="357"/>
      <c r="BD297" s="357"/>
      <c r="BE297" s="357"/>
      <c r="BF297" s="357"/>
      <c r="BG297" s="357"/>
      <c r="BH297" s="357"/>
      <c r="BI297" s="357"/>
      <c r="BJ297" s="357"/>
      <c r="BK297" s="357"/>
      <c r="BL297" s="1421"/>
      <c r="BM297" s="1421"/>
      <c r="BN297" s="1421"/>
      <c r="BO297" s="1421"/>
      <c r="BP297" s="1421"/>
      <c r="BQ297" s="1421"/>
      <c r="BR297" s="1421"/>
      <c r="BS297" s="1421"/>
      <c r="BT297" s="2131"/>
      <c r="BU297" s="2132"/>
      <c r="BV297" s="357"/>
      <c r="BW297" s="357"/>
      <c r="BX297" s="357"/>
      <c r="BY297" s="357"/>
      <c r="BZ297" s="357"/>
      <c r="CA297" s="357"/>
      <c r="CB297" s="357"/>
      <c r="CC297" s="357"/>
    </row>
    <row r="298" spans="1:81">
      <c r="A298" s="546"/>
      <c r="B298" s="357"/>
      <c r="C298" s="357"/>
      <c r="D298" s="546"/>
      <c r="E298" s="357"/>
      <c r="F298" s="357"/>
      <c r="G298" s="357"/>
      <c r="H298" s="357"/>
      <c r="I298" s="357"/>
      <c r="J298" s="357"/>
      <c r="K298" s="357"/>
      <c r="L298" s="357"/>
      <c r="M298" s="357"/>
      <c r="N298" s="357"/>
      <c r="O298" s="357"/>
      <c r="P298" s="357"/>
      <c r="Q298" s="357"/>
      <c r="R298" s="357"/>
      <c r="S298" s="357"/>
      <c r="T298" s="357"/>
      <c r="U298" s="1395"/>
      <c r="V298" s="357"/>
      <c r="W298" s="357"/>
      <c r="X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357"/>
      <c r="AU298" s="357"/>
      <c r="AV298" s="357"/>
      <c r="AW298" s="357"/>
      <c r="AX298" s="357"/>
      <c r="AY298" s="357"/>
      <c r="AZ298" s="357"/>
      <c r="BA298" s="357"/>
      <c r="BB298" s="357"/>
      <c r="BC298" s="357"/>
      <c r="BD298" s="357"/>
      <c r="BE298" s="357"/>
      <c r="BF298" s="357"/>
      <c r="BG298" s="357"/>
      <c r="BH298" s="357"/>
      <c r="BI298" s="357"/>
      <c r="BJ298" s="357"/>
      <c r="BK298" s="357"/>
      <c r="BL298" s="1421"/>
      <c r="BM298" s="1421"/>
      <c r="BN298" s="1421"/>
      <c r="BO298" s="1421"/>
      <c r="BP298" s="1421"/>
      <c r="BQ298" s="1421"/>
      <c r="BR298" s="1421"/>
      <c r="BS298" s="1421"/>
      <c r="BT298" s="2131"/>
      <c r="BU298" s="2132"/>
      <c r="BV298" s="357"/>
      <c r="BW298" s="357"/>
      <c r="BX298" s="357"/>
      <c r="BY298" s="357"/>
      <c r="BZ298" s="357"/>
      <c r="CA298" s="357"/>
      <c r="CB298" s="357"/>
      <c r="CC298" s="357"/>
    </row>
    <row r="299" spans="1:81">
      <c r="A299" s="546"/>
      <c r="B299" s="357"/>
      <c r="C299" s="357"/>
      <c r="D299" s="546"/>
      <c r="E299" s="357"/>
      <c r="F299" s="357"/>
      <c r="G299" s="357"/>
      <c r="H299" s="357"/>
      <c r="I299" s="357"/>
      <c r="J299" s="357"/>
      <c r="K299" s="357"/>
      <c r="L299" s="357"/>
      <c r="M299" s="357"/>
      <c r="N299" s="357"/>
      <c r="O299" s="357"/>
      <c r="P299" s="357"/>
      <c r="Q299" s="357"/>
      <c r="R299" s="357"/>
      <c r="S299" s="357"/>
      <c r="T299" s="357"/>
      <c r="U299" s="1395"/>
      <c r="V299" s="357"/>
      <c r="W299" s="357"/>
      <c r="X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c r="AT299" s="357"/>
      <c r="AU299" s="357"/>
      <c r="AV299" s="357"/>
      <c r="AW299" s="357"/>
      <c r="AX299" s="357"/>
      <c r="AY299" s="357"/>
      <c r="AZ299" s="357"/>
      <c r="BA299" s="357"/>
      <c r="BB299" s="357"/>
      <c r="BC299" s="357"/>
      <c r="BD299" s="357"/>
      <c r="BE299" s="357"/>
      <c r="BF299" s="357"/>
      <c r="BG299" s="357"/>
      <c r="BH299" s="357"/>
      <c r="BI299" s="357"/>
      <c r="BJ299" s="357"/>
      <c r="BK299" s="357"/>
      <c r="BL299" s="1421"/>
      <c r="BM299" s="1421"/>
      <c r="BN299" s="1421"/>
      <c r="BO299" s="1421"/>
      <c r="BP299" s="1421"/>
      <c r="BQ299" s="1421"/>
      <c r="BR299" s="1421"/>
      <c r="BS299" s="1421"/>
      <c r="BT299" s="2131"/>
      <c r="BU299" s="2132"/>
      <c r="BV299" s="357"/>
      <c r="BW299" s="357"/>
      <c r="BX299" s="357"/>
      <c r="BY299" s="357"/>
      <c r="BZ299" s="357"/>
      <c r="CA299" s="357"/>
      <c r="CB299" s="357"/>
      <c r="CC299" s="357"/>
    </row>
    <row r="300" spans="1:81">
      <c r="A300" s="546"/>
      <c r="B300" s="357"/>
      <c r="C300" s="357"/>
      <c r="D300" s="546"/>
      <c r="E300" s="357"/>
      <c r="F300" s="357"/>
      <c r="G300" s="357"/>
      <c r="H300" s="357"/>
      <c r="I300" s="357"/>
      <c r="J300" s="357"/>
      <c r="K300" s="357"/>
      <c r="L300" s="357"/>
      <c r="M300" s="357"/>
      <c r="N300" s="357"/>
      <c r="O300" s="357"/>
      <c r="P300" s="357"/>
      <c r="Q300" s="357"/>
      <c r="R300" s="357"/>
      <c r="S300" s="357"/>
      <c r="T300" s="357"/>
      <c r="U300" s="1395"/>
      <c r="V300" s="357"/>
      <c r="W300" s="357"/>
      <c r="X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c r="AT300" s="357"/>
      <c r="AU300" s="357"/>
      <c r="AV300" s="357"/>
      <c r="AW300" s="357"/>
      <c r="AX300" s="357"/>
      <c r="AY300" s="357"/>
      <c r="AZ300" s="357"/>
      <c r="BA300" s="357"/>
      <c r="BB300" s="357"/>
      <c r="BC300" s="357"/>
      <c r="BD300" s="357"/>
      <c r="BE300" s="357"/>
      <c r="BF300" s="357"/>
      <c r="BG300" s="357"/>
      <c r="BH300" s="357"/>
      <c r="BI300" s="357"/>
      <c r="BJ300" s="357"/>
      <c r="BK300" s="357"/>
      <c r="BL300" s="1421"/>
      <c r="BM300" s="1421"/>
      <c r="BN300" s="1421"/>
      <c r="BO300" s="1421"/>
      <c r="BP300" s="1421"/>
      <c r="BQ300" s="1421"/>
      <c r="BR300" s="1421"/>
      <c r="BS300" s="1421"/>
      <c r="BT300" s="2133"/>
      <c r="BU300" s="2134"/>
      <c r="BV300" s="357"/>
      <c r="BW300" s="357"/>
      <c r="BX300" s="357"/>
      <c r="BY300" s="357"/>
      <c r="BZ300" s="357"/>
      <c r="CA300" s="357"/>
      <c r="CB300" s="357"/>
      <c r="CC300" s="357"/>
    </row>
    <row r="301" spans="1:81">
      <c r="A301" s="546"/>
      <c r="B301" s="357"/>
      <c r="C301" s="357"/>
      <c r="D301" s="546"/>
      <c r="E301" s="357"/>
      <c r="F301" s="357"/>
      <c r="G301" s="357"/>
      <c r="H301" s="357"/>
      <c r="I301" s="357"/>
      <c r="J301" s="357"/>
      <c r="K301" s="357"/>
      <c r="L301" s="357"/>
      <c r="M301" s="357"/>
      <c r="N301" s="357"/>
      <c r="O301" s="357"/>
      <c r="P301" s="357"/>
      <c r="Q301" s="357"/>
      <c r="R301" s="357"/>
      <c r="S301" s="357"/>
      <c r="T301" s="357"/>
      <c r="U301" s="1395"/>
      <c r="V301" s="357"/>
      <c r="W301" s="357"/>
      <c r="X301" s="357"/>
      <c r="Z301" s="357"/>
      <c r="AA301" s="357"/>
      <c r="AB301" s="357"/>
      <c r="AC301" s="357"/>
      <c r="AD301" s="357"/>
      <c r="AE301" s="357"/>
      <c r="AF301" s="357"/>
      <c r="AG301" s="357"/>
      <c r="AH301" s="357"/>
      <c r="AI301" s="357"/>
      <c r="AJ301" s="357"/>
      <c r="AK301" s="357"/>
      <c r="AL301" s="357"/>
      <c r="AM301" s="357"/>
      <c r="AN301" s="357"/>
      <c r="AO301" s="357"/>
      <c r="AP301" s="357"/>
      <c r="AQ301" s="357"/>
      <c r="AR301" s="357"/>
      <c r="AS301" s="357"/>
      <c r="AT301" s="357"/>
      <c r="AU301" s="357"/>
      <c r="AV301" s="357"/>
      <c r="AW301" s="357"/>
      <c r="AX301" s="357"/>
      <c r="AY301" s="357"/>
      <c r="AZ301" s="357"/>
      <c r="BA301" s="357"/>
      <c r="BB301" s="357"/>
      <c r="BC301" s="357"/>
      <c r="BD301" s="357"/>
      <c r="BE301" s="357"/>
      <c r="BF301" s="357"/>
      <c r="BG301" s="357"/>
      <c r="BH301" s="357"/>
      <c r="BI301" s="357"/>
      <c r="BJ301" s="357"/>
      <c r="BK301" s="357"/>
      <c r="BL301" s="1421"/>
      <c r="BM301" s="1421"/>
      <c r="BN301" s="1421"/>
      <c r="BO301" s="1421"/>
      <c r="BP301" s="1421"/>
      <c r="BQ301" s="1421"/>
      <c r="BR301" s="1421"/>
      <c r="BS301" s="1421"/>
      <c r="BT301" s="2133"/>
      <c r="BU301" s="2134"/>
      <c r="BV301" s="357"/>
      <c r="BW301" s="357"/>
      <c r="BX301" s="357"/>
      <c r="BY301" s="357"/>
      <c r="BZ301" s="357"/>
      <c r="CA301" s="357"/>
      <c r="CB301" s="357"/>
      <c r="CC301" s="357"/>
    </row>
    <row r="302" spans="1:81">
      <c r="A302" s="546"/>
      <c r="B302" s="357"/>
      <c r="C302" s="357"/>
      <c r="D302" s="546"/>
      <c r="E302" s="357"/>
      <c r="F302" s="357"/>
      <c r="G302" s="357"/>
      <c r="H302" s="357"/>
      <c r="I302" s="357"/>
      <c r="J302" s="357"/>
      <c r="K302" s="357"/>
      <c r="L302" s="357"/>
      <c r="M302" s="357"/>
      <c r="N302" s="357"/>
      <c r="O302" s="357"/>
      <c r="P302" s="357"/>
      <c r="Q302" s="357"/>
      <c r="R302" s="357"/>
      <c r="S302" s="357"/>
      <c r="T302" s="357"/>
      <c r="U302" s="1395"/>
      <c r="V302" s="357"/>
      <c r="W302" s="357"/>
      <c r="X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1421"/>
      <c r="BM302" s="1421"/>
      <c r="BN302" s="1421"/>
      <c r="BO302" s="1421"/>
      <c r="BP302" s="1421"/>
      <c r="BQ302" s="1421"/>
      <c r="BR302" s="1421"/>
      <c r="BS302" s="1421"/>
      <c r="BT302" s="2133"/>
      <c r="BU302" s="2134"/>
      <c r="BV302" s="357"/>
      <c r="BW302" s="357"/>
      <c r="BX302" s="357"/>
      <c r="BY302" s="357"/>
      <c r="BZ302" s="357"/>
      <c r="CA302" s="357"/>
      <c r="CB302" s="357"/>
      <c r="CC302" s="357"/>
    </row>
    <row r="303" spans="1:81">
      <c r="A303" s="546"/>
      <c r="B303" s="357"/>
      <c r="C303" s="357"/>
      <c r="D303" s="546"/>
      <c r="E303" s="357"/>
      <c r="F303" s="357"/>
      <c r="G303" s="357"/>
      <c r="H303" s="357"/>
      <c r="I303" s="357"/>
      <c r="J303" s="357"/>
      <c r="K303" s="357"/>
      <c r="L303" s="357"/>
      <c r="M303" s="357"/>
      <c r="N303" s="357"/>
      <c r="O303" s="357"/>
      <c r="P303" s="357"/>
      <c r="Q303" s="357"/>
      <c r="R303" s="357"/>
      <c r="S303" s="357"/>
      <c r="T303" s="357"/>
      <c r="U303" s="1395"/>
      <c r="V303" s="357"/>
      <c r="W303" s="357"/>
      <c r="X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1421"/>
      <c r="BM303" s="1421"/>
      <c r="BN303" s="1421"/>
      <c r="BO303" s="1421"/>
      <c r="BP303" s="1421"/>
      <c r="BQ303" s="1421"/>
      <c r="BR303" s="1421"/>
      <c r="BS303" s="1421"/>
      <c r="BT303" s="2131"/>
      <c r="BU303" s="2132"/>
      <c r="BV303" s="357"/>
      <c r="BW303" s="357"/>
      <c r="BX303" s="357"/>
      <c r="BY303" s="357"/>
      <c r="BZ303" s="357"/>
      <c r="CA303" s="357"/>
      <c r="CB303" s="357"/>
      <c r="CC303" s="357"/>
    </row>
    <row r="304" spans="1:81">
      <c r="A304" s="546"/>
      <c r="B304" s="357"/>
      <c r="C304" s="357"/>
      <c r="D304" s="546"/>
      <c r="E304" s="357"/>
      <c r="F304" s="357"/>
      <c r="G304" s="357"/>
      <c r="H304" s="357"/>
      <c r="I304" s="357"/>
      <c r="J304" s="357"/>
      <c r="K304" s="357"/>
      <c r="L304" s="357"/>
      <c r="M304" s="357"/>
      <c r="N304" s="357"/>
      <c r="O304" s="357"/>
      <c r="P304" s="357"/>
      <c r="Q304" s="357"/>
      <c r="R304" s="357"/>
      <c r="S304" s="357"/>
      <c r="T304" s="357"/>
      <c r="U304" s="1395"/>
      <c r="V304" s="357"/>
      <c r="W304" s="357"/>
      <c r="X304" s="357"/>
      <c r="Z304" s="357"/>
      <c r="AA304" s="357"/>
      <c r="AB304" s="357"/>
      <c r="AC304" s="357"/>
      <c r="AD304" s="357"/>
      <c r="AE304" s="357"/>
      <c r="AF304" s="357"/>
      <c r="AG304" s="357"/>
      <c r="AH304" s="357"/>
      <c r="AI304" s="357"/>
      <c r="AJ304" s="357"/>
      <c r="AK304" s="357"/>
      <c r="AL304" s="357"/>
      <c r="AM304" s="357"/>
      <c r="AN304" s="357"/>
      <c r="AO304" s="357"/>
      <c r="AP304" s="357"/>
      <c r="AQ304" s="357"/>
      <c r="AR304" s="357"/>
      <c r="AS304" s="357"/>
      <c r="AT304" s="357"/>
      <c r="AU304" s="357"/>
      <c r="AV304" s="357"/>
      <c r="AW304" s="357"/>
      <c r="AX304" s="357"/>
      <c r="AY304" s="357"/>
      <c r="AZ304" s="357"/>
      <c r="BA304" s="357"/>
      <c r="BB304" s="357"/>
      <c r="BC304" s="357"/>
      <c r="BD304" s="357"/>
      <c r="BE304" s="357"/>
      <c r="BF304" s="357"/>
      <c r="BG304" s="357"/>
      <c r="BH304" s="357"/>
      <c r="BI304" s="357"/>
      <c r="BJ304" s="357"/>
      <c r="BK304" s="357"/>
      <c r="BL304" s="1421"/>
      <c r="BM304" s="1421"/>
      <c r="BN304" s="1421"/>
      <c r="BO304" s="1421"/>
      <c r="BP304" s="1421"/>
      <c r="BQ304" s="1421"/>
      <c r="BR304" s="1421"/>
      <c r="BS304" s="1421"/>
      <c r="BT304" s="2131"/>
      <c r="BU304" s="2132"/>
      <c r="BV304" s="357"/>
      <c r="BW304" s="357"/>
      <c r="BX304" s="357"/>
      <c r="BY304" s="357"/>
      <c r="BZ304" s="357"/>
      <c r="CA304" s="357"/>
      <c r="CB304" s="357"/>
      <c r="CC304" s="357"/>
    </row>
    <row r="305" spans="1:81">
      <c r="A305" s="546"/>
      <c r="B305" s="357"/>
      <c r="C305" s="357"/>
      <c r="D305" s="546"/>
      <c r="E305" s="357"/>
      <c r="F305" s="357"/>
      <c r="G305" s="357"/>
      <c r="H305" s="357"/>
      <c r="I305" s="357"/>
      <c r="J305" s="357"/>
      <c r="K305" s="357"/>
      <c r="L305" s="357"/>
      <c r="M305" s="357"/>
      <c r="N305" s="357"/>
      <c r="O305" s="357"/>
      <c r="P305" s="357"/>
      <c r="Q305" s="357"/>
      <c r="R305" s="357"/>
      <c r="S305" s="357"/>
      <c r="T305" s="357"/>
      <c r="U305" s="1395"/>
      <c r="V305" s="357"/>
      <c r="W305" s="357"/>
      <c r="X305" s="357"/>
      <c r="Z305" s="357"/>
      <c r="AA305" s="357"/>
      <c r="AB305" s="357"/>
      <c r="AC305" s="357"/>
      <c r="AD305" s="357"/>
      <c r="AE305" s="357"/>
      <c r="AF305" s="357"/>
      <c r="AG305" s="357"/>
      <c r="AH305" s="357"/>
      <c r="AI305" s="357"/>
      <c r="AJ305" s="357"/>
      <c r="AK305" s="357"/>
      <c r="AL305" s="357"/>
      <c r="AM305" s="357"/>
      <c r="AN305" s="357"/>
      <c r="AO305" s="357"/>
      <c r="AP305" s="357"/>
      <c r="AQ305" s="357"/>
      <c r="AR305" s="357"/>
      <c r="AS305" s="357"/>
      <c r="AT305" s="357"/>
      <c r="AU305" s="357"/>
      <c r="AV305" s="357"/>
      <c r="AW305" s="357"/>
      <c r="AX305" s="357"/>
      <c r="AY305" s="357"/>
      <c r="AZ305" s="357"/>
      <c r="BA305" s="357"/>
      <c r="BB305" s="357"/>
      <c r="BC305" s="357"/>
      <c r="BD305" s="357"/>
      <c r="BE305" s="357"/>
      <c r="BF305" s="357"/>
      <c r="BG305" s="357"/>
      <c r="BH305" s="357"/>
      <c r="BI305" s="357"/>
      <c r="BJ305" s="357"/>
      <c r="BK305" s="357"/>
      <c r="BL305" s="1421"/>
      <c r="BM305" s="1421"/>
      <c r="BN305" s="1421"/>
      <c r="BO305" s="1421"/>
      <c r="BP305" s="1421"/>
      <c r="BQ305" s="1421"/>
      <c r="BR305" s="1421"/>
      <c r="BS305" s="1421"/>
      <c r="BT305" s="2135"/>
      <c r="BU305" s="2134"/>
      <c r="BV305" s="357"/>
      <c r="BW305" s="357"/>
      <c r="BX305" s="357"/>
      <c r="BY305" s="357"/>
      <c r="BZ305" s="357"/>
      <c r="CA305" s="357"/>
      <c r="CB305" s="357"/>
      <c r="CC305" s="357"/>
    </row>
    <row r="306" spans="1:81">
      <c r="A306" s="546"/>
      <c r="B306" s="357"/>
      <c r="C306" s="357"/>
      <c r="D306" s="546"/>
      <c r="E306" s="357"/>
      <c r="F306" s="357"/>
      <c r="G306" s="357"/>
      <c r="H306" s="357"/>
      <c r="I306" s="357"/>
      <c r="J306" s="357"/>
      <c r="K306" s="357"/>
      <c r="L306" s="357"/>
      <c r="M306" s="357"/>
      <c r="N306" s="357"/>
      <c r="O306" s="357"/>
      <c r="P306" s="357"/>
      <c r="Q306" s="357"/>
      <c r="R306" s="357"/>
      <c r="S306" s="357"/>
      <c r="T306" s="357"/>
      <c r="U306" s="1395"/>
      <c r="V306" s="357"/>
      <c r="W306" s="357"/>
      <c r="X306" s="357"/>
      <c r="Z306" s="357"/>
      <c r="AA306" s="357"/>
      <c r="AB306" s="357"/>
      <c r="AC306" s="357"/>
      <c r="AD306" s="357"/>
      <c r="AE306" s="357"/>
      <c r="AF306" s="357"/>
      <c r="AG306" s="357"/>
      <c r="AH306" s="357"/>
      <c r="AI306" s="357"/>
      <c r="AJ306" s="357"/>
      <c r="AK306" s="357"/>
      <c r="AL306" s="357"/>
      <c r="AM306" s="357"/>
      <c r="AN306" s="357"/>
      <c r="AO306" s="357"/>
      <c r="AP306" s="357"/>
      <c r="AQ306" s="357"/>
      <c r="AR306" s="357"/>
      <c r="AS306" s="357"/>
      <c r="AT306" s="357"/>
      <c r="AU306" s="357"/>
      <c r="AV306" s="357"/>
      <c r="AW306" s="357"/>
      <c r="AX306" s="357"/>
      <c r="AY306" s="357"/>
      <c r="AZ306" s="357"/>
      <c r="BA306" s="357"/>
      <c r="BB306" s="357"/>
      <c r="BC306" s="357"/>
      <c r="BD306" s="357"/>
      <c r="BE306" s="357"/>
      <c r="BF306" s="357"/>
      <c r="BG306" s="357"/>
      <c r="BH306" s="357"/>
      <c r="BI306" s="357"/>
      <c r="BJ306" s="357"/>
      <c r="BK306" s="357"/>
      <c r="BL306" s="1421"/>
      <c r="BM306" s="1421"/>
      <c r="BN306" s="1421"/>
      <c r="BO306" s="1421"/>
      <c r="BP306" s="1421"/>
      <c r="BQ306" s="1421"/>
      <c r="BR306" s="1421"/>
      <c r="BS306" s="1421"/>
      <c r="BT306" s="2131"/>
      <c r="BU306" s="2132"/>
      <c r="BV306" s="357"/>
      <c r="BW306" s="357"/>
      <c r="BX306" s="357"/>
      <c r="BY306" s="357"/>
      <c r="BZ306" s="357"/>
      <c r="CA306" s="357"/>
      <c r="CB306" s="357"/>
      <c r="CC306" s="357"/>
    </row>
    <row r="307" spans="1:81">
      <c r="A307" s="546"/>
      <c r="B307" s="357"/>
      <c r="C307" s="357"/>
      <c r="D307" s="546"/>
      <c r="E307" s="357"/>
      <c r="F307" s="357"/>
      <c r="G307" s="357"/>
      <c r="H307" s="357"/>
      <c r="I307" s="357"/>
      <c r="J307" s="357"/>
      <c r="K307" s="357"/>
      <c r="L307" s="357"/>
      <c r="M307" s="357"/>
      <c r="N307" s="357"/>
      <c r="O307" s="357"/>
      <c r="P307" s="357"/>
      <c r="Q307" s="357"/>
      <c r="R307" s="357"/>
      <c r="S307" s="357"/>
      <c r="T307" s="357"/>
      <c r="U307" s="1395"/>
      <c r="V307" s="357"/>
      <c r="W307" s="357"/>
      <c r="X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357"/>
      <c r="AV307" s="357"/>
      <c r="AW307" s="357"/>
      <c r="AX307" s="357"/>
      <c r="AY307" s="357"/>
      <c r="AZ307" s="357"/>
      <c r="BA307" s="357"/>
      <c r="BB307" s="357"/>
      <c r="BC307" s="357"/>
      <c r="BD307" s="357"/>
      <c r="BE307" s="357"/>
      <c r="BF307" s="357"/>
      <c r="BG307" s="357"/>
      <c r="BH307" s="357"/>
      <c r="BI307" s="357"/>
      <c r="BJ307" s="357"/>
      <c r="BK307" s="357"/>
      <c r="BL307" s="1421"/>
      <c r="BM307" s="1421"/>
      <c r="BN307" s="1421"/>
      <c r="BO307" s="1421"/>
      <c r="BP307" s="1421"/>
      <c r="BQ307" s="1421"/>
      <c r="BR307" s="1421"/>
      <c r="BS307" s="1421"/>
      <c r="BT307" s="2131"/>
      <c r="BU307" s="2132"/>
      <c r="BV307" s="357"/>
      <c r="BW307" s="357"/>
      <c r="BX307" s="357"/>
      <c r="BY307" s="357"/>
      <c r="BZ307" s="357"/>
      <c r="CA307" s="357"/>
      <c r="CB307" s="357"/>
      <c r="CC307" s="357"/>
    </row>
    <row r="308" spans="1:81">
      <c r="A308" s="546"/>
      <c r="B308" s="357"/>
      <c r="C308" s="357"/>
      <c r="D308" s="546"/>
      <c r="E308" s="357"/>
      <c r="F308" s="357"/>
      <c r="G308" s="357"/>
      <c r="H308" s="357"/>
      <c r="I308" s="357"/>
      <c r="J308" s="357"/>
      <c r="K308" s="357"/>
      <c r="L308" s="357"/>
      <c r="M308" s="357"/>
      <c r="N308" s="357"/>
      <c r="O308" s="357"/>
      <c r="P308" s="357"/>
      <c r="Q308" s="357"/>
      <c r="R308" s="357"/>
      <c r="S308" s="357"/>
      <c r="T308" s="357"/>
      <c r="U308" s="1395"/>
      <c r="V308" s="357"/>
      <c r="W308" s="357"/>
      <c r="X308" s="357"/>
      <c r="Z308" s="357"/>
      <c r="AA308" s="357"/>
      <c r="AB308" s="357"/>
      <c r="AC308" s="357"/>
      <c r="AD308" s="357"/>
      <c r="AE308" s="357"/>
      <c r="AF308" s="357"/>
      <c r="AG308" s="357"/>
      <c r="AH308" s="357"/>
      <c r="AI308" s="357"/>
      <c r="AJ308" s="357"/>
      <c r="AK308" s="357"/>
      <c r="AL308" s="357"/>
      <c r="AM308" s="357"/>
      <c r="AN308" s="357"/>
      <c r="AO308" s="357"/>
      <c r="AP308" s="357"/>
      <c r="AQ308" s="357"/>
      <c r="AR308" s="357"/>
      <c r="AS308" s="357"/>
      <c r="AT308" s="357"/>
      <c r="AU308" s="357"/>
      <c r="AV308" s="357"/>
      <c r="AW308" s="357"/>
      <c r="AX308" s="357"/>
      <c r="AY308" s="357"/>
      <c r="AZ308" s="357"/>
      <c r="BA308" s="357"/>
      <c r="BB308" s="357"/>
      <c r="BC308" s="357"/>
      <c r="BD308" s="357"/>
      <c r="BE308" s="357"/>
      <c r="BF308" s="357"/>
      <c r="BG308" s="357"/>
      <c r="BH308" s="357"/>
      <c r="BI308" s="357"/>
      <c r="BJ308" s="357"/>
      <c r="BK308" s="357"/>
      <c r="BL308" s="1421"/>
      <c r="BM308" s="1421"/>
      <c r="BN308" s="1421"/>
      <c r="BO308" s="1421"/>
      <c r="BP308" s="1421"/>
      <c r="BQ308" s="1421"/>
      <c r="BR308" s="1421"/>
      <c r="BS308" s="1421"/>
      <c r="BT308" s="2136"/>
      <c r="BU308" s="2134"/>
      <c r="BV308" s="357"/>
      <c r="BW308" s="357"/>
      <c r="BX308" s="357"/>
      <c r="BY308" s="357"/>
      <c r="BZ308" s="357"/>
      <c r="CA308" s="357"/>
      <c r="CB308" s="357"/>
      <c r="CC308" s="357"/>
    </row>
    <row r="309" spans="1:81">
      <c r="A309" s="546"/>
      <c r="B309" s="357"/>
      <c r="C309" s="357"/>
      <c r="D309" s="546"/>
      <c r="E309" s="357"/>
      <c r="F309" s="357"/>
      <c r="G309" s="357"/>
      <c r="H309" s="357"/>
      <c r="I309" s="357"/>
      <c r="J309" s="357"/>
      <c r="K309" s="357"/>
      <c r="L309" s="357"/>
      <c r="M309" s="357"/>
      <c r="N309" s="357"/>
      <c r="O309" s="357"/>
      <c r="P309" s="357"/>
      <c r="Q309" s="357"/>
      <c r="R309" s="357"/>
      <c r="S309" s="357"/>
      <c r="T309" s="357"/>
      <c r="U309" s="1395"/>
      <c r="V309" s="357"/>
      <c r="W309" s="357"/>
      <c r="X309" s="357"/>
      <c r="Z309" s="357"/>
      <c r="AA309" s="357"/>
      <c r="AB309" s="357"/>
      <c r="AC309" s="357"/>
      <c r="AD309" s="357"/>
      <c r="AE309" s="357"/>
      <c r="AF309" s="357"/>
      <c r="AG309" s="357"/>
      <c r="AH309" s="357"/>
      <c r="AI309" s="357"/>
      <c r="AJ309" s="357"/>
      <c r="AK309" s="357"/>
      <c r="AL309" s="357"/>
      <c r="AM309" s="357"/>
      <c r="AN309" s="357"/>
      <c r="AO309" s="357"/>
      <c r="AP309" s="357"/>
      <c r="AQ309" s="357"/>
      <c r="AR309" s="357"/>
      <c r="AS309" s="357"/>
      <c r="AT309" s="357"/>
      <c r="AU309" s="357"/>
      <c r="AV309" s="357"/>
      <c r="AW309" s="357"/>
      <c r="AX309" s="357"/>
      <c r="AY309" s="357"/>
      <c r="AZ309" s="357"/>
      <c r="BA309" s="357"/>
      <c r="BB309" s="357"/>
      <c r="BC309" s="357"/>
      <c r="BD309" s="357"/>
      <c r="BE309" s="357"/>
      <c r="BF309" s="357"/>
      <c r="BG309" s="357"/>
      <c r="BH309" s="357"/>
      <c r="BI309" s="357"/>
      <c r="BJ309" s="357"/>
      <c r="BK309" s="357"/>
      <c r="BL309" s="1421"/>
      <c r="BM309" s="1421"/>
      <c r="BN309" s="1421"/>
      <c r="BO309" s="1421"/>
      <c r="BP309" s="1421"/>
      <c r="BQ309" s="1421"/>
      <c r="BR309" s="1421"/>
      <c r="BS309" s="1421"/>
      <c r="BT309" s="2131"/>
      <c r="BU309" s="2132"/>
      <c r="BV309" s="357"/>
      <c r="BW309" s="357"/>
      <c r="BX309" s="357"/>
      <c r="BY309" s="357"/>
      <c r="BZ309" s="357"/>
      <c r="CA309" s="357"/>
      <c r="CB309" s="357"/>
      <c r="CC309" s="357"/>
    </row>
    <row r="310" spans="1:81">
      <c r="A310" s="546"/>
      <c r="B310" s="357"/>
      <c r="C310" s="357"/>
      <c r="D310" s="546"/>
      <c r="E310" s="357"/>
      <c r="F310" s="357"/>
      <c r="G310" s="357"/>
      <c r="H310" s="357"/>
      <c r="I310" s="357"/>
      <c r="J310" s="357"/>
      <c r="K310" s="357"/>
      <c r="L310" s="357"/>
      <c r="M310" s="357"/>
      <c r="N310" s="357"/>
      <c r="O310" s="357"/>
      <c r="P310" s="357"/>
      <c r="Q310" s="357"/>
      <c r="R310" s="357"/>
      <c r="S310" s="357"/>
      <c r="T310" s="357"/>
      <c r="U310" s="1395"/>
      <c r="V310" s="357"/>
      <c r="W310" s="357"/>
      <c r="X310" s="357"/>
      <c r="Z310" s="357"/>
      <c r="AA310" s="357"/>
      <c r="AB310" s="357"/>
      <c r="AC310" s="357"/>
      <c r="AD310" s="357"/>
      <c r="AE310" s="357"/>
      <c r="AF310" s="357"/>
      <c r="AG310" s="357"/>
      <c r="AH310" s="357"/>
      <c r="AI310" s="357"/>
      <c r="AJ310" s="357"/>
      <c r="AK310" s="357"/>
      <c r="AL310" s="357"/>
      <c r="AM310" s="357"/>
      <c r="AN310" s="357"/>
      <c r="AO310" s="357"/>
      <c r="AP310" s="357"/>
      <c r="AQ310" s="357"/>
      <c r="AR310" s="357"/>
      <c r="AS310" s="357"/>
      <c r="AT310" s="357"/>
      <c r="AU310" s="357"/>
      <c r="AV310" s="357"/>
      <c r="AW310" s="357"/>
      <c r="AX310" s="357"/>
      <c r="AY310" s="357"/>
      <c r="AZ310" s="357"/>
      <c r="BA310" s="357"/>
      <c r="BB310" s="357"/>
      <c r="BC310" s="357"/>
      <c r="BD310" s="357"/>
      <c r="BE310" s="357"/>
      <c r="BF310" s="357"/>
      <c r="BG310" s="357"/>
      <c r="BH310" s="357"/>
      <c r="BI310" s="357"/>
      <c r="BJ310" s="357"/>
      <c r="BK310" s="357"/>
      <c r="BL310" s="1421"/>
      <c r="BM310" s="1421"/>
      <c r="BN310" s="1421"/>
      <c r="BO310" s="1421"/>
      <c r="BP310" s="1421"/>
      <c r="BQ310" s="1421"/>
      <c r="BR310" s="1421"/>
      <c r="BS310" s="1421"/>
      <c r="BT310" s="2131"/>
      <c r="BU310" s="2132"/>
      <c r="BV310" s="357"/>
      <c r="BW310" s="357"/>
      <c r="BX310" s="357"/>
      <c r="BY310" s="357"/>
      <c r="BZ310" s="357"/>
      <c r="CA310" s="357"/>
      <c r="CB310" s="357"/>
      <c r="CC310" s="357"/>
    </row>
    <row r="311" spans="1:81">
      <c r="A311" s="546"/>
      <c r="B311" s="357"/>
      <c r="C311" s="357"/>
      <c r="D311" s="546"/>
      <c r="E311" s="357"/>
      <c r="F311" s="357"/>
      <c r="G311" s="357"/>
      <c r="H311" s="357"/>
      <c r="I311" s="357"/>
      <c r="J311" s="357"/>
      <c r="K311" s="357"/>
      <c r="L311" s="357"/>
      <c r="M311" s="357"/>
      <c r="N311" s="357"/>
      <c r="O311" s="357"/>
      <c r="P311" s="357"/>
      <c r="Q311" s="357"/>
      <c r="R311" s="357"/>
      <c r="S311" s="357"/>
      <c r="T311" s="357"/>
      <c r="U311" s="1395"/>
      <c r="V311" s="357"/>
      <c r="W311" s="357"/>
      <c r="X311" s="357"/>
      <c r="Z311" s="357"/>
      <c r="AA311" s="357"/>
      <c r="AB311" s="357"/>
      <c r="AC311" s="357"/>
      <c r="AD311" s="357"/>
      <c r="AE311" s="357"/>
      <c r="AF311" s="357"/>
      <c r="AG311" s="357"/>
      <c r="AH311" s="357"/>
      <c r="AI311" s="357"/>
      <c r="AJ311" s="357"/>
      <c r="AK311" s="357"/>
      <c r="AL311" s="357"/>
      <c r="AM311" s="357"/>
      <c r="AN311" s="357"/>
      <c r="AO311" s="357"/>
      <c r="AP311" s="357"/>
      <c r="AQ311" s="357"/>
      <c r="AR311" s="357"/>
      <c r="AS311" s="357"/>
      <c r="AT311" s="357"/>
      <c r="AU311" s="357"/>
      <c r="AV311" s="357"/>
      <c r="AW311" s="357"/>
      <c r="AX311" s="357"/>
      <c r="AY311" s="357"/>
      <c r="AZ311" s="357"/>
      <c r="BA311" s="357"/>
      <c r="BB311" s="357"/>
      <c r="BC311" s="357"/>
      <c r="BD311" s="357"/>
      <c r="BE311" s="357"/>
      <c r="BF311" s="357"/>
      <c r="BG311" s="357"/>
      <c r="BH311" s="357"/>
      <c r="BI311" s="357"/>
      <c r="BJ311" s="357"/>
      <c r="BK311" s="357"/>
      <c r="BL311" s="1421"/>
      <c r="BM311" s="1421"/>
      <c r="BN311" s="1421"/>
      <c r="BO311" s="1421"/>
      <c r="BP311" s="1421"/>
      <c r="BQ311" s="1421"/>
      <c r="BR311" s="1421"/>
      <c r="BS311" s="1421"/>
      <c r="BT311" s="2131"/>
      <c r="BU311" s="2132"/>
      <c r="BV311" s="357"/>
      <c r="BW311" s="357"/>
      <c r="BX311" s="357"/>
      <c r="BY311" s="357"/>
      <c r="BZ311" s="357"/>
      <c r="CA311" s="357"/>
      <c r="CB311" s="357"/>
      <c r="CC311" s="357"/>
    </row>
    <row r="312" spans="1:81">
      <c r="A312" s="546"/>
      <c r="B312" s="357"/>
      <c r="C312" s="357"/>
      <c r="D312" s="546"/>
      <c r="E312" s="357"/>
      <c r="F312" s="357"/>
      <c r="G312" s="357"/>
      <c r="H312" s="357"/>
      <c r="I312" s="357"/>
      <c r="J312" s="357"/>
      <c r="K312" s="357"/>
      <c r="L312" s="357"/>
      <c r="M312" s="357"/>
      <c r="N312" s="357"/>
      <c r="O312" s="357"/>
      <c r="P312" s="357"/>
      <c r="Q312" s="357"/>
      <c r="R312" s="357"/>
      <c r="S312" s="357"/>
      <c r="T312" s="357"/>
      <c r="U312" s="1395"/>
      <c r="V312" s="357"/>
      <c r="W312" s="357"/>
      <c r="X312" s="357"/>
      <c r="Z312" s="357"/>
      <c r="AA312" s="357"/>
      <c r="AB312" s="357"/>
      <c r="AC312" s="357"/>
      <c r="AD312" s="357"/>
      <c r="AE312" s="357"/>
      <c r="AF312" s="357"/>
      <c r="AG312" s="357"/>
      <c r="AH312" s="357"/>
      <c r="AI312" s="357"/>
      <c r="AJ312" s="357"/>
      <c r="AK312" s="357"/>
      <c r="AL312" s="357"/>
      <c r="AM312" s="357"/>
      <c r="AN312" s="357"/>
      <c r="AO312" s="357"/>
      <c r="AP312" s="357"/>
      <c r="AQ312" s="357"/>
      <c r="AR312" s="357"/>
      <c r="AS312" s="357"/>
      <c r="AT312" s="357"/>
      <c r="AU312" s="357"/>
      <c r="AV312" s="357"/>
      <c r="AW312" s="357"/>
      <c r="AX312" s="357"/>
      <c r="AY312" s="357"/>
      <c r="AZ312" s="357"/>
      <c r="BA312" s="357"/>
      <c r="BB312" s="357"/>
      <c r="BC312" s="357"/>
      <c r="BD312" s="357"/>
      <c r="BE312" s="357"/>
      <c r="BF312" s="357"/>
      <c r="BG312" s="357"/>
      <c r="BH312" s="357"/>
      <c r="BI312" s="357"/>
      <c r="BJ312" s="357"/>
      <c r="BK312" s="357"/>
      <c r="BL312" s="1421"/>
      <c r="BM312" s="1421"/>
      <c r="BN312" s="1421"/>
      <c r="BO312" s="1421"/>
      <c r="BP312" s="1421"/>
      <c r="BQ312" s="1421"/>
      <c r="BR312" s="1421"/>
      <c r="BS312" s="1421"/>
      <c r="BT312" s="2131"/>
      <c r="BU312" s="2132"/>
      <c r="BV312" s="357"/>
      <c r="BW312" s="357"/>
      <c r="BX312" s="357"/>
      <c r="BY312" s="357"/>
      <c r="BZ312" s="357"/>
      <c r="CA312" s="357"/>
      <c r="CB312" s="357"/>
      <c r="CC312" s="357"/>
    </row>
    <row r="313" spans="1:81">
      <c r="A313" s="546"/>
      <c r="B313" s="357"/>
      <c r="C313" s="357"/>
      <c r="D313" s="546"/>
      <c r="E313" s="357"/>
      <c r="F313" s="357"/>
      <c r="G313" s="357"/>
      <c r="H313" s="357"/>
      <c r="I313" s="357"/>
      <c r="J313" s="357"/>
      <c r="K313" s="357"/>
      <c r="L313" s="357"/>
      <c r="M313" s="357"/>
      <c r="N313" s="357"/>
      <c r="O313" s="357"/>
      <c r="P313" s="357"/>
      <c r="Q313" s="357"/>
      <c r="R313" s="357"/>
      <c r="S313" s="357"/>
      <c r="T313" s="357"/>
      <c r="U313" s="1395"/>
      <c r="V313" s="357"/>
      <c r="W313" s="357"/>
      <c r="X313" s="357"/>
      <c r="Z313" s="357"/>
      <c r="AA313" s="357"/>
      <c r="AB313" s="357"/>
      <c r="AC313" s="357"/>
      <c r="AD313" s="357"/>
      <c r="AE313" s="357"/>
      <c r="AF313" s="357"/>
      <c r="AG313" s="357"/>
      <c r="AH313" s="357"/>
      <c r="AI313" s="357"/>
      <c r="AJ313" s="357"/>
      <c r="AK313" s="357"/>
      <c r="AL313" s="357"/>
      <c r="AM313" s="357"/>
      <c r="AN313" s="357"/>
      <c r="AO313" s="357"/>
      <c r="AP313" s="357"/>
      <c r="AQ313" s="357"/>
      <c r="AR313" s="357"/>
      <c r="AS313" s="357"/>
      <c r="AT313" s="357"/>
      <c r="AU313" s="357"/>
      <c r="AV313" s="357"/>
      <c r="AW313" s="357"/>
      <c r="AX313" s="357"/>
      <c r="AY313" s="357"/>
      <c r="AZ313" s="357"/>
      <c r="BA313" s="357"/>
      <c r="BB313" s="357"/>
      <c r="BC313" s="357"/>
      <c r="BD313" s="357"/>
      <c r="BE313" s="357"/>
      <c r="BF313" s="357"/>
      <c r="BG313" s="357"/>
      <c r="BH313" s="357"/>
      <c r="BI313" s="357"/>
      <c r="BJ313" s="357"/>
      <c r="BK313" s="357"/>
      <c r="BL313" s="1421"/>
      <c r="BM313" s="1421"/>
      <c r="BN313" s="1421"/>
      <c r="BO313" s="1421"/>
      <c r="BP313" s="1421"/>
      <c r="BQ313" s="1421"/>
      <c r="BR313" s="1421"/>
      <c r="BS313" s="1421"/>
      <c r="BT313" s="2133"/>
      <c r="BU313" s="2134"/>
      <c r="BV313" s="357"/>
      <c r="BW313" s="357"/>
      <c r="BX313" s="357"/>
      <c r="BY313" s="357"/>
      <c r="BZ313" s="357"/>
      <c r="CA313" s="357"/>
      <c r="CB313" s="357"/>
      <c r="CC313" s="357"/>
    </row>
    <row r="314" spans="1:81">
      <c r="A314" s="546"/>
      <c r="B314" s="357"/>
      <c r="C314" s="357"/>
      <c r="D314" s="546"/>
      <c r="E314" s="357"/>
      <c r="F314" s="357"/>
      <c r="G314" s="357"/>
      <c r="H314" s="357"/>
      <c r="I314" s="357"/>
      <c r="J314" s="357"/>
      <c r="K314" s="357"/>
      <c r="L314" s="357"/>
      <c r="M314" s="357"/>
      <c r="N314" s="357"/>
      <c r="O314" s="357"/>
      <c r="P314" s="357"/>
      <c r="Q314" s="357"/>
      <c r="R314" s="357"/>
      <c r="S314" s="357"/>
      <c r="T314" s="357"/>
      <c r="U314" s="1395"/>
      <c r="V314" s="357"/>
      <c r="W314" s="357"/>
      <c r="X314" s="357"/>
      <c r="Z314" s="357"/>
      <c r="AA314" s="357"/>
      <c r="AB314" s="357"/>
      <c r="AC314" s="357"/>
      <c r="AD314" s="357"/>
      <c r="AE314" s="357"/>
      <c r="AF314" s="357"/>
      <c r="AG314" s="357"/>
      <c r="AH314" s="357"/>
      <c r="AI314" s="357"/>
      <c r="AJ314" s="357"/>
      <c r="AK314" s="357"/>
      <c r="AL314" s="357"/>
      <c r="AM314" s="357"/>
      <c r="AN314" s="357"/>
      <c r="AO314" s="357"/>
      <c r="AP314" s="357"/>
      <c r="AQ314" s="357"/>
      <c r="AR314" s="357"/>
      <c r="AS314" s="357"/>
      <c r="AT314" s="357"/>
      <c r="AU314" s="357"/>
      <c r="AV314" s="357"/>
      <c r="AW314" s="357"/>
      <c r="AX314" s="357"/>
      <c r="AY314" s="357"/>
      <c r="AZ314" s="357"/>
      <c r="BA314" s="357"/>
      <c r="BB314" s="357"/>
      <c r="BC314" s="357"/>
      <c r="BD314" s="357"/>
      <c r="BE314" s="357"/>
      <c r="BF314" s="357"/>
      <c r="BG314" s="357"/>
      <c r="BH314" s="357"/>
      <c r="BI314" s="357"/>
      <c r="BJ314" s="357"/>
      <c r="BK314" s="357"/>
      <c r="BL314" s="1421"/>
      <c r="BM314" s="1421"/>
      <c r="BN314" s="1421"/>
      <c r="BO314" s="1421"/>
      <c r="BP314" s="1421"/>
      <c r="BQ314" s="1421"/>
      <c r="BR314" s="1421"/>
      <c r="BS314" s="1421"/>
      <c r="BT314" s="2133"/>
      <c r="BU314" s="2134"/>
      <c r="BV314" s="357"/>
      <c r="BW314" s="357"/>
      <c r="BX314" s="357"/>
      <c r="BY314" s="357"/>
      <c r="BZ314" s="357"/>
      <c r="CA314" s="357"/>
      <c r="CB314" s="357"/>
      <c r="CC314" s="357"/>
    </row>
    <row r="315" spans="1:81">
      <c r="A315" s="546"/>
      <c r="B315" s="357"/>
      <c r="C315" s="357"/>
      <c r="D315" s="546"/>
      <c r="E315" s="357"/>
      <c r="F315" s="357"/>
      <c r="G315" s="357"/>
      <c r="H315" s="357"/>
      <c r="I315" s="357"/>
      <c r="J315" s="357"/>
      <c r="K315" s="357"/>
      <c r="L315" s="357"/>
      <c r="M315" s="357"/>
      <c r="N315" s="357"/>
      <c r="O315" s="357"/>
      <c r="P315" s="357"/>
      <c r="Q315" s="357"/>
      <c r="R315" s="357"/>
      <c r="S315" s="357"/>
      <c r="T315" s="357"/>
      <c r="U315" s="1395"/>
      <c r="V315" s="357"/>
      <c r="W315" s="357"/>
      <c r="X315" s="357"/>
      <c r="Z315" s="357"/>
      <c r="AA315" s="357"/>
      <c r="AB315" s="357"/>
      <c r="AC315" s="357"/>
      <c r="AD315" s="357"/>
      <c r="AE315" s="357"/>
      <c r="AF315" s="357"/>
      <c r="AG315" s="357"/>
      <c r="AH315" s="357"/>
      <c r="AI315" s="357"/>
      <c r="AJ315" s="357"/>
      <c r="AK315" s="357"/>
      <c r="AL315" s="357"/>
      <c r="AM315" s="357"/>
      <c r="AN315" s="357"/>
      <c r="AO315" s="357"/>
      <c r="AP315" s="357"/>
      <c r="AQ315" s="357"/>
      <c r="AR315" s="357"/>
      <c r="AS315" s="357"/>
      <c r="AT315" s="357"/>
      <c r="AU315" s="357"/>
      <c r="AV315" s="357"/>
      <c r="AW315" s="357"/>
      <c r="AX315" s="357"/>
      <c r="AY315" s="357"/>
      <c r="AZ315" s="357"/>
      <c r="BA315" s="357"/>
      <c r="BB315" s="357"/>
      <c r="BC315" s="357"/>
      <c r="BD315" s="357"/>
      <c r="BE315" s="357"/>
      <c r="BF315" s="357"/>
      <c r="BG315" s="357"/>
      <c r="BH315" s="357"/>
      <c r="BI315" s="357"/>
      <c r="BJ315" s="357"/>
      <c r="BK315" s="357"/>
      <c r="BL315" s="1421"/>
      <c r="BM315" s="1421"/>
      <c r="BN315" s="1421"/>
      <c r="BO315" s="1421"/>
      <c r="BP315" s="1421"/>
      <c r="BQ315" s="1421"/>
      <c r="BR315" s="1421"/>
      <c r="BS315" s="1421"/>
      <c r="BT315" s="2135"/>
      <c r="BU315" s="2132"/>
      <c r="BV315" s="357"/>
      <c r="BW315" s="357"/>
      <c r="BX315" s="357"/>
      <c r="BY315" s="357"/>
      <c r="BZ315" s="357"/>
      <c r="CA315" s="357"/>
      <c r="CB315" s="357"/>
      <c r="CC315" s="357"/>
    </row>
    <row r="316" spans="1:81">
      <c r="A316" s="546"/>
      <c r="B316" s="357"/>
      <c r="C316" s="357"/>
      <c r="D316" s="546"/>
      <c r="E316" s="357"/>
      <c r="F316" s="357"/>
      <c r="G316" s="357"/>
      <c r="H316" s="357"/>
      <c r="I316" s="357"/>
      <c r="J316" s="357"/>
      <c r="K316" s="357"/>
      <c r="L316" s="357"/>
      <c r="M316" s="357"/>
      <c r="N316" s="357"/>
      <c r="O316" s="357"/>
      <c r="P316" s="357"/>
      <c r="Q316" s="357"/>
      <c r="R316" s="357"/>
      <c r="S316" s="357"/>
      <c r="T316" s="357"/>
      <c r="U316" s="1395"/>
      <c r="V316" s="357"/>
      <c r="W316" s="357"/>
      <c r="X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c r="BK316" s="357"/>
      <c r="BL316" s="1421"/>
      <c r="BM316" s="1421"/>
      <c r="BN316" s="1421"/>
      <c r="BO316" s="1421"/>
      <c r="BP316" s="1421"/>
      <c r="BQ316" s="1421"/>
      <c r="BR316" s="1421"/>
      <c r="BS316" s="1421"/>
      <c r="BT316" s="2131"/>
      <c r="BU316" s="2134"/>
      <c r="BV316" s="357"/>
      <c r="BW316" s="357"/>
      <c r="BX316" s="357"/>
      <c r="BY316" s="357"/>
      <c r="BZ316" s="357"/>
      <c r="CA316" s="357"/>
      <c r="CB316" s="357"/>
      <c r="CC316" s="357"/>
    </row>
    <row r="317" spans="1:81">
      <c r="A317" s="546"/>
      <c r="B317" s="357"/>
      <c r="C317" s="357"/>
      <c r="D317" s="546"/>
      <c r="E317" s="357"/>
      <c r="F317" s="357"/>
      <c r="G317" s="357"/>
      <c r="H317" s="357"/>
      <c r="I317" s="357"/>
      <c r="J317" s="357"/>
      <c r="K317" s="357"/>
      <c r="L317" s="357"/>
      <c r="M317" s="357"/>
      <c r="N317" s="357"/>
      <c r="O317" s="357"/>
      <c r="P317" s="357"/>
      <c r="Q317" s="357"/>
      <c r="R317" s="357"/>
      <c r="S317" s="357"/>
      <c r="T317" s="357"/>
      <c r="U317" s="1395"/>
      <c r="V317" s="357"/>
      <c r="W317" s="357"/>
      <c r="X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c r="AT317" s="357"/>
      <c r="AU317" s="357"/>
      <c r="AV317" s="357"/>
      <c r="AW317" s="357"/>
      <c r="AX317" s="357"/>
      <c r="AY317" s="357"/>
      <c r="AZ317" s="357"/>
      <c r="BA317" s="357"/>
      <c r="BB317" s="357"/>
      <c r="BC317" s="357"/>
      <c r="BD317" s="357"/>
      <c r="BE317" s="357"/>
      <c r="BF317" s="357"/>
      <c r="BG317" s="357"/>
      <c r="BH317" s="357"/>
      <c r="BI317" s="357"/>
      <c r="BJ317" s="357"/>
      <c r="BK317" s="357"/>
      <c r="BL317" s="1421"/>
      <c r="BM317" s="1421"/>
      <c r="BN317" s="1421"/>
      <c r="BO317" s="1421"/>
      <c r="BP317" s="1421"/>
      <c r="BQ317" s="1421"/>
      <c r="BR317" s="1421"/>
      <c r="BS317" s="1421"/>
      <c r="BT317" s="2131"/>
      <c r="BU317" s="2134"/>
      <c r="BV317" s="357"/>
      <c r="BW317" s="357"/>
      <c r="BX317" s="357"/>
      <c r="BY317" s="357"/>
      <c r="BZ317" s="357"/>
      <c r="CA317" s="357"/>
      <c r="CB317" s="357"/>
      <c r="CC317" s="357"/>
    </row>
    <row r="318" spans="1:81">
      <c r="A318" s="546"/>
      <c r="B318" s="357"/>
      <c r="C318" s="357"/>
      <c r="D318" s="546"/>
      <c r="E318" s="357"/>
      <c r="F318" s="357"/>
      <c r="G318" s="357"/>
      <c r="H318" s="357"/>
      <c r="I318" s="357"/>
      <c r="J318" s="357"/>
      <c r="K318" s="357"/>
      <c r="L318" s="357"/>
      <c r="M318" s="357"/>
      <c r="N318" s="357"/>
      <c r="O318" s="357"/>
      <c r="P318" s="357"/>
      <c r="Q318" s="357"/>
      <c r="R318" s="357"/>
      <c r="S318" s="357"/>
      <c r="T318" s="357"/>
      <c r="U318" s="1395"/>
      <c r="V318" s="357"/>
      <c r="W318" s="357"/>
      <c r="X318" s="357"/>
      <c r="Z318" s="357"/>
      <c r="AA318" s="357"/>
      <c r="AB318" s="357"/>
      <c r="AC318" s="357"/>
      <c r="AD318" s="357"/>
      <c r="AE318" s="357"/>
      <c r="AF318" s="357"/>
      <c r="AG318" s="357"/>
      <c r="AH318" s="357"/>
      <c r="AI318" s="357"/>
      <c r="AJ318" s="357"/>
      <c r="AK318" s="357"/>
      <c r="AL318" s="357"/>
      <c r="AM318" s="357"/>
      <c r="AN318" s="357"/>
      <c r="AO318" s="357"/>
      <c r="AP318" s="357"/>
      <c r="AQ318" s="357"/>
      <c r="AR318" s="357"/>
      <c r="AS318" s="357"/>
      <c r="AT318" s="357"/>
      <c r="AU318" s="357"/>
      <c r="AV318" s="357"/>
      <c r="AW318" s="357"/>
      <c r="AX318" s="357"/>
      <c r="AY318" s="357"/>
      <c r="AZ318" s="357"/>
      <c r="BA318" s="357"/>
      <c r="BB318" s="357"/>
      <c r="BC318" s="357"/>
      <c r="BD318" s="357"/>
      <c r="BE318" s="357"/>
      <c r="BF318" s="357"/>
      <c r="BG318" s="357"/>
      <c r="BH318" s="357"/>
      <c r="BI318" s="357"/>
      <c r="BJ318" s="357"/>
      <c r="BK318" s="357"/>
      <c r="BL318" s="1421"/>
      <c r="BM318" s="1421"/>
      <c r="BN318" s="1421"/>
      <c r="BO318" s="1421"/>
      <c r="BP318" s="1421"/>
      <c r="BQ318" s="1421"/>
      <c r="BR318" s="1421"/>
      <c r="BS318" s="1421"/>
      <c r="BT318" s="2131"/>
      <c r="BU318" s="2134"/>
      <c r="BV318" s="357"/>
      <c r="BW318" s="357"/>
      <c r="BX318" s="357"/>
      <c r="BY318" s="357"/>
      <c r="BZ318" s="357"/>
      <c r="CA318" s="357"/>
      <c r="CB318" s="357"/>
      <c r="CC318" s="357"/>
    </row>
    <row r="319" spans="1:81">
      <c r="A319" s="546"/>
      <c r="B319" s="357"/>
      <c r="C319" s="357"/>
      <c r="D319" s="546"/>
      <c r="E319" s="357"/>
      <c r="F319" s="357"/>
      <c r="G319" s="357"/>
      <c r="H319" s="357"/>
      <c r="I319" s="357"/>
      <c r="J319" s="357"/>
      <c r="K319" s="357"/>
      <c r="L319" s="357"/>
      <c r="M319" s="357"/>
      <c r="N319" s="357"/>
      <c r="O319" s="357"/>
      <c r="P319" s="357"/>
      <c r="Q319" s="357"/>
      <c r="R319" s="357"/>
      <c r="S319" s="357"/>
      <c r="T319" s="357"/>
      <c r="U319" s="1395"/>
      <c r="V319" s="357"/>
      <c r="W319" s="357"/>
      <c r="X319" s="357"/>
      <c r="Z319" s="357"/>
      <c r="AA319" s="357"/>
      <c r="AB319" s="357"/>
      <c r="AC319" s="357"/>
      <c r="AD319" s="357"/>
      <c r="AE319" s="357"/>
      <c r="AF319" s="357"/>
      <c r="AG319" s="357"/>
      <c r="AH319" s="357"/>
      <c r="AI319" s="357"/>
      <c r="AJ319" s="357"/>
      <c r="AK319" s="357"/>
      <c r="AL319" s="357"/>
      <c r="AM319" s="357"/>
      <c r="AN319" s="357"/>
      <c r="AO319" s="357"/>
      <c r="AP319" s="357"/>
      <c r="AQ319" s="357"/>
      <c r="AR319" s="357"/>
      <c r="AS319" s="357"/>
      <c r="AT319" s="357"/>
      <c r="AU319" s="357"/>
      <c r="AV319" s="357"/>
      <c r="AW319" s="357"/>
      <c r="AX319" s="357"/>
      <c r="AY319" s="357"/>
      <c r="AZ319" s="357"/>
      <c r="BA319" s="357"/>
      <c r="BB319" s="357"/>
      <c r="BC319" s="357"/>
      <c r="BD319" s="357"/>
      <c r="BE319" s="357"/>
      <c r="BF319" s="357"/>
      <c r="BG319" s="357"/>
      <c r="BH319" s="357"/>
      <c r="BI319" s="357"/>
      <c r="BJ319" s="357"/>
      <c r="BK319" s="357"/>
      <c r="BL319" s="1421"/>
      <c r="BM319" s="1421"/>
      <c r="BN319" s="1421"/>
      <c r="BO319" s="1421"/>
      <c r="BP319" s="1421"/>
      <c r="BQ319" s="1421"/>
      <c r="BR319" s="1421"/>
      <c r="BS319" s="1421"/>
      <c r="BT319" s="2131"/>
      <c r="BU319" s="2132"/>
      <c r="BV319" s="357"/>
      <c r="BW319" s="357"/>
      <c r="BX319" s="357"/>
      <c r="BY319" s="357"/>
      <c r="BZ319" s="357"/>
      <c r="CA319" s="357"/>
      <c r="CB319" s="357"/>
      <c r="CC319" s="357"/>
    </row>
    <row r="320" spans="1:81">
      <c r="A320" s="546"/>
      <c r="B320" s="357"/>
      <c r="C320" s="357"/>
      <c r="D320" s="546"/>
      <c r="E320" s="357"/>
      <c r="F320" s="357"/>
      <c r="G320" s="357"/>
      <c r="H320" s="357"/>
      <c r="I320" s="357"/>
      <c r="J320" s="357"/>
      <c r="K320" s="357"/>
      <c r="L320" s="357"/>
      <c r="M320" s="357"/>
      <c r="N320" s="357"/>
      <c r="O320" s="357"/>
      <c r="P320" s="357"/>
      <c r="Q320" s="357"/>
      <c r="R320" s="357"/>
      <c r="S320" s="357"/>
      <c r="T320" s="357"/>
      <c r="U320" s="1395"/>
      <c r="V320" s="357"/>
      <c r="W320" s="357"/>
      <c r="X320" s="357"/>
      <c r="Z320" s="357"/>
      <c r="AA320" s="357"/>
      <c r="AB320" s="357"/>
      <c r="AC320" s="357"/>
      <c r="AD320" s="357"/>
      <c r="AE320" s="357"/>
      <c r="AF320" s="357"/>
      <c r="AG320" s="357"/>
      <c r="AH320" s="357"/>
      <c r="AI320" s="357"/>
      <c r="AJ320" s="357"/>
      <c r="AK320" s="357"/>
      <c r="AL320" s="357"/>
      <c r="AM320" s="357"/>
      <c r="AN320" s="357"/>
      <c r="AO320" s="357"/>
      <c r="AP320" s="357"/>
      <c r="AQ320" s="357"/>
      <c r="AR320" s="357"/>
      <c r="AS320" s="357"/>
      <c r="AT320" s="357"/>
      <c r="AU320" s="357"/>
      <c r="AV320" s="357"/>
      <c r="AW320" s="357"/>
      <c r="AX320" s="357"/>
      <c r="AY320" s="357"/>
      <c r="AZ320" s="357"/>
      <c r="BA320" s="357"/>
      <c r="BB320" s="357"/>
      <c r="BC320" s="357"/>
      <c r="BD320" s="357"/>
      <c r="BE320" s="357"/>
      <c r="BF320" s="357"/>
      <c r="BG320" s="357"/>
      <c r="BH320" s="357"/>
      <c r="BI320" s="357"/>
      <c r="BJ320" s="357"/>
      <c r="BK320" s="357"/>
      <c r="BL320" s="1421"/>
      <c r="BM320" s="1421"/>
      <c r="BN320" s="1421"/>
      <c r="BO320" s="1421"/>
      <c r="BP320" s="1421"/>
      <c r="BQ320" s="1421"/>
      <c r="BR320" s="1421"/>
      <c r="BS320" s="1421"/>
      <c r="BT320" s="2133"/>
      <c r="BU320" s="2134"/>
      <c r="BV320" s="357"/>
      <c r="BW320" s="357"/>
      <c r="BX320" s="357"/>
      <c r="BY320" s="357"/>
      <c r="BZ320" s="357"/>
      <c r="CA320" s="357"/>
      <c r="CB320" s="357"/>
      <c r="CC320" s="357"/>
    </row>
    <row r="321" spans="1:81">
      <c r="A321" s="546"/>
      <c r="B321" s="357"/>
      <c r="C321" s="357"/>
      <c r="D321" s="546"/>
      <c r="E321" s="357"/>
      <c r="F321" s="357"/>
      <c r="G321" s="357"/>
      <c r="H321" s="357"/>
      <c r="I321" s="357"/>
      <c r="J321" s="357"/>
      <c r="K321" s="357"/>
      <c r="L321" s="357"/>
      <c r="M321" s="357"/>
      <c r="N321" s="357"/>
      <c r="O321" s="357"/>
      <c r="P321" s="357"/>
      <c r="Q321" s="357"/>
      <c r="R321" s="357"/>
      <c r="S321" s="357"/>
      <c r="T321" s="357"/>
      <c r="U321" s="1395"/>
      <c r="V321" s="357"/>
      <c r="W321" s="357"/>
      <c r="X321" s="357"/>
      <c r="Z321" s="357"/>
      <c r="AA321" s="357"/>
      <c r="AB321" s="357"/>
      <c r="AC321" s="357"/>
      <c r="AD321" s="357"/>
      <c r="AE321" s="357"/>
      <c r="AF321" s="357"/>
      <c r="AG321" s="357"/>
      <c r="AH321" s="357"/>
      <c r="AI321" s="357"/>
      <c r="AJ321" s="357"/>
      <c r="AK321" s="357"/>
      <c r="AL321" s="357"/>
      <c r="AM321" s="357"/>
      <c r="AN321" s="357"/>
      <c r="AO321" s="357"/>
      <c r="AP321" s="357"/>
      <c r="AQ321" s="357"/>
      <c r="AR321" s="357"/>
      <c r="AS321" s="357"/>
      <c r="AT321" s="357"/>
      <c r="AU321" s="357"/>
      <c r="AV321" s="357"/>
      <c r="AW321" s="357"/>
      <c r="AX321" s="357"/>
      <c r="AY321" s="357"/>
      <c r="AZ321" s="357"/>
      <c r="BA321" s="357"/>
      <c r="BB321" s="357"/>
      <c r="BC321" s="357"/>
      <c r="BD321" s="357"/>
      <c r="BE321" s="357"/>
      <c r="BF321" s="357"/>
      <c r="BG321" s="357"/>
      <c r="BH321" s="357"/>
      <c r="BI321" s="357"/>
      <c r="BJ321" s="357"/>
      <c r="BK321" s="357"/>
      <c r="BL321" s="1421"/>
      <c r="BM321" s="1421"/>
      <c r="BN321" s="1421"/>
      <c r="BO321" s="1421"/>
      <c r="BP321" s="1421"/>
      <c r="BQ321" s="1421"/>
      <c r="BR321" s="1421"/>
      <c r="BS321" s="1421"/>
      <c r="BT321" s="2133"/>
      <c r="BU321" s="2134"/>
      <c r="BV321" s="357"/>
      <c r="BW321" s="357"/>
      <c r="BX321" s="357"/>
      <c r="BY321" s="357"/>
      <c r="BZ321" s="357"/>
      <c r="CA321" s="357"/>
      <c r="CB321" s="357"/>
      <c r="CC321" s="357"/>
    </row>
    <row r="322" spans="1:81">
      <c r="A322" s="546"/>
      <c r="B322" s="357"/>
      <c r="C322" s="357"/>
      <c r="D322" s="546"/>
      <c r="E322" s="357"/>
      <c r="F322" s="357"/>
      <c r="G322" s="357"/>
      <c r="H322" s="357"/>
      <c r="I322" s="357"/>
      <c r="J322" s="357"/>
      <c r="K322" s="357"/>
      <c r="L322" s="357"/>
      <c r="M322" s="357"/>
      <c r="N322" s="357"/>
      <c r="O322" s="357"/>
      <c r="P322" s="357"/>
      <c r="Q322" s="357"/>
      <c r="R322" s="357"/>
      <c r="S322" s="357"/>
      <c r="T322" s="357"/>
      <c r="U322" s="1395"/>
      <c r="V322" s="357"/>
      <c r="W322" s="357"/>
      <c r="X322" s="357"/>
      <c r="Z322" s="357"/>
      <c r="AA322" s="357"/>
      <c r="AB322" s="357"/>
      <c r="AC322" s="357"/>
      <c r="AD322" s="357"/>
      <c r="AE322" s="357"/>
      <c r="AF322" s="357"/>
      <c r="AG322" s="357"/>
      <c r="AH322" s="357"/>
      <c r="AI322" s="357"/>
      <c r="AJ322" s="357"/>
      <c r="AK322" s="357"/>
      <c r="AL322" s="357"/>
      <c r="AM322" s="357"/>
      <c r="AN322" s="357"/>
      <c r="AO322" s="357"/>
      <c r="AP322" s="357"/>
      <c r="AQ322" s="357"/>
      <c r="AR322" s="357"/>
      <c r="AS322" s="357"/>
      <c r="AT322" s="357"/>
      <c r="AU322" s="357"/>
      <c r="AV322" s="357"/>
      <c r="AW322" s="357"/>
      <c r="AX322" s="357"/>
      <c r="AY322" s="357"/>
      <c r="AZ322" s="357"/>
      <c r="BA322" s="357"/>
      <c r="BB322" s="357"/>
      <c r="BC322" s="357"/>
      <c r="BD322" s="357"/>
      <c r="BE322" s="357"/>
      <c r="BF322" s="357"/>
      <c r="BG322" s="357"/>
      <c r="BH322" s="357"/>
      <c r="BI322" s="357"/>
      <c r="BJ322" s="357"/>
      <c r="BK322" s="357"/>
      <c r="BL322" s="1421"/>
      <c r="BM322" s="1421"/>
      <c r="BN322" s="1421"/>
      <c r="BO322" s="1421"/>
      <c r="BP322" s="1421"/>
      <c r="BQ322" s="1421"/>
      <c r="BR322" s="1421"/>
      <c r="BS322" s="1421"/>
      <c r="BT322" s="2131"/>
      <c r="BU322" s="2132"/>
      <c r="BV322" s="357"/>
      <c r="BW322" s="357"/>
      <c r="BX322" s="357"/>
      <c r="BY322" s="357"/>
      <c r="BZ322" s="357"/>
      <c r="CA322" s="357"/>
      <c r="CB322" s="357"/>
      <c r="CC322" s="357"/>
    </row>
    <row r="323" spans="1:81">
      <c r="A323" s="546"/>
      <c r="B323" s="357"/>
      <c r="C323" s="357"/>
      <c r="D323" s="546"/>
      <c r="E323" s="357"/>
      <c r="F323" s="357"/>
      <c r="G323" s="357"/>
      <c r="H323" s="357"/>
      <c r="I323" s="357"/>
      <c r="J323" s="357"/>
      <c r="K323" s="357"/>
      <c r="L323" s="357"/>
      <c r="M323" s="357"/>
      <c r="N323" s="357"/>
      <c r="O323" s="357"/>
      <c r="P323" s="357"/>
      <c r="Q323" s="357"/>
      <c r="R323" s="357"/>
      <c r="S323" s="357"/>
      <c r="T323" s="357"/>
      <c r="U323" s="1395"/>
      <c r="V323" s="357"/>
      <c r="W323" s="357"/>
      <c r="X323" s="357"/>
      <c r="Z323" s="357"/>
      <c r="AA323" s="357"/>
      <c r="AB323" s="357"/>
      <c r="AC323" s="357"/>
      <c r="AD323" s="357"/>
      <c r="AE323" s="357"/>
      <c r="AF323" s="357"/>
      <c r="AG323" s="357"/>
      <c r="AH323" s="357"/>
      <c r="AI323" s="357"/>
      <c r="AJ323" s="357"/>
      <c r="AK323" s="357"/>
      <c r="AL323" s="357"/>
      <c r="AM323" s="357"/>
      <c r="AN323" s="357"/>
      <c r="AO323" s="357"/>
      <c r="AP323" s="357"/>
      <c r="AQ323" s="357"/>
      <c r="AR323" s="357"/>
      <c r="AS323" s="357"/>
      <c r="AT323" s="357"/>
      <c r="AU323" s="357"/>
      <c r="AV323" s="357"/>
      <c r="AW323" s="357"/>
      <c r="AX323" s="357"/>
      <c r="AY323" s="357"/>
      <c r="AZ323" s="357"/>
      <c r="BA323" s="357"/>
      <c r="BB323" s="357"/>
      <c r="BC323" s="357"/>
      <c r="BD323" s="357"/>
      <c r="BE323" s="357"/>
      <c r="BF323" s="357"/>
      <c r="BG323" s="357"/>
      <c r="BH323" s="357"/>
      <c r="BI323" s="357"/>
      <c r="BJ323" s="357"/>
      <c r="BK323" s="357"/>
      <c r="BL323" s="1421"/>
      <c r="BM323" s="1421"/>
      <c r="BN323" s="1421"/>
      <c r="BO323" s="1421"/>
      <c r="BP323" s="1421"/>
      <c r="BQ323" s="1421"/>
      <c r="BR323" s="1421"/>
      <c r="BS323" s="1421"/>
      <c r="BT323" s="2131"/>
      <c r="BU323" s="2132"/>
      <c r="BV323" s="357"/>
      <c r="BW323" s="357"/>
      <c r="BX323" s="357"/>
      <c r="BY323" s="357"/>
      <c r="BZ323" s="357"/>
      <c r="CA323" s="357"/>
      <c r="CB323" s="357"/>
      <c r="CC323" s="357"/>
    </row>
    <row r="324" spans="1:81">
      <c r="A324" s="546"/>
      <c r="B324" s="357"/>
      <c r="C324" s="357"/>
      <c r="D324" s="546"/>
      <c r="E324" s="357"/>
      <c r="F324" s="357"/>
      <c r="G324" s="357"/>
      <c r="H324" s="357"/>
      <c r="I324" s="357"/>
      <c r="J324" s="357"/>
      <c r="K324" s="357"/>
      <c r="L324" s="357"/>
      <c r="M324" s="357"/>
      <c r="N324" s="357"/>
      <c r="O324" s="357"/>
      <c r="P324" s="357"/>
      <c r="Q324" s="357"/>
      <c r="R324" s="357"/>
      <c r="S324" s="357"/>
      <c r="T324" s="357"/>
      <c r="U324" s="1395"/>
      <c r="V324" s="357"/>
      <c r="W324" s="357"/>
      <c r="X324" s="357"/>
      <c r="Z324" s="357"/>
      <c r="AA324" s="357"/>
      <c r="AB324" s="357"/>
      <c r="AC324" s="357"/>
      <c r="AD324" s="357"/>
      <c r="AE324" s="357"/>
      <c r="AF324" s="357"/>
      <c r="AG324" s="357"/>
      <c r="AH324" s="357"/>
      <c r="AI324" s="357"/>
      <c r="AJ324" s="357"/>
      <c r="AK324" s="357"/>
      <c r="AL324" s="357"/>
      <c r="AM324" s="357"/>
      <c r="AN324" s="357"/>
      <c r="AO324" s="357"/>
      <c r="AP324" s="357"/>
      <c r="AQ324" s="357"/>
      <c r="AR324" s="357"/>
      <c r="AS324" s="357"/>
      <c r="AT324" s="357"/>
      <c r="AU324" s="357"/>
      <c r="AV324" s="357"/>
      <c r="AW324" s="357"/>
      <c r="AX324" s="357"/>
      <c r="AY324" s="357"/>
      <c r="AZ324" s="357"/>
      <c r="BA324" s="357"/>
      <c r="BB324" s="357"/>
      <c r="BC324" s="357"/>
      <c r="BD324" s="357"/>
      <c r="BE324" s="357"/>
      <c r="BF324" s="357"/>
      <c r="BG324" s="357"/>
      <c r="BH324" s="357"/>
      <c r="BI324" s="357"/>
      <c r="BJ324" s="357"/>
      <c r="BK324" s="357"/>
      <c r="BL324" s="1421"/>
      <c r="BM324" s="1421"/>
      <c r="BN324" s="1421"/>
      <c r="BO324" s="1421"/>
      <c r="BP324" s="1421"/>
      <c r="BQ324" s="1421"/>
      <c r="BR324" s="1421"/>
      <c r="BS324" s="1421"/>
      <c r="BT324" s="2131"/>
      <c r="BU324" s="2134"/>
      <c r="BV324" s="357"/>
      <c r="BW324" s="357"/>
      <c r="BX324" s="357"/>
      <c r="BY324" s="357"/>
      <c r="BZ324" s="357"/>
      <c r="CA324" s="357"/>
      <c r="CB324" s="357"/>
      <c r="CC324" s="357"/>
    </row>
    <row r="325" spans="1:81">
      <c r="A325" s="546"/>
      <c r="B325" s="357"/>
      <c r="C325" s="357"/>
      <c r="D325" s="546"/>
      <c r="E325" s="357"/>
      <c r="F325" s="357"/>
      <c r="G325" s="357"/>
      <c r="H325" s="357"/>
      <c r="I325" s="357"/>
      <c r="J325" s="357"/>
      <c r="K325" s="357"/>
      <c r="L325" s="357"/>
      <c r="M325" s="357"/>
      <c r="N325" s="357"/>
      <c r="O325" s="357"/>
      <c r="P325" s="357"/>
      <c r="Q325" s="357"/>
      <c r="R325" s="357"/>
      <c r="S325" s="357"/>
      <c r="T325" s="357"/>
      <c r="U325" s="1395"/>
      <c r="V325" s="357"/>
      <c r="W325" s="357"/>
      <c r="X325" s="357"/>
      <c r="Z325" s="357"/>
      <c r="AA325" s="357"/>
      <c r="AB325" s="357"/>
      <c r="AC325" s="357"/>
      <c r="AD325" s="357"/>
      <c r="AE325" s="357"/>
      <c r="AF325" s="357"/>
      <c r="AG325" s="357"/>
      <c r="AH325" s="357"/>
      <c r="AI325" s="357"/>
      <c r="AJ325" s="357"/>
      <c r="AK325" s="357"/>
      <c r="AL325" s="357"/>
      <c r="AM325" s="357"/>
      <c r="AN325" s="357"/>
      <c r="AO325" s="357"/>
      <c r="AP325" s="357"/>
      <c r="AQ325" s="357"/>
      <c r="AR325" s="357"/>
      <c r="AS325" s="357"/>
      <c r="AT325" s="357"/>
      <c r="AU325" s="357"/>
      <c r="AV325" s="357"/>
      <c r="AW325" s="357"/>
      <c r="AX325" s="357"/>
      <c r="AY325" s="357"/>
      <c r="AZ325" s="357"/>
      <c r="BA325" s="357"/>
      <c r="BB325" s="357"/>
      <c r="BC325" s="357"/>
      <c r="BD325" s="357"/>
      <c r="BE325" s="357"/>
      <c r="BF325" s="357"/>
      <c r="BG325" s="357"/>
      <c r="BH325" s="357"/>
      <c r="BI325" s="357"/>
      <c r="BJ325" s="357"/>
      <c r="BK325" s="357"/>
      <c r="BL325" s="1421"/>
      <c r="BM325" s="1421"/>
      <c r="BN325" s="1421"/>
      <c r="BO325" s="1421"/>
      <c r="BP325" s="1421"/>
      <c r="BQ325" s="1421"/>
      <c r="BR325" s="1421"/>
      <c r="BS325" s="1421"/>
      <c r="BT325" s="2131"/>
      <c r="BU325" s="2132"/>
      <c r="BV325" s="357"/>
      <c r="BW325" s="357"/>
      <c r="BX325" s="357"/>
      <c r="BY325" s="357"/>
      <c r="BZ325" s="357"/>
      <c r="CA325" s="357"/>
      <c r="CB325" s="357"/>
      <c r="CC325" s="357"/>
    </row>
    <row r="326" spans="1:81">
      <c r="A326" s="546"/>
      <c r="B326" s="357"/>
      <c r="C326" s="357"/>
      <c r="D326" s="546"/>
      <c r="E326" s="357"/>
      <c r="F326" s="357"/>
      <c r="G326" s="357"/>
      <c r="H326" s="357"/>
      <c r="I326" s="357"/>
      <c r="J326" s="357"/>
      <c r="K326" s="357"/>
      <c r="L326" s="357"/>
      <c r="M326" s="357"/>
      <c r="N326" s="357"/>
      <c r="O326" s="357"/>
      <c r="P326" s="357"/>
      <c r="Q326" s="357"/>
      <c r="R326" s="357"/>
      <c r="S326" s="357"/>
      <c r="T326" s="357"/>
      <c r="U326" s="1395"/>
      <c r="V326" s="357"/>
      <c r="W326" s="357"/>
      <c r="X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c r="AT326" s="357"/>
      <c r="AU326" s="357"/>
      <c r="AV326" s="357"/>
      <c r="AW326" s="357"/>
      <c r="AX326" s="357"/>
      <c r="AY326" s="357"/>
      <c r="AZ326" s="357"/>
      <c r="BA326" s="357"/>
      <c r="BB326" s="357"/>
      <c r="BC326" s="357"/>
      <c r="BD326" s="357"/>
      <c r="BE326" s="357"/>
      <c r="BF326" s="357"/>
      <c r="BG326" s="357"/>
      <c r="BH326" s="357"/>
      <c r="BI326" s="357"/>
      <c r="BJ326" s="357"/>
      <c r="BK326" s="357"/>
      <c r="BL326" s="1421"/>
      <c r="BM326" s="1421"/>
      <c r="BN326" s="1421"/>
      <c r="BO326" s="1421"/>
      <c r="BP326" s="1421"/>
      <c r="BQ326" s="1421"/>
      <c r="BR326" s="1421"/>
      <c r="BS326" s="1421"/>
      <c r="BT326" s="2131"/>
      <c r="BU326" s="2134"/>
      <c r="BV326" s="357"/>
      <c r="BW326" s="357"/>
      <c r="BX326" s="357"/>
      <c r="BY326" s="357"/>
      <c r="BZ326" s="357"/>
      <c r="CA326" s="357"/>
      <c r="CB326" s="357"/>
      <c r="CC326" s="357"/>
    </row>
    <row r="327" spans="1:81">
      <c r="A327" s="546"/>
      <c r="B327" s="357"/>
      <c r="C327" s="357"/>
      <c r="D327" s="546"/>
      <c r="E327" s="357"/>
      <c r="F327" s="357"/>
      <c r="G327" s="357"/>
      <c r="H327" s="357"/>
      <c r="I327" s="357"/>
      <c r="J327" s="357"/>
      <c r="K327" s="357"/>
      <c r="L327" s="357"/>
      <c r="M327" s="357"/>
      <c r="N327" s="357"/>
      <c r="O327" s="357"/>
      <c r="P327" s="357"/>
      <c r="Q327" s="357"/>
      <c r="R327" s="357"/>
      <c r="S327" s="357"/>
      <c r="T327" s="357"/>
      <c r="U327" s="1395"/>
      <c r="V327" s="357"/>
      <c r="W327" s="357"/>
      <c r="X327" s="357"/>
      <c r="Z327" s="357"/>
      <c r="AA327" s="357"/>
      <c r="AB327" s="357"/>
      <c r="AC327" s="357"/>
      <c r="AD327" s="357"/>
      <c r="AE327" s="357"/>
      <c r="AF327" s="357"/>
      <c r="AG327" s="357"/>
      <c r="AH327" s="357"/>
      <c r="AI327" s="357"/>
      <c r="AJ327" s="357"/>
      <c r="AK327" s="357"/>
      <c r="AL327" s="357"/>
      <c r="AM327" s="357"/>
      <c r="AN327" s="357"/>
      <c r="AO327" s="357"/>
      <c r="AP327" s="357"/>
      <c r="AQ327" s="357"/>
      <c r="AR327" s="357"/>
      <c r="AS327" s="357"/>
      <c r="AT327" s="357"/>
      <c r="AU327" s="357"/>
      <c r="AV327" s="357"/>
      <c r="AW327" s="357"/>
      <c r="AX327" s="357"/>
      <c r="AY327" s="357"/>
      <c r="AZ327" s="357"/>
      <c r="BA327" s="357"/>
      <c r="BB327" s="357"/>
      <c r="BC327" s="357"/>
      <c r="BD327" s="357"/>
      <c r="BE327" s="357"/>
      <c r="BF327" s="357"/>
      <c r="BG327" s="357"/>
      <c r="BH327" s="357"/>
      <c r="BI327" s="357"/>
      <c r="BJ327" s="357"/>
      <c r="BK327" s="357"/>
      <c r="BL327" s="1421"/>
      <c r="BM327" s="1421"/>
      <c r="BN327" s="1421"/>
      <c r="BO327" s="1421"/>
      <c r="BP327" s="1421"/>
      <c r="BQ327" s="1421"/>
      <c r="BR327" s="1421"/>
      <c r="BS327" s="1421"/>
      <c r="BT327" s="2131"/>
      <c r="BU327" s="2132"/>
      <c r="BV327" s="357"/>
      <c r="BW327" s="357"/>
      <c r="BX327" s="357"/>
      <c r="BY327" s="357"/>
      <c r="BZ327" s="357"/>
      <c r="CA327" s="357"/>
      <c r="CB327" s="357"/>
      <c r="CC327" s="357"/>
    </row>
    <row r="328" spans="1:81">
      <c r="A328" s="546"/>
      <c r="B328" s="357"/>
      <c r="C328" s="357"/>
      <c r="D328" s="546"/>
      <c r="E328" s="357"/>
      <c r="F328" s="357"/>
      <c r="G328" s="357"/>
      <c r="H328" s="357"/>
      <c r="I328" s="357"/>
      <c r="J328" s="357"/>
      <c r="K328" s="357"/>
      <c r="L328" s="357"/>
      <c r="M328" s="357"/>
      <c r="N328" s="357"/>
      <c r="O328" s="357"/>
      <c r="P328" s="357"/>
      <c r="Q328" s="357"/>
      <c r="R328" s="357"/>
      <c r="S328" s="357"/>
      <c r="T328" s="357"/>
      <c r="U328" s="1395"/>
      <c r="V328" s="357"/>
      <c r="W328" s="357"/>
      <c r="X328" s="357"/>
      <c r="Z328" s="357"/>
      <c r="AA328" s="357"/>
      <c r="AB328" s="357"/>
      <c r="AC328" s="357"/>
      <c r="AD328" s="357"/>
      <c r="AE328" s="357"/>
      <c r="AF328" s="357"/>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1421"/>
      <c r="BM328" s="1421"/>
      <c r="BN328" s="1421"/>
      <c r="BO328" s="1421"/>
      <c r="BP328" s="1421"/>
      <c r="BQ328" s="1421"/>
      <c r="BR328" s="1421"/>
      <c r="BS328" s="1421"/>
      <c r="BT328" s="2131"/>
      <c r="BU328" s="2132"/>
      <c r="BV328" s="357"/>
      <c r="BW328" s="357"/>
      <c r="BX328" s="357"/>
      <c r="BY328" s="357"/>
      <c r="BZ328" s="357"/>
      <c r="CA328" s="357"/>
      <c r="CB328" s="357"/>
      <c r="CC328" s="357"/>
    </row>
    <row r="329" spans="1:81">
      <c r="A329" s="546"/>
      <c r="B329" s="357"/>
      <c r="C329" s="357"/>
      <c r="D329" s="546"/>
      <c r="E329" s="357"/>
      <c r="F329" s="357"/>
      <c r="G329" s="357"/>
      <c r="H329" s="357"/>
      <c r="I329" s="357"/>
      <c r="J329" s="357"/>
      <c r="K329" s="357"/>
      <c r="L329" s="357"/>
      <c r="M329" s="357"/>
      <c r="N329" s="357"/>
      <c r="O329" s="357"/>
      <c r="P329" s="357"/>
      <c r="Q329" s="357"/>
      <c r="R329" s="357"/>
      <c r="S329" s="357"/>
      <c r="T329" s="357"/>
      <c r="U329" s="1395"/>
      <c r="V329" s="357"/>
      <c r="W329" s="357"/>
      <c r="X329" s="357"/>
      <c r="Z329" s="357"/>
      <c r="AA329" s="357"/>
      <c r="AB329" s="357"/>
      <c r="AC329" s="357"/>
      <c r="AD329" s="357"/>
      <c r="AE329" s="357"/>
      <c r="AF329" s="357"/>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1421"/>
      <c r="BM329" s="1421"/>
      <c r="BN329" s="1421"/>
      <c r="BO329" s="1421"/>
      <c r="BP329" s="1421"/>
      <c r="BQ329" s="1421"/>
      <c r="BR329" s="1421"/>
      <c r="BS329" s="1421"/>
      <c r="BT329" s="2131"/>
      <c r="BU329" s="2134"/>
      <c r="BV329" s="357"/>
      <c r="BW329" s="357"/>
      <c r="BX329" s="357"/>
      <c r="BY329" s="357"/>
      <c r="BZ329" s="357"/>
      <c r="CA329" s="357"/>
      <c r="CB329" s="357"/>
      <c r="CC329" s="357"/>
    </row>
    <row r="330" spans="1:81">
      <c r="A330" s="546"/>
      <c r="B330" s="357"/>
      <c r="C330" s="357"/>
      <c r="D330" s="546"/>
      <c r="E330" s="357"/>
      <c r="F330" s="357"/>
      <c r="G330" s="357"/>
      <c r="H330" s="357"/>
      <c r="I330" s="357"/>
      <c r="J330" s="357"/>
      <c r="K330" s="357"/>
      <c r="L330" s="357"/>
      <c r="M330" s="357"/>
      <c r="N330" s="357"/>
      <c r="O330" s="357"/>
      <c r="P330" s="357"/>
      <c r="Q330" s="357"/>
      <c r="R330" s="357"/>
      <c r="S330" s="357"/>
      <c r="T330" s="357"/>
      <c r="U330" s="1395"/>
      <c r="V330" s="357"/>
      <c r="W330" s="357"/>
      <c r="X330" s="357"/>
      <c r="Z330" s="357"/>
      <c r="AA330" s="357"/>
      <c r="AB330" s="357"/>
      <c r="AC330" s="357"/>
      <c r="AD330" s="357"/>
      <c r="AE330" s="357"/>
      <c r="AF330" s="357"/>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1421"/>
      <c r="BM330" s="1421"/>
      <c r="BN330" s="1421"/>
      <c r="BO330" s="1421"/>
      <c r="BP330" s="1421"/>
      <c r="BQ330" s="1421"/>
      <c r="BR330" s="1421"/>
      <c r="BS330" s="1421"/>
      <c r="BT330" s="2131"/>
      <c r="BU330" s="2132"/>
      <c r="BV330" s="357"/>
      <c r="BW330" s="357"/>
      <c r="BX330" s="357"/>
      <c r="BY330" s="357"/>
      <c r="BZ330" s="357"/>
      <c r="CA330" s="357"/>
      <c r="CB330" s="357"/>
      <c r="CC330" s="357"/>
    </row>
    <row r="331" spans="1:81">
      <c r="A331" s="546"/>
      <c r="B331" s="357"/>
      <c r="C331" s="357"/>
      <c r="D331" s="546"/>
      <c r="E331" s="357"/>
      <c r="F331" s="357"/>
      <c r="G331" s="357"/>
      <c r="H331" s="357"/>
      <c r="I331" s="357"/>
      <c r="J331" s="357"/>
      <c r="K331" s="357"/>
      <c r="L331" s="357"/>
      <c r="M331" s="357"/>
      <c r="N331" s="357"/>
      <c r="O331" s="357"/>
      <c r="P331" s="357"/>
      <c r="Q331" s="357"/>
      <c r="R331" s="357"/>
      <c r="S331" s="357"/>
      <c r="T331" s="357"/>
      <c r="U331" s="1395"/>
      <c r="V331" s="357"/>
      <c r="W331" s="357"/>
      <c r="X331" s="357"/>
      <c r="Z331" s="357"/>
      <c r="AA331" s="357"/>
      <c r="AB331" s="357"/>
      <c r="AC331" s="357"/>
      <c r="AD331" s="357"/>
      <c r="AE331" s="357"/>
      <c r="AF331" s="357"/>
      <c r="AG331" s="357"/>
      <c r="AH331" s="357"/>
      <c r="AI331" s="357"/>
      <c r="AJ331" s="357"/>
      <c r="AK331" s="357"/>
      <c r="AL331" s="357"/>
      <c r="AM331" s="357"/>
      <c r="AN331" s="357"/>
      <c r="AO331" s="357"/>
      <c r="AP331" s="357"/>
      <c r="AQ331" s="357"/>
      <c r="AR331" s="357"/>
      <c r="AS331" s="357"/>
      <c r="AT331" s="357"/>
      <c r="AU331" s="357"/>
      <c r="AV331" s="357"/>
      <c r="AW331" s="357"/>
      <c r="AX331" s="357"/>
      <c r="AY331" s="357"/>
      <c r="AZ331" s="357"/>
      <c r="BA331" s="357"/>
      <c r="BB331" s="357"/>
      <c r="BC331" s="357"/>
      <c r="BD331" s="357"/>
      <c r="BE331" s="357"/>
      <c r="BF331" s="357"/>
      <c r="BG331" s="357"/>
      <c r="BH331" s="357"/>
      <c r="BI331" s="357"/>
      <c r="BJ331" s="357"/>
      <c r="BK331" s="357"/>
      <c r="BL331" s="1421"/>
      <c r="BM331" s="1421"/>
      <c r="BN331" s="1421"/>
      <c r="BO331" s="1421"/>
      <c r="BP331" s="1421"/>
      <c r="BQ331" s="1421"/>
      <c r="BR331" s="1421"/>
      <c r="BS331" s="1421"/>
      <c r="BT331" s="2131"/>
      <c r="BU331" s="2134"/>
      <c r="BV331" s="357"/>
      <c r="BW331" s="357"/>
      <c r="BX331" s="357"/>
      <c r="BY331" s="357"/>
      <c r="BZ331" s="357"/>
      <c r="CA331" s="357"/>
      <c r="CB331" s="357"/>
      <c r="CC331" s="357"/>
    </row>
    <row r="332" spans="1:81">
      <c r="A332" s="546"/>
      <c r="B332" s="357"/>
      <c r="C332" s="357"/>
      <c r="D332" s="546"/>
      <c r="E332" s="357"/>
      <c r="F332" s="357"/>
      <c r="G332" s="357"/>
      <c r="H332" s="357"/>
      <c r="I332" s="357"/>
      <c r="J332" s="357"/>
      <c r="K332" s="357"/>
      <c r="L332" s="357"/>
      <c r="M332" s="357"/>
      <c r="N332" s="357"/>
      <c r="O332" s="357"/>
      <c r="P332" s="357"/>
      <c r="Q332" s="357"/>
      <c r="R332" s="357"/>
      <c r="S332" s="357"/>
      <c r="T332" s="357"/>
      <c r="U332" s="1395"/>
      <c r="V332" s="357"/>
      <c r="W332" s="357"/>
      <c r="X332" s="357"/>
      <c r="Z332" s="357"/>
      <c r="AA332" s="357"/>
      <c r="AB332" s="357"/>
      <c r="AC332" s="357"/>
      <c r="AD332" s="357"/>
      <c r="AE332" s="357"/>
      <c r="AF332" s="357"/>
      <c r="AG332" s="357"/>
      <c r="AH332" s="357"/>
      <c r="AI332" s="357"/>
      <c r="AJ332" s="357"/>
      <c r="AK332" s="357"/>
      <c r="AL332" s="357"/>
      <c r="AM332" s="357"/>
      <c r="AN332" s="357"/>
      <c r="AO332" s="357"/>
      <c r="AP332" s="357"/>
      <c r="AQ332" s="357"/>
      <c r="AR332" s="357"/>
      <c r="AS332" s="357"/>
      <c r="AT332" s="357"/>
      <c r="AU332" s="357"/>
      <c r="AV332" s="357"/>
      <c r="AW332" s="357"/>
      <c r="AX332" s="357"/>
      <c r="AY332" s="357"/>
      <c r="AZ332" s="357"/>
      <c r="BA332" s="357"/>
      <c r="BB332" s="357"/>
      <c r="BC332" s="357"/>
      <c r="BD332" s="357"/>
      <c r="BE332" s="357"/>
      <c r="BF332" s="357"/>
      <c r="BG332" s="357"/>
      <c r="BH332" s="357"/>
      <c r="BI332" s="357"/>
      <c r="BJ332" s="357"/>
      <c r="BK332" s="357"/>
      <c r="BL332" s="1421"/>
      <c r="BM332" s="1421"/>
      <c r="BN332" s="1421"/>
      <c r="BO332" s="1421"/>
      <c r="BP332" s="1421"/>
      <c r="BQ332" s="1421"/>
      <c r="BR332" s="1421"/>
      <c r="BS332" s="1421"/>
      <c r="BT332" s="2131"/>
      <c r="BU332" s="2132"/>
      <c r="BV332" s="357"/>
      <c r="BW332" s="357"/>
      <c r="BX332" s="357"/>
      <c r="BY332" s="357"/>
      <c r="BZ332" s="357"/>
      <c r="CA332" s="357"/>
      <c r="CB332" s="357"/>
      <c r="CC332" s="357"/>
    </row>
    <row r="333" spans="1:81">
      <c r="A333" s="546"/>
      <c r="B333" s="357"/>
      <c r="C333" s="357"/>
      <c r="D333" s="546"/>
      <c r="E333" s="357"/>
      <c r="F333" s="357"/>
      <c r="G333" s="357"/>
      <c r="H333" s="357"/>
      <c r="I333" s="357"/>
      <c r="J333" s="357"/>
      <c r="K333" s="357"/>
      <c r="L333" s="357"/>
      <c r="M333" s="357"/>
      <c r="N333" s="357"/>
      <c r="O333" s="357"/>
      <c r="P333" s="357"/>
      <c r="Q333" s="357"/>
      <c r="R333" s="357"/>
      <c r="S333" s="357"/>
      <c r="T333" s="357"/>
      <c r="U333" s="1395"/>
      <c r="V333" s="357"/>
      <c r="W333" s="357"/>
      <c r="X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c r="AT333" s="357"/>
      <c r="AU333" s="357"/>
      <c r="AV333" s="357"/>
      <c r="AW333" s="357"/>
      <c r="AX333" s="357"/>
      <c r="AY333" s="357"/>
      <c r="AZ333" s="357"/>
      <c r="BA333" s="357"/>
      <c r="BB333" s="357"/>
      <c r="BC333" s="357"/>
      <c r="BD333" s="357"/>
      <c r="BE333" s="357"/>
      <c r="BF333" s="357"/>
      <c r="BG333" s="357"/>
      <c r="BH333" s="357"/>
      <c r="BI333" s="357"/>
      <c r="BJ333" s="357"/>
      <c r="BK333" s="357"/>
      <c r="BL333" s="1421"/>
      <c r="BM333" s="1421"/>
      <c r="BN333" s="1421"/>
      <c r="BO333" s="1421"/>
      <c r="BP333" s="1421"/>
      <c r="BQ333" s="1421"/>
      <c r="BR333" s="1421"/>
      <c r="BS333" s="1421"/>
      <c r="BT333" s="2131"/>
      <c r="BU333" s="2132"/>
      <c r="BV333" s="357"/>
      <c r="BW333" s="357"/>
      <c r="BX333" s="357"/>
      <c r="BY333" s="357"/>
      <c r="BZ333" s="357"/>
      <c r="CA333" s="357"/>
      <c r="CB333" s="357"/>
      <c r="CC333" s="357"/>
    </row>
    <row r="334" spans="1:81">
      <c r="A334" s="546"/>
      <c r="B334" s="357"/>
      <c r="C334" s="357"/>
      <c r="D334" s="546"/>
      <c r="E334" s="357"/>
      <c r="F334" s="357"/>
      <c r="G334" s="357"/>
      <c r="H334" s="357"/>
      <c r="I334" s="357"/>
      <c r="J334" s="357"/>
      <c r="K334" s="357"/>
      <c r="L334" s="357"/>
      <c r="M334" s="357"/>
      <c r="N334" s="357"/>
      <c r="O334" s="357"/>
      <c r="P334" s="357"/>
      <c r="Q334" s="357"/>
      <c r="R334" s="357"/>
      <c r="S334" s="357"/>
      <c r="T334" s="357"/>
      <c r="U334" s="1395"/>
      <c r="V334" s="357"/>
      <c r="W334" s="357"/>
      <c r="X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c r="AT334" s="357"/>
      <c r="AU334" s="357"/>
      <c r="AV334" s="357"/>
      <c r="AW334" s="357"/>
      <c r="AX334" s="357"/>
      <c r="AY334" s="357"/>
      <c r="AZ334" s="357"/>
      <c r="BA334" s="357"/>
      <c r="BB334" s="357"/>
      <c r="BC334" s="357"/>
      <c r="BD334" s="357"/>
      <c r="BE334" s="357"/>
      <c r="BF334" s="357"/>
      <c r="BG334" s="357"/>
      <c r="BH334" s="357"/>
      <c r="BI334" s="357"/>
      <c r="BJ334" s="357"/>
      <c r="BK334" s="357"/>
      <c r="BL334" s="1421"/>
      <c r="BM334" s="1421"/>
      <c r="BN334" s="1421"/>
      <c r="BO334" s="1421"/>
      <c r="BP334" s="1421"/>
      <c r="BQ334" s="1421"/>
      <c r="BR334" s="1421"/>
      <c r="BS334" s="1421"/>
      <c r="BT334" s="2131"/>
      <c r="BU334" s="2134"/>
      <c r="BV334" s="357"/>
      <c r="BW334" s="357"/>
      <c r="BX334" s="357"/>
      <c r="BY334" s="357"/>
      <c r="BZ334" s="357"/>
      <c r="CA334" s="357"/>
      <c r="CB334" s="357"/>
      <c r="CC334" s="357"/>
    </row>
    <row r="335" spans="1:81">
      <c r="A335" s="546"/>
      <c r="B335" s="357"/>
      <c r="C335" s="357"/>
      <c r="D335" s="546"/>
      <c r="E335" s="357"/>
      <c r="F335" s="357"/>
      <c r="G335" s="357"/>
      <c r="H335" s="357"/>
      <c r="I335" s="357"/>
      <c r="J335" s="357"/>
      <c r="K335" s="357"/>
      <c r="L335" s="357"/>
      <c r="M335" s="357"/>
      <c r="N335" s="357"/>
      <c r="O335" s="357"/>
      <c r="P335" s="357"/>
      <c r="Q335" s="357"/>
      <c r="R335" s="357"/>
      <c r="S335" s="357"/>
      <c r="T335" s="357"/>
      <c r="U335" s="1395"/>
      <c r="V335" s="357"/>
      <c r="W335" s="357"/>
      <c r="X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c r="AT335" s="357"/>
      <c r="AU335" s="357"/>
      <c r="AV335" s="357"/>
      <c r="AW335" s="357"/>
      <c r="AX335" s="357"/>
      <c r="AY335" s="357"/>
      <c r="AZ335" s="357"/>
      <c r="BA335" s="357"/>
      <c r="BB335" s="357"/>
      <c r="BC335" s="357"/>
      <c r="BD335" s="357"/>
      <c r="BE335" s="357"/>
      <c r="BF335" s="357"/>
      <c r="BG335" s="357"/>
      <c r="BH335" s="357"/>
      <c r="BI335" s="357"/>
      <c r="BJ335" s="357"/>
      <c r="BK335" s="357"/>
      <c r="BL335" s="1421"/>
      <c r="BM335" s="1421"/>
      <c r="BN335" s="1421"/>
      <c r="BO335" s="1421"/>
      <c r="BP335" s="1421"/>
      <c r="BQ335" s="1421"/>
      <c r="BR335" s="1421"/>
      <c r="BS335" s="1421"/>
      <c r="BT335" s="2131"/>
      <c r="BU335" s="2132"/>
      <c r="BV335" s="357"/>
      <c r="BW335" s="357"/>
      <c r="BX335" s="357"/>
      <c r="BY335" s="357"/>
      <c r="BZ335" s="357"/>
      <c r="CA335" s="357"/>
      <c r="CB335" s="357"/>
      <c r="CC335" s="357"/>
    </row>
    <row r="336" spans="1:81">
      <c r="A336" s="546"/>
      <c r="B336" s="357"/>
      <c r="C336" s="357"/>
      <c r="D336" s="546"/>
      <c r="E336" s="357"/>
      <c r="F336" s="357"/>
      <c r="G336" s="357"/>
      <c r="H336" s="357"/>
      <c r="I336" s="357"/>
      <c r="J336" s="357"/>
      <c r="K336" s="357"/>
      <c r="L336" s="357"/>
      <c r="M336" s="357"/>
      <c r="N336" s="357"/>
      <c r="O336" s="357"/>
      <c r="P336" s="357"/>
      <c r="Q336" s="357"/>
      <c r="R336" s="357"/>
      <c r="S336" s="357"/>
      <c r="T336" s="357"/>
      <c r="U336" s="1395"/>
      <c r="V336" s="357"/>
      <c r="W336" s="357"/>
      <c r="X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c r="AT336" s="357"/>
      <c r="AU336" s="357"/>
      <c r="AV336" s="357"/>
      <c r="AW336" s="357"/>
      <c r="AX336" s="357"/>
      <c r="AY336" s="357"/>
      <c r="AZ336" s="357"/>
      <c r="BA336" s="357"/>
      <c r="BB336" s="357"/>
      <c r="BC336" s="357"/>
      <c r="BD336" s="357"/>
      <c r="BE336" s="357"/>
      <c r="BF336" s="357"/>
      <c r="BG336" s="357"/>
      <c r="BH336" s="357"/>
      <c r="BI336" s="357"/>
      <c r="BJ336" s="357"/>
      <c r="BK336" s="357"/>
      <c r="BL336" s="1421"/>
      <c r="BM336" s="1421"/>
      <c r="BN336" s="1421"/>
      <c r="BO336" s="1421"/>
      <c r="BP336" s="1421"/>
      <c r="BQ336" s="1421"/>
      <c r="BR336" s="1421"/>
      <c r="BS336" s="1421"/>
      <c r="BT336" s="2131"/>
      <c r="BU336" s="2134"/>
      <c r="BV336" s="357"/>
      <c r="BW336" s="357"/>
      <c r="BX336" s="357"/>
      <c r="BY336" s="357"/>
      <c r="BZ336" s="357"/>
      <c r="CA336" s="357"/>
      <c r="CB336" s="357"/>
      <c r="CC336" s="357"/>
    </row>
    <row r="337" spans="1:81">
      <c r="A337" s="546"/>
      <c r="B337" s="357"/>
      <c r="C337" s="357"/>
      <c r="D337" s="546"/>
      <c r="E337" s="357"/>
      <c r="F337" s="357"/>
      <c r="G337" s="357"/>
      <c r="H337" s="357"/>
      <c r="I337" s="357"/>
      <c r="J337" s="357"/>
      <c r="K337" s="357"/>
      <c r="L337" s="357"/>
      <c r="M337" s="357"/>
      <c r="N337" s="357"/>
      <c r="O337" s="357"/>
      <c r="P337" s="357"/>
      <c r="Q337" s="357"/>
      <c r="R337" s="357"/>
      <c r="S337" s="357"/>
      <c r="T337" s="357"/>
      <c r="U337" s="1395"/>
      <c r="V337" s="357"/>
      <c r="W337" s="357"/>
      <c r="X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c r="AT337" s="357"/>
      <c r="AU337" s="357"/>
      <c r="AV337" s="357"/>
      <c r="AW337" s="357"/>
      <c r="AX337" s="357"/>
      <c r="AY337" s="357"/>
      <c r="AZ337" s="357"/>
      <c r="BA337" s="357"/>
      <c r="BB337" s="357"/>
      <c r="BC337" s="357"/>
      <c r="BD337" s="357"/>
      <c r="BE337" s="357"/>
      <c r="BF337" s="357"/>
      <c r="BG337" s="357"/>
      <c r="BH337" s="357"/>
      <c r="BI337" s="357"/>
      <c r="BJ337" s="357"/>
      <c r="BK337" s="357"/>
      <c r="BL337" s="1421"/>
      <c r="BM337" s="1421"/>
      <c r="BN337" s="1421"/>
      <c r="BO337" s="1421"/>
      <c r="BP337" s="1421"/>
      <c r="BQ337" s="1421"/>
      <c r="BR337" s="1421"/>
      <c r="BS337" s="1421"/>
      <c r="BT337" s="2131"/>
      <c r="BU337" s="2132"/>
      <c r="BV337" s="357"/>
      <c r="BW337" s="357"/>
      <c r="BX337" s="357"/>
      <c r="BY337" s="357"/>
      <c r="BZ337" s="357"/>
      <c r="CA337" s="357"/>
      <c r="CB337" s="357"/>
      <c r="CC337" s="357"/>
    </row>
    <row r="338" spans="1:81">
      <c r="A338" s="546"/>
      <c r="B338" s="357"/>
      <c r="C338" s="357"/>
      <c r="D338" s="546"/>
      <c r="E338" s="357"/>
      <c r="F338" s="357"/>
      <c r="G338" s="357"/>
      <c r="H338" s="357"/>
      <c r="I338" s="357"/>
      <c r="J338" s="357"/>
      <c r="K338" s="357"/>
      <c r="L338" s="357"/>
      <c r="M338" s="357"/>
      <c r="N338" s="357"/>
      <c r="O338" s="357"/>
      <c r="P338" s="357"/>
      <c r="Q338" s="357"/>
      <c r="R338" s="357"/>
      <c r="S338" s="357"/>
      <c r="T338" s="357"/>
      <c r="U338" s="1395"/>
      <c r="V338" s="357"/>
      <c r="W338" s="357"/>
      <c r="X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c r="AT338" s="357"/>
      <c r="AU338" s="357"/>
      <c r="AV338" s="357"/>
      <c r="AW338" s="357"/>
      <c r="AX338" s="357"/>
      <c r="AY338" s="357"/>
      <c r="AZ338" s="357"/>
      <c r="BA338" s="357"/>
      <c r="BB338" s="357"/>
      <c r="BC338" s="357"/>
      <c r="BD338" s="357"/>
      <c r="BE338" s="357"/>
      <c r="BF338" s="357"/>
      <c r="BG338" s="357"/>
      <c r="BH338" s="357"/>
      <c r="BI338" s="357"/>
      <c r="BJ338" s="357"/>
      <c r="BK338" s="357"/>
      <c r="BL338" s="1421"/>
      <c r="BM338" s="1421"/>
      <c r="BN338" s="1421"/>
      <c r="BO338" s="1421"/>
      <c r="BP338" s="1421"/>
      <c r="BQ338" s="1421"/>
      <c r="BR338" s="1421"/>
      <c r="BS338" s="1421"/>
      <c r="BT338" s="2131"/>
      <c r="BU338" s="2134"/>
      <c r="BV338" s="357"/>
      <c r="BW338" s="357"/>
      <c r="BX338" s="357"/>
      <c r="BY338" s="357"/>
      <c r="BZ338" s="357"/>
      <c r="CA338" s="357"/>
      <c r="CB338" s="357"/>
      <c r="CC338" s="357"/>
    </row>
    <row r="339" spans="1:81">
      <c r="A339" s="546"/>
      <c r="B339" s="357"/>
      <c r="C339" s="357"/>
      <c r="D339" s="546"/>
      <c r="E339" s="357"/>
      <c r="F339" s="357"/>
      <c r="G339" s="357"/>
      <c r="H339" s="357"/>
      <c r="I339" s="357"/>
      <c r="J339" s="357"/>
      <c r="K339" s="357"/>
      <c r="L339" s="357"/>
      <c r="M339" s="357"/>
      <c r="N339" s="357"/>
      <c r="O339" s="357"/>
      <c r="P339" s="357"/>
      <c r="Q339" s="357"/>
      <c r="R339" s="357"/>
      <c r="S339" s="357"/>
      <c r="T339" s="357"/>
      <c r="U339" s="1395"/>
      <c r="V339" s="357"/>
      <c r="W339" s="357"/>
      <c r="X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c r="AT339" s="357"/>
      <c r="AU339" s="357"/>
      <c r="AV339" s="357"/>
      <c r="AW339" s="357"/>
      <c r="AX339" s="357"/>
      <c r="AY339" s="357"/>
      <c r="AZ339" s="357"/>
      <c r="BA339" s="357"/>
      <c r="BB339" s="357"/>
      <c r="BC339" s="357"/>
      <c r="BD339" s="357"/>
      <c r="BE339" s="357"/>
      <c r="BF339" s="357"/>
      <c r="BG339" s="357"/>
      <c r="BH339" s="357"/>
      <c r="BI339" s="357"/>
      <c r="BJ339" s="357"/>
      <c r="BK339" s="357"/>
      <c r="BL339" s="1421"/>
      <c r="BM339" s="1421"/>
      <c r="BN339" s="1421"/>
      <c r="BO339" s="1421"/>
      <c r="BP339" s="1421"/>
      <c r="BQ339" s="1421"/>
      <c r="BR339" s="1421"/>
      <c r="BS339" s="1421"/>
      <c r="BT339" s="2136"/>
      <c r="BU339" s="2132"/>
      <c r="BV339" s="357"/>
      <c r="BW339" s="357"/>
      <c r="BX339" s="357"/>
      <c r="BY339" s="357"/>
      <c r="BZ339" s="357"/>
      <c r="CA339" s="357"/>
      <c r="CB339" s="357"/>
      <c r="CC339" s="357"/>
    </row>
    <row r="340" spans="1:81">
      <c r="A340" s="546"/>
      <c r="B340" s="357"/>
      <c r="C340" s="357"/>
      <c r="D340" s="546"/>
      <c r="E340" s="357"/>
      <c r="F340" s="357"/>
      <c r="G340" s="357"/>
      <c r="H340" s="357"/>
      <c r="I340" s="357"/>
      <c r="J340" s="357"/>
      <c r="K340" s="357"/>
      <c r="L340" s="357"/>
      <c r="M340" s="357"/>
      <c r="N340" s="357"/>
      <c r="O340" s="357"/>
      <c r="P340" s="357"/>
      <c r="Q340" s="357"/>
      <c r="R340" s="357"/>
      <c r="S340" s="357"/>
      <c r="T340" s="357"/>
      <c r="U340" s="1395"/>
      <c r="V340" s="357"/>
      <c r="W340" s="357"/>
      <c r="X340" s="357"/>
      <c r="Z340" s="357"/>
      <c r="AA340" s="357"/>
      <c r="AB340" s="357"/>
      <c r="AC340" s="357"/>
      <c r="AD340" s="357"/>
      <c r="AE340" s="357"/>
      <c r="AF340" s="357"/>
      <c r="AG340" s="357"/>
      <c r="AH340" s="357"/>
      <c r="AI340" s="357"/>
      <c r="AJ340" s="357"/>
      <c r="AK340" s="357"/>
      <c r="AL340" s="357"/>
      <c r="AM340" s="357"/>
      <c r="AN340" s="357"/>
      <c r="AO340" s="357"/>
      <c r="AP340" s="357"/>
      <c r="AQ340" s="357"/>
      <c r="AR340" s="357"/>
      <c r="AS340" s="357"/>
      <c r="AT340" s="357"/>
      <c r="AU340" s="357"/>
      <c r="AV340" s="357"/>
      <c r="AW340" s="357"/>
      <c r="AX340" s="357"/>
      <c r="AY340" s="357"/>
      <c r="AZ340" s="357"/>
      <c r="BA340" s="357"/>
      <c r="BB340" s="357"/>
      <c r="BC340" s="357"/>
      <c r="BD340" s="357"/>
      <c r="BE340" s="357"/>
      <c r="BF340" s="357"/>
      <c r="BG340" s="357"/>
      <c r="BH340" s="357"/>
      <c r="BI340" s="357"/>
      <c r="BJ340" s="357"/>
      <c r="BK340" s="357"/>
      <c r="BL340" s="1421"/>
      <c r="BM340" s="1421"/>
      <c r="BN340" s="1421"/>
      <c r="BO340" s="1421"/>
      <c r="BP340" s="1421"/>
      <c r="BQ340" s="1421"/>
      <c r="BR340" s="1421"/>
      <c r="BS340" s="1421"/>
      <c r="BT340" s="2136"/>
      <c r="BU340" s="2134"/>
      <c r="BV340" s="357"/>
      <c r="BW340" s="357"/>
      <c r="BX340" s="357"/>
      <c r="BY340" s="357"/>
      <c r="BZ340" s="357"/>
      <c r="CA340" s="357"/>
      <c r="CB340" s="357"/>
      <c r="CC340" s="357"/>
    </row>
    <row r="341" spans="1:81">
      <c r="A341" s="546"/>
      <c r="B341" s="357"/>
      <c r="C341" s="357"/>
      <c r="D341" s="546"/>
      <c r="E341" s="357"/>
      <c r="F341" s="357"/>
      <c r="G341" s="357"/>
      <c r="H341" s="357"/>
      <c r="I341" s="357"/>
      <c r="J341" s="357"/>
      <c r="K341" s="357"/>
      <c r="L341" s="357"/>
      <c r="M341" s="357"/>
      <c r="N341" s="357"/>
      <c r="O341" s="357"/>
      <c r="P341" s="357"/>
      <c r="Q341" s="357"/>
      <c r="R341" s="357"/>
      <c r="S341" s="357"/>
      <c r="T341" s="357"/>
      <c r="U341" s="1395"/>
      <c r="V341" s="357"/>
      <c r="W341" s="357"/>
      <c r="X341" s="357"/>
      <c r="Z341" s="357"/>
      <c r="AA341" s="357"/>
      <c r="AB341" s="357"/>
      <c r="AC341" s="357"/>
      <c r="AD341" s="357"/>
      <c r="AE341" s="357"/>
      <c r="AF341" s="357"/>
      <c r="AG341" s="357"/>
      <c r="AH341" s="357"/>
      <c r="AI341" s="357"/>
      <c r="AJ341" s="357"/>
      <c r="AK341" s="357"/>
      <c r="AL341" s="357"/>
      <c r="AM341" s="357"/>
      <c r="AN341" s="357"/>
      <c r="AO341" s="357"/>
      <c r="AP341" s="357"/>
      <c r="AQ341" s="357"/>
      <c r="AR341" s="357"/>
      <c r="AS341" s="357"/>
      <c r="AT341" s="357"/>
      <c r="AU341" s="357"/>
      <c r="AV341" s="357"/>
      <c r="AW341" s="357"/>
      <c r="AX341" s="357"/>
      <c r="AY341" s="357"/>
      <c r="AZ341" s="357"/>
      <c r="BA341" s="357"/>
      <c r="BB341" s="357"/>
      <c r="BC341" s="357"/>
      <c r="BD341" s="357"/>
      <c r="BE341" s="357"/>
      <c r="BF341" s="357"/>
      <c r="BG341" s="357"/>
      <c r="BH341" s="357"/>
      <c r="BI341" s="357"/>
      <c r="BJ341" s="357"/>
      <c r="BK341" s="357"/>
      <c r="BL341" s="1421"/>
      <c r="BM341" s="1421"/>
      <c r="BN341" s="1421"/>
      <c r="BO341" s="1421"/>
      <c r="BP341" s="1421"/>
      <c r="BQ341" s="1421"/>
      <c r="BR341" s="1421"/>
      <c r="BS341" s="1421"/>
      <c r="BT341" s="2133"/>
      <c r="BU341" s="2134"/>
      <c r="BV341" s="357"/>
      <c r="BW341" s="357"/>
      <c r="BX341" s="357"/>
      <c r="BY341" s="357"/>
      <c r="BZ341" s="357"/>
      <c r="CA341" s="357"/>
      <c r="CB341" s="357"/>
      <c r="CC341" s="357"/>
    </row>
    <row r="342" spans="1:81">
      <c r="A342" s="546"/>
      <c r="B342" s="357"/>
      <c r="C342" s="357"/>
      <c r="D342" s="546"/>
      <c r="E342" s="357"/>
      <c r="F342" s="357"/>
      <c r="G342" s="357"/>
      <c r="H342" s="357"/>
      <c r="I342" s="357"/>
      <c r="J342" s="357"/>
      <c r="K342" s="357"/>
      <c r="L342" s="357"/>
      <c r="M342" s="357"/>
      <c r="N342" s="357"/>
      <c r="O342" s="357"/>
      <c r="P342" s="357"/>
      <c r="Q342" s="357"/>
      <c r="R342" s="357"/>
      <c r="S342" s="357"/>
      <c r="T342" s="357"/>
      <c r="U342" s="1395"/>
      <c r="V342" s="357"/>
      <c r="W342" s="357"/>
      <c r="X342" s="357"/>
      <c r="Z342" s="357"/>
      <c r="AA342" s="357"/>
      <c r="AB342" s="357"/>
      <c r="AC342" s="357"/>
      <c r="AD342" s="357"/>
      <c r="AE342" s="357"/>
      <c r="AF342" s="357"/>
      <c r="AG342" s="357"/>
      <c r="AH342" s="357"/>
      <c r="AI342" s="357"/>
      <c r="AJ342" s="357"/>
      <c r="AK342" s="357"/>
      <c r="AL342" s="357"/>
      <c r="AM342" s="357"/>
      <c r="AN342" s="357"/>
      <c r="AO342" s="357"/>
      <c r="AP342" s="357"/>
      <c r="AQ342" s="357"/>
      <c r="AR342" s="357"/>
      <c r="AS342" s="357"/>
      <c r="AT342" s="357"/>
      <c r="AU342" s="357"/>
      <c r="AV342" s="357"/>
      <c r="AW342" s="357"/>
      <c r="AX342" s="357"/>
      <c r="AY342" s="357"/>
      <c r="AZ342" s="357"/>
      <c r="BA342" s="357"/>
      <c r="BB342" s="357"/>
      <c r="BC342" s="357"/>
      <c r="BD342" s="357"/>
      <c r="BE342" s="357"/>
      <c r="BF342" s="357"/>
      <c r="BG342" s="357"/>
      <c r="BH342" s="357"/>
      <c r="BI342" s="357"/>
      <c r="BJ342" s="357"/>
      <c r="BK342" s="357"/>
      <c r="BL342" s="1421"/>
      <c r="BM342" s="1421"/>
      <c r="BN342" s="1421"/>
      <c r="BO342" s="1421"/>
      <c r="BP342" s="1421"/>
      <c r="BQ342" s="1421"/>
      <c r="BR342" s="1421"/>
      <c r="BS342" s="1421"/>
      <c r="BT342" s="2131"/>
      <c r="BU342" s="2132"/>
      <c r="BV342" s="357"/>
      <c r="BW342" s="357"/>
      <c r="BX342" s="357"/>
      <c r="BY342" s="357"/>
      <c r="BZ342" s="357"/>
      <c r="CA342" s="357"/>
      <c r="CB342" s="357"/>
      <c r="CC342" s="357"/>
    </row>
    <row r="343" spans="1:81">
      <c r="A343" s="546"/>
      <c r="B343" s="357"/>
      <c r="C343" s="357"/>
      <c r="D343" s="546"/>
      <c r="E343" s="357"/>
      <c r="F343" s="357"/>
      <c r="G343" s="357"/>
      <c r="H343" s="357"/>
      <c r="I343" s="357"/>
      <c r="J343" s="357"/>
      <c r="K343" s="357"/>
      <c r="L343" s="357"/>
      <c r="M343" s="357"/>
      <c r="N343" s="357"/>
      <c r="O343" s="357"/>
      <c r="P343" s="357"/>
      <c r="Q343" s="357"/>
      <c r="R343" s="357"/>
      <c r="S343" s="357"/>
      <c r="T343" s="357"/>
      <c r="U343" s="1395"/>
      <c r="V343" s="357"/>
      <c r="W343" s="357"/>
      <c r="X343" s="357"/>
      <c r="Z343" s="357"/>
      <c r="AA343" s="357"/>
      <c r="AB343" s="357"/>
      <c r="AC343" s="357"/>
      <c r="AD343" s="357"/>
      <c r="AE343" s="357"/>
      <c r="AF343" s="357"/>
      <c r="AG343" s="357"/>
      <c r="AH343" s="357"/>
      <c r="AI343" s="357"/>
      <c r="AJ343" s="357"/>
      <c r="AK343" s="357"/>
      <c r="AL343" s="357"/>
      <c r="AM343" s="357"/>
      <c r="AN343" s="357"/>
      <c r="AO343" s="357"/>
      <c r="AP343" s="357"/>
      <c r="AQ343" s="357"/>
      <c r="AR343" s="357"/>
      <c r="AS343" s="357"/>
      <c r="AT343" s="357"/>
      <c r="AU343" s="357"/>
      <c r="AV343" s="357"/>
      <c r="AW343" s="357"/>
      <c r="AX343" s="357"/>
      <c r="AY343" s="357"/>
      <c r="AZ343" s="357"/>
      <c r="BA343" s="357"/>
      <c r="BB343" s="357"/>
      <c r="BC343" s="357"/>
      <c r="BD343" s="357"/>
      <c r="BE343" s="357"/>
      <c r="BF343" s="357"/>
      <c r="BG343" s="357"/>
      <c r="BH343" s="357"/>
      <c r="BI343" s="357"/>
      <c r="BJ343" s="357"/>
      <c r="BK343" s="357"/>
      <c r="BL343" s="1421"/>
      <c r="BM343" s="1421"/>
      <c r="BN343" s="1421"/>
      <c r="BO343" s="1421"/>
      <c r="BP343" s="1421"/>
      <c r="BQ343" s="1421"/>
      <c r="BR343" s="1421"/>
      <c r="BS343" s="1421"/>
      <c r="BT343" s="2131"/>
      <c r="BU343" s="2132"/>
      <c r="BV343" s="357"/>
      <c r="BW343" s="357"/>
      <c r="BX343" s="357"/>
      <c r="BY343" s="357"/>
      <c r="BZ343" s="357"/>
      <c r="CA343" s="357"/>
      <c r="CB343" s="357"/>
      <c r="CC343" s="357"/>
    </row>
    <row r="344" spans="1:81">
      <c r="A344" s="546"/>
      <c r="B344" s="357"/>
      <c r="C344" s="357"/>
      <c r="D344" s="546"/>
      <c r="E344" s="357"/>
      <c r="F344" s="357"/>
      <c r="G344" s="357"/>
      <c r="H344" s="357"/>
      <c r="I344" s="357"/>
      <c r="J344" s="357"/>
      <c r="K344" s="357"/>
      <c r="L344" s="357"/>
      <c r="M344" s="357"/>
      <c r="N344" s="357"/>
      <c r="O344" s="357"/>
      <c r="P344" s="357"/>
      <c r="Q344" s="357"/>
      <c r="R344" s="357"/>
      <c r="S344" s="357"/>
      <c r="T344" s="357"/>
      <c r="U344" s="1395"/>
      <c r="V344" s="357"/>
      <c r="W344" s="357"/>
      <c r="X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c r="BK344" s="357"/>
      <c r="BL344" s="1421"/>
      <c r="BM344" s="1421"/>
      <c r="BN344" s="1421"/>
      <c r="BO344" s="1421"/>
      <c r="BP344" s="1421"/>
      <c r="BQ344" s="1421"/>
      <c r="BR344" s="1421"/>
      <c r="BS344" s="1421"/>
      <c r="BT344" s="2131"/>
      <c r="BU344" s="2132"/>
      <c r="BV344" s="357"/>
      <c r="BW344" s="357"/>
      <c r="BX344" s="357"/>
      <c r="BY344" s="357"/>
      <c r="BZ344" s="357"/>
      <c r="CA344" s="357"/>
      <c r="CB344" s="357"/>
      <c r="CC344" s="357"/>
    </row>
    <row r="345" spans="1:81">
      <c r="A345" s="546"/>
      <c r="B345" s="357"/>
      <c r="C345" s="357"/>
      <c r="D345" s="546"/>
      <c r="E345" s="357"/>
      <c r="F345" s="357"/>
      <c r="G345" s="357"/>
      <c r="H345" s="357"/>
      <c r="I345" s="357"/>
      <c r="J345" s="357"/>
      <c r="K345" s="357"/>
      <c r="L345" s="357"/>
      <c r="M345" s="357"/>
      <c r="N345" s="357"/>
      <c r="O345" s="357"/>
      <c r="P345" s="357"/>
      <c r="Q345" s="357"/>
      <c r="R345" s="357"/>
      <c r="S345" s="357"/>
      <c r="T345" s="357"/>
      <c r="U345" s="1395"/>
      <c r="V345" s="357"/>
      <c r="W345" s="357"/>
      <c r="X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c r="BK345" s="357"/>
      <c r="BL345" s="1421"/>
      <c r="BM345" s="1421"/>
      <c r="BN345" s="1421"/>
      <c r="BO345" s="1421"/>
      <c r="BP345" s="1421"/>
      <c r="BQ345" s="1421"/>
      <c r="BR345" s="1421"/>
      <c r="BS345" s="1421"/>
      <c r="BT345" s="2131"/>
      <c r="BU345" s="2132"/>
      <c r="BV345" s="357"/>
      <c r="BW345" s="357"/>
      <c r="BX345" s="357"/>
      <c r="BY345" s="357"/>
      <c r="BZ345" s="357"/>
      <c r="CA345" s="357"/>
      <c r="CB345" s="357"/>
      <c r="CC345" s="357"/>
    </row>
    <row r="346" spans="1:81">
      <c r="A346" s="546"/>
      <c r="B346" s="357"/>
      <c r="C346" s="357"/>
      <c r="D346" s="546"/>
      <c r="E346" s="357"/>
      <c r="F346" s="357"/>
      <c r="G346" s="357"/>
      <c r="H346" s="357"/>
      <c r="I346" s="357"/>
      <c r="J346" s="357"/>
      <c r="K346" s="357"/>
      <c r="L346" s="357"/>
      <c r="M346" s="357"/>
      <c r="N346" s="357"/>
      <c r="O346" s="357"/>
      <c r="P346" s="357"/>
      <c r="Q346" s="357"/>
      <c r="R346" s="357"/>
      <c r="S346" s="357"/>
      <c r="T346" s="357"/>
      <c r="U346" s="1395"/>
      <c r="V346" s="357"/>
      <c r="W346" s="357"/>
      <c r="X346" s="357"/>
      <c r="Z346" s="357"/>
      <c r="AA346" s="357"/>
      <c r="AB346" s="357"/>
      <c r="AC346" s="357"/>
      <c r="AD346" s="357"/>
      <c r="AE346" s="357"/>
      <c r="AF346" s="357"/>
      <c r="AG346" s="357"/>
      <c r="AH346" s="357"/>
      <c r="AI346" s="357"/>
      <c r="AJ346" s="357"/>
      <c r="AK346" s="357"/>
      <c r="AL346" s="357"/>
      <c r="AM346" s="357"/>
      <c r="AN346" s="357"/>
      <c r="AO346" s="357"/>
      <c r="AP346" s="357"/>
      <c r="AQ346" s="357"/>
      <c r="AR346" s="357"/>
      <c r="AS346" s="357"/>
      <c r="AT346" s="357"/>
      <c r="AU346" s="357"/>
      <c r="AV346" s="357"/>
      <c r="AW346" s="357"/>
      <c r="AX346" s="357"/>
      <c r="AY346" s="357"/>
      <c r="AZ346" s="357"/>
      <c r="BA346" s="357"/>
      <c r="BB346" s="357"/>
      <c r="BC346" s="357"/>
      <c r="BD346" s="357"/>
      <c r="BE346" s="357"/>
      <c r="BF346" s="357"/>
      <c r="BG346" s="357"/>
      <c r="BH346" s="357"/>
      <c r="BI346" s="357"/>
      <c r="BJ346" s="357"/>
      <c r="BK346" s="357"/>
      <c r="BL346" s="1421"/>
      <c r="BM346" s="1421"/>
      <c r="BN346" s="1421"/>
      <c r="BO346" s="1421"/>
      <c r="BP346" s="1421"/>
      <c r="BQ346" s="1421"/>
      <c r="BR346" s="1421"/>
      <c r="BS346" s="1421"/>
      <c r="BT346" s="2131"/>
      <c r="BU346" s="2132"/>
      <c r="BV346" s="357"/>
      <c r="BW346" s="357"/>
      <c r="BX346" s="357"/>
      <c r="BY346" s="357"/>
      <c r="BZ346" s="357"/>
      <c r="CA346" s="357"/>
      <c r="CB346" s="357"/>
      <c r="CC346" s="357"/>
    </row>
    <row r="347" spans="1:81">
      <c r="A347" s="546"/>
      <c r="B347" s="357"/>
      <c r="C347" s="357"/>
      <c r="D347" s="546"/>
      <c r="E347" s="357"/>
      <c r="F347" s="357"/>
      <c r="G347" s="357"/>
      <c r="H347" s="357"/>
      <c r="I347" s="357"/>
      <c r="J347" s="357"/>
      <c r="K347" s="357"/>
      <c r="L347" s="357"/>
      <c r="M347" s="357"/>
      <c r="N347" s="357"/>
      <c r="O347" s="357"/>
      <c r="P347" s="357"/>
      <c r="Q347" s="357"/>
      <c r="R347" s="357"/>
      <c r="S347" s="357"/>
      <c r="T347" s="357"/>
      <c r="U347" s="1395"/>
      <c r="V347" s="357"/>
      <c r="W347" s="357"/>
      <c r="X347" s="357"/>
      <c r="Z347" s="357"/>
      <c r="AA347" s="357"/>
      <c r="AB347" s="357"/>
      <c r="AC347" s="357"/>
      <c r="AD347" s="357"/>
      <c r="AE347" s="357"/>
      <c r="AF347" s="357"/>
      <c r="AG347" s="357"/>
      <c r="AH347" s="357"/>
      <c r="AI347" s="357"/>
      <c r="AJ347" s="357"/>
      <c r="AK347" s="357"/>
      <c r="AL347" s="357"/>
      <c r="AM347" s="357"/>
      <c r="AN347" s="357"/>
      <c r="AO347" s="357"/>
      <c r="AP347" s="357"/>
      <c r="AQ347" s="357"/>
      <c r="AR347" s="357"/>
      <c r="AS347" s="357"/>
      <c r="AT347" s="357"/>
      <c r="AU347" s="357"/>
      <c r="AV347" s="357"/>
      <c r="AW347" s="357"/>
      <c r="AX347" s="357"/>
      <c r="AY347" s="357"/>
      <c r="AZ347" s="357"/>
      <c r="BA347" s="357"/>
      <c r="BB347" s="357"/>
      <c r="BC347" s="357"/>
      <c r="BD347" s="357"/>
      <c r="BE347" s="357"/>
      <c r="BF347" s="357"/>
      <c r="BG347" s="357"/>
      <c r="BH347" s="357"/>
      <c r="BI347" s="357"/>
      <c r="BJ347" s="357"/>
      <c r="BK347" s="357"/>
      <c r="BL347" s="1421"/>
      <c r="BM347" s="1421"/>
      <c r="BN347" s="1421"/>
      <c r="BO347" s="1421"/>
      <c r="BP347" s="1421"/>
      <c r="BQ347" s="1421"/>
      <c r="BR347" s="1421"/>
      <c r="BS347" s="1421"/>
      <c r="BT347" s="2131"/>
      <c r="BU347" s="2139"/>
      <c r="BV347" s="357"/>
      <c r="BW347" s="357"/>
      <c r="BX347" s="357"/>
      <c r="BY347" s="357"/>
      <c r="BZ347" s="357"/>
      <c r="CA347" s="357"/>
      <c r="CB347" s="357"/>
      <c r="CC347" s="357"/>
    </row>
    <row r="348" spans="1:81">
      <c r="A348" s="546"/>
      <c r="B348" s="357"/>
      <c r="C348" s="357"/>
      <c r="D348" s="546"/>
      <c r="E348" s="357"/>
      <c r="F348" s="357"/>
      <c r="G348" s="357"/>
      <c r="H348" s="357"/>
      <c r="I348" s="357"/>
      <c r="J348" s="357"/>
      <c r="K348" s="357"/>
      <c r="L348" s="357"/>
      <c r="M348" s="357"/>
      <c r="N348" s="357"/>
      <c r="O348" s="357"/>
      <c r="P348" s="357"/>
      <c r="Q348" s="357"/>
      <c r="R348" s="357"/>
      <c r="S348" s="357"/>
      <c r="T348" s="357"/>
      <c r="U348" s="1395"/>
      <c r="V348" s="357"/>
      <c r="W348" s="357"/>
      <c r="X348" s="357"/>
      <c r="Z348" s="357"/>
      <c r="AA348" s="357"/>
      <c r="AB348" s="357"/>
      <c r="AC348" s="357"/>
      <c r="AD348" s="357"/>
      <c r="AE348" s="357"/>
      <c r="AF348" s="357"/>
      <c r="AG348" s="357"/>
      <c r="AH348" s="357"/>
      <c r="AI348" s="357"/>
      <c r="AJ348" s="357"/>
      <c r="AK348" s="357"/>
      <c r="AL348" s="357"/>
      <c r="AM348" s="357"/>
      <c r="AN348" s="357"/>
      <c r="AO348" s="357"/>
      <c r="AP348" s="357"/>
      <c r="AQ348" s="357"/>
      <c r="AR348" s="357"/>
      <c r="AS348" s="357"/>
      <c r="AT348" s="357"/>
      <c r="AU348" s="357"/>
      <c r="AV348" s="357"/>
      <c r="AW348" s="357"/>
      <c r="AX348" s="357"/>
      <c r="AY348" s="357"/>
      <c r="AZ348" s="357"/>
      <c r="BA348" s="357"/>
      <c r="BB348" s="357"/>
      <c r="BC348" s="357"/>
      <c r="BD348" s="357"/>
      <c r="BE348" s="357"/>
      <c r="BF348" s="357"/>
      <c r="BG348" s="357"/>
      <c r="BH348" s="357"/>
      <c r="BI348" s="357"/>
      <c r="BJ348" s="357"/>
      <c r="BK348" s="357"/>
      <c r="BL348" s="1421"/>
      <c r="BM348" s="1421"/>
      <c r="BN348" s="1421"/>
      <c r="BO348" s="1421"/>
      <c r="BP348" s="1421"/>
      <c r="BQ348" s="1421"/>
      <c r="BR348" s="1421"/>
      <c r="BS348" s="1421"/>
      <c r="BT348" s="2136"/>
      <c r="BU348" s="2132"/>
      <c r="BV348" s="357"/>
      <c r="BW348" s="357"/>
      <c r="BX348" s="357"/>
      <c r="BY348" s="357"/>
      <c r="BZ348" s="357"/>
      <c r="CA348" s="357"/>
      <c r="CB348" s="357"/>
      <c r="CC348" s="357"/>
    </row>
    <row r="349" spans="1:81">
      <c r="A349" s="546"/>
      <c r="B349" s="357"/>
      <c r="C349" s="357"/>
      <c r="D349" s="546"/>
      <c r="E349" s="357"/>
      <c r="F349" s="357"/>
      <c r="G349" s="357"/>
      <c r="H349" s="357"/>
      <c r="I349" s="357"/>
      <c r="J349" s="357"/>
      <c r="K349" s="357"/>
      <c r="L349" s="357"/>
      <c r="M349" s="357"/>
      <c r="N349" s="357"/>
      <c r="O349" s="357"/>
      <c r="P349" s="357"/>
      <c r="Q349" s="357"/>
      <c r="R349" s="357"/>
      <c r="S349" s="357"/>
      <c r="T349" s="357"/>
      <c r="U349" s="1395"/>
      <c r="V349" s="357"/>
      <c r="W349" s="357"/>
      <c r="X349" s="357"/>
      <c r="Z349" s="357"/>
      <c r="AA349" s="357"/>
      <c r="AB349" s="357"/>
      <c r="AC349" s="357"/>
      <c r="AD349" s="357"/>
      <c r="AE349" s="357"/>
      <c r="AF349" s="357"/>
      <c r="AG349" s="357"/>
      <c r="AH349" s="357"/>
      <c r="AI349" s="357"/>
      <c r="AJ349" s="357"/>
      <c r="AK349" s="357"/>
      <c r="AL349" s="357"/>
      <c r="AM349" s="357"/>
      <c r="AN349" s="357"/>
      <c r="AO349" s="357"/>
      <c r="AP349" s="357"/>
      <c r="AQ349" s="357"/>
      <c r="AR349" s="357"/>
      <c r="AS349" s="357"/>
      <c r="AT349" s="357"/>
      <c r="AU349" s="357"/>
      <c r="AV349" s="357"/>
      <c r="AW349" s="357"/>
      <c r="AX349" s="357"/>
      <c r="AY349" s="357"/>
      <c r="AZ349" s="357"/>
      <c r="BA349" s="357"/>
      <c r="BB349" s="357"/>
      <c r="BC349" s="357"/>
      <c r="BD349" s="357"/>
      <c r="BE349" s="357"/>
      <c r="BF349" s="357"/>
      <c r="BG349" s="357"/>
      <c r="BH349" s="357"/>
      <c r="BI349" s="357"/>
      <c r="BJ349" s="357"/>
      <c r="BK349" s="357"/>
      <c r="BL349" s="1421"/>
      <c r="BM349" s="1421"/>
      <c r="BN349" s="1421"/>
      <c r="BO349" s="1421"/>
      <c r="BP349" s="1421"/>
      <c r="BQ349" s="1421"/>
      <c r="BR349" s="1421"/>
      <c r="BS349" s="1421"/>
      <c r="BT349" s="2133"/>
      <c r="BU349" s="2132"/>
      <c r="BV349" s="357"/>
      <c r="BW349" s="357"/>
      <c r="BX349" s="357"/>
      <c r="BY349" s="357"/>
      <c r="BZ349" s="357"/>
      <c r="CA349" s="357"/>
      <c r="CB349" s="357"/>
      <c r="CC349" s="357"/>
    </row>
    <row r="350" spans="1:81">
      <c r="A350" s="546"/>
      <c r="B350" s="357"/>
      <c r="C350" s="357"/>
      <c r="D350" s="546"/>
      <c r="E350" s="357"/>
      <c r="F350" s="357"/>
      <c r="G350" s="357"/>
      <c r="H350" s="357"/>
      <c r="I350" s="357"/>
      <c r="J350" s="357"/>
      <c r="K350" s="357"/>
      <c r="L350" s="357"/>
      <c r="M350" s="357"/>
      <c r="N350" s="357"/>
      <c r="O350" s="357"/>
      <c r="P350" s="357"/>
      <c r="Q350" s="357"/>
      <c r="R350" s="357"/>
      <c r="S350" s="357"/>
      <c r="T350" s="357"/>
      <c r="U350" s="1395"/>
      <c r="V350" s="357"/>
      <c r="W350" s="357"/>
      <c r="X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c r="AT350" s="357"/>
      <c r="AU350" s="357"/>
      <c r="AV350" s="357"/>
      <c r="AW350" s="357"/>
      <c r="AX350" s="357"/>
      <c r="AY350" s="357"/>
      <c r="AZ350" s="357"/>
      <c r="BA350" s="357"/>
      <c r="BB350" s="357"/>
      <c r="BC350" s="357"/>
      <c r="BD350" s="357"/>
      <c r="BE350" s="357"/>
      <c r="BF350" s="357"/>
      <c r="BG350" s="357"/>
      <c r="BH350" s="357"/>
      <c r="BI350" s="357"/>
      <c r="BJ350" s="357"/>
      <c r="BK350" s="357"/>
      <c r="BL350" s="1421"/>
      <c r="BM350" s="1421"/>
      <c r="BN350" s="1421"/>
      <c r="BO350" s="1421"/>
      <c r="BP350" s="1421"/>
      <c r="BQ350" s="1421"/>
      <c r="BR350" s="1421"/>
      <c r="BS350" s="1421"/>
      <c r="BT350" s="2135"/>
      <c r="BU350" s="2132"/>
      <c r="BV350" s="357"/>
      <c r="BW350" s="357"/>
      <c r="BX350" s="357"/>
      <c r="BY350" s="357"/>
      <c r="BZ350" s="357"/>
      <c r="CA350" s="357"/>
      <c r="CB350" s="357"/>
      <c r="CC350" s="357"/>
    </row>
    <row r="351" spans="1:81">
      <c r="A351" s="546"/>
      <c r="B351" s="357"/>
      <c r="C351" s="357"/>
      <c r="D351" s="546"/>
      <c r="E351" s="357"/>
      <c r="F351" s="357"/>
      <c r="G351" s="357"/>
      <c r="H351" s="357"/>
      <c r="I351" s="357"/>
      <c r="J351" s="357"/>
      <c r="K351" s="357"/>
      <c r="L351" s="357"/>
      <c r="M351" s="357"/>
      <c r="N351" s="357"/>
      <c r="O351" s="357"/>
      <c r="P351" s="357"/>
      <c r="Q351" s="357"/>
      <c r="R351" s="357"/>
      <c r="S351" s="357"/>
      <c r="T351" s="357"/>
      <c r="U351" s="1395"/>
      <c r="V351" s="357"/>
      <c r="W351" s="357"/>
      <c r="X351" s="357"/>
      <c r="Z351" s="357"/>
      <c r="AA351" s="357"/>
      <c r="AB351" s="357"/>
      <c r="AC351" s="357"/>
      <c r="AD351" s="357"/>
      <c r="AE351" s="357"/>
      <c r="AF351" s="357"/>
      <c r="AG351" s="357"/>
      <c r="AH351" s="357"/>
      <c r="AI351" s="357"/>
      <c r="AJ351" s="357"/>
      <c r="AK351" s="357"/>
      <c r="AL351" s="357"/>
      <c r="AM351" s="357"/>
      <c r="AN351" s="357"/>
      <c r="AO351" s="357"/>
      <c r="AP351" s="357"/>
      <c r="AQ351" s="357"/>
      <c r="AR351" s="357"/>
      <c r="AS351" s="357"/>
      <c r="AT351" s="357"/>
      <c r="AU351" s="357"/>
      <c r="AV351" s="357"/>
      <c r="AW351" s="357"/>
      <c r="AX351" s="357"/>
      <c r="AY351" s="357"/>
      <c r="AZ351" s="357"/>
      <c r="BA351" s="357"/>
      <c r="BB351" s="357"/>
      <c r="BC351" s="357"/>
      <c r="BD351" s="357"/>
      <c r="BE351" s="357"/>
      <c r="BF351" s="357"/>
      <c r="BG351" s="357"/>
      <c r="BH351" s="357"/>
      <c r="BI351" s="357"/>
      <c r="BJ351" s="357"/>
      <c r="BK351" s="357"/>
      <c r="BL351" s="1421"/>
      <c r="BM351" s="1421"/>
      <c r="BN351" s="1421"/>
      <c r="BO351" s="1421"/>
      <c r="BP351" s="1421"/>
      <c r="BQ351" s="1421"/>
      <c r="BR351" s="1421"/>
      <c r="BS351" s="1421"/>
      <c r="BT351" s="2135"/>
      <c r="BU351" s="2132"/>
      <c r="BV351" s="357"/>
      <c r="BW351" s="357"/>
      <c r="BX351" s="357"/>
      <c r="BY351" s="357"/>
      <c r="BZ351" s="357"/>
      <c r="CA351" s="357"/>
      <c r="CB351" s="357"/>
      <c r="CC351" s="357"/>
    </row>
    <row r="352" spans="1:81">
      <c r="A352" s="546"/>
      <c r="B352" s="357"/>
      <c r="C352" s="357"/>
      <c r="D352" s="546"/>
      <c r="E352" s="357"/>
      <c r="F352" s="357"/>
      <c r="G352" s="357"/>
      <c r="H352" s="357"/>
      <c r="I352" s="357"/>
      <c r="J352" s="357"/>
      <c r="K352" s="357"/>
      <c r="L352" s="357"/>
      <c r="M352" s="357"/>
      <c r="N352" s="357"/>
      <c r="O352" s="357"/>
      <c r="P352" s="357"/>
      <c r="Q352" s="357"/>
      <c r="R352" s="357"/>
      <c r="S352" s="357"/>
      <c r="T352" s="357"/>
      <c r="U352" s="1395"/>
      <c r="V352" s="357"/>
      <c r="W352" s="357"/>
      <c r="X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c r="BK352" s="357"/>
      <c r="BL352" s="357"/>
      <c r="BM352" s="357"/>
      <c r="BN352" s="357"/>
      <c r="BO352" s="357"/>
      <c r="BP352" s="357"/>
      <c r="BQ352" s="357"/>
      <c r="BR352" s="357"/>
      <c r="BS352" s="357"/>
      <c r="BT352" s="357"/>
      <c r="BU352" s="357"/>
      <c r="BV352" s="357"/>
      <c r="BW352" s="357"/>
      <c r="BX352" s="357"/>
      <c r="BY352" s="357"/>
      <c r="BZ352" s="357"/>
      <c r="CA352" s="357"/>
      <c r="CB352" s="357"/>
      <c r="CC352" s="357"/>
    </row>
    <row r="353" spans="1:81">
      <c r="A353" s="546"/>
      <c r="B353" s="357"/>
      <c r="C353" s="357"/>
      <c r="D353" s="546"/>
      <c r="E353" s="357"/>
      <c r="F353" s="357"/>
      <c r="G353" s="357"/>
      <c r="H353" s="357"/>
      <c r="I353" s="357"/>
      <c r="J353" s="357"/>
      <c r="K353" s="357"/>
      <c r="L353" s="357"/>
      <c r="M353" s="357"/>
      <c r="N353" s="357"/>
      <c r="O353" s="357"/>
      <c r="P353" s="357"/>
      <c r="Q353" s="357"/>
      <c r="R353" s="357"/>
      <c r="S353" s="357"/>
      <c r="T353" s="357"/>
      <c r="U353" s="1395"/>
      <c r="V353" s="357"/>
      <c r="W353" s="357"/>
      <c r="X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c r="BK353" s="357"/>
      <c r="BL353" s="357"/>
      <c r="BM353" s="357"/>
      <c r="BN353" s="357"/>
      <c r="BO353" s="357"/>
      <c r="BP353" s="357"/>
      <c r="BQ353" s="357"/>
      <c r="BR353" s="357"/>
      <c r="BS353" s="357"/>
      <c r="BT353" s="357"/>
      <c r="BU353" s="357"/>
      <c r="BV353" s="357"/>
      <c r="BW353" s="357"/>
      <c r="BX353" s="357"/>
      <c r="BY353" s="357"/>
      <c r="BZ353" s="357"/>
      <c r="CA353" s="357"/>
      <c r="CB353" s="357"/>
      <c r="CC353" s="357"/>
    </row>
    <row r="354" spans="1:81">
      <c r="A354" s="546"/>
      <c r="B354" s="357"/>
      <c r="C354" s="357"/>
      <c r="D354" s="546"/>
      <c r="E354" s="357"/>
      <c r="F354" s="357"/>
      <c r="G354" s="357"/>
      <c r="H354" s="357"/>
      <c r="I354" s="357"/>
      <c r="J354" s="357"/>
      <c r="K354" s="357"/>
      <c r="L354" s="357"/>
      <c r="M354" s="357"/>
      <c r="N354" s="357"/>
      <c r="O354" s="357"/>
      <c r="P354" s="357"/>
      <c r="Q354" s="357"/>
      <c r="R354" s="357"/>
      <c r="S354" s="357"/>
      <c r="T354" s="357"/>
      <c r="U354" s="1395"/>
      <c r="V354" s="357"/>
      <c r="W354" s="357"/>
      <c r="X354" s="357"/>
      <c r="Z354" s="357"/>
      <c r="AA354" s="357"/>
      <c r="AB354" s="357"/>
      <c r="AC354" s="357"/>
      <c r="AD354" s="357"/>
      <c r="AE354" s="357"/>
      <c r="AF354" s="357"/>
      <c r="AG354" s="357"/>
      <c r="AH354" s="357"/>
      <c r="AI354" s="357"/>
      <c r="AJ354" s="357"/>
      <c r="AK354" s="357"/>
      <c r="AL354" s="357"/>
      <c r="AM354" s="357"/>
      <c r="AN354" s="357"/>
      <c r="AO354" s="357"/>
      <c r="AP354" s="357"/>
      <c r="AQ354" s="357"/>
      <c r="AR354" s="357"/>
      <c r="AS354" s="357"/>
      <c r="AT354" s="357"/>
      <c r="AU354" s="357"/>
      <c r="AV354" s="357"/>
      <c r="AW354" s="357"/>
      <c r="AX354" s="357"/>
      <c r="AY354" s="357"/>
      <c r="AZ354" s="357"/>
      <c r="BA354" s="357"/>
      <c r="BB354" s="357"/>
      <c r="BC354" s="357"/>
      <c r="BD354" s="357"/>
      <c r="BE354" s="357"/>
      <c r="BF354" s="357"/>
      <c r="BG354" s="357"/>
      <c r="BH354" s="357"/>
      <c r="BI354" s="357"/>
      <c r="BJ354" s="357"/>
      <c r="BK354" s="357"/>
      <c r="BL354" s="357"/>
      <c r="BM354" s="357"/>
      <c r="BN354" s="357"/>
      <c r="BO354" s="357"/>
      <c r="BP354" s="357"/>
      <c r="BQ354" s="357"/>
      <c r="BR354" s="357"/>
      <c r="BS354" s="357"/>
      <c r="BT354" s="357"/>
      <c r="BU354" s="357"/>
      <c r="BV354" s="357"/>
      <c r="BW354" s="357"/>
      <c r="BX354" s="357"/>
      <c r="BY354" s="357"/>
      <c r="BZ354" s="357"/>
      <c r="CA354" s="357"/>
      <c r="CB354" s="357"/>
      <c r="CC354" s="357"/>
    </row>
    <row r="355" spans="1:81">
      <c r="A355" s="546"/>
      <c r="B355" s="357"/>
      <c r="C355" s="357"/>
      <c r="D355" s="546"/>
      <c r="E355" s="357"/>
      <c r="F355" s="357"/>
      <c r="G355" s="357"/>
      <c r="H355" s="357"/>
      <c r="I355" s="357"/>
      <c r="J355" s="357"/>
      <c r="K355" s="357"/>
      <c r="L355" s="357"/>
      <c r="M355" s="357"/>
      <c r="N355" s="357"/>
      <c r="O355" s="357"/>
      <c r="P355" s="357"/>
      <c r="Q355" s="357"/>
      <c r="R355" s="357"/>
      <c r="S355" s="357"/>
      <c r="T355" s="357"/>
      <c r="U355" s="1395"/>
      <c r="V355" s="357"/>
      <c r="W355" s="357"/>
      <c r="X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c r="BK355" s="357"/>
      <c r="BL355" s="357"/>
      <c r="BM355" s="357"/>
      <c r="BN355" s="357"/>
      <c r="BO355" s="357"/>
      <c r="BP355" s="357"/>
      <c r="BQ355" s="357"/>
      <c r="BR355" s="357"/>
      <c r="BS355" s="357"/>
      <c r="BT355" s="357"/>
      <c r="BU355" s="357"/>
      <c r="BV355" s="357"/>
      <c r="BW355" s="357"/>
      <c r="BX355" s="357"/>
      <c r="BY355" s="357"/>
      <c r="BZ355" s="357"/>
      <c r="CA355" s="357"/>
      <c r="CB355" s="357"/>
      <c r="CC355" s="357"/>
    </row>
    <row r="356" spans="1:81">
      <c r="A356" s="546"/>
      <c r="B356" s="357"/>
      <c r="C356" s="357"/>
      <c r="D356" s="546"/>
      <c r="E356" s="357"/>
      <c r="F356" s="357"/>
      <c r="G356" s="357"/>
      <c r="H356" s="357"/>
      <c r="I356" s="357"/>
      <c r="J356" s="357"/>
      <c r="K356" s="357"/>
      <c r="L356" s="357"/>
      <c r="M356" s="357"/>
      <c r="N356" s="357"/>
      <c r="O356" s="357"/>
      <c r="P356" s="357"/>
      <c r="Q356" s="357"/>
      <c r="R356" s="357"/>
      <c r="S356" s="357"/>
      <c r="T356" s="357"/>
      <c r="U356" s="1395"/>
      <c r="V356" s="357"/>
      <c r="W356" s="357"/>
      <c r="X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c r="BK356" s="357"/>
      <c r="BL356" s="357"/>
      <c r="BM356" s="357"/>
      <c r="BN356" s="357"/>
      <c r="BO356" s="357"/>
      <c r="BP356" s="357"/>
      <c r="BQ356" s="357"/>
      <c r="BR356" s="357"/>
      <c r="BS356" s="357"/>
      <c r="BT356" s="357"/>
      <c r="BU356" s="357"/>
      <c r="BV356" s="357"/>
      <c r="BW356" s="357"/>
      <c r="BX356" s="357"/>
      <c r="BY356" s="357"/>
      <c r="BZ356" s="357"/>
      <c r="CA356" s="357"/>
      <c r="CB356" s="357"/>
      <c r="CC356" s="357"/>
    </row>
    <row r="357" spans="1:81">
      <c r="A357" s="546"/>
      <c r="B357" s="357"/>
      <c r="C357" s="357"/>
      <c r="D357" s="546"/>
      <c r="E357" s="357"/>
      <c r="F357" s="357"/>
      <c r="G357" s="357"/>
      <c r="H357" s="357"/>
      <c r="I357" s="357"/>
      <c r="J357" s="357"/>
      <c r="K357" s="357"/>
      <c r="L357" s="357"/>
      <c r="M357" s="357"/>
      <c r="N357" s="357"/>
      <c r="O357" s="357"/>
      <c r="P357" s="357"/>
      <c r="Q357" s="357"/>
      <c r="R357" s="357"/>
      <c r="S357" s="357"/>
      <c r="T357" s="357"/>
      <c r="U357" s="1395"/>
      <c r="V357" s="357"/>
      <c r="W357" s="357"/>
      <c r="X357" s="357"/>
      <c r="Z357" s="357"/>
      <c r="AA357" s="357"/>
      <c r="AB357" s="357"/>
      <c r="AC357" s="357"/>
      <c r="AD357" s="357"/>
      <c r="AE357" s="357"/>
      <c r="AF357" s="357"/>
      <c r="AG357" s="357"/>
      <c r="AH357" s="357"/>
      <c r="AI357" s="357"/>
      <c r="AJ357" s="357"/>
      <c r="AK357" s="357"/>
      <c r="AL357" s="357"/>
      <c r="AM357" s="357"/>
      <c r="AN357" s="357"/>
      <c r="AO357" s="357"/>
      <c r="AP357" s="357"/>
      <c r="AQ357" s="357"/>
      <c r="AR357" s="357"/>
      <c r="AS357" s="357"/>
      <c r="AT357" s="357"/>
      <c r="AU357" s="357"/>
      <c r="AV357" s="357"/>
      <c r="AW357" s="357"/>
      <c r="AX357" s="357"/>
      <c r="AY357" s="357"/>
      <c r="AZ357" s="357"/>
      <c r="BA357" s="357"/>
      <c r="BB357" s="357"/>
      <c r="BC357" s="357"/>
      <c r="BD357" s="357"/>
      <c r="BE357" s="357"/>
      <c r="BF357" s="357"/>
      <c r="BG357" s="357"/>
      <c r="BH357" s="357"/>
      <c r="BI357" s="357"/>
      <c r="BJ357" s="357"/>
      <c r="BK357" s="357"/>
      <c r="BL357" s="357"/>
      <c r="BM357" s="357"/>
      <c r="BN357" s="357"/>
      <c r="BO357" s="357"/>
      <c r="BP357" s="357"/>
      <c r="BQ357" s="357"/>
      <c r="BR357" s="357"/>
      <c r="BS357" s="357"/>
      <c r="BT357" s="357"/>
      <c r="BU357" s="357"/>
      <c r="BV357" s="357"/>
      <c r="BW357" s="357"/>
      <c r="BX357" s="357"/>
      <c r="BY357" s="357"/>
      <c r="BZ357" s="357"/>
      <c r="CA357" s="357"/>
      <c r="CB357" s="357"/>
      <c r="CC357" s="357"/>
    </row>
    <row r="358" spans="1:81">
      <c r="A358" s="546"/>
      <c r="B358" s="357"/>
      <c r="C358" s="357"/>
      <c r="D358" s="546"/>
      <c r="E358" s="357"/>
      <c r="F358" s="357"/>
      <c r="G358" s="357"/>
      <c r="H358" s="357"/>
      <c r="I358" s="357"/>
      <c r="J358" s="357"/>
      <c r="K358" s="357"/>
      <c r="L358" s="357"/>
      <c r="M358" s="357"/>
      <c r="N358" s="357"/>
      <c r="O358" s="357"/>
      <c r="P358" s="357"/>
      <c r="Q358" s="357"/>
      <c r="R358" s="357"/>
      <c r="S358" s="357"/>
      <c r="T358" s="357"/>
      <c r="U358" s="1395"/>
      <c r="V358" s="357"/>
      <c r="W358" s="357"/>
      <c r="X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c r="BK358" s="357"/>
      <c r="BL358" s="357"/>
      <c r="BM358" s="357"/>
      <c r="BN358" s="357"/>
      <c r="BO358" s="357"/>
      <c r="BP358" s="357"/>
      <c r="BQ358" s="357"/>
      <c r="BR358" s="357"/>
      <c r="BS358" s="357"/>
      <c r="BT358" s="357"/>
      <c r="BU358" s="357"/>
      <c r="BV358" s="357"/>
      <c r="BW358" s="357"/>
      <c r="BX358" s="357"/>
      <c r="BY358" s="357"/>
      <c r="BZ358" s="357"/>
      <c r="CA358" s="357"/>
      <c r="CB358" s="357"/>
      <c r="CC358" s="357"/>
    </row>
    <row r="359" spans="1:81">
      <c r="A359" s="546"/>
      <c r="B359" s="357"/>
      <c r="C359" s="357"/>
      <c r="D359" s="546"/>
      <c r="E359" s="357"/>
      <c r="F359" s="357"/>
      <c r="G359" s="357"/>
      <c r="H359" s="357"/>
      <c r="I359" s="357"/>
      <c r="J359" s="357"/>
      <c r="K359" s="357"/>
      <c r="L359" s="357"/>
      <c r="M359" s="357"/>
      <c r="N359" s="357"/>
      <c r="O359" s="357"/>
      <c r="P359" s="357"/>
      <c r="Q359" s="357"/>
      <c r="R359" s="357"/>
      <c r="S359" s="357"/>
      <c r="T359" s="357"/>
      <c r="U359" s="1395"/>
      <c r="V359" s="357"/>
      <c r="W359" s="357"/>
      <c r="X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c r="BK359" s="357"/>
      <c r="BL359" s="357"/>
      <c r="BM359" s="357"/>
      <c r="BN359" s="357"/>
      <c r="BO359" s="357"/>
      <c r="BP359" s="357"/>
      <c r="BQ359" s="357"/>
      <c r="BR359" s="357"/>
      <c r="BS359" s="357"/>
      <c r="BT359" s="357"/>
      <c r="BU359" s="357"/>
      <c r="BV359" s="357"/>
      <c r="BW359" s="357"/>
      <c r="BX359" s="357"/>
      <c r="BY359" s="357"/>
      <c r="BZ359" s="357"/>
      <c r="CA359" s="357"/>
      <c r="CB359" s="357"/>
      <c r="CC359" s="357"/>
    </row>
    <row r="360" spans="1:81">
      <c r="A360" s="546"/>
      <c r="B360" s="357"/>
      <c r="C360" s="357"/>
      <c r="D360" s="546"/>
      <c r="E360" s="357"/>
      <c r="F360" s="357"/>
      <c r="G360" s="357"/>
      <c r="H360" s="357"/>
      <c r="I360" s="357"/>
      <c r="J360" s="357"/>
      <c r="K360" s="357"/>
      <c r="L360" s="357"/>
      <c r="M360" s="357"/>
      <c r="N360" s="357"/>
      <c r="O360" s="357"/>
      <c r="P360" s="357"/>
      <c r="Q360" s="357"/>
      <c r="R360" s="357"/>
      <c r="S360" s="357"/>
      <c r="T360" s="357"/>
      <c r="U360" s="1395"/>
      <c r="V360" s="357"/>
      <c r="W360" s="357"/>
      <c r="X360" s="357"/>
      <c r="Z360" s="357"/>
      <c r="AA360" s="357"/>
      <c r="AB360" s="357"/>
      <c r="AC360" s="357"/>
      <c r="AD360" s="357"/>
      <c r="AE360" s="357"/>
      <c r="AF360" s="357"/>
      <c r="AG360" s="357"/>
      <c r="AH360" s="357"/>
      <c r="AI360" s="357"/>
      <c r="AJ360" s="357"/>
      <c r="AK360" s="357"/>
      <c r="AL360" s="357"/>
      <c r="AM360" s="357"/>
      <c r="AN360" s="357"/>
      <c r="AO360" s="357"/>
      <c r="AP360" s="357"/>
      <c r="AQ360" s="357"/>
      <c r="AR360" s="357"/>
      <c r="AS360" s="357"/>
      <c r="AT360" s="357"/>
      <c r="AU360" s="357"/>
      <c r="AV360" s="357"/>
      <c r="AW360" s="357"/>
      <c r="AX360" s="357"/>
      <c r="AY360" s="357"/>
      <c r="AZ360" s="357"/>
      <c r="BA360" s="357"/>
      <c r="BB360" s="357"/>
      <c r="BC360" s="357"/>
      <c r="BD360" s="357"/>
      <c r="BE360" s="357"/>
      <c r="BF360" s="357"/>
      <c r="BG360" s="357"/>
      <c r="BH360" s="357"/>
      <c r="BI360" s="357"/>
      <c r="BJ360" s="357"/>
      <c r="BK360" s="357"/>
      <c r="BL360" s="357"/>
      <c r="BM360" s="357"/>
      <c r="BN360" s="357"/>
      <c r="BO360" s="357"/>
      <c r="BP360" s="357"/>
      <c r="BQ360" s="357"/>
      <c r="BR360" s="357"/>
      <c r="BS360" s="357"/>
      <c r="BT360" s="357"/>
      <c r="BU360" s="357"/>
      <c r="BV360" s="357"/>
      <c r="BW360" s="357"/>
      <c r="BX360" s="357"/>
      <c r="BY360" s="357"/>
      <c r="BZ360" s="357"/>
      <c r="CA360" s="357"/>
      <c r="CB360" s="357"/>
      <c r="CC360" s="357"/>
    </row>
    <row r="361" spans="1:81">
      <c r="A361" s="546"/>
      <c r="B361" s="357"/>
      <c r="C361" s="357"/>
      <c r="D361" s="546"/>
      <c r="E361" s="357"/>
      <c r="F361" s="357"/>
      <c r="G361" s="357"/>
      <c r="H361" s="357"/>
      <c r="I361" s="357"/>
      <c r="J361" s="357"/>
      <c r="K361" s="357"/>
      <c r="L361" s="357"/>
      <c r="M361" s="357"/>
      <c r="N361" s="357"/>
      <c r="O361" s="357"/>
      <c r="P361" s="357"/>
      <c r="Q361" s="357"/>
      <c r="R361" s="357"/>
      <c r="S361" s="357"/>
      <c r="T361" s="357"/>
      <c r="U361" s="1395"/>
      <c r="V361" s="357"/>
      <c r="W361" s="357"/>
      <c r="X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c r="BK361" s="357"/>
      <c r="BL361" s="357"/>
      <c r="BM361" s="357"/>
      <c r="BN361" s="357"/>
      <c r="BO361" s="357"/>
      <c r="BP361" s="357"/>
      <c r="BQ361" s="357"/>
      <c r="BR361" s="357"/>
      <c r="BS361" s="357"/>
      <c r="BT361" s="357"/>
      <c r="BU361" s="357"/>
      <c r="BV361" s="357"/>
      <c r="BW361" s="357"/>
      <c r="BX361" s="357"/>
      <c r="BY361" s="357"/>
      <c r="BZ361" s="357"/>
      <c r="CA361" s="357"/>
      <c r="CB361" s="357"/>
      <c r="CC361" s="357"/>
    </row>
    <row r="362" spans="1:81">
      <c r="A362" s="546"/>
      <c r="B362" s="357"/>
      <c r="C362" s="357"/>
      <c r="D362" s="546"/>
      <c r="E362" s="357"/>
      <c r="F362" s="357"/>
      <c r="G362" s="357"/>
      <c r="H362" s="357"/>
      <c r="I362" s="357"/>
      <c r="J362" s="357"/>
      <c r="K362" s="357"/>
      <c r="L362" s="357"/>
      <c r="M362" s="357"/>
      <c r="N362" s="357"/>
      <c r="O362" s="357"/>
      <c r="P362" s="357"/>
      <c r="Q362" s="357"/>
      <c r="R362" s="357"/>
      <c r="S362" s="357"/>
      <c r="T362" s="357"/>
      <c r="U362" s="1395"/>
      <c r="V362" s="357"/>
      <c r="W362" s="357"/>
      <c r="X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c r="BK362" s="357"/>
      <c r="BL362" s="357"/>
      <c r="BM362" s="357"/>
      <c r="BN362" s="357"/>
      <c r="BO362" s="357"/>
      <c r="BP362" s="357"/>
      <c r="BQ362" s="357"/>
      <c r="BR362" s="357"/>
      <c r="BS362" s="357"/>
      <c r="BT362" s="357"/>
      <c r="BU362" s="357"/>
      <c r="BV362" s="357"/>
      <c r="BW362" s="357"/>
      <c r="BX362" s="357"/>
      <c r="BY362" s="357"/>
      <c r="BZ362" s="357"/>
      <c r="CA362" s="357"/>
      <c r="CB362" s="357"/>
      <c r="CC362" s="357"/>
    </row>
    <row r="363" spans="1:81">
      <c r="A363" s="546"/>
      <c r="B363" s="357"/>
      <c r="C363" s="357"/>
      <c r="D363" s="546"/>
      <c r="E363" s="357"/>
      <c r="F363" s="357"/>
      <c r="G363" s="357"/>
      <c r="H363" s="357"/>
      <c r="I363" s="357"/>
      <c r="J363" s="357"/>
      <c r="K363" s="357"/>
      <c r="L363" s="357"/>
      <c r="M363" s="357"/>
      <c r="N363" s="357"/>
      <c r="O363" s="357"/>
      <c r="P363" s="357"/>
      <c r="Q363" s="357"/>
      <c r="R363" s="357"/>
      <c r="S363" s="357"/>
      <c r="T363" s="357"/>
      <c r="U363" s="1395"/>
      <c r="V363" s="357"/>
      <c r="W363" s="357"/>
      <c r="X363" s="357"/>
      <c r="Z363" s="357"/>
      <c r="AA363" s="357"/>
      <c r="AB363" s="357"/>
      <c r="AC363" s="357"/>
      <c r="AD363" s="357"/>
      <c r="AE363" s="357"/>
      <c r="AF363" s="357"/>
      <c r="AG363" s="357"/>
      <c r="AH363" s="357"/>
      <c r="AI363" s="357"/>
      <c r="AJ363" s="357"/>
      <c r="AK363" s="357"/>
      <c r="AL363" s="357"/>
      <c r="AM363" s="357"/>
      <c r="AN363" s="357"/>
      <c r="AO363" s="357"/>
      <c r="AP363" s="357"/>
      <c r="AQ363" s="357"/>
      <c r="AR363" s="357"/>
      <c r="AS363" s="357"/>
      <c r="AT363" s="357"/>
      <c r="AU363" s="357"/>
      <c r="AV363" s="357"/>
      <c r="AW363" s="357"/>
      <c r="AX363" s="357"/>
      <c r="AY363" s="357"/>
      <c r="AZ363" s="357"/>
      <c r="BA363" s="357"/>
      <c r="BB363" s="357"/>
      <c r="BC363" s="357"/>
      <c r="BD363" s="357"/>
      <c r="BE363" s="357"/>
      <c r="BF363" s="357"/>
      <c r="BG363" s="357"/>
      <c r="BH363" s="357"/>
      <c r="BI363" s="357"/>
      <c r="BJ363" s="357"/>
      <c r="BK363" s="357"/>
      <c r="BL363" s="357"/>
      <c r="BM363" s="357"/>
      <c r="BN363" s="357"/>
      <c r="BO363" s="357"/>
      <c r="BP363" s="357"/>
      <c r="BQ363" s="357"/>
      <c r="BR363" s="357"/>
      <c r="BS363" s="357"/>
      <c r="BT363" s="357"/>
      <c r="BU363" s="357"/>
      <c r="BV363" s="357"/>
      <c r="BW363" s="357"/>
      <c r="BX363" s="357"/>
      <c r="BY363" s="357"/>
      <c r="BZ363" s="357"/>
      <c r="CA363" s="357"/>
      <c r="CB363" s="357"/>
      <c r="CC363" s="357"/>
    </row>
    <row r="364" spans="1:81">
      <c r="A364" s="546"/>
      <c r="B364" s="357"/>
      <c r="C364" s="357"/>
      <c r="D364" s="546"/>
      <c r="E364" s="357"/>
      <c r="F364" s="357"/>
      <c r="G364" s="357"/>
      <c r="H364" s="357"/>
      <c r="I364" s="357"/>
      <c r="J364" s="357"/>
      <c r="K364" s="357"/>
      <c r="L364" s="357"/>
      <c r="M364" s="357"/>
      <c r="N364" s="357"/>
      <c r="O364" s="357"/>
      <c r="P364" s="357"/>
      <c r="Q364" s="357"/>
      <c r="R364" s="357"/>
      <c r="S364" s="357"/>
      <c r="T364" s="357"/>
      <c r="U364" s="1395"/>
      <c r="V364" s="357"/>
      <c r="W364" s="357"/>
      <c r="X364" s="357"/>
      <c r="Z364" s="357"/>
      <c r="AA364" s="357"/>
      <c r="AB364" s="357"/>
      <c r="AC364" s="357"/>
      <c r="AD364" s="357"/>
      <c r="AE364" s="357"/>
      <c r="AF364" s="357"/>
      <c r="AG364" s="357"/>
      <c r="AH364" s="357"/>
      <c r="AI364" s="357"/>
      <c r="AJ364" s="357"/>
      <c r="AK364" s="357"/>
      <c r="AL364" s="357"/>
      <c r="AM364" s="357"/>
      <c r="AN364" s="357"/>
      <c r="AO364" s="357"/>
      <c r="AP364" s="357"/>
      <c r="AQ364" s="357"/>
      <c r="AR364" s="357"/>
      <c r="AS364" s="357"/>
      <c r="AT364" s="357"/>
      <c r="AU364" s="357"/>
      <c r="AV364" s="357"/>
      <c r="AW364" s="357"/>
      <c r="AX364" s="357"/>
      <c r="AY364" s="357"/>
      <c r="AZ364" s="357"/>
      <c r="BA364" s="357"/>
      <c r="BB364" s="357"/>
      <c r="BC364" s="357"/>
      <c r="BD364" s="357"/>
      <c r="BE364" s="357"/>
      <c r="BF364" s="357"/>
      <c r="BG364" s="357"/>
      <c r="BH364" s="357"/>
      <c r="BI364" s="357"/>
      <c r="BJ364" s="357"/>
      <c r="BK364" s="357"/>
      <c r="BL364" s="357"/>
      <c r="BM364" s="357"/>
      <c r="BN364" s="357"/>
      <c r="BO364" s="357"/>
      <c r="BP364" s="357"/>
      <c r="BQ364" s="357"/>
      <c r="BR364" s="357"/>
      <c r="BS364" s="357"/>
      <c r="BT364" s="357"/>
      <c r="BU364" s="357"/>
      <c r="BV364" s="357"/>
      <c r="BW364" s="357"/>
      <c r="BX364" s="357"/>
      <c r="BY364" s="357"/>
      <c r="BZ364" s="357"/>
      <c r="CA364" s="357"/>
      <c r="CB364" s="357"/>
      <c r="CC364" s="357"/>
    </row>
    <row r="365" spans="1:81">
      <c r="A365" s="546"/>
      <c r="B365" s="357"/>
      <c r="C365" s="357"/>
      <c r="D365" s="546"/>
      <c r="E365" s="357"/>
      <c r="F365" s="357"/>
      <c r="G365" s="357"/>
      <c r="H365" s="357"/>
      <c r="I365" s="357"/>
      <c r="J365" s="357"/>
      <c r="K365" s="357"/>
      <c r="L365" s="357"/>
      <c r="M365" s="357"/>
      <c r="N365" s="357"/>
      <c r="O365" s="357"/>
      <c r="P365" s="357"/>
      <c r="Q365" s="357"/>
      <c r="R365" s="357"/>
      <c r="S365" s="357"/>
      <c r="T365" s="357"/>
      <c r="U365" s="1395"/>
      <c r="V365" s="357"/>
      <c r="W365" s="357"/>
      <c r="X365" s="357"/>
      <c r="Z365" s="357"/>
      <c r="AA365" s="357"/>
      <c r="AB365" s="357"/>
      <c r="AC365" s="357"/>
      <c r="AD365" s="357"/>
      <c r="AE365" s="357"/>
      <c r="AF365" s="357"/>
      <c r="AG365" s="357"/>
      <c r="AH365" s="357"/>
      <c r="AI365" s="357"/>
      <c r="AJ365" s="357"/>
      <c r="AK365" s="357"/>
      <c r="AL365" s="357"/>
      <c r="AM365" s="357"/>
      <c r="AN365" s="357"/>
      <c r="AO365" s="357"/>
      <c r="AP365" s="357"/>
      <c r="AQ365" s="357"/>
      <c r="AR365" s="357"/>
      <c r="AS365" s="357"/>
      <c r="AT365" s="357"/>
      <c r="AU365" s="357"/>
      <c r="AV365" s="357"/>
      <c r="AW365" s="357"/>
      <c r="AX365" s="357"/>
      <c r="AY365" s="357"/>
      <c r="AZ365" s="357"/>
      <c r="BA365" s="357"/>
      <c r="BB365" s="357"/>
      <c r="BC365" s="357"/>
      <c r="BD365" s="357"/>
      <c r="BE365" s="357"/>
      <c r="BF365" s="357"/>
      <c r="BG365" s="357"/>
      <c r="BH365" s="357"/>
      <c r="BI365" s="357"/>
      <c r="BJ365" s="357"/>
      <c r="BK365" s="357"/>
      <c r="BL365" s="357"/>
      <c r="BM365" s="357"/>
      <c r="BN365" s="357"/>
      <c r="BO365" s="357"/>
      <c r="BP365" s="357"/>
      <c r="BQ365" s="357"/>
      <c r="BR365" s="357"/>
      <c r="BS365" s="357"/>
      <c r="BT365" s="357"/>
      <c r="BU365" s="357"/>
      <c r="BV365" s="357"/>
      <c r="BW365" s="357"/>
      <c r="BX365" s="357"/>
      <c r="BY365" s="357"/>
      <c r="BZ365" s="357"/>
      <c r="CA365" s="357"/>
      <c r="CB365" s="357"/>
      <c r="CC365" s="357"/>
    </row>
    <row r="366" spans="1:81">
      <c r="A366" s="546"/>
      <c r="B366" s="357"/>
      <c r="C366" s="357"/>
      <c r="D366" s="546"/>
      <c r="E366" s="357"/>
      <c r="F366" s="357"/>
      <c r="G366" s="357"/>
      <c r="H366" s="357"/>
      <c r="I366" s="357"/>
      <c r="J366" s="357"/>
      <c r="K366" s="357"/>
      <c r="L366" s="357"/>
      <c r="M366" s="357"/>
      <c r="N366" s="357"/>
      <c r="O366" s="357"/>
      <c r="P366" s="357"/>
      <c r="Q366" s="357"/>
      <c r="R366" s="357"/>
      <c r="S366" s="357"/>
      <c r="T366" s="357"/>
      <c r="U366" s="1395"/>
      <c r="V366" s="357"/>
      <c r="W366" s="357"/>
      <c r="X366" s="357"/>
      <c r="Z366" s="357"/>
      <c r="AA366" s="357"/>
      <c r="AB366" s="357"/>
      <c r="AC366" s="357"/>
      <c r="AD366" s="357"/>
      <c r="AE366" s="357"/>
      <c r="AF366" s="357"/>
      <c r="AG366" s="357"/>
      <c r="AH366" s="357"/>
      <c r="AI366" s="357"/>
      <c r="AJ366" s="357"/>
      <c r="AK366" s="357"/>
      <c r="AL366" s="357"/>
      <c r="AM366" s="357"/>
      <c r="AN366" s="357"/>
      <c r="AO366" s="357"/>
      <c r="AP366" s="357"/>
      <c r="AQ366" s="357"/>
      <c r="AR366" s="357"/>
      <c r="AS366" s="357"/>
      <c r="AT366" s="357"/>
      <c r="AU366" s="357"/>
      <c r="AV366" s="357"/>
      <c r="AW366" s="357"/>
      <c r="AX366" s="357"/>
      <c r="AY366" s="357"/>
      <c r="AZ366" s="357"/>
      <c r="BA366" s="357"/>
      <c r="BB366" s="357"/>
      <c r="BC366" s="357"/>
      <c r="BD366" s="357"/>
      <c r="BE366" s="357"/>
      <c r="BF366" s="357"/>
      <c r="BG366" s="357"/>
      <c r="BH366" s="357"/>
      <c r="BI366" s="357"/>
      <c r="BJ366" s="357"/>
      <c r="BK366" s="357"/>
      <c r="BL366" s="357"/>
      <c r="BM366" s="357"/>
      <c r="BN366" s="357"/>
      <c r="BO366" s="357"/>
      <c r="BP366" s="357"/>
      <c r="BQ366" s="357"/>
      <c r="BR366" s="357"/>
      <c r="BS366" s="357"/>
      <c r="BT366" s="357"/>
      <c r="BU366" s="357"/>
      <c r="BV366" s="357"/>
      <c r="BW366" s="357"/>
      <c r="BX366" s="357"/>
      <c r="BY366" s="357"/>
      <c r="BZ366" s="357"/>
      <c r="CA366" s="357"/>
      <c r="CB366" s="357"/>
      <c r="CC366" s="357"/>
    </row>
    <row r="367" spans="1:81">
      <c r="A367" s="546"/>
      <c r="B367" s="357"/>
      <c r="C367" s="357"/>
      <c r="D367" s="546"/>
      <c r="E367" s="357"/>
      <c r="F367" s="357"/>
      <c r="G367" s="357"/>
      <c r="H367" s="357"/>
      <c r="I367" s="357"/>
      <c r="J367" s="357"/>
      <c r="K367" s="357"/>
      <c r="L367" s="357"/>
      <c r="M367" s="357"/>
      <c r="N367" s="357"/>
      <c r="O367" s="357"/>
      <c r="P367" s="357"/>
      <c r="Q367" s="357"/>
      <c r="R367" s="357"/>
      <c r="S367" s="357"/>
      <c r="T367" s="357"/>
      <c r="U367" s="1395"/>
      <c r="V367" s="357"/>
      <c r="W367" s="357"/>
      <c r="X367" s="357"/>
      <c r="Z367" s="357"/>
      <c r="AA367" s="357"/>
      <c r="AB367" s="357"/>
      <c r="AC367" s="357"/>
      <c r="AD367" s="357"/>
      <c r="AE367" s="357"/>
      <c r="AF367" s="357"/>
      <c r="AG367" s="357"/>
      <c r="AH367" s="357"/>
      <c r="AI367" s="357"/>
      <c r="AJ367" s="357"/>
      <c r="AK367" s="357"/>
      <c r="AL367" s="357"/>
      <c r="AM367" s="357"/>
      <c r="AN367" s="357"/>
      <c r="AO367" s="357"/>
      <c r="AP367" s="357"/>
      <c r="AQ367" s="357"/>
      <c r="AR367" s="357"/>
      <c r="AS367" s="357"/>
      <c r="AT367" s="357"/>
      <c r="AU367" s="357"/>
      <c r="AV367" s="357"/>
      <c r="AW367" s="357"/>
      <c r="AX367" s="357"/>
      <c r="AY367" s="357"/>
      <c r="AZ367" s="357"/>
      <c r="BA367" s="357"/>
      <c r="BB367" s="357"/>
      <c r="BC367" s="357"/>
      <c r="BD367" s="357"/>
      <c r="BE367" s="357"/>
      <c r="BF367" s="357"/>
      <c r="BG367" s="357"/>
      <c r="BH367" s="357"/>
      <c r="BI367" s="357"/>
      <c r="BJ367" s="357"/>
      <c r="BK367" s="357"/>
      <c r="BL367" s="357"/>
      <c r="BM367" s="357"/>
      <c r="BN367" s="357"/>
      <c r="BO367" s="357"/>
      <c r="BP367" s="357"/>
      <c r="BQ367" s="357"/>
      <c r="BR367" s="357"/>
      <c r="BS367" s="357"/>
      <c r="BT367" s="357"/>
      <c r="BU367" s="357"/>
      <c r="BV367" s="357"/>
      <c r="BW367" s="357"/>
      <c r="BX367" s="357"/>
      <c r="BY367" s="357"/>
      <c r="BZ367" s="357"/>
      <c r="CA367" s="357"/>
      <c r="CB367" s="357"/>
      <c r="CC367" s="357"/>
    </row>
    <row r="368" spans="1:81">
      <c r="A368" s="546"/>
      <c r="B368" s="357"/>
      <c r="C368" s="357"/>
      <c r="D368" s="546"/>
      <c r="E368" s="357"/>
      <c r="F368" s="357"/>
      <c r="G368" s="357"/>
      <c r="H368" s="357"/>
      <c r="I368" s="357"/>
      <c r="J368" s="357"/>
      <c r="K368" s="357"/>
      <c r="L368" s="357"/>
      <c r="M368" s="357"/>
      <c r="N368" s="357"/>
      <c r="O368" s="357"/>
      <c r="P368" s="357"/>
      <c r="Q368" s="357"/>
      <c r="R368" s="357"/>
      <c r="S368" s="357"/>
      <c r="T368" s="357"/>
      <c r="U368" s="1395"/>
      <c r="V368" s="357"/>
      <c r="W368" s="357"/>
      <c r="X368" s="357"/>
      <c r="Z368" s="357"/>
      <c r="AA368" s="357"/>
      <c r="AB368" s="357"/>
      <c r="AC368" s="357"/>
      <c r="AD368" s="357"/>
      <c r="AE368" s="357"/>
      <c r="AF368" s="357"/>
      <c r="AG368" s="357"/>
      <c r="AH368" s="357"/>
      <c r="AI368" s="357"/>
      <c r="AJ368" s="357"/>
      <c r="AK368" s="357"/>
      <c r="AL368" s="357"/>
      <c r="AM368" s="357"/>
      <c r="AN368" s="357"/>
      <c r="AO368" s="357"/>
      <c r="AP368" s="357"/>
      <c r="AQ368" s="357"/>
      <c r="AR368" s="357"/>
      <c r="AS368" s="357"/>
      <c r="AT368" s="357"/>
      <c r="AU368" s="357"/>
      <c r="AV368" s="357"/>
      <c r="AW368" s="357"/>
      <c r="AX368" s="357"/>
      <c r="AY368" s="357"/>
      <c r="AZ368" s="357"/>
      <c r="BA368" s="357"/>
      <c r="BB368" s="357"/>
      <c r="BC368" s="357"/>
      <c r="BD368" s="357"/>
      <c r="BE368" s="357"/>
      <c r="BF368" s="357"/>
      <c r="BG368" s="357"/>
      <c r="BH368" s="357"/>
      <c r="BI368" s="357"/>
      <c r="BJ368" s="357"/>
      <c r="BK368" s="357"/>
      <c r="BL368" s="357"/>
      <c r="BM368" s="357"/>
      <c r="BN368" s="357"/>
      <c r="BO368" s="357"/>
      <c r="BP368" s="357"/>
      <c r="BQ368" s="357"/>
      <c r="BR368" s="357"/>
      <c r="BS368" s="357"/>
      <c r="BT368" s="357"/>
      <c r="BU368" s="357"/>
      <c r="BV368" s="357"/>
      <c r="BW368" s="357"/>
      <c r="BX368" s="357"/>
      <c r="BY368" s="357"/>
      <c r="BZ368" s="357"/>
      <c r="CA368" s="357"/>
      <c r="CB368" s="357"/>
      <c r="CC368" s="357"/>
    </row>
    <row r="369" spans="1:81">
      <c r="A369" s="546"/>
      <c r="B369" s="357"/>
      <c r="C369" s="357"/>
      <c r="D369" s="546"/>
      <c r="E369" s="357"/>
      <c r="F369" s="357"/>
      <c r="G369" s="357"/>
      <c r="H369" s="357"/>
      <c r="I369" s="357"/>
      <c r="J369" s="357"/>
      <c r="K369" s="357"/>
      <c r="L369" s="357"/>
      <c r="M369" s="357"/>
      <c r="N369" s="357"/>
      <c r="O369" s="357"/>
      <c r="P369" s="357"/>
      <c r="Q369" s="357"/>
      <c r="R369" s="357"/>
      <c r="S369" s="357"/>
      <c r="T369" s="357"/>
      <c r="U369" s="1395"/>
      <c r="V369" s="357"/>
      <c r="W369" s="357"/>
      <c r="X369" s="357"/>
      <c r="Z369" s="357"/>
      <c r="AA369" s="357"/>
      <c r="AB369" s="357"/>
      <c r="AC369" s="357"/>
      <c r="AD369" s="357"/>
      <c r="AE369" s="357"/>
      <c r="AF369" s="357"/>
      <c r="AG369" s="357"/>
      <c r="AH369" s="357"/>
      <c r="AI369" s="357"/>
      <c r="AJ369" s="357"/>
      <c r="AK369" s="357"/>
      <c r="AL369" s="357"/>
      <c r="AM369" s="357"/>
      <c r="AN369" s="357"/>
      <c r="AO369" s="357"/>
      <c r="AP369" s="357"/>
      <c r="AQ369" s="357"/>
      <c r="AR369" s="357"/>
      <c r="AS369" s="357"/>
      <c r="AT369" s="357"/>
      <c r="AU369" s="357"/>
      <c r="AV369" s="357"/>
      <c r="AW369" s="357"/>
      <c r="AX369" s="357"/>
      <c r="AY369" s="357"/>
      <c r="AZ369" s="357"/>
      <c r="BA369" s="357"/>
      <c r="BB369" s="357"/>
      <c r="BC369" s="357"/>
      <c r="BD369" s="357"/>
      <c r="BE369" s="357"/>
      <c r="BF369" s="357"/>
      <c r="BG369" s="357"/>
      <c r="BH369" s="357"/>
      <c r="BI369" s="357"/>
      <c r="BJ369" s="357"/>
      <c r="BK369" s="357"/>
      <c r="BL369" s="357"/>
      <c r="BM369" s="357"/>
      <c r="BN369" s="357"/>
      <c r="BO369" s="357"/>
      <c r="BP369" s="357"/>
      <c r="BQ369" s="357"/>
      <c r="BR369" s="357"/>
      <c r="BS369" s="357"/>
      <c r="BT369" s="357"/>
      <c r="BU369" s="357"/>
      <c r="BV369" s="357"/>
      <c r="BW369" s="357"/>
      <c r="BX369" s="357"/>
      <c r="BY369" s="357"/>
      <c r="BZ369" s="357"/>
      <c r="CA369" s="357"/>
      <c r="CB369" s="357"/>
      <c r="CC369" s="357"/>
    </row>
    <row r="370" spans="1:81">
      <c r="A370" s="546"/>
      <c r="B370" s="357"/>
      <c r="C370" s="357"/>
      <c r="D370" s="546"/>
      <c r="E370" s="357"/>
      <c r="F370" s="357"/>
      <c r="G370" s="357"/>
      <c r="H370" s="357"/>
      <c r="I370" s="357"/>
      <c r="J370" s="357"/>
      <c r="K370" s="357"/>
      <c r="L370" s="357"/>
      <c r="M370" s="357"/>
      <c r="N370" s="357"/>
      <c r="O370" s="357"/>
      <c r="P370" s="357"/>
      <c r="Q370" s="357"/>
      <c r="R370" s="357"/>
      <c r="S370" s="357"/>
      <c r="T370" s="357"/>
      <c r="U370" s="1395"/>
      <c r="V370" s="357"/>
      <c r="W370" s="357"/>
      <c r="X370" s="357"/>
      <c r="Z370" s="357"/>
      <c r="AA370" s="357"/>
      <c r="AB370" s="357"/>
      <c r="AC370" s="357"/>
      <c r="AD370" s="357"/>
      <c r="AE370" s="357"/>
      <c r="AF370" s="357"/>
      <c r="AG370" s="357"/>
      <c r="AH370" s="357"/>
      <c r="AI370" s="357"/>
      <c r="AJ370" s="357"/>
      <c r="AK370" s="357"/>
      <c r="AL370" s="357"/>
      <c r="AM370" s="357"/>
      <c r="AN370" s="357"/>
      <c r="AO370" s="357"/>
      <c r="AP370" s="357"/>
      <c r="AQ370" s="357"/>
      <c r="AR370" s="357"/>
      <c r="AS370" s="357"/>
      <c r="AT370" s="357"/>
      <c r="AU370" s="357"/>
      <c r="AV370" s="357"/>
      <c r="AW370" s="357"/>
      <c r="AX370" s="357"/>
      <c r="AY370" s="357"/>
      <c r="AZ370" s="357"/>
      <c r="BA370" s="357"/>
      <c r="BB370" s="357"/>
      <c r="BC370" s="357"/>
      <c r="BD370" s="357"/>
      <c r="BE370" s="357"/>
      <c r="BF370" s="357"/>
      <c r="BG370" s="357"/>
      <c r="BH370" s="357"/>
      <c r="BI370" s="357"/>
      <c r="BJ370" s="357"/>
      <c r="BK370" s="357"/>
      <c r="BL370" s="357"/>
      <c r="BM370" s="357"/>
      <c r="BN370" s="357"/>
      <c r="BO370" s="357"/>
      <c r="BP370" s="357"/>
      <c r="BQ370" s="357"/>
      <c r="BR370" s="357"/>
      <c r="BS370" s="357"/>
      <c r="BT370" s="357"/>
      <c r="BU370" s="357"/>
      <c r="BV370" s="357"/>
      <c r="BW370" s="357"/>
      <c r="BX370" s="357"/>
      <c r="BY370" s="357"/>
      <c r="BZ370" s="357"/>
      <c r="CA370" s="357"/>
      <c r="CB370" s="357"/>
      <c r="CC370" s="357"/>
    </row>
    <row r="371" spans="1:81">
      <c r="A371" s="546"/>
      <c r="B371" s="357"/>
      <c r="C371" s="357"/>
      <c r="D371" s="546"/>
      <c r="E371" s="357"/>
      <c r="F371" s="357"/>
      <c r="G371" s="357"/>
      <c r="H371" s="357"/>
      <c r="I371" s="357"/>
      <c r="J371" s="357"/>
      <c r="K371" s="357"/>
      <c r="L371" s="357"/>
      <c r="M371" s="357"/>
      <c r="N371" s="357"/>
      <c r="O371" s="357"/>
      <c r="P371" s="357"/>
      <c r="Q371" s="357"/>
      <c r="R371" s="357"/>
      <c r="S371" s="357"/>
      <c r="T371" s="357"/>
      <c r="U371" s="1395"/>
      <c r="V371" s="357"/>
      <c r="W371" s="357"/>
      <c r="X371" s="357"/>
      <c r="Z371" s="357"/>
      <c r="AA371" s="357"/>
      <c r="AB371" s="357"/>
      <c r="AC371" s="357"/>
      <c r="AD371" s="357"/>
      <c r="AE371" s="357"/>
      <c r="AF371" s="357"/>
      <c r="AG371" s="357"/>
      <c r="AH371" s="357"/>
      <c r="AI371" s="357"/>
      <c r="AJ371" s="357"/>
      <c r="AK371" s="357"/>
      <c r="AL371" s="357"/>
      <c r="AM371" s="357"/>
      <c r="AN371" s="357"/>
      <c r="AO371" s="357"/>
      <c r="AP371" s="357"/>
      <c r="AQ371" s="357"/>
      <c r="AR371" s="357"/>
      <c r="AS371" s="357"/>
      <c r="AT371" s="357"/>
      <c r="AU371" s="357"/>
      <c r="AV371" s="357"/>
      <c r="AW371" s="357"/>
      <c r="AX371" s="357"/>
      <c r="AY371" s="357"/>
      <c r="AZ371" s="357"/>
      <c r="BA371" s="357"/>
      <c r="BB371" s="357"/>
      <c r="BC371" s="357"/>
      <c r="BD371" s="357"/>
      <c r="BE371" s="357"/>
      <c r="BF371" s="357"/>
      <c r="BG371" s="357"/>
      <c r="BH371" s="357"/>
      <c r="BI371" s="357"/>
      <c r="BJ371" s="357"/>
      <c r="BK371" s="357"/>
      <c r="BL371" s="357"/>
      <c r="BM371" s="357"/>
      <c r="BN371" s="357"/>
      <c r="BO371" s="357"/>
      <c r="BP371" s="357"/>
      <c r="BQ371" s="357"/>
      <c r="BR371" s="357"/>
      <c r="BS371" s="357"/>
      <c r="BT371" s="357"/>
      <c r="BU371" s="357"/>
      <c r="BV371" s="357"/>
      <c r="BW371" s="357"/>
      <c r="BX371" s="357"/>
      <c r="BY371" s="357"/>
      <c r="BZ371" s="357"/>
      <c r="CA371" s="357"/>
      <c r="CB371" s="357"/>
      <c r="CC371" s="357"/>
    </row>
    <row r="372" spans="1:81">
      <c r="A372" s="546"/>
      <c r="B372" s="357"/>
      <c r="C372" s="357"/>
      <c r="D372" s="546"/>
      <c r="E372" s="357"/>
      <c r="F372" s="357"/>
      <c r="G372" s="357"/>
      <c r="H372" s="357"/>
      <c r="I372" s="357"/>
      <c r="J372" s="357"/>
      <c r="K372" s="357"/>
      <c r="L372" s="357"/>
      <c r="M372" s="357"/>
      <c r="N372" s="357"/>
      <c r="O372" s="357"/>
      <c r="P372" s="357"/>
      <c r="Q372" s="357"/>
      <c r="R372" s="357"/>
      <c r="S372" s="357"/>
      <c r="T372" s="357"/>
      <c r="U372" s="1395"/>
      <c r="V372" s="357"/>
      <c r="W372" s="357"/>
      <c r="X372" s="357"/>
      <c r="Z372" s="357"/>
      <c r="AA372" s="357"/>
      <c r="AB372" s="357"/>
      <c r="AC372" s="357"/>
      <c r="AD372" s="357"/>
      <c r="AE372" s="357"/>
      <c r="AF372" s="357"/>
      <c r="AG372" s="357"/>
      <c r="AH372" s="357"/>
      <c r="AI372" s="357"/>
      <c r="AJ372" s="357"/>
      <c r="AK372" s="357"/>
      <c r="AL372" s="357"/>
      <c r="AM372" s="357"/>
      <c r="AN372" s="357"/>
      <c r="AO372" s="357"/>
      <c r="AP372" s="357"/>
      <c r="AQ372" s="357"/>
      <c r="AR372" s="357"/>
      <c r="AS372" s="357"/>
      <c r="AT372" s="357"/>
      <c r="AU372" s="357"/>
      <c r="AV372" s="357"/>
      <c r="AW372" s="357"/>
      <c r="AX372" s="357"/>
      <c r="AY372" s="357"/>
      <c r="AZ372" s="357"/>
      <c r="BA372" s="357"/>
      <c r="BB372" s="357"/>
      <c r="BC372" s="357"/>
      <c r="BD372" s="357"/>
      <c r="BE372" s="357"/>
      <c r="BF372" s="357"/>
      <c r="BG372" s="357"/>
      <c r="BH372" s="357"/>
      <c r="BI372" s="357"/>
      <c r="BJ372" s="357"/>
      <c r="BK372" s="357"/>
      <c r="BL372" s="357"/>
      <c r="BM372" s="357"/>
      <c r="BN372" s="357"/>
      <c r="BO372" s="357"/>
      <c r="BP372" s="357"/>
      <c r="BQ372" s="357"/>
      <c r="BR372" s="357"/>
      <c r="BS372" s="357"/>
      <c r="BT372" s="357"/>
      <c r="BU372" s="357"/>
      <c r="BV372" s="357"/>
      <c r="BW372" s="357"/>
      <c r="BX372" s="357"/>
      <c r="BY372" s="357"/>
      <c r="BZ372" s="357"/>
      <c r="CA372" s="357"/>
      <c r="CB372" s="357"/>
      <c r="CC372" s="357"/>
    </row>
    <row r="373" spans="1:81">
      <c r="A373" s="546"/>
      <c r="B373" s="357"/>
      <c r="C373" s="357"/>
      <c r="D373" s="546"/>
      <c r="E373" s="357"/>
      <c r="F373" s="357"/>
      <c r="G373" s="357"/>
      <c r="H373" s="357"/>
      <c r="I373" s="357"/>
      <c r="J373" s="357"/>
      <c r="K373" s="357"/>
      <c r="L373" s="357"/>
      <c r="M373" s="357"/>
      <c r="N373" s="357"/>
      <c r="O373" s="357"/>
      <c r="P373" s="357"/>
      <c r="Q373" s="357"/>
      <c r="R373" s="357"/>
      <c r="S373" s="357"/>
      <c r="T373" s="357"/>
      <c r="U373" s="1395"/>
      <c r="V373" s="357"/>
      <c r="W373" s="357"/>
      <c r="X373" s="357"/>
      <c r="Z373" s="357"/>
      <c r="AA373" s="357"/>
      <c r="AB373" s="357"/>
      <c r="AC373" s="357"/>
      <c r="AD373" s="357"/>
      <c r="AE373" s="357"/>
      <c r="AF373" s="357"/>
      <c r="AG373" s="357"/>
      <c r="AH373" s="357"/>
      <c r="AI373" s="357"/>
      <c r="AJ373" s="357"/>
      <c r="AK373" s="357"/>
      <c r="AL373" s="357"/>
      <c r="AM373" s="357"/>
      <c r="AN373" s="357"/>
      <c r="AO373" s="357"/>
      <c r="AP373" s="357"/>
      <c r="AQ373" s="357"/>
      <c r="AR373" s="357"/>
      <c r="AS373" s="357"/>
      <c r="AT373" s="357"/>
      <c r="AU373" s="357"/>
      <c r="AV373" s="357"/>
      <c r="AW373" s="357"/>
      <c r="AX373" s="357"/>
      <c r="AY373" s="357"/>
      <c r="AZ373" s="357"/>
      <c r="BA373" s="357"/>
      <c r="BB373" s="357"/>
      <c r="BC373" s="357"/>
      <c r="BD373" s="357"/>
      <c r="BE373" s="357"/>
      <c r="BF373" s="357"/>
      <c r="BG373" s="357"/>
      <c r="BH373" s="357"/>
      <c r="BI373" s="357"/>
      <c r="BJ373" s="357"/>
      <c r="BK373" s="357"/>
      <c r="BL373" s="357"/>
      <c r="BM373" s="357"/>
      <c r="BN373" s="357"/>
      <c r="BO373" s="357"/>
      <c r="BP373" s="357"/>
      <c r="BQ373" s="357"/>
      <c r="BR373" s="357"/>
      <c r="BS373" s="357"/>
      <c r="BT373" s="357"/>
      <c r="BU373" s="357"/>
      <c r="BV373" s="357"/>
      <c r="BW373" s="357"/>
      <c r="BX373" s="357"/>
      <c r="BY373" s="357"/>
      <c r="BZ373" s="357"/>
      <c r="CA373" s="357"/>
      <c r="CB373" s="357"/>
      <c r="CC373" s="357"/>
    </row>
    <row r="374" spans="1:81">
      <c r="A374" s="546"/>
      <c r="B374" s="357"/>
      <c r="C374" s="357"/>
      <c r="D374" s="546"/>
      <c r="E374" s="357"/>
      <c r="F374" s="357"/>
      <c r="G374" s="357"/>
      <c r="H374" s="357"/>
      <c r="I374" s="357"/>
      <c r="J374" s="357"/>
      <c r="K374" s="357"/>
      <c r="L374" s="357"/>
      <c r="M374" s="357"/>
      <c r="N374" s="357"/>
      <c r="O374" s="357"/>
      <c r="P374" s="357"/>
      <c r="Q374" s="357"/>
      <c r="R374" s="357"/>
      <c r="S374" s="357"/>
      <c r="T374" s="357"/>
      <c r="U374" s="1395"/>
      <c r="V374" s="357"/>
      <c r="W374" s="357"/>
      <c r="X374" s="357"/>
      <c r="Z374" s="357"/>
      <c r="AA374" s="357"/>
      <c r="AB374" s="357"/>
      <c r="AC374" s="357"/>
      <c r="AD374" s="357"/>
      <c r="AE374" s="357"/>
      <c r="AF374" s="357"/>
      <c r="AG374" s="357"/>
      <c r="AH374" s="357"/>
      <c r="AI374" s="357"/>
      <c r="AJ374" s="357"/>
      <c r="AK374" s="357"/>
      <c r="AL374" s="357"/>
      <c r="AM374" s="357"/>
      <c r="AN374" s="357"/>
      <c r="AO374" s="357"/>
      <c r="AP374" s="357"/>
      <c r="AQ374" s="357"/>
      <c r="AR374" s="357"/>
      <c r="AS374" s="357"/>
      <c r="AT374" s="357"/>
      <c r="AU374" s="357"/>
      <c r="AV374" s="357"/>
      <c r="AW374" s="357"/>
      <c r="AX374" s="357"/>
      <c r="AY374" s="357"/>
      <c r="AZ374" s="357"/>
      <c r="BA374" s="357"/>
      <c r="BB374" s="357"/>
      <c r="BC374" s="357"/>
      <c r="BD374" s="357"/>
      <c r="BE374" s="357"/>
      <c r="BF374" s="357"/>
      <c r="BG374" s="357"/>
      <c r="BH374" s="357"/>
      <c r="BI374" s="357"/>
      <c r="BJ374" s="357"/>
      <c r="BK374" s="357"/>
      <c r="BL374" s="357"/>
      <c r="BM374" s="357"/>
      <c r="BN374" s="357"/>
      <c r="BO374" s="357"/>
      <c r="BP374" s="357"/>
      <c r="BQ374" s="357"/>
      <c r="BR374" s="357"/>
      <c r="BS374" s="357"/>
      <c r="BT374" s="357"/>
      <c r="BU374" s="357"/>
      <c r="BV374" s="357"/>
      <c r="BW374" s="357"/>
      <c r="BX374" s="357"/>
      <c r="BY374" s="357"/>
      <c r="BZ374" s="357"/>
      <c r="CA374" s="357"/>
      <c r="CB374" s="357"/>
      <c r="CC374" s="357"/>
    </row>
    <row r="375" spans="1:81">
      <c r="A375" s="546"/>
      <c r="B375" s="357"/>
      <c r="C375" s="357"/>
      <c r="D375" s="546"/>
      <c r="E375" s="357"/>
      <c r="F375" s="357"/>
      <c r="G375" s="357"/>
      <c r="H375" s="357"/>
      <c r="I375" s="357"/>
      <c r="J375" s="357"/>
      <c r="K375" s="357"/>
      <c r="L375" s="357"/>
      <c r="M375" s="357"/>
      <c r="N375" s="357"/>
      <c r="O375" s="357"/>
      <c r="P375" s="357"/>
      <c r="Q375" s="357"/>
      <c r="R375" s="357"/>
      <c r="S375" s="357"/>
      <c r="T375" s="357"/>
      <c r="U375" s="1395"/>
      <c r="V375" s="357"/>
      <c r="W375" s="357"/>
      <c r="X375" s="357"/>
      <c r="Z375" s="357"/>
      <c r="AA375" s="357"/>
      <c r="AB375" s="357"/>
      <c r="AC375" s="357"/>
      <c r="AD375" s="357"/>
      <c r="AE375" s="357"/>
      <c r="AF375" s="357"/>
      <c r="AG375" s="357"/>
      <c r="AH375" s="357"/>
      <c r="AI375" s="357"/>
      <c r="AJ375" s="357"/>
      <c r="AK375" s="357"/>
      <c r="AL375" s="357"/>
      <c r="AM375" s="357"/>
      <c r="AN375" s="357"/>
      <c r="AO375" s="357"/>
      <c r="AP375" s="357"/>
      <c r="AQ375" s="357"/>
      <c r="AR375" s="357"/>
      <c r="AS375" s="357"/>
      <c r="AT375" s="357"/>
      <c r="AU375" s="357"/>
      <c r="AV375" s="357"/>
      <c r="AW375" s="357"/>
      <c r="AX375" s="357"/>
      <c r="AY375" s="357"/>
      <c r="AZ375" s="357"/>
      <c r="BA375" s="357"/>
      <c r="BB375" s="357"/>
      <c r="BC375" s="357"/>
      <c r="BD375" s="357"/>
      <c r="BE375" s="357"/>
      <c r="BF375" s="357"/>
      <c r="BG375" s="357"/>
      <c r="BH375" s="357"/>
      <c r="BI375" s="357"/>
      <c r="BJ375" s="357"/>
      <c r="BK375" s="357"/>
      <c r="BL375" s="357"/>
      <c r="BM375" s="357"/>
      <c r="BN375" s="357"/>
      <c r="BO375" s="357"/>
      <c r="BP375" s="357"/>
      <c r="BQ375" s="357"/>
      <c r="BR375" s="357"/>
      <c r="BS375" s="357"/>
      <c r="BT375" s="357"/>
      <c r="BU375" s="357"/>
      <c r="BV375" s="357"/>
      <c r="BW375" s="357"/>
      <c r="BX375" s="357"/>
      <c r="BY375" s="357"/>
      <c r="BZ375" s="357"/>
      <c r="CA375" s="357"/>
      <c r="CB375" s="357"/>
      <c r="CC375" s="357"/>
    </row>
    <row r="376" spans="1:81">
      <c r="A376" s="546"/>
      <c r="B376" s="357"/>
      <c r="C376" s="357"/>
      <c r="D376" s="546"/>
      <c r="E376" s="357"/>
      <c r="F376" s="357"/>
      <c r="G376" s="357"/>
      <c r="H376" s="357"/>
      <c r="I376" s="357"/>
      <c r="J376" s="357"/>
      <c r="K376" s="357"/>
      <c r="L376" s="357"/>
      <c r="M376" s="357"/>
      <c r="N376" s="357"/>
      <c r="O376" s="357"/>
      <c r="P376" s="357"/>
      <c r="Q376" s="357"/>
      <c r="R376" s="357"/>
      <c r="S376" s="357"/>
      <c r="T376" s="357"/>
      <c r="U376" s="1395"/>
      <c r="V376" s="357"/>
      <c r="W376" s="357"/>
      <c r="X376" s="357"/>
      <c r="Z376" s="357"/>
      <c r="AA376" s="357"/>
      <c r="AB376" s="357"/>
      <c r="AC376" s="357"/>
      <c r="AD376" s="357"/>
      <c r="AE376" s="357"/>
      <c r="AF376" s="357"/>
      <c r="AG376" s="357"/>
      <c r="AH376" s="357"/>
      <c r="AI376" s="357"/>
      <c r="AJ376" s="357"/>
      <c r="AK376" s="357"/>
      <c r="AL376" s="357"/>
      <c r="AM376" s="357"/>
      <c r="AN376" s="357"/>
      <c r="AO376" s="357"/>
      <c r="AP376" s="357"/>
      <c r="AQ376" s="357"/>
      <c r="AR376" s="357"/>
      <c r="AS376" s="357"/>
      <c r="AT376" s="357"/>
      <c r="AU376" s="357"/>
      <c r="AV376" s="357"/>
      <c r="AW376" s="357"/>
      <c r="AX376" s="357"/>
      <c r="AY376" s="357"/>
      <c r="AZ376" s="357"/>
      <c r="BA376" s="357"/>
      <c r="BB376" s="357"/>
      <c r="BC376" s="357"/>
      <c r="BD376" s="357"/>
      <c r="BE376" s="357"/>
      <c r="BF376" s="357"/>
      <c r="BG376" s="357"/>
      <c r="BH376" s="357"/>
      <c r="BI376" s="357"/>
      <c r="BJ376" s="357"/>
      <c r="BK376" s="357"/>
      <c r="BL376" s="357"/>
      <c r="BM376" s="357"/>
      <c r="BN376" s="357"/>
      <c r="BO376" s="357"/>
      <c r="BP376" s="357"/>
      <c r="BQ376" s="357"/>
      <c r="BR376" s="357"/>
      <c r="BS376" s="357"/>
      <c r="BT376" s="357"/>
      <c r="BU376" s="357"/>
      <c r="BV376" s="357"/>
      <c r="BW376" s="357"/>
      <c r="BX376" s="357"/>
      <c r="BY376" s="357"/>
      <c r="BZ376" s="357"/>
      <c r="CA376" s="357"/>
      <c r="CB376" s="357"/>
      <c r="CC376" s="357"/>
    </row>
    <row r="377" spans="1:81">
      <c r="A377" s="546"/>
      <c r="B377" s="357"/>
      <c r="C377" s="357"/>
      <c r="D377" s="546"/>
      <c r="E377" s="357"/>
      <c r="F377" s="357"/>
      <c r="G377" s="357"/>
      <c r="H377" s="357"/>
      <c r="I377" s="357"/>
      <c r="J377" s="357"/>
      <c r="K377" s="357"/>
      <c r="L377" s="357"/>
      <c r="M377" s="357"/>
      <c r="N377" s="357"/>
      <c r="O377" s="357"/>
      <c r="P377" s="357"/>
      <c r="Q377" s="357"/>
      <c r="R377" s="357"/>
      <c r="S377" s="357"/>
      <c r="T377" s="357"/>
      <c r="U377" s="1395"/>
      <c r="V377" s="357"/>
      <c r="W377" s="357"/>
      <c r="X377" s="357"/>
      <c r="Z377" s="357"/>
      <c r="AA377" s="357"/>
      <c r="AB377" s="357"/>
      <c r="AC377" s="357"/>
      <c r="AD377" s="357"/>
      <c r="AE377" s="357"/>
      <c r="AF377" s="357"/>
      <c r="AG377" s="357"/>
      <c r="AH377" s="357"/>
      <c r="AI377" s="357"/>
      <c r="AJ377" s="357"/>
      <c r="AK377" s="357"/>
      <c r="AL377" s="357"/>
      <c r="AM377" s="357"/>
      <c r="AN377" s="357"/>
      <c r="AO377" s="357"/>
      <c r="AP377" s="357"/>
      <c r="AQ377" s="357"/>
      <c r="AR377" s="357"/>
      <c r="AS377" s="357"/>
      <c r="AT377" s="357"/>
      <c r="AU377" s="357"/>
      <c r="AV377" s="357"/>
      <c r="AW377" s="357"/>
      <c r="AX377" s="357"/>
      <c r="AY377" s="357"/>
      <c r="AZ377" s="357"/>
      <c r="BA377" s="357"/>
      <c r="BB377" s="357"/>
      <c r="BC377" s="357"/>
      <c r="BD377" s="357"/>
      <c r="BE377" s="357"/>
      <c r="BF377" s="357"/>
      <c r="BG377" s="357"/>
      <c r="BH377" s="357"/>
      <c r="BI377" s="357"/>
      <c r="BJ377" s="357"/>
      <c r="BK377" s="357"/>
      <c r="BL377" s="357"/>
      <c r="BM377" s="357"/>
      <c r="BN377" s="357"/>
      <c r="BO377" s="357"/>
      <c r="BP377" s="357"/>
      <c r="BQ377" s="357"/>
      <c r="BR377" s="357"/>
      <c r="BS377" s="357"/>
      <c r="BT377" s="357"/>
      <c r="BU377" s="357"/>
      <c r="BV377" s="357"/>
      <c r="BW377" s="357"/>
      <c r="BX377" s="357"/>
      <c r="BY377" s="357"/>
      <c r="BZ377" s="357"/>
      <c r="CA377" s="357"/>
      <c r="CB377" s="357"/>
      <c r="CC377" s="357"/>
    </row>
    <row r="378" spans="1:81">
      <c r="A378" s="546"/>
      <c r="B378" s="357"/>
      <c r="C378" s="357"/>
      <c r="D378" s="546"/>
      <c r="E378" s="357"/>
      <c r="F378" s="357"/>
      <c r="G378" s="357"/>
      <c r="H378" s="357"/>
      <c r="I378" s="357"/>
      <c r="J378" s="357"/>
      <c r="K378" s="357"/>
      <c r="L378" s="357"/>
      <c r="M378" s="357"/>
      <c r="N378" s="357"/>
      <c r="O378" s="357"/>
      <c r="P378" s="357"/>
      <c r="Q378" s="357"/>
      <c r="R378" s="357"/>
      <c r="S378" s="357"/>
      <c r="T378" s="357"/>
      <c r="U378" s="1395"/>
      <c r="V378" s="357"/>
      <c r="W378" s="357"/>
      <c r="X378" s="357"/>
      <c r="Z378" s="357"/>
      <c r="AA378" s="357"/>
      <c r="AB378" s="357"/>
      <c r="AC378" s="357"/>
      <c r="AD378" s="357"/>
      <c r="AE378" s="357"/>
      <c r="AF378" s="357"/>
      <c r="AG378" s="357"/>
      <c r="AH378" s="357"/>
      <c r="AI378" s="357"/>
      <c r="AJ378" s="357"/>
      <c r="AK378" s="357"/>
      <c r="AL378" s="357"/>
      <c r="AM378" s="357"/>
      <c r="AN378" s="357"/>
      <c r="AO378" s="357"/>
      <c r="AP378" s="357"/>
      <c r="AQ378" s="357"/>
      <c r="AR378" s="357"/>
      <c r="AS378" s="357"/>
      <c r="AT378" s="357"/>
      <c r="AU378" s="357"/>
      <c r="AV378" s="357"/>
      <c r="AW378" s="357"/>
      <c r="AX378" s="357"/>
      <c r="AY378" s="357"/>
      <c r="AZ378" s="357"/>
      <c r="BA378" s="357"/>
      <c r="BB378" s="357"/>
      <c r="BC378" s="357"/>
      <c r="BD378" s="357"/>
      <c r="BE378" s="357"/>
      <c r="BF378" s="357"/>
      <c r="BG378" s="357"/>
      <c r="BH378" s="357"/>
      <c r="BI378" s="357"/>
      <c r="BJ378" s="357"/>
      <c r="BK378" s="357"/>
      <c r="BL378" s="357"/>
      <c r="BM378" s="357"/>
      <c r="BN378" s="357"/>
      <c r="BO378" s="357"/>
      <c r="BP378" s="357"/>
      <c r="BQ378" s="357"/>
      <c r="BR378" s="357"/>
      <c r="BS378" s="357"/>
      <c r="BT378" s="357"/>
      <c r="BU378" s="357"/>
      <c r="BV378" s="357"/>
      <c r="BW378" s="357"/>
      <c r="BX378" s="357"/>
      <c r="BY378" s="357"/>
      <c r="BZ378" s="357"/>
      <c r="CA378" s="357"/>
      <c r="CB378" s="357"/>
      <c r="CC378" s="357"/>
    </row>
    <row r="379" spans="1:81">
      <c r="A379" s="546"/>
      <c r="B379" s="357"/>
      <c r="C379" s="357"/>
      <c r="D379" s="546"/>
      <c r="E379" s="357"/>
      <c r="F379" s="357"/>
      <c r="G379" s="357"/>
      <c r="H379" s="357"/>
      <c r="I379" s="357"/>
      <c r="J379" s="357"/>
      <c r="K379" s="357"/>
      <c r="L379" s="357"/>
      <c r="M379" s="357"/>
      <c r="N379" s="357"/>
      <c r="O379" s="357"/>
      <c r="P379" s="357"/>
      <c r="Q379" s="357"/>
      <c r="R379" s="357"/>
      <c r="S379" s="357"/>
      <c r="T379" s="357"/>
      <c r="U379" s="1395"/>
      <c r="V379" s="357"/>
      <c r="W379" s="357"/>
      <c r="X379" s="357"/>
      <c r="Z379" s="357"/>
      <c r="AA379" s="357"/>
      <c r="AB379" s="357"/>
      <c r="AC379" s="357"/>
      <c r="AD379" s="357"/>
      <c r="AE379" s="357"/>
      <c r="AF379" s="357"/>
      <c r="AG379" s="357"/>
      <c r="AH379" s="357"/>
      <c r="AI379" s="357"/>
      <c r="AJ379" s="357"/>
      <c r="AK379" s="357"/>
      <c r="AL379" s="357"/>
      <c r="AM379" s="357"/>
      <c r="AN379" s="357"/>
      <c r="AO379" s="357"/>
      <c r="AP379" s="357"/>
      <c r="AQ379" s="357"/>
      <c r="AR379" s="357"/>
      <c r="AS379" s="357"/>
      <c r="AT379" s="357"/>
      <c r="AU379" s="357"/>
      <c r="AV379" s="357"/>
      <c r="AW379" s="357"/>
      <c r="AX379" s="357"/>
      <c r="AY379" s="357"/>
      <c r="AZ379" s="357"/>
      <c r="BA379" s="357"/>
      <c r="BB379" s="357"/>
      <c r="BC379" s="357"/>
      <c r="BD379" s="357"/>
      <c r="BE379" s="357"/>
      <c r="BF379" s="357"/>
      <c r="BG379" s="357"/>
      <c r="BH379" s="357"/>
      <c r="BI379" s="357"/>
      <c r="BJ379" s="357"/>
      <c r="BK379" s="357"/>
      <c r="BL379" s="357"/>
      <c r="BM379" s="357"/>
      <c r="BN379" s="357"/>
      <c r="BO379" s="357"/>
      <c r="BP379" s="357"/>
      <c r="BQ379" s="357"/>
      <c r="BR379" s="357"/>
      <c r="BS379" s="357"/>
      <c r="BT379" s="357"/>
      <c r="BU379" s="357"/>
      <c r="BV379" s="357"/>
      <c r="BW379" s="357"/>
      <c r="BX379" s="357"/>
      <c r="BY379" s="357"/>
      <c r="BZ379" s="357"/>
      <c r="CA379" s="357"/>
      <c r="CB379" s="357"/>
      <c r="CC379" s="357"/>
    </row>
    <row r="380" spans="1:81">
      <c r="A380" s="546"/>
      <c r="B380" s="357"/>
      <c r="C380" s="357"/>
      <c r="D380" s="546"/>
      <c r="E380" s="357"/>
      <c r="F380" s="357"/>
      <c r="G380" s="357"/>
      <c r="H380" s="357"/>
      <c r="I380" s="357"/>
      <c r="J380" s="357"/>
      <c r="K380" s="357"/>
      <c r="L380" s="357"/>
      <c r="M380" s="357"/>
      <c r="N380" s="357"/>
      <c r="O380" s="357"/>
      <c r="P380" s="357"/>
      <c r="Q380" s="357"/>
      <c r="R380" s="357"/>
      <c r="S380" s="357"/>
      <c r="T380" s="357"/>
      <c r="U380" s="1395"/>
      <c r="V380" s="357"/>
      <c r="W380" s="357"/>
      <c r="X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c r="AT380" s="357"/>
      <c r="AU380" s="357"/>
      <c r="AV380" s="357"/>
      <c r="AW380" s="357"/>
      <c r="AX380" s="357"/>
      <c r="AY380" s="357"/>
      <c r="AZ380" s="357"/>
      <c r="BA380" s="357"/>
      <c r="BB380" s="357"/>
      <c r="BC380" s="357"/>
      <c r="BD380" s="357"/>
      <c r="BE380" s="357"/>
      <c r="BF380" s="357"/>
      <c r="BG380" s="357"/>
      <c r="BH380" s="357"/>
      <c r="BI380" s="357"/>
      <c r="BJ380" s="357"/>
      <c r="BK380" s="357"/>
      <c r="BL380" s="357"/>
      <c r="BM380" s="357"/>
      <c r="BN380" s="357"/>
      <c r="BO380" s="357"/>
      <c r="BP380" s="357"/>
      <c r="BQ380" s="357"/>
      <c r="BR380" s="357"/>
      <c r="BS380" s="357"/>
      <c r="BT380" s="357"/>
      <c r="BU380" s="357"/>
      <c r="BV380" s="357"/>
      <c r="BW380" s="357"/>
      <c r="BX380" s="357"/>
      <c r="BY380" s="357"/>
      <c r="BZ380" s="357"/>
      <c r="CA380" s="357"/>
      <c r="CB380" s="357"/>
      <c r="CC380" s="357"/>
    </row>
    <row r="381" spans="1:81">
      <c r="A381" s="546"/>
      <c r="B381" s="357"/>
      <c r="C381" s="357"/>
      <c r="D381" s="546"/>
      <c r="E381" s="357"/>
      <c r="F381" s="357"/>
      <c r="G381" s="357"/>
      <c r="H381" s="357"/>
      <c r="I381" s="357"/>
      <c r="J381" s="357"/>
      <c r="K381" s="357"/>
      <c r="L381" s="357"/>
      <c r="M381" s="357"/>
      <c r="N381" s="357"/>
      <c r="O381" s="357"/>
      <c r="P381" s="357"/>
      <c r="Q381" s="357"/>
      <c r="R381" s="357"/>
      <c r="S381" s="357"/>
      <c r="T381" s="357"/>
      <c r="U381" s="1395"/>
      <c r="V381" s="357"/>
      <c r="W381" s="357"/>
      <c r="X381" s="357"/>
      <c r="Z381" s="357"/>
      <c r="AA381" s="357"/>
      <c r="AB381" s="357"/>
      <c r="AC381" s="357"/>
      <c r="AD381" s="357"/>
      <c r="AE381" s="357"/>
      <c r="AF381" s="357"/>
      <c r="AG381" s="357"/>
      <c r="AH381" s="357"/>
      <c r="AI381" s="357"/>
      <c r="AJ381" s="357"/>
      <c r="AK381" s="357"/>
      <c r="AL381" s="357"/>
      <c r="AM381" s="357"/>
      <c r="AN381" s="357"/>
      <c r="AO381" s="357"/>
      <c r="AP381" s="357"/>
      <c r="AQ381" s="357"/>
      <c r="AR381" s="357"/>
      <c r="AS381" s="357"/>
      <c r="AT381" s="357"/>
      <c r="AU381" s="357"/>
      <c r="AV381" s="357"/>
      <c r="AW381" s="357"/>
      <c r="AX381" s="357"/>
      <c r="AY381" s="357"/>
      <c r="AZ381" s="357"/>
      <c r="BA381" s="357"/>
      <c r="BB381" s="357"/>
      <c r="BC381" s="357"/>
      <c r="BD381" s="357"/>
      <c r="BE381" s="357"/>
      <c r="BF381" s="357"/>
      <c r="BG381" s="357"/>
      <c r="BH381" s="357"/>
      <c r="BI381" s="357"/>
      <c r="BJ381" s="357"/>
      <c r="BK381" s="357"/>
      <c r="BL381" s="357"/>
      <c r="BM381" s="357"/>
      <c r="BN381" s="357"/>
      <c r="BO381" s="357"/>
      <c r="BP381" s="357"/>
      <c r="BQ381" s="357"/>
      <c r="BR381" s="357"/>
      <c r="BS381" s="357"/>
      <c r="BT381" s="357"/>
      <c r="BU381" s="357"/>
      <c r="BV381" s="357"/>
      <c r="BW381" s="357"/>
      <c r="BX381" s="357"/>
      <c r="BY381" s="357"/>
      <c r="BZ381" s="357"/>
      <c r="CA381" s="357"/>
      <c r="CB381" s="357"/>
      <c r="CC381" s="357"/>
    </row>
    <row r="382" spans="1:81">
      <c r="A382" s="546"/>
      <c r="B382" s="357"/>
      <c r="C382" s="357"/>
      <c r="D382" s="546"/>
      <c r="E382" s="357"/>
      <c r="F382" s="357"/>
      <c r="G382" s="357"/>
      <c r="H382" s="357"/>
      <c r="I382" s="357"/>
      <c r="J382" s="357"/>
      <c r="K382" s="357"/>
      <c r="L382" s="357"/>
      <c r="M382" s="357"/>
      <c r="N382" s="357"/>
      <c r="O382" s="357"/>
      <c r="P382" s="357"/>
      <c r="Q382" s="357"/>
      <c r="R382" s="357"/>
      <c r="S382" s="357"/>
      <c r="T382" s="357"/>
      <c r="U382" s="1395"/>
      <c r="V382" s="357"/>
      <c r="W382" s="357"/>
      <c r="X382" s="357"/>
      <c r="Z382" s="357"/>
      <c r="AA382" s="357"/>
      <c r="AB382" s="357"/>
      <c r="AC382" s="357"/>
      <c r="AD382" s="357"/>
      <c r="AE382" s="357"/>
      <c r="AF382" s="357"/>
      <c r="AG382" s="357"/>
      <c r="AH382" s="357"/>
      <c r="AI382" s="357"/>
      <c r="AJ382" s="357"/>
      <c r="AK382" s="357"/>
      <c r="AL382" s="357"/>
      <c r="AM382" s="357"/>
      <c r="AN382" s="357"/>
      <c r="AO382" s="357"/>
      <c r="AP382" s="357"/>
      <c r="AQ382" s="357"/>
      <c r="AR382" s="357"/>
      <c r="AS382" s="357"/>
      <c r="AT382" s="357"/>
      <c r="AU382" s="357"/>
      <c r="AV382" s="357"/>
      <c r="AW382" s="357"/>
      <c r="AX382" s="357"/>
      <c r="AY382" s="357"/>
      <c r="AZ382" s="357"/>
      <c r="BA382" s="357"/>
      <c r="BB382" s="357"/>
      <c r="BC382" s="357"/>
      <c r="BD382" s="357"/>
      <c r="BE382" s="357"/>
      <c r="BF382" s="357"/>
      <c r="BG382" s="357"/>
      <c r="BH382" s="357"/>
      <c r="BI382" s="357"/>
      <c r="BJ382" s="357"/>
      <c r="BK382" s="357"/>
      <c r="BL382" s="357"/>
      <c r="BM382" s="357"/>
      <c r="BN382" s="357"/>
      <c r="BO382" s="357"/>
      <c r="BP382" s="357"/>
      <c r="BQ382" s="357"/>
      <c r="BR382" s="357"/>
      <c r="BS382" s="357"/>
      <c r="BT382" s="357"/>
      <c r="BU382" s="357"/>
      <c r="BV382" s="357"/>
      <c r="BW382" s="357"/>
      <c r="BX382" s="357"/>
      <c r="BY382" s="357"/>
      <c r="BZ382" s="357"/>
      <c r="CA382" s="357"/>
      <c r="CB382" s="357"/>
      <c r="CC382" s="357"/>
    </row>
    <row r="383" spans="1:81">
      <c r="A383" s="546"/>
      <c r="B383" s="357"/>
      <c r="C383" s="357"/>
      <c r="D383" s="546"/>
      <c r="E383" s="357"/>
      <c r="F383" s="357"/>
      <c r="G383" s="357"/>
      <c r="H383" s="357"/>
      <c r="I383" s="357"/>
      <c r="J383" s="357"/>
      <c r="K383" s="357"/>
      <c r="L383" s="357"/>
      <c r="M383" s="357"/>
      <c r="N383" s="357"/>
      <c r="O383" s="357"/>
      <c r="P383" s="357"/>
      <c r="Q383" s="357"/>
      <c r="R383" s="357"/>
      <c r="S383" s="357"/>
      <c r="T383" s="357"/>
      <c r="U383" s="1395"/>
      <c r="V383" s="357"/>
      <c r="W383" s="357"/>
      <c r="X383" s="357"/>
      <c r="Z383" s="357"/>
      <c r="AA383" s="357"/>
      <c r="AB383" s="357"/>
      <c r="AC383" s="357"/>
      <c r="AD383" s="357"/>
      <c r="AE383" s="357"/>
      <c r="AF383" s="357"/>
      <c r="AG383" s="357"/>
      <c r="AH383" s="357"/>
      <c r="AI383" s="357"/>
      <c r="AJ383" s="357"/>
      <c r="AK383" s="357"/>
      <c r="AL383" s="357"/>
      <c r="AM383" s="357"/>
      <c r="AN383" s="357"/>
      <c r="AO383" s="357"/>
      <c r="AP383" s="357"/>
      <c r="AQ383" s="357"/>
      <c r="AR383" s="357"/>
      <c r="AS383" s="357"/>
      <c r="AT383" s="357"/>
      <c r="AU383" s="357"/>
      <c r="AV383" s="357"/>
      <c r="AW383" s="357"/>
      <c r="AX383" s="357"/>
      <c r="AY383" s="357"/>
      <c r="AZ383" s="357"/>
      <c r="BA383" s="357"/>
      <c r="BB383" s="357"/>
      <c r="BC383" s="357"/>
      <c r="BD383" s="357"/>
      <c r="BE383" s="357"/>
      <c r="BF383" s="357"/>
      <c r="BG383" s="357"/>
      <c r="BH383" s="357"/>
      <c r="BI383" s="357"/>
      <c r="BJ383" s="357"/>
      <c r="BK383" s="357"/>
      <c r="BL383" s="357"/>
      <c r="BM383" s="357"/>
      <c r="BN383" s="357"/>
      <c r="BO383" s="357"/>
      <c r="BP383" s="357"/>
      <c r="BQ383" s="357"/>
      <c r="BR383" s="357"/>
      <c r="BS383" s="357"/>
      <c r="BT383" s="357"/>
      <c r="BU383" s="357"/>
      <c r="BV383" s="357"/>
      <c r="BW383" s="357"/>
      <c r="BX383" s="357"/>
      <c r="BY383" s="357"/>
      <c r="BZ383" s="357"/>
      <c r="CA383" s="357"/>
      <c r="CB383" s="357"/>
      <c r="CC383" s="357"/>
    </row>
    <row r="384" spans="1:81">
      <c r="A384" s="546"/>
      <c r="B384" s="357"/>
      <c r="C384" s="357"/>
      <c r="D384" s="546"/>
      <c r="E384" s="357"/>
      <c r="F384" s="357"/>
      <c r="G384" s="357"/>
      <c r="H384" s="357"/>
      <c r="I384" s="357"/>
      <c r="J384" s="357"/>
      <c r="K384" s="357"/>
      <c r="L384" s="357"/>
      <c r="M384" s="357"/>
      <c r="N384" s="357"/>
      <c r="O384" s="357"/>
      <c r="P384" s="357"/>
      <c r="Q384" s="357"/>
      <c r="R384" s="357"/>
      <c r="S384" s="357"/>
      <c r="T384" s="357"/>
      <c r="U384" s="1395"/>
      <c r="V384" s="357"/>
      <c r="W384" s="357"/>
      <c r="X384" s="357"/>
      <c r="Z384" s="357"/>
      <c r="AA384" s="357"/>
      <c r="AB384" s="357"/>
      <c r="AC384" s="357"/>
      <c r="AD384" s="357"/>
      <c r="AE384" s="357"/>
      <c r="AF384" s="357"/>
      <c r="AG384" s="357"/>
      <c r="AH384" s="357"/>
      <c r="AI384" s="357"/>
      <c r="AJ384" s="357"/>
      <c r="AK384" s="357"/>
      <c r="AL384" s="357"/>
      <c r="AM384" s="357"/>
      <c r="AN384" s="357"/>
      <c r="AO384" s="357"/>
      <c r="AP384" s="357"/>
      <c r="AQ384" s="357"/>
      <c r="AR384" s="357"/>
      <c r="AS384" s="357"/>
      <c r="AT384" s="357"/>
      <c r="AU384" s="357"/>
      <c r="AV384" s="357"/>
      <c r="AW384" s="357"/>
      <c r="AX384" s="357"/>
      <c r="AY384" s="357"/>
      <c r="AZ384" s="357"/>
      <c r="BA384" s="357"/>
      <c r="BB384" s="357"/>
      <c r="BC384" s="357"/>
      <c r="BD384" s="357"/>
      <c r="BE384" s="357"/>
      <c r="BF384" s="357"/>
      <c r="BG384" s="357"/>
      <c r="BH384" s="357"/>
      <c r="BI384" s="357"/>
      <c r="BJ384" s="357"/>
      <c r="BK384" s="357"/>
      <c r="BL384" s="357"/>
      <c r="BM384" s="357"/>
      <c r="BN384" s="357"/>
      <c r="BO384" s="357"/>
      <c r="BP384" s="357"/>
      <c r="BQ384" s="357"/>
      <c r="BR384" s="357"/>
      <c r="BS384" s="357"/>
      <c r="BT384" s="357"/>
      <c r="BU384" s="357"/>
      <c r="BV384" s="357"/>
      <c r="BW384" s="357"/>
      <c r="BX384" s="357"/>
      <c r="BY384" s="357"/>
      <c r="BZ384" s="357"/>
      <c r="CA384" s="357"/>
      <c r="CB384" s="357"/>
      <c r="CC384" s="357"/>
    </row>
    <row r="385" spans="1:81">
      <c r="A385" s="546"/>
      <c r="B385" s="357"/>
      <c r="C385" s="357"/>
      <c r="D385" s="546"/>
      <c r="E385" s="357"/>
      <c r="F385" s="357"/>
      <c r="G385" s="357"/>
      <c r="H385" s="357"/>
      <c r="I385" s="357"/>
      <c r="J385" s="357"/>
      <c r="K385" s="357"/>
      <c r="L385" s="357"/>
      <c r="M385" s="357"/>
      <c r="N385" s="357"/>
      <c r="O385" s="357"/>
      <c r="P385" s="357"/>
      <c r="Q385" s="357"/>
      <c r="R385" s="357"/>
      <c r="S385" s="357"/>
      <c r="T385" s="357"/>
      <c r="U385" s="1395"/>
      <c r="V385" s="357"/>
      <c r="W385" s="357"/>
      <c r="X385" s="357"/>
      <c r="Z385" s="357"/>
      <c r="AA385" s="357"/>
      <c r="AB385" s="357"/>
      <c r="AC385" s="357"/>
      <c r="AD385" s="357"/>
      <c r="AE385" s="357"/>
      <c r="AF385" s="357"/>
      <c r="AG385" s="357"/>
      <c r="AH385" s="357"/>
      <c r="AI385" s="357"/>
      <c r="AJ385" s="357"/>
      <c r="AK385" s="357"/>
      <c r="AL385" s="357"/>
      <c r="AM385" s="357"/>
      <c r="AN385" s="357"/>
      <c r="AO385" s="357"/>
      <c r="AP385" s="357"/>
      <c r="AQ385" s="357"/>
      <c r="AR385" s="357"/>
      <c r="AS385" s="357"/>
      <c r="AT385" s="357"/>
      <c r="AU385" s="357"/>
      <c r="AV385" s="357"/>
      <c r="AW385" s="357"/>
      <c r="AX385" s="357"/>
      <c r="AY385" s="357"/>
      <c r="AZ385" s="357"/>
      <c r="BA385" s="357"/>
      <c r="BB385" s="357"/>
      <c r="BC385" s="357"/>
      <c r="BD385" s="357"/>
      <c r="BE385" s="357"/>
      <c r="BF385" s="357"/>
      <c r="BG385" s="357"/>
      <c r="BH385" s="357"/>
      <c r="BI385" s="357"/>
      <c r="BJ385" s="357"/>
      <c r="BK385" s="357"/>
      <c r="BL385" s="357"/>
      <c r="BM385" s="357"/>
      <c r="BN385" s="357"/>
      <c r="BO385" s="357"/>
      <c r="BP385" s="357"/>
      <c r="BQ385" s="357"/>
      <c r="BR385" s="357"/>
      <c r="BS385" s="357"/>
      <c r="BT385" s="357"/>
      <c r="BU385" s="357"/>
      <c r="BV385" s="357"/>
      <c r="BW385" s="357"/>
      <c r="BX385" s="357"/>
      <c r="BY385" s="357"/>
      <c r="BZ385" s="357"/>
      <c r="CA385" s="357"/>
      <c r="CB385" s="357"/>
      <c r="CC385" s="357"/>
    </row>
    <row r="386" spans="1:81">
      <c r="A386" s="546"/>
      <c r="B386" s="357"/>
      <c r="C386" s="357"/>
      <c r="D386" s="546"/>
      <c r="E386" s="357"/>
      <c r="F386" s="357"/>
      <c r="G386" s="357"/>
      <c r="H386" s="357"/>
      <c r="I386" s="357"/>
      <c r="J386" s="357"/>
      <c r="K386" s="357"/>
      <c r="L386" s="357"/>
      <c r="M386" s="357"/>
      <c r="N386" s="357"/>
      <c r="O386" s="357"/>
      <c r="P386" s="357"/>
      <c r="Q386" s="357"/>
      <c r="R386" s="357"/>
      <c r="S386" s="357"/>
      <c r="T386" s="357"/>
      <c r="U386" s="1395"/>
      <c r="V386" s="357"/>
      <c r="W386" s="357"/>
      <c r="X386" s="357"/>
      <c r="Z386" s="357"/>
      <c r="AA386" s="357"/>
      <c r="AB386" s="357"/>
      <c r="AC386" s="357"/>
      <c r="AD386" s="357"/>
      <c r="AE386" s="357"/>
      <c r="AF386" s="357"/>
      <c r="AG386" s="357"/>
      <c r="AH386" s="357"/>
      <c r="AI386" s="357"/>
      <c r="AJ386" s="357"/>
      <c r="AK386" s="357"/>
      <c r="AL386" s="357"/>
      <c r="AM386" s="357"/>
      <c r="AN386" s="357"/>
      <c r="AO386" s="357"/>
      <c r="AP386" s="357"/>
      <c r="AQ386" s="357"/>
      <c r="AR386" s="357"/>
      <c r="AS386" s="357"/>
      <c r="AT386" s="357"/>
      <c r="AU386" s="357"/>
      <c r="AV386" s="357"/>
      <c r="AW386" s="357"/>
      <c r="AX386" s="357"/>
      <c r="AY386" s="357"/>
      <c r="AZ386" s="357"/>
      <c r="BA386" s="357"/>
      <c r="BB386" s="357"/>
      <c r="BC386" s="357"/>
      <c r="BD386" s="357"/>
      <c r="BE386" s="357"/>
      <c r="BF386" s="357"/>
      <c r="BG386" s="357"/>
      <c r="BH386" s="357"/>
      <c r="BI386" s="357"/>
      <c r="BJ386" s="357"/>
      <c r="BK386" s="357"/>
      <c r="BL386" s="357"/>
      <c r="BM386" s="357"/>
      <c r="BN386" s="357"/>
      <c r="BO386" s="357"/>
      <c r="BP386" s="357"/>
      <c r="BQ386" s="357"/>
      <c r="BR386" s="357"/>
      <c r="BS386" s="357"/>
      <c r="BT386" s="357"/>
      <c r="BU386" s="357"/>
      <c r="BV386" s="357"/>
      <c r="BW386" s="357"/>
      <c r="BX386" s="357"/>
      <c r="BY386" s="357"/>
      <c r="BZ386" s="357"/>
      <c r="CA386" s="357"/>
      <c r="CB386" s="357"/>
      <c r="CC386" s="357"/>
    </row>
    <row r="387" spans="1:81">
      <c r="A387" s="546"/>
      <c r="B387" s="357"/>
      <c r="C387" s="357"/>
      <c r="D387" s="546"/>
      <c r="E387" s="357"/>
      <c r="F387" s="357"/>
      <c r="G387" s="357"/>
      <c r="H387" s="357"/>
      <c r="I387" s="357"/>
      <c r="J387" s="357"/>
      <c r="K387" s="357"/>
      <c r="L387" s="357"/>
      <c r="M387" s="357"/>
      <c r="N387" s="357"/>
      <c r="O387" s="357"/>
      <c r="P387" s="357"/>
      <c r="Q387" s="357"/>
      <c r="R387" s="357"/>
      <c r="S387" s="357"/>
      <c r="T387" s="357"/>
      <c r="U387" s="1395"/>
      <c r="V387" s="357"/>
      <c r="W387" s="357"/>
      <c r="X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c r="AT387" s="357"/>
      <c r="AU387" s="357"/>
      <c r="AV387" s="357"/>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row>
    <row r="388" spans="1:81">
      <c r="A388" s="546"/>
      <c r="B388" s="357"/>
      <c r="C388" s="357"/>
      <c r="D388" s="546"/>
      <c r="E388" s="357"/>
      <c r="F388" s="357"/>
      <c r="G388" s="357"/>
      <c r="H388" s="357"/>
      <c r="I388" s="357"/>
      <c r="J388" s="357"/>
      <c r="K388" s="357"/>
      <c r="L388" s="357"/>
      <c r="M388" s="357"/>
      <c r="N388" s="357"/>
      <c r="O388" s="357"/>
      <c r="P388" s="357"/>
      <c r="Q388" s="357"/>
      <c r="R388" s="357"/>
      <c r="S388" s="357"/>
      <c r="T388" s="357"/>
      <c r="U388" s="1395"/>
      <c r="V388" s="357"/>
      <c r="W388" s="357"/>
      <c r="X388" s="357"/>
      <c r="Z388" s="357"/>
      <c r="AA388" s="357"/>
      <c r="AB388" s="357"/>
      <c r="AC388" s="357"/>
      <c r="AD388" s="357"/>
      <c r="AE388" s="357"/>
      <c r="AF388" s="357"/>
      <c r="AG388" s="357"/>
      <c r="AH388" s="357"/>
      <c r="AI388" s="357"/>
      <c r="AJ388" s="357"/>
      <c r="AK388" s="357"/>
      <c r="AL388" s="357"/>
      <c r="AM388" s="357"/>
      <c r="AN388" s="357"/>
      <c r="AO388" s="357"/>
      <c r="AP388" s="357"/>
      <c r="AQ388" s="357"/>
      <c r="AR388" s="357"/>
      <c r="AS388" s="357"/>
      <c r="AT388" s="357"/>
      <c r="AU388" s="357"/>
      <c r="AV388" s="357"/>
      <c r="AW388" s="357"/>
      <c r="AX388" s="357"/>
      <c r="AY388" s="357"/>
      <c r="AZ388" s="357"/>
      <c r="BA388" s="357"/>
      <c r="BB388" s="357"/>
      <c r="BC388" s="357"/>
      <c r="BD388" s="357"/>
      <c r="BE388" s="357"/>
      <c r="BF388" s="357"/>
      <c r="BG388" s="357"/>
      <c r="BH388" s="357"/>
      <c r="BI388" s="357"/>
      <c r="BJ388" s="357"/>
      <c r="BK388" s="357"/>
      <c r="BL388" s="357"/>
      <c r="BM388" s="357"/>
      <c r="BN388" s="357"/>
      <c r="BO388" s="357"/>
      <c r="BP388" s="357"/>
      <c r="BQ388" s="357"/>
      <c r="BR388" s="357"/>
      <c r="BS388" s="357"/>
      <c r="BT388" s="357"/>
      <c r="BU388" s="357"/>
      <c r="BV388" s="357"/>
      <c r="BW388" s="357"/>
      <c r="BX388" s="357"/>
      <c r="BY388" s="357"/>
      <c r="BZ388" s="357"/>
      <c r="CA388" s="357"/>
      <c r="CB388" s="357"/>
      <c r="CC388" s="357"/>
    </row>
    <row r="389" spans="1:81">
      <c r="A389" s="546"/>
      <c r="B389" s="357"/>
      <c r="C389" s="357"/>
      <c r="D389" s="546"/>
      <c r="E389" s="357"/>
      <c r="F389" s="357"/>
      <c r="G389" s="357"/>
      <c r="H389" s="357"/>
      <c r="I389" s="357"/>
      <c r="J389" s="357"/>
      <c r="K389" s="357"/>
      <c r="L389" s="357"/>
      <c r="M389" s="357"/>
      <c r="N389" s="357"/>
      <c r="O389" s="357"/>
      <c r="P389" s="357"/>
      <c r="Q389" s="357"/>
      <c r="R389" s="357"/>
      <c r="S389" s="357"/>
      <c r="T389" s="357"/>
      <c r="U389" s="1395"/>
      <c r="V389" s="357"/>
      <c r="W389" s="357"/>
      <c r="X389" s="357"/>
      <c r="Z389" s="357"/>
      <c r="AA389" s="357"/>
      <c r="AB389" s="357"/>
      <c r="AC389" s="357"/>
      <c r="AD389" s="357"/>
      <c r="AE389" s="357"/>
      <c r="AF389" s="357"/>
      <c r="AG389" s="357"/>
      <c r="AH389" s="357"/>
      <c r="AI389" s="357"/>
      <c r="AJ389" s="357"/>
      <c r="AK389" s="357"/>
      <c r="AL389" s="357"/>
      <c r="AM389" s="357"/>
      <c r="AN389" s="357"/>
      <c r="AO389" s="357"/>
      <c r="AP389" s="357"/>
      <c r="AQ389" s="357"/>
      <c r="AR389" s="357"/>
      <c r="AS389" s="357"/>
      <c r="AT389" s="357"/>
      <c r="AU389" s="357"/>
      <c r="AV389" s="357"/>
      <c r="AW389" s="357"/>
      <c r="AX389" s="357"/>
      <c r="AY389" s="357"/>
      <c r="AZ389" s="357"/>
      <c r="BA389" s="357"/>
      <c r="BB389" s="357"/>
      <c r="BC389" s="357"/>
      <c r="BD389" s="357"/>
      <c r="BE389" s="357"/>
      <c r="BF389" s="357"/>
      <c r="BG389" s="357"/>
      <c r="BH389" s="357"/>
      <c r="BI389" s="357"/>
      <c r="BJ389" s="357"/>
      <c r="BK389" s="357"/>
      <c r="BL389" s="357"/>
      <c r="BM389" s="357"/>
      <c r="BN389" s="357"/>
      <c r="BO389" s="357"/>
      <c r="BP389" s="357"/>
      <c r="BQ389" s="357"/>
      <c r="BR389" s="357"/>
      <c r="BS389" s="357"/>
      <c r="BT389" s="357"/>
      <c r="BU389" s="357"/>
      <c r="BV389" s="357"/>
      <c r="BW389" s="357"/>
      <c r="BX389" s="357"/>
      <c r="BY389" s="357"/>
      <c r="BZ389" s="357"/>
      <c r="CA389" s="357"/>
      <c r="CB389" s="357"/>
      <c r="CC389" s="357"/>
    </row>
    <row r="390" spans="1:81">
      <c r="A390" s="546"/>
      <c r="B390" s="357"/>
      <c r="C390" s="357"/>
      <c r="D390" s="546"/>
      <c r="E390" s="357"/>
      <c r="F390" s="357"/>
      <c r="G390" s="357"/>
      <c r="H390" s="357"/>
      <c r="I390" s="357"/>
      <c r="J390" s="357"/>
      <c r="K390" s="357"/>
      <c r="L390" s="357"/>
      <c r="M390" s="357"/>
      <c r="N390" s="357"/>
      <c r="O390" s="357"/>
      <c r="P390" s="357"/>
      <c r="Q390" s="357"/>
      <c r="R390" s="357"/>
      <c r="S390" s="357"/>
      <c r="T390" s="357"/>
      <c r="U390" s="1395"/>
      <c r="V390" s="357"/>
      <c r="W390" s="357"/>
      <c r="X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c r="AT390" s="357"/>
      <c r="AU390" s="357"/>
      <c r="AV390" s="357"/>
      <c r="AW390" s="357"/>
      <c r="AX390" s="357"/>
      <c r="AY390" s="357"/>
      <c r="AZ390" s="357"/>
      <c r="BA390" s="357"/>
      <c r="BB390" s="357"/>
      <c r="BC390" s="357"/>
      <c r="BD390" s="357"/>
      <c r="BE390" s="357"/>
      <c r="BF390" s="357"/>
      <c r="BG390" s="357"/>
      <c r="BH390" s="357"/>
      <c r="BI390" s="357"/>
      <c r="BJ390" s="357"/>
      <c r="BK390" s="357"/>
      <c r="BL390" s="357"/>
      <c r="BM390" s="357"/>
      <c r="BN390" s="357"/>
      <c r="BO390" s="357"/>
      <c r="BP390" s="357"/>
      <c r="BQ390" s="357"/>
      <c r="BR390" s="357"/>
      <c r="BS390" s="357"/>
      <c r="BT390" s="357"/>
      <c r="BU390" s="357"/>
      <c r="BV390" s="357"/>
      <c r="BW390" s="357"/>
      <c r="BX390" s="357"/>
      <c r="BY390" s="357"/>
      <c r="BZ390" s="357"/>
      <c r="CA390" s="357"/>
      <c r="CB390" s="357"/>
      <c r="CC390" s="357"/>
    </row>
    <row r="391" spans="1:81">
      <c r="A391" s="546"/>
      <c r="B391" s="357"/>
      <c r="C391" s="357"/>
      <c r="D391" s="546"/>
      <c r="E391" s="357"/>
      <c r="F391" s="357"/>
      <c r="G391" s="357"/>
      <c r="H391" s="357"/>
      <c r="I391" s="357"/>
      <c r="J391" s="357"/>
      <c r="K391" s="357"/>
      <c r="L391" s="357"/>
      <c r="M391" s="357"/>
      <c r="N391" s="357"/>
      <c r="O391" s="357"/>
      <c r="P391" s="357"/>
      <c r="Q391" s="357"/>
      <c r="R391" s="357"/>
      <c r="S391" s="357"/>
      <c r="T391" s="357"/>
      <c r="U391" s="1395"/>
      <c r="V391" s="357"/>
      <c r="W391" s="357"/>
      <c r="X391" s="357"/>
      <c r="Z391" s="357"/>
      <c r="AA391" s="357"/>
      <c r="AB391" s="357"/>
      <c r="AC391" s="357"/>
      <c r="AD391" s="357"/>
      <c r="AE391" s="357"/>
      <c r="AF391" s="357"/>
      <c r="AG391" s="357"/>
      <c r="AH391" s="357"/>
      <c r="AI391" s="357"/>
      <c r="AJ391" s="357"/>
      <c r="AK391" s="357"/>
      <c r="AL391" s="357"/>
      <c r="AM391" s="357"/>
      <c r="AN391" s="357"/>
      <c r="AO391" s="357"/>
      <c r="AP391" s="357"/>
      <c r="AQ391" s="357"/>
      <c r="AR391" s="357"/>
      <c r="AS391" s="357"/>
      <c r="AT391" s="357"/>
      <c r="AU391" s="357"/>
      <c r="AV391" s="357"/>
      <c r="AW391" s="357"/>
      <c r="AX391" s="357"/>
      <c r="AY391" s="357"/>
      <c r="AZ391" s="357"/>
      <c r="BA391" s="357"/>
      <c r="BB391" s="357"/>
      <c r="BC391" s="357"/>
      <c r="BD391" s="357"/>
      <c r="BE391" s="357"/>
      <c r="BF391" s="357"/>
      <c r="BG391" s="357"/>
      <c r="BH391" s="357"/>
      <c r="BI391" s="357"/>
      <c r="BJ391" s="357"/>
      <c r="BK391" s="357"/>
      <c r="BL391" s="357"/>
      <c r="BM391" s="357"/>
      <c r="BN391" s="357"/>
      <c r="BO391" s="357"/>
      <c r="BP391" s="357"/>
      <c r="BQ391" s="357"/>
      <c r="BR391" s="357"/>
      <c r="BS391" s="357"/>
      <c r="BT391" s="357"/>
      <c r="BU391" s="357"/>
      <c r="BV391" s="357"/>
      <c r="BW391" s="357"/>
      <c r="BX391" s="357"/>
      <c r="BY391" s="357"/>
      <c r="BZ391" s="357"/>
      <c r="CA391" s="357"/>
      <c r="CB391" s="357"/>
      <c r="CC391" s="357"/>
    </row>
    <row r="392" spans="1:81">
      <c r="A392" s="546"/>
      <c r="B392" s="357"/>
      <c r="C392" s="357"/>
      <c r="D392" s="546"/>
      <c r="E392" s="357"/>
      <c r="F392" s="357"/>
      <c r="G392" s="357"/>
      <c r="H392" s="357"/>
      <c r="I392" s="357"/>
      <c r="J392" s="357"/>
      <c r="K392" s="357"/>
      <c r="L392" s="357"/>
      <c r="M392" s="357"/>
      <c r="N392" s="357"/>
      <c r="O392" s="357"/>
      <c r="P392" s="357"/>
      <c r="Q392" s="357"/>
      <c r="R392" s="357"/>
      <c r="S392" s="357"/>
      <c r="T392" s="357"/>
      <c r="U392" s="1395"/>
      <c r="V392" s="357"/>
      <c r="W392" s="357"/>
      <c r="X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c r="AT392" s="357"/>
      <c r="AU392" s="357"/>
      <c r="AV392" s="357"/>
      <c r="AW392" s="357"/>
      <c r="AX392" s="357"/>
      <c r="AY392" s="357"/>
      <c r="AZ392" s="357"/>
      <c r="BA392" s="357"/>
      <c r="BB392" s="357"/>
      <c r="BC392" s="357"/>
      <c r="BD392" s="357"/>
      <c r="BE392" s="357"/>
      <c r="BF392" s="357"/>
      <c r="BG392" s="357"/>
      <c r="BH392" s="357"/>
      <c r="BI392" s="357"/>
      <c r="BJ392" s="357"/>
      <c r="BK392" s="357"/>
      <c r="BL392" s="357"/>
      <c r="BM392" s="357"/>
      <c r="BN392" s="357"/>
      <c r="BO392" s="357"/>
      <c r="BP392" s="357"/>
      <c r="BQ392" s="357"/>
      <c r="BR392" s="357"/>
      <c r="BS392" s="357"/>
      <c r="BT392" s="357"/>
      <c r="BU392" s="357"/>
      <c r="BV392" s="357"/>
      <c r="BW392" s="357"/>
      <c r="BX392" s="357"/>
      <c r="BY392" s="357"/>
      <c r="BZ392" s="357"/>
      <c r="CA392" s="357"/>
      <c r="CB392" s="357"/>
      <c r="CC392" s="357"/>
    </row>
    <row r="393" spans="1:81">
      <c r="A393" s="546"/>
      <c r="B393" s="357"/>
      <c r="C393" s="357"/>
      <c r="D393" s="546"/>
      <c r="E393" s="357"/>
      <c r="F393" s="357"/>
      <c r="G393" s="357"/>
      <c r="H393" s="357"/>
      <c r="I393" s="357"/>
      <c r="J393" s="357"/>
      <c r="K393" s="357"/>
      <c r="L393" s="357"/>
      <c r="M393" s="357"/>
      <c r="N393" s="357"/>
      <c r="O393" s="357"/>
      <c r="P393" s="357"/>
      <c r="Q393" s="357"/>
      <c r="R393" s="357"/>
      <c r="S393" s="357"/>
      <c r="T393" s="357"/>
      <c r="U393" s="1395"/>
      <c r="V393" s="357"/>
      <c r="W393" s="357"/>
      <c r="X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357"/>
      <c r="AV393" s="357"/>
      <c r="AW393" s="357"/>
      <c r="AX393" s="357"/>
      <c r="AY393" s="357"/>
      <c r="AZ393" s="357"/>
      <c r="BA393" s="357"/>
      <c r="BB393" s="357"/>
      <c r="BC393" s="357"/>
      <c r="BD393" s="357"/>
      <c r="BE393" s="357"/>
      <c r="BF393" s="357"/>
      <c r="BG393" s="357"/>
      <c r="BH393" s="357"/>
      <c r="BI393" s="357"/>
      <c r="BJ393" s="357"/>
      <c r="BK393" s="357"/>
      <c r="BL393" s="357"/>
      <c r="BM393" s="357"/>
      <c r="BN393" s="357"/>
      <c r="BO393" s="357"/>
      <c r="BP393" s="357"/>
      <c r="BQ393" s="357"/>
      <c r="BR393" s="357"/>
      <c r="BS393" s="357"/>
      <c r="BT393" s="357"/>
      <c r="BU393" s="357"/>
      <c r="BV393" s="357"/>
      <c r="BW393" s="357"/>
      <c r="BX393" s="357"/>
      <c r="BY393" s="357"/>
      <c r="BZ393" s="357"/>
      <c r="CA393" s="357"/>
      <c r="CB393" s="357"/>
      <c r="CC393" s="357"/>
    </row>
    <row r="394" spans="1:81">
      <c r="A394" s="546"/>
      <c r="B394" s="357"/>
      <c r="C394" s="357"/>
      <c r="D394" s="546"/>
      <c r="E394" s="357"/>
      <c r="F394" s="357"/>
      <c r="G394" s="357"/>
      <c r="H394" s="357"/>
      <c r="I394" s="357"/>
      <c r="J394" s="357"/>
      <c r="K394" s="357"/>
      <c r="L394" s="357"/>
      <c r="M394" s="357"/>
      <c r="N394" s="357"/>
      <c r="O394" s="357"/>
      <c r="P394" s="357"/>
      <c r="Q394" s="357"/>
      <c r="R394" s="357"/>
      <c r="S394" s="357"/>
      <c r="T394" s="357"/>
      <c r="U394" s="1395"/>
      <c r="V394" s="357"/>
      <c r="W394" s="357"/>
      <c r="X394" s="357"/>
      <c r="Z394" s="357"/>
      <c r="AA394" s="357"/>
      <c r="AB394" s="357"/>
      <c r="AC394" s="357"/>
      <c r="AD394" s="357"/>
      <c r="AE394" s="357"/>
      <c r="AF394" s="357"/>
      <c r="AG394" s="357"/>
      <c r="AH394" s="357"/>
      <c r="AI394" s="357"/>
      <c r="AJ394" s="357"/>
      <c r="AK394" s="357"/>
      <c r="AL394" s="357"/>
      <c r="AM394" s="357"/>
      <c r="AN394" s="357"/>
      <c r="AO394" s="357"/>
      <c r="AP394" s="357"/>
      <c r="AQ394" s="357"/>
      <c r="AR394" s="357"/>
      <c r="AS394" s="357"/>
      <c r="AT394" s="357"/>
      <c r="AU394" s="357"/>
      <c r="AV394" s="357"/>
      <c r="AW394" s="357"/>
      <c r="AX394" s="357"/>
      <c r="AY394" s="357"/>
      <c r="AZ394" s="357"/>
      <c r="BA394" s="357"/>
      <c r="BB394" s="357"/>
      <c r="BC394" s="357"/>
      <c r="BD394" s="357"/>
      <c r="BE394" s="357"/>
      <c r="BF394" s="357"/>
      <c r="BG394" s="357"/>
      <c r="BH394" s="357"/>
      <c r="BI394" s="357"/>
      <c r="BJ394" s="357"/>
      <c r="BK394" s="357"/>
      <c r="BL394" s="357"/>
      <c r="BM394" s="357"/>
      <c r="BN394" s="357"/>
      <c r="BO394" s="357"/>
      <c r="BP394" s="357"/>
      <c r="BQ394" s="357"/>
      <c r="BR394" s="357"/>
      <c r="BS394" s="357"/>
      <c r="BT394" s="357"/>
      <c r="BU394" s="357"/>
      <c r="BV394" s="357"/>
      <c r="BW394" s="357"/>
      <c r="BX394" s="357"/>
      <c r="BY394" s="357"/>
      <c r="BZ394" s="357"/>
      <c r="CA394" s="357"/>
      <c r="CB394" s="357"/>
      <c r="CC394" s="357"/>
    </row>
    <row r="395" spans="1:81">
      <c r="A395" s="546"/>
      <c r="B395" s="357"/>
      <c r="C395" s="357"/>
      <c r="D395" s="546"/>
      <c r="E395" s="357"/>
      <c r="F395" s="357"/>
      <c r="G395" s="357"/>
      <c r="H395" s="357"/>
      <c r="I395" s="357"/>
      <c r="J395" s="357"/>
      <c r="K395" s="357"/>
      <c r="L395" s="357"/>
      <c r="M395" s="357"/>
      <c r="N395" s="357"/>
      <c r="O395" s="357"/>
      <c r="P395" s="357"/>
      <c r="Q395" s="357"/>
      <c r="R395" s="357"/>
      <c r="S395" s="357"/>
      <c r="T395" s="357"/>
      <c r="U395" s="1395"/>
      <c r="V395" s="357"/>
      <c r="W395" s="357"/>
      <c r="X395" s="357"/>
      <c r="Z395" s="357"/>
      <c r="AA395" s="357"/>
      <c r="AB395" s="357"/>
      <c r="AC395" s="357"/>
      <c r="AD395" s="357"/>
      <c r="AE395" s="357"/>
      <c r="AF395" s="357"/>
      <c r="AG395" s="357"/>
      <c r="AH395" s="357"/>
      <c r="AI395" s="357"/>
      <c r="AJ395" s="357"/>
      <c r="AK395" s="357"/>
      <c r="AL395" s="357"/>
      <c r="AM395" s="357"/>
      <c r="AN395" s="357"/>
      <c r="AO395" s="357"/>
      <c r="AP395" s="357"/>
      <c r="AQ395" s="357"/>
      <c r="AR395" s="357"/>
      <c r="AS395" s="357"/>
      <c r="AT395" s="357"/>
      <c r="AU395" s="357"/>
      <c r="AV395" s="357"/>
      <c r="AW395" s="357"/>
      <c r="AX395" s="357"/>
      <c r="AY395" s="357"/>
      <c r="AZ395" s="357"/>
      <c r="BA395" s="357"/>
      <c r="BB395" s="357"/>
      <c r="BC395" s="357"/>
      <c r="BD395" s="357"/>
      <c r="BE395" s="357"/>
      <c r="BF395" s="357"/>
      <c r="BG395" s="357"/>
      <c r="BH395" s="357"/>
      <c r="BI395" s="357"/>
      <c r="BJ395" s="357"/>
      <c r="BK395" s="357"/>
      <c r="BL395" s="357"/>
      <c r="BM395" s="357"/>
      <c r="BN395" s="357"/>
      <c r="BO395" s="357"/>
      <c r="BP395" s="357"/>
      <c r="BQ395" s="357"/>
      <c r="BR395" s="357"/>
      <c r="BS395" s="357"/>
      <c r="BT395" s="357"/>
      <c r="BU395" s="357"/>
      <c r="BV395" s="357"/>
      <c r="BW395" s="357"/>
      <c r="BX395" s="357"/>
      <c r="BY395" s="357"/>
      <c r="BZ395" s="357"/>
      <c r="CA395" s="357"/>
      <c r="CB395" s="357"/>
      <c r="CC395" s="357"/>
    </row>
  </sheetData>
  <sheetProtection sheet="1" objects="1" scenarios="1"/>
  <mergeCells count="49">
    <mergeCell ref="BT1:BT4"/>
    <mergeCell ref="BU1:BU4"/>
    <mergeCell ref="BV1:BV4"/>
    <mergeCell ref="AX2:BH4"/>
    <mergeCell ref="A4:X4"/>
    <mergeCell ref="Z4:AU4"/>
    <mergeCell ref="BN1:BN4"/>
    <mergeCell ref="BO1:BO4"/>
    <mergeCell ref="BP1:BP4"/>
    <mergeCell ref="BQ1:BQ4"/>
    <mergeCell ref="BR1:BR4"/>
    <mergeCell ref="BS1:BS4"/>
    <mergeCell ref="U1:V3"/>
    <mergeCell ref="A5:X5"/>
    <mergeCell ref="Z5:AU5"/>
    <mergeCell ref="AX5:BB6"/>
    <mergeCell ref="BD5:BH6"/>
    <mergeCell ref="A6:A7"/>
    <mergeCell ref="B6:B7"/>
    <mergeCell ref="C6:C7"/>
    <mergeCell ref="D6:E6"/>
    <mergeCell ref="F6:F7"/>
    <mergeCell ref="G6:G7"/>
    <mergeCell ref="H6:H7"/>
    <mergeCell ref="I6:I7"/>
    <mergeCell ref="J6:J7"/>
    <mergeCell ref="K6:K7"/>
    <mergeCell ref="Z6:Z7"/>
    <mergeCell ref="M6:M7"/>
    <mergeCell ref="N6:N7"/>
    <mergeCell ref="O6:O7"/>
    <mergeCell ref="P6:P7"/>
    <mergeCell ref="Q6:Q7"/>
    <mergeCell ref="R6:R7"/>
    <mergeCell ref="V44:V45"/>
    <mergeCell ref="W6:X6"/>
    <mergeCell ref="S6:S7"/>
    <mergeCell ref="T6:T7"/>
    <mergeCell ref="U6:V6"/>
    <mergeCell ref="AE63:AF63"/>
    <mergeCell ref="AA6:AA7"/>
    <mergeCell ref="AB6:AG6"/>
    <mergeCell ref="AI6:AN6"/>
    <mergeCell ref="AP6:AU6"/>
    <mergeCell ref="A47:B49"/>
    <mergeCell ref="C47:W49"/>
    <mergeCell ref="A51:B54"/>
    <mergeCell ref="C51:W53"/>
    <mergeCell ref="C54:W54"/>
  </mergeCells>
  <conditionalFormatting sqref="BS111">
    <cfRule type="cellIs" dxfId="36" priority="31" operator="equal">
      <formula>90</formula>
    </cfRule>
    <cfRule type="cellIs" dxfId="35" priority="32" operator="equal">
      <formula>60</formula>
    </cfRule>
    <cfRule type="cellIs" dxfId="34" priority="33" operator="equal">
      <formula>15</formula>
    </cfRule>
  </conditionalFormatting>
  <conditionalFormatting sqref="BS7">
    <cfRule type="cellIs" dxfId="33" priority="28" operator="equal">
      <formula>90</formula>
    </cfRule>
    <cfRule type="cellIs" dxfId="32" priority="29" operator="equal">
      <formula>60</formula>
    </cfRule>
    <cfRule type="cellIs" dxfId="31" priority="30" operator="equal">
      <formula>15</formula>
    </cfRule>
  </conditionalFormatting>
  <conditionalFormatting sqref="BP100:BQ113 BP122:BQ127 BP131:BQ131">
    <cfRule type="cellIs" dxfId="30" priority="27" operator="notEqual">
      <formula>20</formula>
    </cfRule>
  </conditionalFormatting>
  <conditionalFormatting sqref="BQ114">
    <cfRule type="cellIs" dxfId="29" priority="23" operator="notEqual">
      <formula>20</formula>
    </cfRule>
  </conditionalFormatting>
  <conditionalFormatting sqref="BP7:BQ15">
    <cfRule type="cellIs" dxfId="28" priority="21" operator="notEqual">
      <formula>20</formula>
    </cfRule>
  </conditionalFormatting>
  <conditionalFormatting sqref="BP60">
    <cfRule type="cellIs" dxfId="27" priority="20" operator="notEqual">
      <formula>20</formula>
    </cfRule>
  </conditionalFormatting>
  <conditionalFormatting sqref="BQ49:BQ50">
    <cfRule type="cellIs" dxfId="26" priority="16" operator="notEqual">
      <formula>20</formula>
    </cfRule>
  </conditionalFormatting>
  <conditionalFormatting sqref="BP40:BP41 BP43 BP35:BQ38 BP61:BQ70 BP45:BP48 BP51:BP58 BP115:BQ119 BP6:BQ6 BP72:BQ89 BP92:BQ98 BP16:BQ33">
    <cfRule type="cellIs" dxfId="25" priority="26" operator="notEqual">
      <formula>20</formula>
    </cfRule>
  </conditionalFormatting>
  <conditionalFormatting sqref="BP114">
    <cfRule type="cellIs" dxfId="24" priority="25" operator="notEqual">
      <formula>20</formula>
    </cfRule>
  </conditionalFormatting>
  <conditionalFormatting sqref="BQ40:BQ41 BQ43 BQ45:BQ48 BQ51:BQ58">
    <cfRule type="cellIs" dxfId="23" priority="24" operator="notEqual">
      <formula>20</formula>
    </cfRule>
  </conditionalFormatting>
  <conditionalFormatting sqref="BP39:BQ39">
    <cfRule type="cellIs" dxfId="22" priority="22" operator="notEqual">
      <formula>20</formula>
    </cfRule>
  </conditionalFormatting>
  <conditionalFormatting sqref="BQ60">
    <cfRule type="cellIs" dxfId="21" priority="19" operator="notEqual">
      <formula>20</formula>
    </cfRule>
  </conditionalFormatting>
  <conditionalFormatting sqref="BP44:BQ44">
    <cfRule type="cellIs" dxfId="20" priority="18" operator="notEqual">
      <formula>20</formula>
    </cfRule>
  </conditionalFormatting>
  <conditionalFormatting sqref="BP49:BP50">
    <cfRule type="cellIs" dxfId="19" priority="17" operator="notEqual">
      <formula>20</formula>
    </cfRule>
  </conditionalFormatting>
  <conditionalFormatting sqref="BP71:BQ71">
    <cfRule type="cellIs" dxfId="18" priority="15" operator="notEqual">
      <formula>20</formula>
    </cfRule>
  </conditionalFormatting>
  <conditionalFormatting sqref="BP90:BQ91">
    <cfRule type="cellIs" dxfId="17" priority="14" operator="notEqual">
      <formula>20</formula>
    </cfRule>
  </conditionalFormatting>
  <conditionalFormatting sqref="BP59">
    <cfRule type="cellIs" dxfId="16" priority="13" operator="notEqual">
      <formula>20</formula>
    </cfRule>
  </conditionalFormatting>
  <conditionalFormatting sqref="BQ59">
    <cfRule type="cellIs" dxfId="15" priority="12" operator="notEqual">
      <formula>20</formula>
    </cfRule>
  </conditionalFormatting>
  <conditionalFormatting sqref="BP128:BQ128">
    <cfRule type="cellIs" dxfId="14" priority="11" operator="notEqual">
      <formula>20</formula>
    </cfRule>
  </conditionalFormatting>
  <conditionalFormatting sqref="BP99:BQ99">
    <cfRule type="cellIs" dxfId="13" priority="10" operator="notEqual">
      <formula>20</formula>
    </cfRule>
  </conditionalFormatting>
  <conditionalFormatting sqref="BP42:BQ42">
    <cfRule type="cellIs" dxfId="12" priority="9" operator="notEqual">
      <formula>20</formula>
    </cfRule>
  </conditionalFormatting>
  <conditionalFormatting sqref="BP34:BQ34">
    <cfRule type="cellIs" dxfId="11" priority="8" operator="notEqual">
      <formula>20</formula>
    </cfRule>
  </conditionalFormatting>
  <conditionalFormatting sqref="BP120:BQ120">
    <cfRule type="cellIs" dxfId="10" priority="7" operator="notEqual">
      <formula>20</formula>
    </cfRule>
  </conditionalFormatting>
  <conditionalFormatting sqref="BT100:BT119 BT60:BT98 BT122:BT127 BT131 BT35:BT58 BT6:BT33">
    <cfRule type="cellIs" dxfId="9" priority="4" operator="equal">
      <formula>90</formula>
    </cfRule>
    <cfRule type="cellIs" dxfId="8" priority="5" operator="equal">
      <formula>60</formula>
    </cfRule>
    <cfRule type="cellIs" dxfId="7" priority="6" operator="equal">
      <formula>15</formula>
    </cfRule>
  </conditionalFormatting>
  <conditionalFormatting sqref="BT34">
    <cfRule type="cellIs" dxfId="6" priority="1" operator="equal">
      <formula>90</formula>
    </cfRule>
    <cfRule type="cellIs" dxfId="5" priority="2" operator="equal">
      <formula>60</formula>
    </cfRule>
    <cfRule type="cellIs" dxfId="4" priority="3" operator="equal">
      <formula>15</formula>
    </cfRule>
  </conditionalFormatting>
  <dataValidations count="3">
    <dataValidation type="list" allowBlank="1" showInputMessage="1" showErrorMessage="1" sqref="N8:N42 P8:P42">
      <formula1>"Ja,Nein"</formula1>
    </dataValidation>
    <dataValidation type="list" allowBlank="1" sqref="C43">
      <formula1>$BL$5:$BL$351</formula1>
    </dataValidation>
    <dataValidation type="list" allowBlank="1" sqref="M8:M42 C8:C42">
      <formula1>$BL$5:$BL$138</formula1>
    </dataValidation>
  </dataValidations>
  <pageMargins left="0.7" right="0.7" top="0.78740157499999996" bottom="0.78740157499999996"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AQ8:AQ42 AJ8:AJ42 AC8:AC42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L242"/>
  <sheetViews>
    <sheetView zoomScale="80" zoomScaleNormal="80" zoomScaleSheetLayoutView="40" workbookViewId="0">
      <selection activeCell="B8" sqref="B8"/>
    </sheetView>
  </sheetViews>
  <sheetFormatPr baseColWidth="10" defaultRowHeight="15"/>
  <cols>
    <col min="1" max="1" width="23.28515625" customWidth="1"/>
    <col min="3" max="3" width="26" customWidth="1"/>
    <col min="6" max="6" width="15.28515625" bestFit="1" customWidth="1"/>
    <col min="7" max="7" width="7.85546875" hidden="1" customWidth="1"/>
    <col min="8" max="8" width="9.140625" hidden="1" customWidth="1"/>
    <col min="9" max="9" width="8.7109375" hidden="1" customWidth="1"/>
    <col min="10" max="10" width="8.85546875" hidden="1" customWidth="1"/>
    <col min="11" max="11" width="9.140625" hidden="1" customWidth="1"/>
    <col min="12" max="12" width="8.85546875" hidden="1" customWidth="1"/>
    <col min="13" max="13" width="14.85546875" hidden="1" customWidth="1"/>
    <col min="14" max="14" width="18.7109375" customWidth="1"/>
    <col min="15" max="15" width="7.140625" style="1969" customWidth="1"/>
    <col min="16" max="16" width="31.85546875" customWidth="1"/>
    <col min="17" max="17" width="7.7109375" customWidth="1"/>
    <col min="18" max="18" width="9.42578125" customWidth="1"/>
    <col min="21" max="21" width="6.5703125" customWidth="1"/>
    <col min="22" max="22" width="14.140625" customWidth="1"/>
    <col min="27" max="27" width="3" customWidth="1"/>
    <col min="28" max="28" width="16.28515625" customWidth="1"/>
    <col min="29" max="29" width="19.7109375" customWidth="1"/>
    <col min="30" max="30" width="12.85546875" customWidth="1"/>
    <col min="31" max="31" width="17.42578125" customWidth="1"/>
    <col min="36" max="36" width="2.28515625" customWidth="1"/>
    <col min="38" max="38" width="16.28515625" customWidth="1"/>
    <col min="43" max="43" width="2.5703125" customWidth="1"/>
    <col min="45" max="45" width="14.42578125" customWidth="1"/>
    <col min="50" max="50" width="2.42578125" customWidth="1"/>
    <col min="51" max="64" width="3.28515625" customWidth="1"/>
    <col min="70" max="70" width="3.42578125" customWidth="1"/>
    <col min="76" max="79" width="3.5703125" customWidth="1"/>
    <col min="80" max="80" width="56.85546875" style="1421" customWidth="1"/>
    <col min="81" max="81" width="11.42578125" style="1421"/>
    <col min="82" max="82" width="15.7109375" style="1421" customWidth="1"/>
    <col min="83" max="84" width="11.42578125" style="1421"/>
    <col min="85" max="85" width="13.7109375" style="1421" customWidth="1"/>
    <col min="86" max="86" width="14.140625" style="1421" customWidth="1"/>
    <col min="87" max="87" width="17.5703125" style="1421" customWidth="1"/>
    <col min="88" max="89" width="11.42578125" style="1421"/>
  </cols>
  <sheetData>
    <row r="1" spans="1:90" ht="36" customHeight="1">
      <c r="A1" s="532"/>
      <c r="B1" s="2785" t="str">
        <f>'DüV-N-Ackerbau'!C1</f>
        <v>Karl vom Land</v>
      </c>
      <c r="C1" s="2785"/>
      <c r="D1" s="2785"/>
      <c r="E1" s="2063" t="str">
        <f>'DüV-N-Ackerbau'!F1</f>
        <v>Erntejahr</v>
      </c>
      <c r="F1" s="1342"/>
      <c r="G1" s="2061"/>
      <c r="H1" s="2061"/>
      <c r="I1" s="2061"/>
      <c r="J1" s="2061"/>
      <c r="K1" s="2061"/>
      <c r="L1" s="2061"/>
      <c r="M1" s="2061"/>
      <c r="N1" s="2061"/>
      <c r="O1" s="2061"/>
      <c r="P1" s="2061"/>
      <c r="Q1" s="2061"/>
      <c r="R1" s="2061"/>
      <c r="S1" s="2584" t="s">
        <v>34</v>
      </c>
      <c r="T1" s="2585"/>
      <c r="BM1" s="2541" t="s">
        <v>1154</v>
      </c>
      <c r="BN1" s="2542"/>
      <c r="BO1" s="2542"/>
      <c r="BP1" s="2542"/>
      <c r="BQ1" s="2542"/>
      <c r="BR1" s="2542"/>
      <c r="BS1" s="2542"/>
      <c r="BT1" s="2542"/>
      <c r="BU1" s="2542"/>
      <c r="BV1" s="2542"/>
      <c r="BW1" s="2543"/>
    </row>
    <row r="2" spans="1:90" ht="36.75" customHeight="1">
      <c r="A2" s="535"/>
      <c r="B2" s="2786" t="str">
        <f>'DüV-N-Ackerbau'!C2</f>
        <v>Höfen 1</v>
      </c>
      <c r="C2" s="2786"/>
      <c r="D2" s="2786"/>
      <c r="E2" s="2064">
        <f>'DüV-N-Ackerbau'!G1</f>
        <v>2022</v>
      </c>
      <c r="F2" s="1344"/>
      <c r="G2" s="1345"/>
      <c r="H2" s="1345"/>
      <c r="I2" s="1345"/>
      <c r="J2" s="1345"/>
      <c r="K2" s="1345"/>
      <c r="L2" s="1345"/>
      <c r="M2" s="1345"/>
      <c r="N2" s="1345"/>
      <c r="O2" s="1345"/>
      <c r="P2" s="1345"/>
      <c r="Q2" s="1345"/>
      <c r="R2" s="1345"/>
      <c r="S2" s="2586" t="s">
        <v>36</v>
      </c>
      <c r="T2" s="2587"/>
      <c r="BM2" s="2485"/>
      <c r="BN2" s="2526"/>
      <c r="BO2" s="2526"/>
      <c r="BP2" s="2526"/>
      <c r="BQ2" s="2526"/>
      <c r="BR2" s="2526"/>
      <c r="BS2" s="2526"/>
      <c r="BT2" s="2526"/>
      <c r="BU2" s="2526"/>
      <c r="BV2" s="2526"/>
      <c r="BW2" s="2486"/>
    </row>
    <row r="3" spans="1:90" ht="30" customHeight="1" thickBot="1">
      <c r="A3" s="535"/>
      <c r="B3" s="2786" t="str">
        <f>'DüV-N-Ackerbau'!C3</f>
        <v>12345 Auf dem Feld</v>
      </c>
      <c r="C3" s="2786"/>
      <c r="D3" s="2786"/>
      <c r="E3" s="1344"/>
      <c r="F3" s="1344"/>
      <c r="G3" s="2062"/>
      <c r="H3" s="2062"/>
      <c r="I3" s="2062"/>
      <c r="J3" s="2062"/>
      <c r="K3" s="2062"/>
      <c r="L3" s="2062"/>
      <c r="M3" s="2062"/>
      <c r="N3" s="2062"/>
      <c r="O3" s="2062"/>
      <c r="P3" s="2062"/>
      <c r="Q3" s="2062"/>
      <c r="R3" s="2062"/>
      <c r="S3" s="2062"/>
      <c r="T3" s="2062"/>
      <c r="BM3" s="2485"/>
      <c r="BN3" s="2526"/>
      <c r="BO3" s="2526"/>
      <c r="BP3" s="2526"/>
      <c r="BQ3" s="2526"/>
      <c r="BR3" s="2526"/>
      <c r="BS3" s="2526"/>
      <c r="BT3" s="2526"/>
      <c r="BU3" s="2526"/>
      <c r="BV3" s="2526"/>
      <c r="BW3" s="2486"/>
      <c r="CC3" s="2577" t="s">
        <v>33</v>
      </c>
      <c r="CD3" s="2577" t="s">
        <v>1275</v>
      </c>
      <c r="CE3" s="2578" t="s">
        <v>1322</v>
      </c>
      <c r="CF3" s="2578" t="s">
        <v>1323</v>
      </c>
      <c r="CG3" s="2578" t="s">
        <v>1324</v>
      </c>
      <c r="CH3" s="2579" t="s">
        <v>1325</v>
      </c>
      <c r="CI3" s="2579" t="s">
        <v>1333</v>
      </c>
      <c r="CJ3" s="2580" t="s">
        <v>323</v>
      </c>
      <c r="CK3" s="2582" t="s">
        <v>1276</v>
      </c>
      <c r="CL3" s="2106"/>
    </row>
    <row r="4" spans="1:90" ht="53.25" customHeight="1" thickBot="1">
      <c r="A4" s="2874" t="s">
        <v>1405</v>
      </c>
      <c r="B4" s="2874"/>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B4" s="2511" t="s">
        <v>1274</v>
      </c>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1878"/>
      <c r="BM4" s="2485"/>
      <c r="BN4" s="2526"/>
      <c r="BO4" s="2526"/>
      <c r="BP4" s="2526"/>
      <c r="BQ4" s="2526"/>
      <c r="BR4" s="2526"/>
      <c r="BS4" s="2526"/>
      <c r="BT4" s="2526"/>
      <c r="BU4" s="2526"/>
      <c r="BV4" s="2526"/>
      <c r="BW4" s="2486"/>
      <c r="BX4" s="1878"/>
      <c r="CB4" s="175" t="s">
        <v>1393</v>
      </c>
      <c r="CC4" s="2577"/>
      <c r="CD4" s="2577"/>
      <c r="CE4" s="2578"/>
      <c r="CF4" s="2578"/>
      <c r="CG4" s="2578"/>
      <c r="CH4" s="2579"/>
      <c r="CI4" s="2579"/>
      <c r="CJ4" s="2580"/>
      <c r="CK4" s="2582"/>
    </row>
    <row r="5" spans="1:90" ht="38.25" customHeight="1" thickBot="1">
      <c r="A5" s="2873" t="s">
        <v>1400</v>
      </c>
      <c r="B5" s="2873"/>
      <c r="C5" s="2873"/>
      <c r="D5" s="2873"/>
      <c r="E5" s="2873"/>
      <c r="F5" s="2873"/>
      <c r="G5" s="2873"/>
      <c r="H5" s="2873"/>
      <c r="I5" s="2873"/>
      <c r="J5" s="2873"/>
      <c r="K5" s="2873"/>
      <c r="L5" s="2873"/>
      <c r="M5" s="2873"/>
      <c r="N5" s="2873"/>
      <c r="O5" s="2873"/>
      <c r="P5" s="2873"/>
      <c r="Q5" s="2873"/>
      <c r="R5" s="2873"/>
      <c r="S5" s="2873"/>
      <c r="T5" s="2873"/>
      <c r="U5" s="2873"/>
      <c r="V5" s="2873"/>
      <c r="W5" s="2873"/>
      <c r="X5" s="2873"/>
      <c r="Y5" s="2873"/>
      <c r="Z5" s="2873"/>
      <c r="AB5" s="2516" t="s">
        <v>1018</v>
      </c>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1880"/>
      <c r="BM5" s="2487"/>
      <c r="BN5" s="2544"/>
      <c r="BO5" s="2544"/>
      <c r="BP5" s="2544"/>
      <c r="BQ5" s="2544"/>
      <c r="BR5" s="2544"/>
      <c r="BS5" s="2544"/>
      <c r="BT5" s="2544"/>
      <c r="BU5" s="2544"/>
      <c r="BV5" s="2544"/>
      <c r="BW5" s="2488"/>
      <c r="BX5" s="1878"/>
      <c r="CC5" s="2577"/>
      <c r="CD5" s="2577"/>
      <c r="CE5" s="2578"/>
      <c r="CF5" s="2578"/>
      <c r="CG5" s="2578"/>
      <c r="CH5" s="2579"/>
      <c r="CI5" s="2579"/>
      <c r="CJ5" s="2581"/>
      <c r="CK5" s="2583"/>
    </row>
    <row r="6" spans="1:90" ht="30.75" customHeight="1" thickBot="1">
      <c r="A6" s="1"/>
      <c r="B6" s="1"/>
      <c r="C6" s="7"/>
      <c r="D6" s="2875" t="s">
        <v>295</v>
      </c>
      <c r="E6" s="2877"/>
      <c r="F6" s="2875" t="s">
        <v>296</v>
      </c>
      <c r="G6" s="2876"/>
      <c r="H6" s="2876"/>
      <c r="I6" s="2876"/>
      <c r="J6" s="2876"/>
      <c r="K6" s="2876"/>
      <c r="L6" s="2876"/>
      <c r="M6" s="2877"/>
      <c r="N6" s="2883" t="s">
        <v>6</v>
      </c>
      <c r="O6" s="2885" t="s">
        <v>163</v>
      </c>
      <c r="P6" s="2883" t="s">
        <v>8</v>
      </c>
      <c r="Q6" s="2885" t="s">
        <v>163</v>
      </c>
      <c r="R6" s="2880" t="s">
        <v>1335</v>
      </c>
      <c r="S6" s="2882" t="s">
        <v>223</v>
      </c>
      <c r="T6" s="2883" t="s">
        <v>256</v>
      </c>
      <c r="U6" s="2885" t="s">
        <v>163</v>
      </c>
      <c r="V6" s="2878" t="s">
        <v>1055</v>
      </c>
      <c r="W6" s="2880" t="s">
        <v>1013</v>
      </c>
      <c r="X6" s="2886"/>
      <c r="Y6" s="2888" t="s">
        <v>1132</v>
      </c>
      <c r="Z6" s="2886"/>
      <c r="AB6" s="2887" t="s">
        <v>1134</v>
      </c>
      <c r="AC6" s="2776" t="s">
        <v>623</v>
      </c>
      <c r="AD6" s="2612" t="s">
        <v>1425</v>
      </c>
      <c r="AE6" s="2504"/>
      <c r="AF6" s="2504"/>
      <c r="AG6" s="2504"/>
      <c r="AH6" s="2504"/>
      <c r="AI6" s="2504"/>
      <c r="AJ6" s="525"/>
      <c r="AK6" s="2612" t="s">
        <v>1426</v>
      </c>
      <c r="AL6" s="2504"/>
      <c r="AM6" s="2504"/>
      <c r="AN6" s="2504"/>
      <c r="AO6" s="2504"/>
      <c r="AP6" s="2504"/>
      <c r="AQ6" s="2099"/>
      <c r="AR6" s="2612" t="s">
        <v>1427</v>
      </c>
      <c r="AS6" s="2504"/>
      <c r="AT6" s="2504"/>
      <c r="AU6" s="2504"/>
      <c r="AV6" s="2504"/>
      <c r="AW6" s="2504"/>
      <c r="AX6" s="897"/>
      <c r="AY6" s="2612" t="s">
        <v>1428</v>
      </c>
      <c r="AZ6" s="2504"/>
      <c r="BA6" s="2504"/>
      <c r="BB6" s="2504"/>
      <c r="BC6" s="2504"/>
      <c r="BD6" s="2504"/>
      <c r="BE6" s="897"/>
      <c r="BF6" s="2612" t="s">
        <v>1429</v>
      </c>
      <c r="BG6" s="2504"/>
      <c r="BH6" s="2504"/>
      <c r="BI6" s="2504"/>
      <c r="BJ6" s="2504"/>
      <c r="BK6" s="2504"/>
      <c r="BL6" s="1878"/>
      <c r="BM6" s="2892" t="s">
        <v>1065</v>
      </c>
      <c r="BN6" s="2893"/>
      <c r="BO6" s="2893"/>
      <c r="BP6" s="2893"/>
      <c r="BQ6" s="2894"/>
      <c r="BR6" s="1136"/>
      <c r="BS6" s="2889" t="s">
        <v>1076</v>
      </c>
      <c r="BT6" s="2890"/>
      <c r="BU6" s="2890"/>
      <c r="BV6" s="2890"/>
      <c r="BW6" s="2891"/>
      <c r="BX6" s="1878"/>
      <c r="CB6" s="1968" t="s">
        <v>795</v>
      </c>
      <c r="CC6" s="1421">
        <v>0</v>
      </c>
      <c r="CD6" s="1421">
        <v>0</v>
      </c>
      <c r="CE6" s="1421">
        <v>0</v>
      </c>
      <c r="CF6" s="1421">
        <v>0</v>
      </c>
      <c r="CG6" s="1421">
        <v>0</v>
      </c>
      <c r="CH6" s="1421">
        <v>0</v>
      </c>
      <c r="CI6" s="1421">
        <v>0</v>
      </c>
      <c r="CJ6" s="1421">
        <v>0</v>
      </c>
      <c r="CK6" s="1421">
        <v>0</v>
      </c>
    </row>
    <row r="7" spans="1:90" ht="109.5" customHeight="1" thickBot="1">
      <c r="A7" s="2011" t="s">
        <v>1337</v>
      </c>
      <c r="B7" s="2074" t="s">
        <v>1336</v>
      </c>
      <c r="C7" s="2009" t="s">
        <v>1406</v>
      </c>
      <c r="D7" s="2075" t="s">
        <v>33</v>
      </c>
      <c r="E7" s="562" t="s">
        <v>1338</v>
      </c>
      <c r="F7" s="1937" t="s">
        <v>1339</v>
      </c>
      <c r="G7" s="1979" t="s">
        <v>1315</v>
      </c>
      <c r="H7" s="1979" t="s">
        <v>1316</v>
      </c>
      <c r="I7" s="1980" t="s">
        <v>1317</v>
      </c>
      <c r="J7" s="1980" t="s">
        <v>1318</v>
      </c>
      <c r="K7" s="1980" t="s">
        <v>1319</v>
      </c>
      <c r="L7" s="1980" t="s">
        <v>1320</v>
      </c>
      <c r="M7" s="1938" t="s">
        <v>1321</v>
      </c>
      <c r="N7" s="2884"/>
      <c r="O7" s="2794"/>
      <c r="P7" s="2884"/>
      <c r="Q7" s="2794"/>
      <c r="R7" s="2881"/>
      <c r="S7" s="2822"/>
      <c r="T7" s="2884"/>
      <c r="U7" s="2794"/>
      <c r="V7" s="2879"/>
      <c r="W7" s="1937" t="s">
        <v>322</v>
      </c>
      <c r="X7" s="2378" t="s">
        <v>1340</v>
      </c>
      <c r="Y7" s="2007" t="s">
        <v>322</v>
      </c>
      <c r="Z7" s="2008" t="s">
        <v>1340</v>
      </c>
      <c r="AB7" s="2501"/>
      <c r="AC7" s="2515"/>
      <c r="AD7" s="2092" t="s">
        <v>839</v>
      </c>
      <c r="AE7" s="2090" t="s">
        <v>819</v>
      </c>
      <c r="AF7" s="2095" t="s">
        <v>33</v>
      </c>
      <c r="AG7" s="2091" t="s">
        <v>1062</v>
      </c>
      <c r="AH7" s="2095" t="s">
        <v>1063</v>
      </c>
      <c r="AI7" s="2091" t="s">
        <v>1064</v>
      </c>
      <c r="AJ7" s="1421"/>
      <c r="AK7" s="2092" t="s">
        <v>839</v>
      </c>
      <c r="AL7" s="2090" t="s">
        <v>819</v>
      </c>
      <c r="AM7" s="2095" t="s">
        <v>33</v>
      </c>
      <c r="AN7" s="2091" t="s">
        <v>1062</v>
      </c>
      <c r="AO7" s="2095" t="s">
        <v>1063</v>
      </c>
      <c r="AP7" s="2091" t="s">
        <v>1064</v>
      </c>
      <c r="AQ7" s="279"/>
      <c r="AR7" s="2092" t="s">
        <v>839</v>
      </c>
      <c r="AS7" s="2090" t="s">
        <v>819</v>
      </c>
      <c r="AT7" s="2095" t="s">
        <v>33</v>
      </c>
      <c r="AU7" s="2091" t="s">
        <v>1062</v>
      </c>
      <c r="AV7" s="2095" t="s">
        <v>1063</v>
      </c>
      <c r="AW7" s="2091" t="s">
        <v>1064</v>
      </c>
      <c r="AX7" s="279"/>
      <c r="AY7" s="2092" t="s">
        <v>839</v>
      </c>
      <c r="AZ7" s="2090" t="s">
        <v>819</v>
      </c>
      <c r="BA7" s="2095" t="s">
        <v>33</v>
      </c>
      <c r="BB7" s="2091" t="s">
        <v>1062</v>
      </c>
      <c r="BC7" s="2095" t="s">
        <v>1063</v>
      </c>
      <c r="BD7" s="2091" t="s">
        <v>1064</v>
      </c>
      <c r="BE7" s="279"/>
      <c r="BF7" s="2092" t="s">
        <v>839</v>
      </c>
      <c r="BG7" s="2090" t="s">
        <v>819</v>
      </c>
      <c r="BH7" s="2095" t="s">
        <v>33</v>
      </c>
      <c r="BI7" s="2091" t="s">
        <v>1062</v>
      </c>
      <c r="BJ7" s="2095" t="s">
        <v>1063</v>
      </c>
      <c r="BK7" s="2091" t="s">
        <v>1064</v>
      </c>
      <c r="BL7" s="1878"/>
      <c r="BM7" s="1134" t="s">
        <v>1080</v>
      </c>
      <c r="BN7" s="1879" t="s">
        <v>1066</v>
      </c>
      <c r="BO7" s="1879" t="s">
        <v>1067</v>
      </c>
      <c r="BP7" s="906" t="s">
        <v>1241</v>
      </c>
      <c r="BQ7" s="1879" t="s">
        <v>284</v>
      </c>
      <c r="BR7" s="1874"/>
      <c r="BS7" s="1806" t="s">
        <v>1080</v>
      </c>
      <c r="BT7" s="1168" t="s">
        <v>1307</v>
      </c>
      <c r="BU7" s="1168" t="s">
        <v>1308</v>
      </c>
      <c r="BV7" s="906" t="s">
        <v>1241</v>
      </c>
      <c r="BW7" s="1879" t="s">
        <v>284</v>
      </c>
      <c r="BX7" s="1137"/>
      <c r="CB7" s="1968" t="s">
        <v>1440</v>
      </c>
      <c r="CC7" s="1421">
        <v>50</v>
      </c>
      <c r="CD7" s="1421">
        <v>45</v>
      </c>
      <c r="CE7" s="1421">
        <v>10</v>
      </c>
      <c r="CF7" s="1421">
        <v>2</v>
      </c>
      <c r="CG7" s="1421">
        <v>2</v>
      </c>
      <c r="CH7" s="1421">
        <v>0</v>
      </c>
      <c r="CI7" s="1421">
        <v>0</v>
      </c>
      <c r="CJ7" s="2131">
        <v>30</v>
      </c>
      <c r="CK7" s="2132">
        <v>0.23</v>
      </c>
    </row>
    <row r="8" spans="1:90" ht="26.25" customHeight="1" thickBot="1">
      <c r="A8" s="513" t="s">
        <v>829</v>
      </c>
      <c r="B8" s="2123">
        <v>0</v>
      </c>
      <c r="C8" s="2126" t="s">
        <v>795</v>
      </c>
      <c r="D8" s="2125">
        <f t="shared" ref="D8:D31" si="0">VLOOKUP(C8,$CB$6:$CK$207,2,FALSE)</f>
        <v>0</v>
      </c>
      <c r="E8" s="1982">
        <f t="shared" ref="E8:E31" si="1">VLOOKUP(C8,$CB$6:$CK$207,3,FALSE)</f>
        <v>0</v>
      </c>
      <c r="F8" s="1985">
        <v>0</v>
      </c>
      <c r="G8" s="1986">
        <f>F8-D8</f>
        <v>0</v>
      </c>
      <c r="H8" s="1887">
        <f>IF(D8=0,0,G8*100/D8)</f>
        <v>0</v>
      </c>
      <c r="I8" s="1887">
        <f t="shared" ref="I8:I31" si="2">VLOOKUP(C8,$CB$6:$CK$207,4,FALSE)</f>
        <v>0</v>
      </c>
      <c r="J8" s="1887">
        <f t="shared" ref="J8:J31" si="3">VLOOKUP(C8,$CB$6:$CK$207,5,FALSE)</f>
        <v>0</v>
      </c>
      <c r="K8" s="1887">
        <f t="shared" ref="K8:K31" si="4">VLOOKUP(C8,$CB$6:$CK$207,6,FALSE)</f>
        <v>0</v>
      </c>
      <c r="L8" s="1986" t="e">
        <f>IF(H8&gt;0,ROUNDDOWN(H8/I8,0)*J8,IF(H8&lt;=0,ROUNDDOWN(H8/I8,0)*K8,IF(G8&gt;0,G8*J8/F8,K8*G8/0)))</f>
        <v>#DIV/0!</v>
      </c>
      <c r="M8" s="1987">
        <f>IF(D8=0,0,L8+E8)</f>
        <v>0</v>
      </c>
      <c r="N8" s="2019" t="s">
        <v>503</v>
      </c>
      <c r="O8" s="744">
        <f t="shared" ref="O8:O31" si="5">VLOOKUP(N8,$CB$211:$CC$221,2,FALSE)</f>
        <v>0</v>
      </c>
      <c r="P8" s="1994" t="s">
        <v>25</v>
      </c>
      <c r="Q8" s="1999">
        <f t="shared" ref="Q8:Q31" si="6">VLOOKUP(P8,$CB$224:$CC$233,2,FALSE)</f>
        <v>0</v>
      </c>
      <c r="R8" s="2004">
        <f t="shared" ref="R8:R31" si="7">VLOOKUP(C8,$CB$6:$CK$207,9,FALSE)</f>
        <v>0</v>
      </c>
      <c r="S8" s="2193">
        <v>0</v>
      </c>
      <c r="T8" s="1994" t="s">
        <v>160</v>
      </c>
      <c r="U8" s="1999">
        <f t="shared" ref="U8:U31" si="8">VLOOKUP(T8,$CB$236:$CC$237,2,FALSE)</f>
        <v>0</v>
      </c>
      <c r="V8" s="2374">
        <v>0</v>
      </c>
      <c r="W8" s="2004">
        <f>IF(M8-S8-V8-U8-O8-Q8&lt;0,0,M8-S8-V8-U8-O8-Q8)</f>
        <v>0</v>
      </c>
      <c r="X8" s="1999">
        <f>IF(W8&lt;0,0,W8*B8)</f>
        <v>0</v>
      </c>
      <c r="Y8" s="2377">
        <f t="shared" ref="Y8:Y31" si="9">F8*VLOOKUP(C8,$CB$6:$CK$207,10,FALSE)</f>
        <v>0</v>
      </c>
      <c r="Z8" s="1999">
        <f t="shared" ref="Z8:Z31" si="10">IF(Y8&lt;0,0,B8*Y8)</f>
        <v>0</v>
      </c>
      <c r="AA8" s="1"/>
      <c r="AB8" s="1281" t="str">
        <f t="shared" ref="AB8:AB31" si="11">A8</f>
        <v>Bewirtsch.einh. 1</v>
      </c>
      <c r="AC8" s="1281" t="str">
        <f t="shared" ref="AC8:AC32" si="12">C8</f>
        <v>leer</v>
      </c>
      <c r="AD8" s="1329"/>
      <c r="AE8" s="1330" t="s">
        <v>795</v>
      </c>
      <c r="AF8" s="1424">
        <v>0</v>
      </c>
      <c r="AG8" s="1033">
        <f>VLOOKUP(AE8,Düngemittel!$B$6:$E$64,2,FALSE)*(VLOOKUP(AE8,Düngemittel!$B$6:$E$64,3,FALSE))/100*AF8</f>
        <v>0</v>
      </c>
      <c r="AH8" s="1033">
        <f>VLOOKUP(AE8,Düngemittel!$B$6:$E$64,2,FALSE)*AF8</f>
        <v>0</v>
      </c>
      <c r="AI8" s="1033">
        <f>VLOOKUP(AE8,Düngemittel!$B$6:$E$64,4,FALSE)*AF8</f>
        <v>0</v>
      </c>
      <c r="AJ8" s="92"/>
      <c r="AK8" s="1329"/>
      <c r="AL8" s="1330" t="s">
        <v>795</v>
      </c>
      <c r="AM8" s="1424">
        <v>0</v>
      </c>
      <c r="AN8" s="1033">
        <f>VLOOKUP(AL8,Düngemittel!$B$6:$E$64,2,FALSE)*(VLOOKUP(AL8,Düngemittel!$B$6:$E$64,3,FALSE))/100*AM8</f>
        <v>0</v>
      </c>
      <c r="AO8" s="1033">
        <f>VLOOKUP(AL8,Düngemittel!$B$6:$E$64,2,FALSE)*AM8</f>
        <v>0</v>
      </c>
      <c r="AP8" s="1033">
        <f>VLOOKUP(AL8,Düngemittel!$B$6:$E$64,4,FALSE)*AM8</f>
        <v>0</v>
      </c>
      <c r="AQ8" s="92"/>
      <c r="AR8" s="1329"/>
      <c r="AS8" s="1330" t="s">
        <v>795</v>
      </c>
      <c r="AT8" s="1424">
        <v>0</v>
      </c>
      <c r="AU8" s="1033">
        <f>VLOOKUP(AS8,Düngemittel!$B$6:$E$64,2,FALSE)*(VLOOKUP(AS8,Düngemittel!$B$6:$E$64,3,FALSE))/100*AT8</f>
        <v>0</v>
      </c>
      <c r="AV8" s="1033">
        <f>VLOOKUP(AS8,Düngemittel!$B$6:$E$64,2,FALSE)*AT8</f>
        <v>0</v>
      </c>
      <c r="AW8" s="1033">
        <f>VLOOKUP(AS8,Düngemittel!$B$6:$E$64,4,FALSE)*AT8</f>
        <v>0</v>
      </c>
      <c r="AX8" s="92"/>
      <c r="AY8" s="1329"/>
      <c r="AZ8" s="1330" t="s">
        <v>795</v>
      </c>
      <c r="BA8" s="1424">
        <v>0</v>
      </c>
      <c r="BB8" s="1033">
        <f>VLOOKUP(AZ8,Düngemittel!$B$6:$E$64,2,FALSE)*(VLOOKUP(AZ8,Düngemittel!$B$6:$E$64,3,FALSE))/100*BA8</f>
        <v>0</v>
      </c>
      <c r="BC8" s="1033">
        <f>VLOOKUP(AZ8,Düngemittel!$B$6:$E$64,2,FALSE)*BA8</f>
        <v>0</v>
      </c>
      <c r="BD8" s="1033">
        <f>VLOOKUP(AZ8,Düngemittel!$B$6:$E$64,4,FALSE)*BA8</f>
        <v>0</v>
      </c>
      <c r="BE8" s="92"/>
      <c r="BF8" s="1329"/>
      <c r="BG8" s="1330" t="s">
        <v>795</v>
      </c>
      <c r="BH8" s="1424">
        <v>0</v>
      </c>
      <c r="BI8" s="1033">
        <f>VLOOKUP(BG8,Düngemittel!$B$6:$E$64,2,FALSE)*(VLOOKUP(BG8,Düngemittel!$B$6:$E$64,3,FALSE))/100*BH8</f>
        <v>0</v>
      </c>
      <c r="BJ8" s="1033">
        <f>VLOOKUP(BG8,Düngemittel!$B$6:$E$64,2,FALSE)*BH8</f>
        <v>0</v>
      </c>
      <c r="BK8" s="1033">
        <f>VLOOKUP(BG8,Düngemittel!$B$6:$E$64,4,FALSE)*BH8</f>
        <v>0</v>
      </c>
      <c r="BL8" s="175"/>
      <c r="BM8" s="1889">
        <f t="shared" ref="BM8:BM27" si="13">IF(AG8&lt;AH8,0,AG8)+IF(AN8&lt;AO8,0,AN8)+IF(AU8&lt;AV8,0,AU8)+IF(BB8&lt;BC8,0,BB8)+IF(BI8&lt;BJ8,0,BI8)</f>
        <v>0</v>
      </c>
      <c r="BN8" s="1889">
        <f t="shared" ref="BN8:BN27" si="14">(AG8+AN8+AU8+BB8+BI8)</f>
        <v>0</v>
      </c>
      <c r="BO8" s="1889">
        <f t="shared" ref="BO8:BO27" si="15">(AH8+AO8+AV8+BC8+BJ8)</f>
        <v>0</v>
      </c>
      <c r="BP8" s="1138">
        <f t="shared" ref="BP8:BP27" si="16">IF(AG8&lt;AH8,AH8,0)+IF(AN8&lt;AO8,AO8,0)+IF(AU8&lt;AV8,AV8,0)+IF(BB8&lt;BC8,BC8,0)+IF(BI8&lt;BJ8,BJ8,0)</f>
        <v>0</v>
      </c>
      <c r="BQ8" s="1889">
        <f t="shared" ref="BQ8:BQ27" si="17">(AI8+AP8+AW8+BD8+BK8)</f>
        <v>0</v>
      </c>
      <c r="BR8" s="95"/>
      <c r="BS8" s="1973">
        <f>BM8*$B8</f>
        <v>0</v>
      </c>
      <c r="BT8" s="1973">
        <f>BN8*$B8</f>
        <v>0</v>
      </c>
      <c r="BU8" s="1973">
        <f>BO8*$B8</f>
        <v>0</v>
      </c>
      <c r="BV8" s="1934">
        <f>BP8*$B8</f>
        <v>0</v>
      </c>
      <c r="BW8" s="1973">
        <f>BQ8*$B8</f>
        <v>0</v>
      </c>
      <c r="BX8" s="1137"/>
      <c r="CB8" s="1968" t="s">
        <v>1441</v>
      </c>
      <c r="CC8" s="1421">
        <v>50</v>
      </c>
      <c r="CD8" s="1421">
        <v>45</v>
      </c>
      <c r="CE8" s="1421">
        <v>10</v>
      </c>
      <c r="CF8" s="1421">
        <v>2</v>
      </c>
      <c r="CG8" s="1421">
        <v>2</v>
      </c>
      <c r="CH8" s="1421">
        <v>0</v>
      </c>
      <c r="CI8" s="1421">
        <v>0</v>
      </c>
      <c r="CJ8" s="2133">
        <v>30</v>
      </c>
      <c r="CK8" s="2134">
        <v>0.2</v>
      </c>
    </row>
    <row r="9" spans="1:90" ht="30" customHeight="1" thickBot="1">
      <c r="A9" s="468" t="s">
        <v>568</v>
      </c>
      <c r="B9" s="2121">
        <v>0</v>
      </c>
      <c r="C9" s="2127" t="s">
        <v>795</v>
      </c>
      <c r="D9" s="2122">
        <f t="shared" si="0"/>
        <v>0</v>
      </c>
      <c r="E9" s="1984">
        <f t="shared" si="1"/>
        <v>0</v>
      </c>
      <c r="F9" s="1988">
        <v>0</v>
      </c>
      <c r="G9" s="1986">
        <f t="shared" ref="G9:G31" si="18">F9-D9</f>
        <v>0</v>
      </c>
      <c r="H9" s="2308">
        <f t="shared" ref="H9:H31" si="19">IF(D9=0,0,G9*100/D9)</f>
        <v>0</v>
      </c>
      <c r="I9" s="2308">
        <f t="shared" si="2"/>
        <v>0</v>
      </c>
      <c r="J9" s="2308">
        <f t="shared" si="3"/>
        <v>0</v>
      </c>
      <c r="K9" s="2308">
        <f t="shared" si="4"/>
        <v>0</v>
      </c>
      <c r="L9" s="1986" t="e">
        <f t="shared" ref="L9:L31" si="20">IF(H9&gt;0,ROUNDDOWN(H9/I9,0)*J9,IF(H9&lt;=0,ROUNDDOWN(H9/I9,0)*K9,IF(G9&gt;0,G9*J9/F9,K9*G9/0)))</f>
        <v>#DIV/0!</v>
      </c>
      <c r="M9" s="1989">
        <f t="shared" ref="M9:M31" si="21">IF(D9=0,0,L9+E9)</f>
        <v>0</v>
      </c>
      <c r="N9" s="1978" t="s">
        <v>503</v>
      </c>
      <c r="O9" s="743">
        <f t="shared" si="5"/>
        <v>0</v>
      </c>
      <c r="P9" s="1995" t="s">
        <v>25</v>
      </c>
      <c r="Q9" s="2001">
        <f t="shared" si="6"/>
        <v>0</v>
      </c>
      <c r="R9" s="2005">
        <f t="shared" si="7"/>
        <v>0</v>
      </c>
      <c r="S9" s="2194">
        <v>0</v>
      </c>
      <c r="T9" s="1995" t="s">
        <v>160</v>
      </c>
      <c r="U9" s="2001">
        <f t="shared" si="8"/>
        <v>0</v>
      </c>
      <c r="V9" s="2375">
        <v>0</v>
      </c>
      <c r="W9" s="2005">
        <f t="shared" ref="W9:W31" si="22">IF(M9-S9-V9-U9-O9-Q9&lt;0,0,M9-S9-V9-U9-O9-Q9)</f>
        <v>0</v>
      </c>
      <c r="X9" s="2001">
        <f t="shared" ref="X9:X31" si="23">IF(W9&lt;0,0,W9*B9)</f>
        <v>0</v>
      </c>
      <c r="Y9" s="2365">
        <f t="shared" si="9"/>
        <v>0</v>
      </c>
      <c r="Z9" s="2001">
        <f t="shared" si="10"/>
        <v>0</v>
      </c>
      <c r="AA9" s="1"/>
      <c r="AB9" s="1281" t="str">
        <f t="shared" si="11"/>
        <v>Fläche 2</v>
      </c>
      <c r="AC9" s="1281" t="str">
        <f t="shared" si="12"/>
        <v>leer</v>
      </c>
      <c r="AD9" s="1329"/>
      <c r="AE9" s="1330" t="s">
        <v>795</v>
      </c>
      <c r="AF9" s="1424">
        <v>0</v>
      </c>
      <c r="AG9" s="1033">
        <f>VLOOKUP(AE9,Düngemittel!$B$6:$E$64,2,FALSE)*(VLOOKUP(AE9,Düngemittel!$B$6:$E$64,3,FALSE))/100*AF9</f>
        <v>0</v>
      </c>
      <c r="AH9" s="1033">
        <f>VLOOKUP(AE9,Düngemittel!$B$6:$E$64,2,FALSE)*AF9</f>
        <v>0</v>
      </c>
      <c r="AI9" s="1033">
        <f>VLOOKUP(AE9,Düngemittel!$B$6:$E$64,4,FALSE)*AF9</f>
        <v>0</v>
      </c>
      <c r="AJ9" s="2089"/>
      <c r="AK9" s="1329"/>
      <c r="AL9" s="1330" t="s">
        <v>795</v>
      </c>
      <c r="AM9" s="1424">
        <v>0</v>
      </c>
      <c r="AN9" s="1033">
        <f>VLOOKUP(AL9,Düngemittel!$B$6:$E$64,2,FALSE)*(VLOOKUP(AL9,Düngemittel!$B$6:$E$64,3,FALSE))/100*AM9</f>
        <v>0</v>
      </c>
      <c r="AO9" s="1033">
        <f>VLOOKUP(AL9,Düngemittel!$B$6:$E$64,2,FALSE)*AM9</f>
        <v>0</v>
      </c>
      <c r="AP9" s="1033">
        <f>VLOOKUP(AL9,Düngemittel!$B$6:$E$64,4,FALSE)*AM9</f>
        <v>0</v>
      </c>
      <c r="AQ9" s="2089"/>
      <c r="AR9" s="1329"/>
      <c r="AS9" s="1330" t="s">
        <v>795</v>
      </c>
      <c r="AT9" s="1424">
        <v>0</v>
      </c>
      <c r="AU9" s="1033">
        <f>VLOOKUP(AS9,Düngemittel!$B$6:$E$64,2,FALSE)*(VLOOKUP(AS9,Düngemittel!$B$6:$E$64,3,FALSE))/100*AT9</f>
        <v>0</v>
      </c>
      <c r="AV9" s="1033">
        <f>VLOOKUP(AS9,Düngemittel!$B$6:$E$64,2,FALSE)*AT9</f>
        <v>0</v>
      </c>
      <c r="AW9" s="1033">
        <f>VLOOKUP(AS9,Düngemittel!$B$6:$E$64,4,FALSE)*AT9</f>
        <v>0</v>
      </c>
      <c r="AX9" s="2089"/>
      <c r="AY9" s="1329"/>
      <c r="AZ9" s="1330" t="s">
        <v>795</v>
      </c>
      <c r="BA9" s="1424">
        <v>0</v>
      </c>
      <c r="BB9" s="1033">
        <f>VLOOKUP(AZ9,Düngemittel!$B$6:$E$64,2,FALSE)*(VLOOKUP(AZ9,Düngemittel!$B$6:$E$64,3,FALSE))/100*BA9</f>
        <v>0</v>
      </c>
      <c r="BC9" s="1033">
        <f>VLOOKUP(AZ9,Düngemittel!$B$6:$E$64,2,FALSE)*BA9</f>
        <v>0</v>
      </c>
      <c r="BD9" s="1033">
        <f>VLOOKUP(AZ9,Düngemittel!$B$6:$E$64,4,FALSE)*BA9</f>
        <v>0</v>
      </c>
      <c r="BE9" s="2089"/>
      <c r="BF9" s="1329"/>
      <c r="BG9" s="1330" t="s">
        <v>795</v>
      </c>
      <c r="BH9" s="1424">
        <v>0</v>
      </c>
      <c r="BI9" s="1033">
        <f>VLOOKUP(BG9,Düngemittel!$B$6:$E$64,2,FALSE)*(VLOOKUP(BG9,Düngemittel!$B$6:$E$64,3,FALSE))/100*BH9</f>
        <v>0</v>
      </c>
      <c r="BJ9" s="1033">
        <f>VLOOKUP(BG9,Düngemittel!$B$6:$E$64,2,FALSE)*BH9</f>
        <v>0</v>
      </c>
      <c r="BK9" s="1033">
        <f>VLOOKUP(BG9,Düngemittel!$B$6:$E$64,4,FALSE)*BH9</f>
        <v>0</v>
      </c>
      <c r="BL9" s="1908"/>
      <c r="BM9" s="1889">
        <f t="shared" si="13"/>
        <v>0</v>
      </c>
      <c r="BN9" s="1889">
        <f t="shared" si="14"/>
        <v>0</v>
      </c>
      <c r="BO9" s="1889">
        <f t="shared" si="15"/>
        <v>0</v>
      </c>
      <c r="BP9" s="1138">
        <f t="shared" si="16"/>
        <v>0</v>
      </c>
      <c r="BQ9" s="1889">
        <f t="shared" si="17"/>
        <v>0</v>
      </c>
      <c r="BR9" s="95"/>
      <c r="BS9" s="1973">
        <f t="shared" ref="BS9:BS31" si="24">BM9*$B9</f>
        <v>0</v>
      </c>
      <c r="BT9" s="1973">
        <f t="shared" ref="BT9:BT31" si="25">BN9*$B9</f>
        <v>0</v>
      </c>
      <c r="BU9" s="1973">
        <f t="shared" ref="BU9:BU31" si="26">BO9*$B9</f>
        <v>0</v>
      </c>
      <c r="BV9" s="1934">
        <f t="shared" ref="BV9:BV31" si="27">BP9*$B9</f>
        <v>0</v>
      </c>
      <c r="BW9" s="1973">
        <f t="shared" ref="BW9:BW31" si="28">BQ9*$B9</f>
        <v>0</v>
      </c>
      <c r="BX9" s="1874"/>
      <c r="CB9" s="1968" t="s">
        <v>1442</v>
      </c>
      <c r="CC9" s="1421">
        <v>80</v>
      </c>
      <c r="CD9" s="1421">
        <v>85</v>
      </c>
      <c r="CE9" s="1421">
        <v>10</v>
      </c>
      <c r="CF9" s="1421">
        <v>4</v>
      </c>
      <c r="CG9" s="1421">
        <v>4</v>
      </c>
      <c r="CH9" s="1421">
        <v>0</v>
      </c>
      <c r="CI9" s="1421">
        <v>0</v>
      </c>
      <c r="CJ9" s="2135">
        <v>60</v>
      </c>
      <c r="CK9" s="2134">
        <v>0.18</v>
      </c>
    </row>
    <row r="10" spans="1:90" ht="26.25" customHeight="1" thickBot="1">
      <c r="A10" s="468" t="s">
        <v>569</v>
      </c>
      <c r="B10" s="2121">
        <v>0</v>
      </c>
      <c r="C10" s="2127" t="s">
        <v>795</v>
      </c>
      <c r="D10" s="2122">
        <f t="shared" si="0"/>
        <v>0</v>
      </c>
      <c r="E10" s="1984">
        <f t="shared" si="1"/>
        <v>0</v>
      </c>
      <c r="F10" s="1988">
        <v>0</v>
      </c>
      <c r="G10" s="1986">
        <f t="shared" si="18"/>
        <v>0</v>
      </c>
      <c r="H10" s="2308">
        <f t="shared" si="19"/>
        <v>0</v>
      </c>
      <c r="I10" s="2308">
        <f t="shared" si="2"/>
        <v>0</v>
      </c>
      <c r="J10" s="2308">
        <f t="shared" si="3"/>
        <v>0</v>
      </c>
      <c r="K10" s="2308">
        <f t="shared" si="4"/>
        <v>0</v>
      </c>
      <c r="L10" s="1986" t="e">
        <f t="shared" si="20"/>
        <v>#DIV/0!</v>
      </c>
      <c r="M10" s="1989">
        <f t="shared" si="21"/>
        <v>0</v>
      </c>
      <c r="N10" s="1978" t="s">
        <v>503</v>
      </c>
      <c r="O10" s="743">
        <f t="shared" si="5"/>
        <v>0</v>
      </c>
      <c r="P10" s="1995" t="s">
        <v>25</v>
      </c>
      <c r="Q10" s="2001">
        <f t="shared" si="6"/>
        <v>0</v>
      </c>
      <c r="R10" s="2005">
        <f t="shared" si="7"/>
        <v>0</v>
      </c>
      <c r="S10" s="2194">
        <v>0</v>
      </c>
      <c r="T10" s="1995" t="s">
        <v>160</v>
      </c>
      <c r="U10" s="2001">
        <f t="shared" si="8"/>
        <v>0</v>
      </c>
      <c r="V10" s="2375">
        <v>0</v>
      </c>
      <c r="W10" s="2005">
        <f t="shared" si="22"/>
        <v>0</v>
      </c>
      <c r="X10" s="2001">
        <f t="shared" si="23"/>
        <v>0</v>
      </c>
      <c r="Y10" s="2365">
        <f t="shared" si="9"/>
        <v>0</v>
      </c>
      <c r="Z10" s="2001">
        <f t="shared" si="10"/>
        <v>0</v>
      </c>
      <c r="AA10" s="1"/>
      <c r="AB10" s="1281" t="str">
        <f t="shared" si="11"/>
        <v>Acker 3</v>
      </c>
      <c r="AC10" s="1281" t="str">
        <f t="shared" si="12"/>
        <v>leer</v>
      </c>
      <c r="AD10" s="1329"/>
      <c r="AE10" s="1330" t="s">
        <v>795</v>
      </c>
      <c r="AF10" s="1424">
        <v>0</v>
      </c>
      <c r="AG10" s="1033">
        <f>VLOOKUP(AE10,Düngemittel!$B$6:$E$64,2,FALSE)*(VLOOKUP(AE10,Düngemittel!$B$6:$E$64,3,FALSE))/100*AF10</f>
        <v>0</v>
      </c>
      <c r="AH10" s="1033">
        <f>VLOOKUP(AE10,Düngemittel!$B$6:$E$64,2,FALSE)*AF10</f>
        <v>0</v>
      </c>
      <c r="AI10" s="1033">
        <f>VLOOKUP(AE10,Düngemittel!$B$6:$E$64,4,FALSE)*AF10</f>
        <v>0</v>
      </c>
      <c r="AJ10" s="2089"/>
      <c r="AK10" s="1329"/>
      <c r="AL10" s="1330" t="s">
        <v>795</v>
      </c>
      <c r="AM10" s="1424">
        <v>0</v>
      </c>
      <c r="AN10" s="1033">
        <f>VLOOKUP(AL10,Düngemittel!$B$6:$E$64,2,FALSE)*(VLOOKUP(AL10,Düngemittel!$B$6:$E$64,3,FALSE))/100*AM10</f>
        <v>0</v>
      </c>
      <c r="AO10" s="1033">
        <f>VLOOKUP(AL10,Düngemittel!$B$6:$E$64,2,FALSE)*AM10</f>
        <v>0</v>
      </c>
      <c r="AP10" s="1033">
        <f>VLOOKUP(AL10,Düngemittel!$B$6:$E$64,4,FALSE)*AM10</f>
        <v>0</v>
      </c>
      <c r="AQ10" s="2089"/>
      <c r="AR10" s="1329"/>
      <c r="AS10" s="1330" t="s">
        <v>795</v>
      </c>
      <c r="AT10" s="1424">
        <v>0</v>
      </c>
      <c r="AU10" s="1033">
        <f>VLOOKUP(AS10,Düngemittel!$B$6:$E$64,2,FALSE)*(VLOOKUP(AS10,Düngemittel!$B$6:$E$64,3,FALSE))/100*AT10</f>
        <v>0</v>
      </c>
      <c r="AV10" s="1033">
        <f>VLOOKUP(AS10,Düngemittel!$B$6:$E$64,2,FALSE)*AT10</f>
        <v>0</v>
      </c>
      <c r="AW10" s="1033">
        <f>VLOOKUP(AS10,Düngemittel!$B$6:$E$64,4,FALSE)*AT10</f>
        <v>0</v>
      </c>
      <c r="AX10" s="2089"/>
      <c r="AY10" s="1329"/>
      <c r="AZ10" s="1330" t="s">
        <v>795</v>
      </c>
      <c r="BA10" s="1424">
        <v>0</v>
      </c>
      <c r="BB10" s="1033">
        <f>VLOOKUP(AZ10,Düngemittel!$B$6:$E$64,2,FALSE)*(VLOOKUP(AZ10,Düngemittel!$B$6:$E$64,3,FALSE))/100*BA10</f>
        <v>0</v>
      </c>
      <c r="BC10" s="1033">
        <f>VLOOKUP(AZ10,Düngemittel!$B$6:$E$64,2,FALSE)*BA10</f>
        <v>0</v>
      </c>
      <c r="BD10" s="1033">
        <f>VLOOKUP(AZ10,Düngemittel!$B$6:$E$64,4,FALSE)*BA10</f>
        <v>0</v>
      </c>
      <c r="BE10" s="2089"/>
      <c r="BF10" s="1329"/>
      <c r="BG10" s="1330" t="s">
        <v>795</v>
      </c>
      <c r="BH10" s="1424">
        <v>0</v>
      </c>
      <c r="BI10" s="1033">
        <f>VLOOKUP(BG10,Düngemittel!$B$6:$E$64,2,FALSE)*(VLOOKUP(BG10,Düngemittel!$B$6:$E$64,3,FALSE))/100*BH10</f>
        <v>0</v>
      </c>
      <c r="BJ10" s="1033">
        <f>VLOOKUP(BG10,Düngemittel!$B$6:$E$64,2,FALSE)*BH10</f>
        <v>0</v>
      </c>
      <c r="BK10" s="1033">
        <f>VLOOKUP(BG10,Düngemittel!$B$6:$E$64,4,FALSE)*BH10</f>
        <v>0</v>
      </c>
      <c r="BL10" s="1185"/>
      <c r="BM10" s="1889">
        <f t="shared" si="13"/>
        <v>0</v>
      </c>
      <c r="BN10" s="1889">
        <f t="shared" si="14"/>
        <v>0</v>
      </c>
      <c r="BO10" s="1889">
        <f t="shared" si="15"/>
        <v>0</v>
      </c>
      <c r="BP10" s="1138">
        <f t="shared" si="16"/>
        <v>0</v>
      </c>
      <c r="BQ10" s="1889">
        <f t="shared" si="17"/>
        <v>0</v>
      </c>
      <c r="BR10" s="95"/>
      <c r="BS10" s="1973">
        <f t="shared" si="24"/>
        <v>0</v>
      </c>
      <c r="BT10" s="1973">
        <f t="shared" si="25"/>
        <v>0</v>
      </c>
      <c r="BU10" s="1973">
        <f t="shared" si="26"/>
        <v>0</v>
      </c>
      <c r="BV10" s="1934">
        <f t="shared" si="27"/>
        <v>0</v>
      </c>
      <c r="BW10" s="1973">
        <f t="shared" si="28"/>
        <v>0</v>
      </c>
      <c r="BX10" s="1878"/>
      <c r="CB10" s="1968" t="s">
        <v>1443</v>
      </c>
      <c r="CC10" s="1421">
        <v>300</v>
      </c>
      <c r="CD10" s="1421">
        <v>205</v>
      </c>
      <c r="CE10" s="1421">
        <v>10</v>
      </c>
      <c r="CF10" s="1421">
        <v>21</v>
      </c>
      <c r="CG10" s="1421">
        <v>21</v>
      </c>
      <c r="CH10" s="1421">
        <v>0</v>
      </c>
      <c r="CI10" s="1421">
        <v>0</v>
      </c>
      <c r="CJ10" s="2131">
        <v>60</v>
      </c>
      <c r="CK10" s="2132">
        <v>0.24009999999999998</v>
      </c>
    </row>
    <row r="11" spans="1:90" ht="26.25" customHeight="1" thickBot="1">
      <c r="A11" s="468" t="s">
        <v>565</v>
      </c>
      <c r="B11" s="2121">
        <v>0</v>
      </c>
      <c r="C11" s="2127" t="s">
        <v>795</v>
      </c>
      <c r="D11" s="2122">
        <f t="shared" si="0"/>
        <v>0</v>
      </c>
      <c r="E11" s="1984">
        <f t="shared" si="1"/>
        <v>0</v>
      </c>
      <c r="F11" s="1988">
        <v>0</v>
      </c>
      <c r="G11" s="1986">
        <f t="shared" si="18"/>
        <v>0</v>
      </c>
      <c r="H11" s="2308">
        <f t="shared" si="19"/>
        <v>0</v>
      </c>
      <c r="I11" s="2308">
        <f t="shared" si="2"/>
        <v>0</v>
      </c>
      <c r="J11" s="2308">
        <f t="shared" si="3"/>
        <v>0</v>
      </c>
      <c r="K11" s="2308">
        <f t="shared" si="4"/>
        <v>0</v>
      </c>
      <c r="L11" s="1986" t="e">
        <f t="shared" si="20"/>
        <v>#DIV/0!</v>
      </c>
      <c r="M11" s="1989">
        <f t="shared" si="21"/>
        <v>0</v>
      </c>
      <c r="N11" s="1978" t="s">
        <v>503</v>
      </c>
      <c r="O11" s="743">
        <f t="shared" si="5"/>
        <v>0</v>
      </c>
      <c r="P11" s="1995" t="s">
        <v>25</v>
      </c>
      <c r="Q11" s="2001">
        <f t="shared" si="6"/>
        <v>0</v>
      </c>
      <c r="R11" s="2005">
        <f t="shared" si="7"/>
        <v>0</v>
      </c>
      <c r="S11" s="2194">
        <v>0</v>
      </c>
      <c r="T11" s="1995" t="s">
        <v>160</v>
      </c>
      <c r="U11" s="2001">
        <f t="shared" si="8"/>
        <v>0</v>
      </c>
      <c r="V11" s="2375">
        <v>0</v>
      </c>
      <c r="W11" s="2005">
        <f t="shared" si="22"/>
        <v>0</v>
      </c>
      <c r="X11" s="2001">
        <f t="shared" si="23"/>
        <v>0</v>
      </c>
      <c r="Y11" s="2365">
        <f t="shared" si="9"/>
        <v>0</v>
      </c>
      <c r="Z11" s="2001">
        <f t="shared" si="10"/>
        <v>0</v>
      </c>
      <c r="AA11" s="1"/>
      <c r="AB11" s="1281" t="str">
        <f t="shared" si="11"/>
        <v>Schlag 4</v>
      </c>
      <c r="AC11" s="1281" t="str">
        <f t="shared" si="12"/>
        <v>leer</v>
      </c>
      <c r="AD11" s="1329"/>
      <c r="AE11" s="1330" t="s">
        <v>795</v>
      </c>
      <c r="AF11" s="1424">
        <v>0</v>
      </c>
      <c r="AG11" s="1033">
        <f>VLOOKUP(AE11,Düngemittel!$B$6:$E$64,2,FALSE)*(VLOOKUP(AE11,Düngemittel!$B$6:$E$64,3,FALSE))/100*AF11</f>
        <v>0</v>
      </c>
      <c r="AH11" s="1033">
        <f>VLOOKUP(AE11,Düngemittel!$B$6:$E$64,2,FALSE)*AF11</f>
        <v>0</v>
      </c>
      <c r="AI11" s="1033">
        <f>VLOOKUP(AE11,Düngemittel!$B$6:$E$64,4,FALSE)*AF11</f>
        <v>0</v>
      </c>
      <c r="AJ11" s="2089"/>
      <c r="AK11" s="1329"/>
      <c r="AL11" s="1330" t="s">
        <v>795</v>
      </c>
      <c r="AM11" s="1424">
        <v>0</v>
      </c>
      <c r="AN11" s="1033">
        <f>VLOOKUP(AL11,Düngemittel!$B$6:$E$64,2,FALSE)*(VLOOKUP(AL11,Düngemittel!$B$6:$E$64,3,FALSE))/100*AM11</f>
        <v>0</v>
      </c>
      <c r="AO11" s="1033">
        <f>VLOOKUP(AL11,Düngemittel!$B$6:$E$64,2,FALSE)*AM11</f>
        <v>0</v>
      </c>
      <c r="AP11" s="1033">
        <f>VLOOKUP(AL11,Düngemittel!$B$6:$E$64,4,FALSE)*AM11</f>
        <v>0</v>
      </c>
      <c r="AQ11" s="2089"/>
      <c r="AR11" s="1329"/>
      <c r="AS11" s="1330" t="s">
        <v>795</v>
      </c>
      <c r="AT11" s="1424">
        <v>0</v>
      </c>
      <c r="AU11" s="1033">
        <f>VLOOKUP(AS11,Düngemittel!$B$6:$E$64,2,FALSE)*(VLOOKUP(AS11,Düngemittel!$B$6:$E$64,3,FALSE))/100*AT11</f>
        <v>0</v>
      </c>
      <c r="AV11" s="1033">
        <f>VLOOKUP(AS11,Düngemittel!$B$6:$E$64,2,FALSE)*AT11</f>
        <v>0</v>
      </c>
      <c r="AW11" s="1033">
        <f>VLOOKUP(AS11,Düngemittel!$B$6:$E$64,4,FALSE)*AT11</f>
        <v>0</v>
      </c>
      <c r="AX11" s="2089"/>
      <c r="AY11" s="1329"/>
      <c r="AZ11" s="1330" t="s">
        <v>795</v>
      </c>
      <c r="BA11" s="1424">
        <v>0</v>
      </c>
      <c r="BB11" s="1033">
        <f>VLOOKUP(AZ11,Düngemittel!$B$6:$E$64,2,FALSE)*(VLOOKUP(AZ11,Düngemittel!$B$6:$E$64,3,FALSE))/100*BA11</f>
        <v>0</v>
      </c>
      <c r="BC11" s="1033">
        <f>VLOOKUP(AZ11,Düngemittel!$B$6:$E$64,2,FALSE)*BA11</f>
        <v>0</v>
      </c>
      <c r="BD11" s="1033">
        <f>VLOOKUP(AZ11,Düngemittel!$B$6:$E$64,4,FALSE)*BA11</f>
        <v>0</v>
      </c>
      <c r="BE11" s="2089"/>
      <c r="BF11" s="1329"/>
      <c r="BG11" s="1330" t="s">
        <v>795</v>
      </c>
      <c r="BH11" s="1424">
        <v>0</v>
      </c>
      <c r="BI11" s="1033">
        <f>VLOOKUP(BG11,Düngemittel!$B$6:$E$64,2,FALSE)*(VLOOKUP(BG11,Düngemittel!$B$6:$E$64,3,FALSE))/100*BH11</f>
        <v>0</v>
      </c>
      <c r="BJ11" s="1033">
        <f>VLOOKUP(BG11,Düngemittel!$B$6:$E$64,2,FALSE)*BH11</f>
        <v>0</v>
      </c>
      <c r="BK11" s="1033">
        <f>VLOOKUP(BG11,Düngemittel!$B$6:$E$64,4,FALSE)*BH11</f>
        <v>0</v>
      </c>
      <c r="BL11" s="1185"/>
      <c r="BM11" s="1889">
        <f t="shared" si="13"/>
        <v>0</v>
      </c>
      <c r="BN11" s="1889">
        <f t="shared" si="14"/>
        <v>0</v>
      </c>
      <c r="BO11" s="1889">
        <f t="shared" si="15"/>
        <v>0</v>
      </c>
      <c r="BP11" s="1138">
        <f t="shared" si="16"/>
        <v>0</v>
      </c>
      <c r="BQ11" s="1889">
        <f t="shared" si="17"/>
        <v>0</v>
      </c>
      <c r="BR11" s="95"/>
      <c r="BS11" s="1973">
        <f t="shared" si="24"/>
        <v>0</v>
      </c>
      <c r="BT11" s="1973">
        <f t="shared" si="25"/>
        <v>0</v>
      </c>
      <c r="BU11" s="1973">
        <f t="shared" si="26"/>
        <v>0</v>
      </c>
      <c r="BV11" s="1934">
        <f t="shared" si="27"/>
        <v>0</v>
      </c>
      <c r="BW11" s="1973">
        <f t="shared" si="28"/>
        <v>0</v>
      </c>
      <c r="BX11" s="1878"/>
      <c r="CB11" s="1968" t="s">
        <v>1444</v>
      </c>
      <c r="CC11" s="1421">
        <v>300</v>
      </c>
      <c r="CD11" s="1421">
        <v>205</v>
      </c>
      <c r="CE11" s="1421">
        <v>10</v>
      </c>
      <c r="CF11" s="1421">
        <v>21</v>
      </c>
      <c r="CG11" s="1421">
        <v>21</v>
      </c>
      <c r="CH11" s="1421">
        <v>0</v>
      </c>
      <c r="CI11" s="1421">
        <v>0</v>
      </c>
      <c r="CJ11" s="2135">
        <v>60</v>
      </c>
      <c r="CK11" s="2132">
        <v>0.21</v>
      </c>
    </row>
    <row r="12" spans="1:90" ht="26.25" customHeight="1" thickBot="1">
      <c r="A12" s="468" t="s">
        <v>1131</v>
      </c>
      <c r="B12" s="2121">
        <v>0</v>
      </c>
      <c r="C12" s="2127" t="s">
        <v>795</v>
      </c>
      <c r="D12" s="2122">
        <f t="shared" si="0"/>
        <v>0</v>
      </c>
      <c r="E12" s="1984">
        <f t="shared" si="1"/>
        <v>0</v>
      </c>
      <c r="F12" s="1988">
        <v>0</v>
      </c>
      <c r="G12" s="1986">
        <f t="shared" si="18"/>
        <v>0</v>
      </c>
      <c r="H12" s="2308">
        <f t="shared" si="19"/>
        <v>0</v>
      </c>
      <c r="I12" s="2308">
        <f t="shared" si="2"/>
        <v>0</v>
      </c>
      <c r="J12" s="2308">
        <f t="shared" si="3"/>
        <v>0</v>
      </c>
      <c r="K12" s="2308">
        <f t="shared" si="4"/>
        <v>0</v>
      </c>
      <c r="L12" s="1986" t="e">
        <f t="shared" si="20"/>
        <v>#DIV/0!</v>
      </c>
      <c r="M12" s="1989">
        <f t="shared" si="21"/>
        <v>0</v>
      </c>
      <c r="N12" s="1978" t="s">
        <v>503</v>
      </c>
      <c r="O12" s="743">
        <f t="shared" si="5"/>
        <v>0</v>
      </c>
      <c r="P12" s="1995" t="s">
        <v>25</v>
      </c>
      <c r="Q12" s="2001">
        <f t="shared" si="6"/>
        <v>0</v>
      </c>
      <c r="R12" s="2005">
        <f t="shared" si="7"/>
        <v>0</v>
      </c>
      <c r="S12" s="2194">
        <v>0</v>
      </c>
      <c r="T12" s="1995" t="s">
        <v>160</v>
      </c>
      <c r="U12" s="2001">
        <f t="shared" si="8"/>
        <v>0</v>
      </c>
      <c r="V12" s="2375">
        <v>0</v>
      </c>
      <c r="W12" s="2005">
        <f t="shared" si="22"/>
        <v>0</v>
      </c>
      <c r="X12" s="2001">
        <f t="shared" si="23"/>
        <v>0</v>
      </c>
      <c r="Y12" s="2365">
        <f t="shared" si="9"/>
        <v>0</v>
      </c>
      <c r="Z12" s="2001">
        <f t="shared" si="10"/>
        <v>0</v>
      </c>
      <c r="AA12" s="1"/>
      <c r="AB12" s="1281" t="str">
        <f t="shared" si="11"/>
        <v>Flurstück 5</v>
      </c>
      <c r="AC12" s="1281" t="str">
        <f t="shared" si="12"/>
        <v>leer</v>
      </c>
      <c r="AD12" s="1329"/>
      <c r="AE12" s="1330" t="s">
        <v>795</v>
      </c>
      <c r="AF12" s="1424">
        <v>0</v>
      </c>
      <c r="AG12" s="1033">
        <f>VLOOKUP(AE12,Düngemittel!$B$6:$E$64,2,FALSE)*(VLOOKUP(AE12,Düngemittel!$B$6:$E$64,3,FALSE))/100*AF12</f>
        <v>0</v>
      </c>
      <c r="AH12" s="1033">
        <f>VLOOKUP(AE12,Düngemittel!$B$6:$E$64,2,FALSE)*AF12</f>
        <v>0</v>
      </c>
      <c r="AI12" s="1033">
        <f>VLOOKUP(AE12,Düngemittel!$B$6:$E$64,4,FALSE)*AF12</f>
        <v>0</v>
      </c>
      <c r="AJ12" s="2089"/>
      <c r="AK12" s="1329"/>
      <c r="AL12" s="1330" t="s">
        <v>795</v>
      </c>
      <c r="AM12" s="1424">
        <v>0</v>
      </c>
      <c r="AN12" s="1033">
        <f>VLOOKUP(AL12,Düngemittel!$B$6:$E$64,2,FALSE)*(VLOOKUP(AL12,Düngemittel!$B$6:$E$64,3,FALSE))/100*AM12</f>
        <v>0</v>
      </c>
      <c r="AO12" s="1033">
        <f>VLOOKUP(AL12,Düngemittel!$B$6:$E$64,2,FALSE)*AM12</f>
        <v>0</v>
      </c>
      <c r="AP12" s="1033">
        <f>VLOOKUP(AL12,Düngemittel!$B$6:$E$64,4,FALSE)*AM12</f>
        <v>0</v>
      </c>
      <c r="AQ12" s="2089"/>
      <c r="AR12" s="1329"/>
      <c r="AS12" s="1330" t="s">
        <v>795</v>
      </c>
      <c r="AT12" s="1424">
        <v>0</v>
      </c>
      <c r="AU12" s="1033">
        <f>VLOOKUP(AS12,Düngemittel!$B$6:$E$64,2,FALSE)*(VLOOKUP(AS12,Düngemittel!$B$6:$E$64,3,FALSE))/100*AT12</f>
        <v>0</v>
      </c>
      <c r="AV12" s="1033">
        <f>VLOOKUP(AS12,Düngemittel!$B$6:$E$64,2,FALSE)*AT12</f>
        <v>0</v>
      </c>
      <c r="AW12" s="1033">
        <f>VLOOKUP(AS12,Düngemittel!$B$6:$E$64,4,FALSE)*AT12</f>
        <v>0</v>
      </c>
      <c r="AX12" s="2089"/>
      <c r="AY12" s="1329"/>
      <c r="AZ12" s="1330" t="s">
        <v>795</v>
      </c>
      <c r="BA12" s="1424">
        <v>0</v>
      </c>
      <c r="BB12" s="1033">
        <f>VLOOKUP(AZ12,Düngemittel!$B$6:$E$64,2,FALSE)*(VLOOKUP(AZ12,Düngemittel!$B$6:$E$64,3,FALSE))/100*BA12</f>
        <v>0</v>
      </c>
      <c r="BC12" s="1033">
        <f>VLOOKUP(AZ12,Düngemittel!$B$6:$E$64,2,FALSE)*BA12</f>
        <v>0</v>
      </c>
      <c r="BD12" s="1033">
        <f>VLOOKUP(AZ12,Düngemittel!$B$6:$E$64,4,FALSE)*BA12</f>
        <v>0</v>
      </c>
      <c r="BE12" s="2089"/>
      <c r="BF12" s="1329"/>
      <c r="BG12" s="1330" t="s">
        <v>795</v>
      </c>
      <c r="BH12" s="1424">
        <v>0</v>
      </c>
      <c r="BI12" s="1033">
        <f>VLOOKUP(BG12,Düngemittel!$B$6:$E$64,2,FALSE)*(VLOOKUP(BG12,Düngemittel!$B$6:$E$64,3,FALSE))/100*BH12</f>
        <v>0</v>
      </c>
      <c r="BJ12" s="1033">
        <f>VLOOKUP(BG12,Düngemittel!$B$6:$E$64,2,FALSE)*BH12</f>
        <v>0</v>
      </c>
      <c r="BK12" s="1033">
        <f>VLOOKUP(BG12,Düngemittel!$B$6:$E$64,4,FALSE)*BH12</f>
        <v>0</v>
      </c>
      <c r="BL12" s="1185"/>
      <c r="BM12" s="1889">
        <f t="shared" si="13"/>
        <v>0</v>
      </c>
      <c r="BN12" s="1889">
        <f t="shared" si="14"/>
        <v>0</v>
      </c>
      <c r="BO12" s="1889">
        <f t="shared" si="15"/>
        <v>0</v>
      </c>
      <c r="BP12" s="1138">
        <f t="shared" si="16"/>
        <v>0</v>
      </c>
      <c r="BQ12" s="1889">
        <f t="shared" si="17"/>
        <v>0</v>
      </c>
      <c r="BR12" s="95"/>
      <c r="BS12" s="1973">
        <f t="shared" si="24"/>
        <v>0</v>
      </c>
      <c r="BT12" s="1973">
        <f t="shared" si="25"/>
        <v>0</v>
      </c>
      <c r="BU12" s="1973">
        <f t="shared" si="26"/>
        <v>0</v>
      </c>
      <c r="BV12" s="1934">
        <f t="shared" si="27"/>
        <v>0</v>
      </c>
      <c r="BW12" s="1973">
        <f t="shared" si="28"/>
        <v>0</v>
      </c>
      <c r="BX12" s="1878"/>
      <c r="CB12" s="1968" t="s">
        <v>1445</v>
      </c>
      <c r="CC12" s="1421">
        <v>700</v>
      </c>
      <c r="CD12" s="1421">
        <v>180</v>
      </c>
      <c r="CE12" s="1421">
        <v>10</v>
      </c>
      <c r="CF12" s="1421">
        <v>18</v>
      </c>
      <c r="CG12" s="1421">
        <v>18</v>
      </c>
      <c r="CH12" s="1421">
        <v>0</v>
      </c>
      <c r="CI12" s="1421">
        <v>0</v>
      </c>
      <c r="CJ12" s="2131">
        <v>60</v>
      </c>
      <c r="CK12" s="2134">
        <v>7.0000000000000007E-2</v>
      </c>
    </row>
    <row r="13" spans="1:90" ht="26.25" customHeight="1" thickBot="1">
      <c r="A13" s="468">
        <v>6</v>
      </c>
      <c r="B13" s="2121">
        <v>0</v>
      </c>
      <c r="C13" s="2127" t="s">
        <v>795</v>
      </c>
      <c r="D13" s="2122">
        <f t="shared" si="0"/>
        <v>0</v>
      </c>
      <c r="E13" s="1984">
        <f t="shared" si="1"/>
        <v>0</v>
      </c>
      <c r="F13" s="1988">
        <v>0</v>
      </c>
      <c r="G13" s="1986">
        <f t="shared" si="18"/>
        <v>0</v>
      </c>
      <c r="H13" s="2308">
        <f t="shared" si="19"/>
        <v>0</v>
      </c>
      <c r="I13" s="2308">
        <f t="shared" si="2"/>
        <v>0</v>
      </c>
      <c r="J13" s="2308">
        <f t="shared" si="3"/>
        <v>0</v>
      </c>
      <c r="K13" s="2308">
        <f t="shared" si="4"/>
        <v>0</v>
      </c>
      <c r="L13" s="1986" t="e">
        <f t="shared" si="20"/>
        <v>#DIV/0!</v>
      </c>
      <c r="M13" s="1989">
        <f t="shared" si="21"/>
        <v>0</v>
      </c>
      <c r="N13" s="1978" t="s">
        <v>503</v>
      </c>
      <c r="O13" s="743">
        <f t="shared" si="5"/>
        <v>0</v>
      </c>
      <c r="P13" s="1995" t="s">
        <v>25</v>
      </c>
      <c r="Q13" s="2001">
        <f t="shared" si="6"/>
        <v>0</v>
      </c>
      <c r="R13" s="2005">
        <f t="shared" si="7"/>
        <v>0</v>
      </c>
      <c r="S13" s="2194">
        <v>0</v>
      </c>
      <c r="T13" s="1995" t="s">
        <v>160</v>
      </c>
      <c r="U13" s="2001">
        <f t="shared" si="8"/>
        <v>0</v>
      </c>
      <c r="V13" s="2375">
        <v>0</v>
      </c>
      <c r="W13" s="2005">
        <f t="shared" si="22"/>
        <v>0</v>
      </c>
      <c r="X13" s="2001">
        <f t="shared" si="23"/>
        <v>0</v>
      </c>
      <c r="Y13" s="2365">
        <f t="shared" si="9"/>
        <v>0</v>
      </c>
      <c r="Z13" s="2001">
        <f t="shared" si="10"/>
        <v>0</v>
      </c>
      <c r="AA13" s="1"/>
      <c r="AB13" s="1281">
        <f t="shared" si="11"/>
        <v>6</v>
      </c>
      <c r="AC13" s="1281" t="str">
        <f t="shared" si="12"/>
        <v>leer</v>
      </c>
      <c r="AD13" s="1329"/>
      <c r="AE13" s="1330" t="s">
        <v>795</v>
      </c>
      <c r="AF13" s="1424">
        <v>0</v>
      </c>
      <c r="AG13" s="1033">
        <f>VLOOKUP(AE13,Düngemittel!$B$6:$E$64,2,FALSE)*(VLOOKUP(AE13,Düngemittel!$B$6:$E$64,3,FALSE))/100*AF13</f>
        <v>0</v>
      </c>
      <c r="AH13" s="1033">
        <f>VLOOKUP(AE13,Düngemittel!$B$6:$E$64,2,FALSE)*AF13</f>
        <v>0</v>
      </c>
      <c r="AI13" s="1033">
        <f>VLOOKUP(AE13,Düngemittel!$B$6:$E$64,4,FALSE)*AF13</f>
        <v>0</v>
      </c>
      <c r="AJ13" s="2089"/>
      <c r="AK13" s="1329"/>
      <c r="AL13" s="1330" t="s">
        <v>795</v>
      </c>
      <c r="AM13" s="1424">
        <v>0</v>
      </c>
      <c r="AN13" s="1033">
        <f>VLOOKUP(AL13,Düngemittel!$B$6:$E$64,2,FALSE)*(VLOOKUP(AL13,Düngemittel!$B$6:$E$64,3,FALSE))/100*AM13</f>
        <v>0</v>
      </c>
      <c r="AO13" s="1033">
        <f>VLOOKUP(AL13,Düngemittel!$B$6:$E$64,2,FALSE)*AM13</f>
        <v>0</v>
      </c>
      <c r="AP13" s="1033">
        <f>VLOOKUP(AL13,Düngemittel!$B$6:$E$64,4,FALSE)*AM13</f>
        <v>0</v>
      </c>
      <c r="AQ13" s="2089"/>
      <c r="AR13" s="1329"/>
      <c r="AS13" s="1330" t="s">
        <v>795</v>
      </c>
      <c r="AT13" s="1424">
        <v>0</v>
      </c>
      <c r="AU13" s="1033">
        <f>VLOOKUP(AS13,Düngemittel!$B$6:$E$64,2,FALSE)*(VLOOKUP(AS13,Düngemittel!$B$6:$E$64,3,FALSE))/100*AT13</f>
        <v>0</v>
      </c>
      <c r="AV13" s="1033">
        <f>VLOOKUP(AS13,Düngemittel!$B$6:$E$64,2,FALSE)*AT13</f>
        <v>0</v>
      </c>
      <c r="AW13" s="1033">
        <f>VLOOKUP(AS13,Düngemittel!$B$6:$E$64,4,FALSE)*AT13</f>
        <v>0</v>
      </c>
      <c r="AX13" s="2089"/>
      <c r="AY13" s="1329"/>
      <c r="AZ13" s="1330" t="s">
        <v>795</v>
      </c>
      <c r="BA13" s="1424">
        <v>0</v>
      </c>
      <c r="BB13" s="1033">
        <f>VLOOKUP(AZ13,Düngemittel!$B$6:$E$64,2,FALSE)*(VLOOKUP(AZ13,Düngemittel!$B$6:$E$64,3,FALSE))/100*BA13</f>
        <v>0</v>
      </c>
      <c r="BC13" s="1033">
        <f>VLOOKUP(AZ13,Düngemittel!$B$6:$E$64,2,FALSE)*BA13</f>
        <v>0</v>
      </c>
      <c r="BD13" s="1033">
        <f>VLOOKUP(AZ13,Düngemittel!$B$6:$E$64,4,FALSE)*BA13</f>
        <v>0</v>
      </c>
      <c r="BE13" s="2089"/>
      <c r="BF13" s="1329"/>
      <c r="BG13" s="1330" t="s">
        <v>795</v>
      </c>
      <c r="BH13" s="1424">
        <v>0</v>
      </c>
      <c r="BI13" s="1033">
        <f>VLOOKUP(BG13,Düngemittel!$B$6:$E$64,2,FALSE)*(VLOOKUP(BG13,Düngemittel!$B$6:$E$64,3,FALSE))/100*BH13</f>
        <v>0</v>
      </c>
      <c r="BJ13" s="1033">
        <f>VLOOKUP(BG13,Düngemittel!$B$6:$E$64,2,FALSE)*BH13</f>
        <v>0</v>
      </c>
      <c r="BK13" s="1033">
        <f>VLOOKUP(BG13,Düngemittel!$B$6:$E$64,4,FALSE)*BH13</f>
        <v>0</v>
      </c>
      <c r="BL13" s="1185"/>
      <c r="BM13" s="1889">
        <f t="shared" si="13"/>
        <v>0</v>
      </c>
      <c r="BN13" s="1889">
        <f t="shared" si="14"/>
        <v>0</v>
      </c>
      <c r="BO13" s="1889">
        <f t="shared" si="15"/>
        <v>0</v>
      </c>
      <c r="BP13" s="1138">
        <f t="shared" si="16"/>
        <v>0</v>
      </c>
      <c r="BQ13" s="1889">
        <f t="shared" si="17"/>
        <v>0</v>
      </c>
      <c r="BR13" s="95"/>
      <c r="BS13" s="1973">
        <f t="shared" si="24"/>
        <v>0</v>
      </c>
      <c r="BT13" s="1973">
        <f t="shared" si="25"/>
        <v>0</v>
      </c>
      <c r="BU13" s="1973">
        <f t="shared" si="26"/>
        <v>0</v>
      </c>
      <c r="BV13" s="1934">
        <f t="shared" si="27"/>
        <v>0</v>
      </c>
      <c r="BW13" s="1973">
        <f t="shared" si="28"/>
        <v>0</v>
      </c>
      <c r="BX13" s="1878"/>
      <c r="CB13" s="1968" t="s">
        <v>1446</v>
      </c>
      <c r="CC13" s="1421">
        <v>720</v>
      </c>
      <c r="CD13" s="1421">
        <v>290</v>
      </c>
      <c r="CE13" s="1421">
        <v>10</v>
      </c>
      <c r="CF13" s="1421">
        <v>29</v>
      </c>
      <c r="CG13" s="1421">
        <v>29</v>
      </c>
      <c r="CH13" s="1421">
        <v>0</v>
      </c>
      <c r="CI13" s="1421">
        <v>0</v>
      </c>
      <c r="CJ13" s="2136">
        <v>60</v>
      </c>
      <c r="CK13" s="2132">
        <v>0.11</v>
      </c>
    </row>
    <row r="14" spans="1:90" ht="26.25" customHeight="1" thickBot="1">
      <c r="A14" s="468">
        <v>7</v>
      </c>
      <c r="B14" s="2121">
        <v>0</v>
      </c>
      <c r="C14" s="2127" t="s">
        <v>795</v>
      </c>
      <c r="D14" s="2122">
        <f t="shared" si="0"/>
        <v>0</v>
      </c>
      <c r="E14" s="1984">
        <f t="shared" si="1"/>
        <v>0</v>
      </c>
      <c r="F14" s="1988">
        <v>0</v>
      </c>
      <c r="G14" s="1986">
        <f t="shared" si="18"/>
        <v>0</v>
      </c>
      <c r="H14" s="2308">
        <f t="shared" si="19"/>
        <v>0</v>
      </c>
      <c r="I14" s="2308">
        <f t="shared" si="2"/>
        <v>0</v>
      </c>
      <c r="J14" s="2308">
        <f t="shared" si="3"/>
        <v>0</v>
      </c>
      <c r="K14" s="2308">
        <f t="shared" si="4"/>
        <v>0</v>
      </c>
      <c r="L14" s="1986" t="e">
        <f t="shared" si="20"/>
        <v>#DIV/0!</v>
      </c>
      <c r="M14" s="1989">
        <f t="shared" si="21"/>
        <v>0</v>
      </c>
      <c r="N14" s="1978" t="s">
        <v>503</v>
      </c>
      <c r="O14" s="743">
        <f t="shared" si="5"/>
        <v>0</v>
      </c>
      <c r="P14" s="1995" t="s">
        <v>25</v>
      </c>
      <c r="Q14" s="2001">
        <f t="shared" si="6"/>
        <v>0</v>
      </c>
      <c r="R14" s="2005">
        <f t="shared" si="7"/>
        <v>0</v>
      </c>
      <c r="S14" s="2194">
        <v>0</v>
      </c>
      <c r="T14" s="1995" t="s">
        <v>160</v>
      </c>
      <c r="U14" s="2001">
        <f t="shared" si="8"/>
        <v>0</v>
      </c>
      <c r="V14" s="2375">
        <v>0</v>
      </c>
      <c r="W14" s="2005">
        <f t="shared" si="22"/>
        <v>0</v>
      </c>
      <c r="X14" s="2001">
        <f t="shared" si="23"/>
        <v>0</v>
      </c>
      <c r="Y14" s="2365">
        <f t="shared" si="9"/>
        <v>0</v>
      </c>
      <c r="Z14" s="2001">
        <f t="shared" si="10"/>
        <v>0</v>
      </c>
      <c r="AA14" s="1"/>
      <c r="AB14" s="1281">
        <f t="shared" si="11"/>
        <v>7</v>
      </c>
      <c r="AC14" s="1281" t="str">
        <f t="shared" si="12"/>
        <v>leer</v>
      </c>
      <c r="AD14" s="1329"/>
      <c r="AE14" s="1330" t="s">
        <v>795</v>
      </c>
      <c r="AF14" s="1424">
        <v>0</v>
      </c>
      <c r="AG14" s="1033">
        <f>VLOOKUP(AE14,Düngemittel!$B$6:$E$64,2,FALSE)*(VLOOKUP(AE14,Düngemittel!$B$6:$E$64,3,FALSE))/100*AF14</f>
        <v>0</v>
      </c>
      <c r="AH14" s="1033">
        <f>VLOOKUP(AE14,Düngemittel!$B$6:$E$64,2,FALSE)*AF14</f>
        <v>0</v>
      </c>
      <c r="AI14" s="1033">
        <f>VLOOKUP(AE14,Düngemittel!$B$6:$E$64,4,FALSE)*AF14</f>
        <v>0</v>
      </c>
      <c r="AJ14" s="2089"/>
      <c r="AK14" s="1329"/>
      <c r="AL14" s="1330" t="s">
        <v>795</v>
      </c>
      <c r="AM14" s="1424">
        <v>0</v>
      </c>
      <c r="AN14" s="1033">
        <f>VLOOKUP(AL14,Düngemittel!$B$6:$E$64,2,FALSE)*(VLOOKUP(AL14,Düngemittel!$B$6:$E$64,3,FALSE))/100*AM14</f>
        <v>0</v>
      </c>
      <c r="AO14" s="1033">
        <f>VLOOKUP(AL14,Düngemittel!$B$6:$E$64,2,FALSE)*AM14</f>
        <v>0</v>
      </c>
      <c r="AP14" s="1033">
        <f>VLOOKUP(AL14,Düngemittel!$B$6:$E$64,4,FALSE)*AM14</f>
        <v>0</v>
      </c>
      <c r="AQ14" s="2089"/>
      <c r="AR14" s="1329"/>
      <c r="AS14" s="1330" t="s">
        <v>795</v>
      </c>
      <c r="AT14" s="1424">
        <v>0</v>
      </c>
      <c r="AU14" s="1033">
        <f>VLOOKUP(AS14,Düngemittel!$B$6:$E$64,2,FALSE)*(VLOOKUP(AS14,Düngemittel!$B$6:$E$64,3,FALSE))/100*AT14</f>
        <v>0</v>
      </c>
      <c r="AV14" s="1033">
        <f>VLOOKUP(AS14,Düngemittel!$B$6:$E$64,2,FALSE)*AT14</f>
        <v>0</v>
      </c>
      <c r="AW14" s="1033">
        <f>VLOOKUP(AS14,Düngemittel!$B$6:$E$64,4,FALSE)*AT14</f>
        <v>0</v>
      </c>
      <c r="AX14" s="2089"/>
      <c r="AY14" s="1329"/>
      <c r="AZ14" s="1330" t="s">
        <v>795</v>
      </c>
      <c r="BA14" s="1424">
        <v>0</v>
      </c>
      <c r="BB14" s="1033">
        <f>VLOOKUP(AZ14,Düngemittel!$B$6:$E$64,2,FALSE)*(VLOOKUP(AZ14,Düngemittel!$B$6:$E$64,3,FALSE))/100*BA14</f>
        <v>0</v>
      </c>
      <c r="BC14" s="1033">
        <f>VLOOKUP(AZ14,Düngemittel!$B$6:$E$64,2,FALSE)*BA14</f>
        <v>0</v>
      </c>
      <c r="BD14" s="1033">
        <f>VLOOKUP(AZ14,Düngemittel!$B$6:$E$64,4,FALSE)*BA14</f>
        <v>0</v>
      </c>
      <c r="BE14" s="2089"/>
      <c r="BF14" s="1329"/>
      <c r="BG14" s="1330" t="s">
        <v>795</v>
      </c>
      <c r="BH14" s="1424">
        <v>0</v>
      </c>
      <c r="BI14" s="1033">
        <f>VLOOKUP(BG14,Düngemittel!$B$6:$E$64,2,FALSE)*(VLOOKUP(BG14,Düngemittel!$B$6:$E$64,3,FALSE))/100*BH14</f>
        <v>0</v>
      </c>
      <c r="BJ14" s="1033">
        <f>VLOOKUP(BG14,Düngemittel!$B$6:$E$64,2,FALSE)*BH14</f>
        <v>0</v>
      </c>
      <c r="BK14" s="1033">
        <f>VLOOKUP(BG14,Düngemittel!$B$6:$E$64,4,FALSE)*BH14</f>
        <v>0</v>
      </c>
      <c r="BL14" s="1185"/>
      <c r="BM14" s="1889">
        <f t="shared" si="13"/>
        <v>0</v>
      </c>
      <c r="BN14" s="1889">
        <f t="shared" si="14"/>
        <v>0</v>
      </c>
      <c r="BO14" s="1889">
        <f t="shared" si="15"/>
        <v>0</v>
      </c>
      <c r="BP14" s="1138">
        <f t="shared" si="16"/>
        <v>0</v>
      </c>
      <c r="BQ14" s="1889">
        <f t="shared" si="17"/>
        <v>0</v>
      </c>
      <c r="BR14" s="95"/>
      <c r="BS14" s="1973">
        <f t="shared" si="24"/>
        <v>0</v>
      </c>
      <c r="BT14" s="1973">
        <f t="shared" si="25"/>
        <v>0</v>
      </c>
      <c r="BU14" s="1973">
        <f t="shared" si="26"/>
        <v>0</v>
      </c>
      <c r="BV14" s="1934">
        <f t="shared" si="27"/>
        <v>0</v>
      </c>
      <c r="BW14" s="1973">
        <f t="shared" si="28"/>
        <v>0</v>
      </c>
      <c r="BX14" s="1878"/>
      <c r="CB14" s="1968" t="s">
        <v>1447</v>
      </c>
      <c r="CC14" s="1421">
        <v>300</v>
      </c>
      <c r="CD14" s="1421">
        <v>185</v>
      </c>
      <c r="CE14" s="1421">
        <v>10</v>
      </c>
      <c r="CF14" s="1421">
        <v>19</v>
      </c>
      <c r="CG14" s="1421">
        <v>19</v>
      </c>
      <c r="CH14" s="1421">
        <v>0</v>
      </c>
      <c r="CI14" s="1421">
        <v>0</v>
      </c>
      <c r="CJ14" s="2133">
        <v>60</v>
      </c>
      <c r="CK14" s="2134">
        <v>0.19</v>
      </c>
    </row>
    <row r="15" spans="1:90" ht="26.25" customHeight="1" thickBot="1">
      <c r="A15" s="468">
        <v>8</v>
      </c>
      <c r="B15" s="2121">
        <v>0</v>
      </c>
      <c r="C15" s="2127" t="s">
        <v>795</v>
      </c>
      <c r="D15" s="2122">
        <f t="shared" si="0"/>
        <v>0</v>
      </c>
      <c r="E15" s="1984">
        <f t="shared" si="1"/>
        <v>0</v>
      </c>
      <c r="F15" s="1988">
        <v>0</v>
      </c>
      <c r="G15" s="1986">
        <f t="shared" si="18"/>
        <v>0</v>
      </c>
      <c r="H15" s="2308">
        <f t="shared" si="19"/>
        <v>0</v>
      </c>
      <c r="I15" s="2308">
        <f t="shared" si="2"/>
        <v>0</v>
      </c>
      <c r="J15" s="2308">
        <f t="shared" si="3"/>
        <v>0</v>
      </c>
      <c r="K15" s="2308">
        <f t="shared" si="4"/>
        <v>0</v>
      </c>
      <c r="L15" s="1986" t="e">
        <f t="shared" si="20"/>
        <v>#DIV/0!</v>
      </c>
      <c r="M15" s="1989">
        <f t="shared" si="21"/>
        <v>0</v>
      </c>
      <c r="N15" s="1978" t="s">
        <v>503</v>
      </c>
      <c r="O15" s="743">
        <f t="shared" si="5"/>
        <v>0</v>
      </c>
      <c r="P15" s="1995" t="s">
        <v>25</v>
      </c>
      <c r="Q15" s="2001">
        <f t="shared" si="6"/>
        <v>0</v>
      </c>
      <c r="R15" s="2005">
        <f t="shared" si="7"/>
        <v>0</v>
      </c>
      <c r="S15" s="2194">
        <v>0</v>
      </c>
      <c r="T15" s="1995" t="s">
        <v>160</v>
      </c>
      <c r="U15" s="2001">
        <f t="shared" si="8"/>
        <v>0</v>
      </c>
      <c r="V15" s="2375">
        <v>0</v>
      </c>
      <c r="W15" s="2005">
        <f t="shared" si="22"/>
        <v>0</v>
      </c>
      <c r="X15" s="2001">
        <f t="shared" si="23"/>
        <v>0</v>
      </c>
      <c r="Y15" s="2365">
        <f t="shared" si="9"/>
        <v>0</v>
      </c>
      <c r="Z15" s="2001">
        <f t="shared" si="10"/>
        <v>0</v>
      </c>
      <c r="AA15" s="1"/>
      <c r="AB15" s="1281">
        <f t="shared" si="11"/>
        <v>8</v>
      </c>
      <c r="AC15" s="1281" t="str">
        <f t="shared" si="12"/>
        <v>leer</v>
      </c>
      <c r="AD15" s="1329"/>
      <c r="AE15" s="1330" t="s">
        <v>795</v>
      </c>
      <c r="AF15" s="1424">
        <v>0</v>
      </c>
      <c r="AG15" s="1033">
        <f>VLOOKUP(AE15,Düngemittel!$B$6:$E$64,2,FALSE)*(VLOOKUP(AE15,Düngemittel!$B$6:$E$64,3,FALSE))/100*AF15</f>
        <v>0</v>
      </c>
      <c r="AH15" s="1033">
        <f>VLOOKUP(AE15,Düngemittel!$B$6:$E$64,2,FALSE)*AF15</f>
        <v>0</v>
      </c>
      <c r="AI15" s="1033">
        <f>VLOOKUP(AE15,Düngemittel!$B$6:$E$64,4,FALSE)*AF15</f>
        <v>0</v>
      </c>
      <c r="AJ15" s="2089"/>
      <c r="AK15" s="1329"/>
      <c r="AL15" s="1330" t="s">
        <v>795</v>
      </c>
      <c r="AM15" s="1424">
        <v>0</v>
      </c>
      <c r="AN15" s="1033">
        <f>VLOOKUP(AL15,Düngemittel!$B$6:$E$64,2,FALSE)*(VLOOKUP(AL15,Düngemittel!$B$6:$E$64,3,FALSE))/100*AM15</f>
        <v>0</v>
      </c>
      <c r="AO15" s="1033">
        <f>VLOOKUP(AL15,Düngemittel!$B$6:$E$64,2,FALSE)*AM15</f>
        <v>0</v>
      </c>
      <c r="AP15" s="1033">
        <f>VLOOKUP(AL15,Düngemittel!$B$6:$E$64,4,FALSE)*AM15</f>
        <v>0</v>
      </c>
      <c r="AQ15" s="2089"/>
      <c r="AR15" s="1329"/>
      <c r="AS15" s="1330" t="s">
        <v>795</v>
      </c>
      <c r="AT15" s="1424">
        <v>0</v>
      </c>
      <c r="AU15" s="1033">
        <f>VLOOKUP(AS15,Düngemittel!$B$6:$E$64,2,FALSE)*(VLOOKUP(AS15,Düngemittel!$B$6:$E$64,3,FALSE))/100*AT15</f>
        <v>0</v>
      </c>
      <c r="AV15" s="1033">
        <f>VLOOKUP(AS15,Düngemittel!$B$6:$E$64,2,FALSE)*AT15</f>
        <v>0</v>
      </c>
      <c r="AW15" s="1033">
        <f>VLOOKUP(AS15,Düngemittel!$B$6:$E$64,4,FALSE)*AT15</f>
        <v>0</v>
      </c>
      <c r="AX15" s="2089"/>
      <c r="AY15" s="1329"/>
      <c r="AZ15" s="1330" t="s">
        <v>795</v>
      </c>
      <c r="BA15" s="1424">
        <v>0</v>
      </c>
      <c r="BB15" s="1033">
        <f>VLOOKUP(AZ15,Düngemittel!$B$6:$E$64,2,FALSE)*(VLOOKUP(AZ15,Düngemittel!$B$6:$E$64,3,FALSE))/100*BA15</f>
        <v>0</v>
      </c>
      <c r="BC15" s="1033">
        <f>VLOOKUP(AZ15,Düngemittel!$B$6:$E$64,2,FALSE)*BA15</f>
        <v>0</v>
      </c>
      <c r="BD15" s="1033">
        <f>VLOOKUP(AZ15,Düngemittel!$B$6:$E$64,4,FALSE)*BA15</f>
        <v>0</v>
      </c>
      <c r="BE15" s="2089"/>
      <c r="BF15" s="1329"/>
      <c r="BG15" s="1330" t="s">
        <v>795</v>
      </c>
      <c r="BH15" s="1424">
        <v>0</v>
      </c>
      <c r="BI15" s="1033">
        <f>VLOOKUP(BG15,Düngemittel!$B$6:$E$64,2,FALSE)*(VLOOKUP(BG15,Düngemittel!$B$6:$E$64,3,FALSE))/100*BH15</f>
        <v>0</v>
      </c>
      <c r="BJ15" s="1033">
        <f>VLOOKUP(BG15,Düngemittel!$B$6:$E$64,2,FALSE)*BH15</f>
        <v>0</v>
      </c>
      <c r="BK15" s="1033">
        <f>VLOOKUP(BG15,Düngemittel!$B$6:$E$64,4,FALSE)*BH15</f>
        <v>0</v>
      </c>
      <c r="BL15" s="1185"/>
      <c r="BM15" s="1889">
        <f t="shared" si="13"/>
        <v>0</v>
      </c>
      <c r="BN15" s="1889">
        <f t="shared" si="14"/>
        <v>0</v>
      </c>
      <c r="BO15" s="1889">
        <f t="shared" si="15"/>
        <v>0</v>
      </c>
      <c r="BP15" s="1138">
        <f t="shared" si="16"/>
        <v>0</v>
      </c>
      <c r="BQ15" s="1889">
        <f t="shared" si="17"/>
        <v>0</v>
      </c>
      <c r="BR15" s="95"/>
      <c r="BS15" s="1973">
        <f t="shared" si="24"/>
        <v>0</v>
      </c>
      <c r="BT15" s="1973">
        <f t="shared" si="25"/>
        <v>0</v>
      </c>
      <c r="BU15" s="1973">
        <f t="shared" si="26"/>
        <v>0</v>
      </c>
      <c r="BV15" s="1934">
        <f t="shared" si="27"/>
        <v>0</v>
      </c>
      <c r="BW15" s="1973">
        <f t="shared" si="28"/>
        <v>0</v>
      </c>
      <c r="BX15" s="1878"/>
      <c r="CB15" s="1968" t="s">
        <v>1448</v>
      </c>
      <c r="CC15" s="1421">
        <v>13</v>
      </c>
      <c r="CD15" s="1421">
        <v>95</v>
      </c>
      <c r="CE15" s="1421">
        <v>10</v>
      </c>
      <c r="CF15" s="1421">
        <v>10</v>
      </c>
      <c r="CG15" s="1421">
        <v>10</v>
      </c>
      <c r="CH15" s="1421">
        <v>0</v>
      </c>
      <c r="CI15" s="1421">
        <v>0</v>
      </c>
      <c r="CJ15" s="2131">
        <v>30</v>
      </c>
      <c r="CK15" s="2134">
        <v>3.2015384615384614</v>
      </c>
    </row>
    <row r="16" spans="1:90" ht="26.25" customHeight="1" thickBot="1">
      <c r="A16" s="468">
        <v>9</v>
      </c>
      <c r="B16" s="2121">
        <v>0</v>
      </c>
      <c r="C16" s="2127" t="s">
        <v>795</v>
      </c>
      <c r="D16" s="2122">
        <f t="shared" si="0"/>
        <v>0</v>
      </c>
      <c r="E16" s="1984">
        <f t="shared" si="1"/>
        <v>0</v>
      </c>
      <c r="F16" s="1988">
        <v>0</v>
      </c>
      <c r="G16" s="1986">
        <f t="shared" si="18"/>
        <v>0</v>
      </c>
      <c r="H16" s="2308">
        <f t="shared" si="19"/>
        <v>0</v>
      </c>
      <c r="I16" s="2308">
        <f t="shared" si="2"/>
        <v>0</v>
      </c>
      <c r="J16" s="2308">
        <f t="shared" si="3"/>
        <v>0</v>
      </c>
      <c r="K16" s="2308">
        <f t="shared" si="4"/>
        <v>0</v>
      </c>
      <c r="L16" s="1986" t="e">
        <f t="shared" si="20"/>
        <v>#DIV/0!</v>
      </c>
      <c r="M16" s="1989">
        <f t="shared" si="21"/>
        <v>0</v>
      </c>
      <c r="N16" s="1978" t="s">
        <v>503</v>
      </c>
      <c r="O16" s="743">
        <f t="shared" si="5"/>
        <v>0</v>
      </c>
      <c r="P16" s="1995" t="s">
        <v>25</v>
      </c>
      <c r="Q16" s="2001">
        <f t="shared" si="6"/>
        <v>0</v>
      </c>
      <c r="R16" s="2005">
        <f t="shared" si="7"/>
        <v>0</v>
      </c>
      <c r="S16" s="2194">
        <v>0</v>
      </c>
      <c r="T16" s="1995" t="s">
        <v>160</v>
      </c>
      <c r="U16" s="2001">
        <f t="shared" si="8"/>
        <v>0</v>
      </c>
      <c r="V16" s="2375">
        <v>0</v>
      </c>
      <c r="W16" s="2005">
        <f t="shared" si="22"/>
        <v>0</v>
      </c>
      <c r="X16" s="2001">
        <f t="shared" si="23"/>
        <v>0</v>
      </c>
      <c r="Y16" s="2365">
        <f t="shared" si="9"/>
        <v>0</v>
      </c>
      <c r="Z16" s="2001">
        <f t="shared" si="10"/>
        <v>0</v>
      </c>
      <c r="AA16" s="1"/>
      <c r="AB16" s="1281">
        <f t="shared" si="11"/>
        <v>9</v>
      </c>
      <c r="AC16" s="1281" t="str">
        <f t="shared" si="12"/>
        <v>leer</v>
      </c>
      <c r="AD16" s="1329"/>
      <c r="AE16" s="1330" t="s">
        <v>795</v>
      </c>
      <c r="AF16" s="1424">
        <v>0</v>
      </c>
      <c r="AG16" s="1033">
        <f>VLOOKUP(AE16,Düngemittel!$B$6:$E$64,2,FALSE)*(VLOOKUP(AE16,Düngemittel!$B$6:$E$64,3,FALSE))/100*AF16</f>
        <v>0</v>
      </c>
      <c r="AH16" s="1033">
        <f>VLOOKUP(AE16,Düngemittel!$B$6:$E$64,2,FALSE)*AF16</f>
        <v>0</v>
      </c>
      <c r="AI16" s="1033">
        <f>VLOOKUP(AE16,Düngemittel!$B$6:$E$64,4,FALSE)*AF16</f>
        <v>0</v>
      </c>
      <c r="AJ16" s="2089"/>
      <c r="AK16" s="1329"/>
      <c r="AL16" s="1330" t="s">
        <v>795</v>
      </c>
      <c r="AM16" s="1424">
        <v>0</v>
      </c>
      <c r="AN16" s="1033">
        <f>VLOOKUP(AL16,Düngemittel!$B$6:$E$64,2,FALSE)*(VLOOKUP(AL16,Düngemittel!$B$6:$E$64,3,FALSE))/100*AM16</f>
        <v>0</v>
      </c>
      <c r="AO16" s="1033">
        <f>VLOOKUP(AL16,Düngemittel!$B$6:$E$64,2,FALSE)*AM16</f>
        <v>0</v>
      </c>
      <c r="AP16" s="1033">
        <f>VLOOKUP(AL16,Düngemittel!$B$6:$E$64,4,FALSE)*AM16</f>
        <v>0</v>
      </c>
      <c r="AQ16" s="2089"/>
      <c r="AR16" s="1329"/>
      <c r="AS16" s="1330" t="s">
        <v>795</v>
      </c>
      <c r="AT16" s="1424">
        <v>0</v>
      </c>
      <c r="AU16" s="1033">
        <f>VLOOKUP(AS16,Düngemittel!$B$6:$E$64,2,FALSE)*(VLOOKUP(AS16,Düngemittel!$B$6:$E$64,3,FALSE))/100*AT16</f>
        <v>0</v>
      </c>
      <c r="AV16" s="1033">
        <f>VLOOKUP(AS16,Düngemittel!$B$6:$E$64,2,FALSE)*AT16</f>
        <v>0</v>
      </c>
      <c r="AW16" s="1033">
        <f>VLOOKUP(AS16,Düngemittel!$B$6:$E$64,4,FALSE)*AT16</f>
        <v>0</v>
      </c>
      <c r="AX16" s="2089"/>
      <c r="AY16" s="1329"/>
      <c r="AZ16" s="1330" t="s">
        <v>795</v>
      </c>
      <c r="BA16" s="1424">
        <v>0</v>
      </c>
      <c r="BB16" s="1033">
        <f>VLOOKUP(AZ16,Düngemittel!$B$6:$E$64,2,FALSE)*(VLOOKUP(AZ16,Düngemittel!$B$6:$E$64,3,FALSE))/100*BA16</f>
        <v>0</v>
      </c>
      <c r="BC16" s="1033">
        <f>VLOOKUP(AZ16,Düngemittel!$B$6:$E$64,2,FALSE)*BA16</f>
        <v>0</v>
      </c>
      <c r="BD16" s="1033">
        <f>VLOOKUP(AZ16,Düngemittel!$B$6:$E$64,4,FALSE)*BA16</f>
        <v>0</v>
      </c>
      <c r="BE16" s="2089"/>
      <c r="BF16" s="1329"/>
      <c r="BG16" s="1330" t="s">
        <v>795</v>
      </c>
      <c r="BH16" s="1424">
        <v>0</v>
      </c>
      <c r="BI16" s="1033">
        <f>VLOOKUP(BG16,Düngemittel!$B$6:$E$64,2,FALSE)*(VLOOKUP(BG16,Düngemittel!$B$6:$E$64,3,FALSE))/100*BH16</f>
        <v>0</v>
      </c>
      <c r="BJ16" s="1033">
        <f>VLOOKUP(BG16,Düngemittel!$B$6:$E$64,2,FALSE)*BH16</f>
        <v>0</v>
      </c>
      <c r="BK16" s="1033">
        <f>VLOOKUP(BG16,Düngemittel!$B$6:$E$64,4,FALSE)*BH16</f>
        <v>0</v>
      </c>
      <c r="BL16" s="1185"/>
      <c r="BM16" s="1889">
        <f t="shared" si="13"/>
        <v>0</v>
      </c>
      <c r="BN16" s="1889">
        <f t="shared" si="14"/>
        <v>0</v>
      </c>
      <c r="BO16" s="1889">
        <f t="shared" si="15"/>
        <v>0</v>
      </c>
      <c r="BP16" s="1138">
        <f t="shared" si="16"/>
        <v>0</v>
      </c>
      <c r="BQ16" s="1889">
        <f t="shared" si="17"/>
        <v>0</v>
      </c>
      <c r="BR16" s="95"/>
      <c r="BS16" s="1973">
        <f t="shared" si="24"/>
        <v>0</v>
      </c>
      <c r="BT16" s="1973">
        <f t="shared" si="25"/>
        <v>0</v>
      </c>
      <c r="BU16" s="1973">
        <f t="shared" si="26"/>
        <v>0</v>
      </c>
      <c r="BV16" s="1934">
        <f t="shared" si="27"/>
        <v>0</v>
      </c>
      <c r="BW16" s="1973">
        <f t="shared" si="28"/>
        <v>0</v>
      </c>
      <c r="BX16" s="1878"/>
      <c r="CB16" s="1968" t="s">
        <v>1449</v>
      </c>
      <c r="CC16" s="1421">
        <v>13</v>
      </c>
      <c r="CD16" s="1421">
        <v>95</v>
      </c>
      <c r="CE16" s="1421">
        <v>10</v>
      </c>
      <c r="CF16" s="1421">
        <v>10</v>
      </c>
      <c r="CG16" s="1421">
        <v>10</v>
      </c>
      <c r="CH16" s="1421">
        <v>0</v>
      </c>
      <c r="CI16" s="1421">
        <v>0</v>
      </c>
      <c r="CJ16" s="2131">
        <v>30</v>
      </c>
      <c r="CK16" s="2132">
        <v>1.1499999999999999</v>
      </c>
    </row>
    <row r="17" spans="1:89" ht="26.25" customHeight="1" thickBot="1">
      <c r="A17" s="468">
        <v>10</v>
      </c>
      <c r="B17" s="2121">
        <v>0</v>
      </c>
      <c r="C17" s="2127" t="s">
        <v>795</v>
      </c>
      <c r="D17" s="2122">
        <f t="shared" si="0"/>
        <v>0</v>
      </c>
      <c r="E17" s="1984">
        <f t="shared" si="1"/>
        <v>0</v>
      </c>
      <c r="F17" s="1988">
        <v>0</v>
      </c>
      <c r="G17" s="1986">
        <f t="shared" si="18"/>
        <v>0</v>
      </c>
      <c r="H17" s="2308">
        <f t="shared" si="19"/>
        <v>0</v>
      </c>
      <c r="I17" s="2308">
        <f t="shared" si="2"/>
        <v>0</v>
      </c>
      <c r="J17" s="2308">
        <f t="shared" si="3"/>
        <v>0</v>
      </c>
      <c r="K17" s="2308">
        <f t="shared" si="4"/>
        <v>0</v>
      </c>
      <c r="L17" s="1986" t="e">
        <f t="shared" si="20"/>
        <v>#DIV/0!</v>
      </c>
      <c r="M17" s="1989">
        <f t="shared" si="21"/>
        <v>0</v>
      </c>
      <c r="N17" s="1978" t="s">
        <v>503</v>
      </c>
      <c r="O17" s="743">
        <f t="shared" si="5"/>
        <v>0</v>
      </c>
      <c r="P17" s="1995" t="s">
        <v>25</v>
      </c>
      <c r="Q17" s="2001">
        <f t="shared" si="6"/>
        <v>0</v>
      </c>
      <c r="R17" s="2005">
        <f t="shared" si="7"/>
        <v>0</v>
      </c>
      <c r="S17" s="2194">
        <v>0</v>
      </c>
      <c r="T17" s="1995" t="s">
        <v>160</v>
      </c>
      <c r="U17" s="2001">
        <f t="shared" si="8"/>
        <v>0</v>
      </c>
      <c r="V17" s="2375">
        <v>0</v>
      </c>
      <c r="W17" s="2005">
        <f t="shared" si="22"/>
        <v>0</v>
      </c>
      <c r="X17" s="2001">
        <f t="shared" si="23"/>
        <v>0</v>
      </c>
      <c r="Y17" s="2365">
        <f t="shared" si="9"/>
        <v>0</v>
      </c>
      <c r="Z17" s="2001">
        <f t="shared" si="10"/>
        <v>0</v>
      </c>
      <c r="AA17" s="1"/>
      <c r="AB17" s="1281">
        <f t="shared" si="11"/>
        <v>10</v>
      </c>
      <c r="AC17" s="1281" t="str">
        <f t="shared" si="12"/>
        <v>leer</v>
      </c>
      <c r="AD17" s="1329"/>
      <c r="AE17" s="1330" t="s">
        <v>795</v>
      </c>
      <c r="AF17" s="1424">
        <v>0</v>
      </c>
      <c r="AG17" s="1033">
        <f>VLOOKUP(AE17,Düngemittel!$B$6:$E$64,2,FALSE)*(VLOOKUP(AE17,Düngemittel!$B$6:$E$64,3,FALSE))/100*AF17</f>
        <v>0</v>
      </c>
      <c r="AH17" s="1033">
        <f>VLOOKUP(AE17,Düngemittel!$B$6:$E$64,2,FALSE)*AF17</f>
        <v>0</v>
      </c>
      <c r="AI17" s="1033">
        <f>VLOOKUP(AE17,Düngemittel!$B$6:$E$64,4,FALSE)*AF17</f>
        <v>0</v>
      </c>
      <c r="AJ17" s="2089"/>
      <c r="AK17" s="1329"/>
      <c r="AL17" s="1330" t="s">
        <v>795</v>
      </c>
      <c r="AM17" s="1424">
        <v>0</v>
      </c>
      <c r="AN17" s="1033">
        <f>VLOOKUP(AL17,Düngemittel!$B$6:$E$64,2,FALSE)*(VLOOKUP(AL17,Düngemittel!$B$6:$E$64,3,FALSE))/100*AM17</f>
        <v>0</v>
      </c>
      <c r="AO17" s="1033">
        <f>VLOOKUP(AL17,Düngemittel!$B$6:$E$64,2,FALSE)*AM17</f>
        <v>0</v>
      </c>
      <c r="AP17" s="1033">
        <f>VLOOKUP(AL17,Düngemittel!$B$6:$E$64,4,FALSE)*AM17</f>
        <v>0</v>
      </c>
      <c r="AQ17" s="2089"/>
      <c r="AR17" s="1329"/>
      <c r="AS17" s="1330" t="s">
        <v>795</v>
      </c>
      <c r="AT17" s="1424">
        <v>0</v>
      </c>
      <c r="AU17" s="1033">
        <f>VLOOKUP(AS17,Düngemittel!$B$6:$E$64,2,FALSE)*(VLOOKUP(AS17,Düngemittel!$B$6:$E$64,3,FALSE))/100*AT17</f>
        <v>0</v>
      </c>
      <c r="AV17" s="1033">
        <f>VLOOKUP(AS17,Düngemittel!$B$6:$E$64,2,FALSE)*AT17</f>
        <v>0</v>
      </c>
      <c r="AW17" s="1033">
        <f>VLOOKUP(AS17,Düngemittel!$B$6:$E$64,4,FALSE)*AT17</f>
        <v>0</v>
      </c>
      <c r="AX17" s="2089"/>
      <c r="AY17" s="1329"/>
      <c r="AZ17" s="1330" t="s">
        <v>795</v>
      </c>
      <c r="BA17" s="1424">
        <v>0</v>
      </c>
      <c r="BB17" s="1033">
        <f>VLOOKUP(AZ17,Düngemittel!$B$6:$E$64,2,FALSE)*(VLOOKUP(AZ17,Düngemittel!$B$6:$E$64,3,FALSE))/100*BA17</f>
        <v>0</v>
      </c>
      <c r="BC17" s="1033">
        <f>VLOOKUP(AZ17,Düngemittel!$B$6:$E$64,2,FALSE)*BA17</f>
        <v>0</v>
      </c>
      <c r="BD17" s="1033">
        <f>VLOOKUP(AZ17,Düngemittel!$B$6:$E$64,4,FALSE)*BA17</f>
        <v>0</v>
      </c>
      <c r="BE17" s="2089"/>
      <c r="BF17" s="1329"/>
      <c r="BG17" s="1330" t="s">
        <v>795</v>
      </c>
      <c r="BH17" s="1424">
        <v>0</v>
      </c>
      <c r="BI17" s="1033">
        <f>VLOOKUP(BG17,Düngemittel!$B$6:$E$64,2,FALSE)*(VLOOKUP(BG17,Düngemittel!$B$6:$E$64,3,FALSE))/100*BH17</f>
        <v>0</v>
      </c>
      <c r="BJ17" s="1033">
        <f>VLOOKUP(BG17,Düngemittel!$B$6:$E$64,2,FALSE)*BH17</f>
        <v>0</v>
      </c>
      <c r="BK17" s="1033">
        <f>VLOOKUP(BG17,Düngemittel!$B$6:$E$64,4,FALSE)*BH17</f>
        <v>0</v>
      </c>
      <c r="BL17" s="1185"/>
      <c r="BM17" s="1889">
        <f t="shared" si="13"/>
        <v>0</v>
      </c>
      <c r="BN17" s="1889">
        <f t="shared" si="14"/>
        <v>0</v>
      </c>
      <c r="BO17" s="1889">
        <f t="shared" si="15"/>
        <v>0</v>
      </c>
      <c r="BP17" s="1138">
        <f t="shared" si="16"/>
        <v>0</v>
      </c>
      <c r="BQ17" s="1889">
        <f t="shared" si="17"/>
        <v>0</v>
      </c>
      <c r="BR17" s="95"/>
      <c r="BS17" s="1973">
        <f t="shared" si="24"/>
        <v>0</v>
      </c>
      <c r="BT17" s="1973">
        <f t="shared" si="25"/>
        <v>0</v>
      </c>
      <c r="BU17" s="1973">
        <f t="shared" si="26"/>
        <v>0</v>
      </c>
      <c r="BV17" s="1934">
        <f t="shared" si="27"/>
        <v>0</v>
      </c>
      <c r="BW17" s="1973">
        <f t="shared" si="28"/>
        <v>0</v>
      </c>
      <c r="BX17" s="1878"/>
      <c r="CB17" s="1968" t="s">
        <v>1450</v>
      </c>
      <c r="CC17" s="1421">
        <v>150</v>
      </c>
      <c r="CD17" s="1421">
        <v>80</v>
      </c>
      <c r="CE17" s="1421">
        <v>10</v>
      </c>
      <c r="CF17" s="1421">
        <v>8</v>
      </c>
      <c r="CG17" s="1421">
        <v>8</v>
      </c>
      <c r="CH17" s="1421">
        <v>0</v>
      </c>
      <c r="CI17" s="1421">
        <v>0</v>
      </c>
      <c r="CJ17" s="2131">
        <v>60</v>
      </c>
      <c r="CK17" s="2132">
        <v>0.08</v>
      </c>
    </row>
    <row r="18" spans="1:89" ht="26.25" customHeight="1" thickBot="1">
      <c r="A18" s="468">
        <v>11</v>
      </c>
      <c r="B18" s="2121">
        <v>0</v>
      </c>
      <c r="C18" s="2127" t="s">
        <v>795</v>
      </c>
      <c r="D18" s="2122">
        <f t="shared" si="0"/>
        <v>0</v>
      </c>
      <c r="E18" s="1984">
        <f t="shared" si="1"/>
        <v>0</v>
      </c>
      <c r="F18" s="1988">
        <v>0</v>
      </c>
      <c r="G18" s="1986">
        <f t="shared" si="18"/>
        <v>0</v>
      </c>
      <c r="H18" s="2308">
        <f t="shared" si="19"/>
        <v>0</v>
      </c>
      <c r="I18" s="2308">
        <f t="shared" si="2"/>
        <v>0</v>
      </c>
      <c r="J18" s="2308">
        <f t="shared" si="3"/>
        <v>0</v>
      </c>
      <c r="K18" s="2308">
        <f t="shared" si="4"/>
        <v>0</v>
      </c>
      <c r="L18" s="1986" t="e">
        <f t="shared" si="20"/>
        <v>#DIV/0!</v>
      </c>
      <c r="M18" s="1989">
        <f t="shared" si="21"/>
        <v>0</v>
      </c>
      <c r="N18" s="1978" t="s">
        <v>503</v>
      </c>
      <c r="O18" s="743">
        <f t="shared" si="5"/>
        <v>0</v>
      </c>
      <c r="P18" s="1995" t="s">
        <v>25</v>
      </c>
      <c r="Q18" s="2001">
        <f t="shared" si="6"/>
        <v>0</v>
      </c>
      <c r="R18" s="2005">
        <f t="shared" si="7"/>
        <v>0</v>
      </c>
      <c r="S18" s="2194">
        <v>0</v>
      </c>
      <c r="T18" s="1995" t="s">
        <v>160</v>
      </c>
      <c r="U18" s="2001">
        <f t="shared" si="8"/>
        <v>0</v>
      </c>
      <c r="V18" s="2375">
        <v>0</v>
      </c>
      <c r="W18" s="2005">
        <f t="shared" si="22"/>
        <v>0</v>
      </c>
      <c r="X18" s="2001">
        <f t="shared" si="23"/>
        <v>0</v>
      </c>
      <c r="Y18" s="2365">
        <f t="shared" si="9"/>
        <v>0</v>
      </c>
      <c r="Z18" s="2001">
        <f t="shared" si="10"/>
        <v>0</v>
      </c>
      <c r="AA18" s="1"/>
      <c r="AB18" s="1281">
        <f t="shared" si="11"/>
        <v>11</v>
      </c>
      <c r="AC18" s="1281" t="str">
        <f t="shared" si="12"/>
        <v>leer</v>
      </c>
      <c r="AD18" s="1329"/>
      <c r="AE18" s="1330" t="s">
        <v>795</v>
      </c>
      <c r="AF18" s="1424">
        <v>0</v>
      </c>
      <c r="AG18" s="1033">
        <f>VLOOKUP(AE18,Düngemittel!$B$6:$E$64,2,FALSE)*(VLOOKUP(AE18,Düngemittel!$B$6:$E$64,3,FALSE))/100*AF18</f>
        <v>0</v>
      </c>
      <c r="AH18" s="1033">
        <f>VLOOKUP(AE18,Düngemittel!$B$6:$E$64,2,FALSE)*AF18</f>
        <v>0</v>
      </c>
      <c r="AI18" s="1033">
        <f>VLOOKUP(AE18,Düngemittel!$B$6:$E$64,4,FALSE)*AF18</f>
        <v>0</v>
      </c>
      <c r="AJ18" s="2089"/>
      <c r="AK18" s="1329"/>
      <c r="AL18" s="1330" t="s">
        <v>795</v>
      </c>
      <c r="AM18" s="1424">
        <v>0</v>
      </c>
      <c r="AN18" s="1033">
        <f>VLOOKUP(AL18,Düngemittel!$B$6:$E$64,2,FALSE)*(VLOOKUP(AL18,Düngemittel!$B$6:$E$64,3,FALSE))/100*AM18</f>
        <v>0</v>
      </c>
      <c r="AO18" s="1033">
        <f>VLOOKUP(AL18,Düngemittel!$B$6:$E$64,2,FALSE)*AM18</f>
        <v>0</v>
      </c>
      <c r="AP18" s="1033">
        <f>VLOOKUP(AL18,Düngemittel!$B$6:$E$64,4,FALSE)*AM18</f>
        <v>0</v>
      </c>
      <c r="AQ18" s="2089"/>
      <c r="AR18" s="1329"/>
      <c r="AS18" s="1330" t="s">
        <v>795</v>
      </c>
      <c r="AT18" s="1424">
        <v>0</v>
      </c>
      <c r="AU18" s="1033">
        <f>VLOOKUP(AS18,Düngemittel!$B$6:$E$64,2,FALSE)*(VLOOKUP(AS18,Düngemittel!$B$6:$E$64,3,FALSE))/100*AT18</f>
        <v>0</v>
      </c>
      <c r="AV18" s="1033">
        <f>VLOOKUP(AS18,Düngemittel!$B$6:$E$64,2,FALSE)*AT18</f>
        <v>0</v>
      </c>
      <c r="AW18" s="1033">
        <f>VLOOKUP(AS18,Düngemittel!$B$6:$E$64,4,FALSE)*AT18</f>
        <v>0</v>
      </c>
      <c r="AX18" s="2089"/>
      <c r="AY18" s="1329"/>
      <c r="AZ18" s="1330" t="s">
        <v>795</v>
      </c>
      <c r="BA18" s="1424">
        <v>0</v>
      </c>
      <c r="BB18" s="1033">
        <f>VLOOKUP(AZ18,Düngemittel!$B$6:$E$64,2,FALSE)*(VLOOKUP(AZ18,Düngemittel!$B$6:$E$64,3,FALSE))/100*BA18</f>
        <v>0</v>
      </c>
      <c r="BC18" s="1033">
        <f>VLOOKUP(AZ18,Düngemittel!$B$6:$E$64,2,FALSE)*BA18</f>
        <v>0</v>
      </c>
      <c r="BD18" s="1033">
        <f>VLOOKUP(AZ18,Düngemittel!$B$6:$E$64,4,FALSE)*BA18</f>
        <v>0</v>
      </c>
      <c r="BE18" s="2089"/>
      <c r="BF18" s="1329"/>
      <c r="BG18" s="1330" t="s">
        <v>795</v>
      </c>
      <c r="BH18" s="1424">
        <v>0</v>
      </c>
      <c r="BI18" s="1033">
        <f>VLOOKUP(BG18,Düngemittel!$B$6:$E$64,2,FALSE)*(VLOOKUP(BG18,Düngemittel!$B$6:$E$64,3,FALSE))/100*BH18</f>
        <v>0</v>
      </c>
      <c r="BJ18" s="1033">
        <f>VLOOKUP(BG18,Düngemittel!$B$6:$E$64,2,FALSE)*BH18</f>
        <v>0</v>
      </c>
      <c r="BK18" s="1033">
        <f>VLOOKUP(BG18,Düngemittel!$B$6:$E$64,4,FALSE)*BH18</f>
        <v>0</v>
      </c>
      <c r="BL18" s="1185"/>
      <c r="BM18" s="1889">
        <f t="shared" si="13"/>
        <v>0</v>
      </c>
      <c r="BN18" s="1889">
        <f t="shared" si="14"/>
        <v>0</v>
      </c>
      <c r="BO18" s="1889">
        <f t="shared" si="15"/>
        <v>0</v>
      </c>
      <c r="BP18" s="1138">
        <f t="shared" si="16"/>
        <v>0</v>
      </c>
      <c r="BQ18" s="1889">
        <f t="shared" si="17"/>
        <v>0</v>
      </c>
      <c r="BR18" s="95"/>
      <c r="BS18" s="1973">
        <f t="shared" si="24"/>
        <v>0</v>
      </c>
      <c r="BT18" s="1973">
        <f t="shared" si="25"/>
        <v>0</v>
      </c>
      <c r="BU18" s="1973">
        <f t="shared" si="26"/>
        <v>0</v>
      </c>
      <c r="BV18" s="1934">
        <f t="shared" si="27"/>
        <v>0</v>
      </c>
      <c r="BW18" s="1973">
        <f t="shared" si="28"/>
        <v>0</v>
      </c>
      <c r="BX18" s="1878"/>
      <c r="CB18" s="1968" t="s">
        <v>1451</v>
      </c>
      <c r="CC18" s="1421">
        <v>25</v>
      </c>
      <c r="CD18" s="1421">
        <v>150</v>
      </c>
      <c r="CE18" s="1421">
        <v>10</v>
      </c>
      <c r="CF18" s="1421">
        <v>15</v>
      </c>
      <c r="CG18" s="1421">
        <v>15</v>
      </c>
      <c r="CH18" s="1421">
        <v>0</v>
      </c>
      <c r="CI18" s="1421">
        <v>0</v>
      </c>
      <c r="CJ18" s="2131">
        <v>60</v>
      </c>
      <c r="CK18" s="2134">
        <v>2.2200000000000002</v>
      </c>
    </row>
    <row r="19" spans="1:89" ht="26.25" customHeight="1" thickBot="1">
      <c r="A19" s="468">
        <v>12</v>
      </c>
      <c r="B19" s="2121">
        <v>0</v>
      </c>
      <c r="C19" s="2127" t="s">
        <v>795</v>
      </c>
      <c r="D19" s="2122">
        <f t="shared" si="0"/>
        <v>0</v>
      </c>
      <c r="E19" s="1984">
        <f t="shared" si="1"/>
        <v>0</v>
      </c>
      <c r="F19" s="1988">
        <v>0</v>
      </c>
      <c r="G19" s="1986">
        <f t="shared" si="18"/>
        <v>0</v>
      </c>
      <c r="H19" s="2308">
        <f t="shared" si="19"/>
        <v>0</v>
      </c>
      <c r="I19" s="2308">
        <f t="shared" si="2"/>
        <v>0</v>
      </c>
      <c r="J19" s="2308">
        <f t="shared" si="3"/>
        <v>0</v>
      </c>
      <c r="K19" s="2308">
        <f t="shared" si="4"/>
        <v>0</v>
      </c>
      <c r="L19" s="1986" t="e">
        <f t="shared" si="20"/>
        <v>#DIV/0!</v>
      </c>
      <c r="M19" s="1989">
        <f t="shared" si="21"/>
        <v>0</v>
      </c>
      <c r="N19" s="1978" t="s">
        <v>503</v>
      </c>
      <c r="O19" s="743">
        <f t="shared" si="5"/>
        <v>0</v>
      </c>
      <c r="P19" s="1995" t="s">
        <v>25</v>
      </c>
      <c r="Q19" s="2001">
        <f t="shared" si="6"/>
        <v>0</v>
      </c>
      <c r="R19" s="2005">
        <f t="shared" si="7"/>
        <v>0</v>
      </c>
      <c r="S19" s="2194">
        <v>0</v>
      </c>
      <c r="T19" s="1995" t="s">
        <v>160</v>
      </c>
      <c r="U19" s="2001">
        <f t="shared" si="8"/>
        <v>0</v>
      </c>
      <c r="V19" s="2375">
        <v>0</v>
      </c>
      <c r="W19" s="2005">
        <f t="shared" si="22"/>
        <v>0</v>
      </c>
      <c r="X19" s="2001">
        <f t="shared" si="23"/>
        <v>0</v>
      </c>
      <c r="Y19" s="2365">
        <f t="shared" si="9"/>
        <v>0</v>
      </c>
      <c r="Z19" s="2001">
        <f t="shared" si="10"/>
        <v>0</v>
      </c>
      <c r="AA19" s="1"/>
      <c r="AB19" s="1281">
        <f t="shared" si="11"/>
        <v>12</v>
      </c>
      <c r="AC19" s="1281" t="str">
        <f t="shared" si="12"/>
        <v>leer</v>
      </c>
      <c r="AD19" s="1329"/>
      <c r="AE19" s="1330" t="s">
        <v>795</v>
      </c>
      <c r="AF19" s="1424">
        <v>0</v>
      </c>
      <c r="AG19" s="1033">
        <f>VLOOKUP(AE19,Düngemittel!$B$6:$E$64,2,FALSE)*(VLOOKUP(AE19,Düngemittel!$B$6:$E$64,3,FALSE))/100*AF19</f>
        <v>0</v>
      </c>
      <c r="AH19" s="1033">
        <f>VLOOKUP(AE19,Düngemittel!$B$6:$E$64,2,FALSE)*AF19</f>
        <v>0</v>
      </c>
      <c r="AI19" s="1033">
        <f>VLOOKUP(AE19,Düngemittel!$B$6:$E$64,4,FALSE)*AF19</f>
        <v>0</v>
      </c>
      <c r="AJ19" s="2089"/>
      <c r="AK19" s="1329"/>
      <c r="AL19" s="1330" t="s">
        <v>795</v>
      </c>
      <c r="AM19" s="1424">
        <v>0</v>
      </c>
      <c r="AN19" s="1033">
        <f>VLOOKUP(AL19,Düngemittel!$B$6:$E$64,2,FALSE)*(VLOOKUP(AL19,Düngemittel!$B$6:$E$64,3,FALSE))/100*AM19</f>
        <v>0</v>
      </c>
      <c r="AO19" s="1033">
        <f>VLOOKUP(AL19,Düngemittel!$B$6:$E$64,2,FALSE)*AM19</f>
        <v>0</v>
      </c>
      <c r="AP19" s="1033">
        <f>VLOOKUP(AL19,Düngemittel!$B$6:$E$64,4,FALSE)*AM19</f>
        <v>0</v>
      </c>
      <c r="AQ19" s="2089"/>
      <c r="AR19" s="1329"/>
      <c r="AS19" s="1330" t="s">
        <v>795</v>
      </c>
      <c r="AT19" s="1424">
        <v>0</v>
      </c>
      <c r="AU19" s="1033">
        <f>VLOOKUP(AS19,Düngemittel!$B$6:$E$64,2,FALSE)*(VLOOKUP(AS19,Düngemittel!$B$6:$E$64,3,FALSE))/100*AT19</f>
        <v>0</v>
      </c>
      <c r="AV19" s="1033">
        <f>VLOOKUP(AS19,Düngemittel!$B$6:$E$64,2,FALSE)*AT19</f>
        <v>0</v>
      </c>
      <c r="AW19" s="1033">
        <f>VLOOKUP(AS19,Düngemittel!$B$6:$E$64,4,FALSE)*AT19</f>
        <v>0</v>
      </c>
      <c r="AX19" s="2089"/>
      <c r="AY19" s="1329"/>
      <c r="AZ19" s="1330" t="s">
        <v>795</v>
      </c>
      <c r="BA19" s="1424">
        <v>0</v>
      </c>
      <c r="BB19" s="1033">
        <f>VLOOKUP(AZ19,Düngemittel!$B$6:$E$64,2,FALSE)*(VLOOKUP(AZ19,Düngemittel!$B$6:$E$64,3,FALSE))/100*BA19</f>
        <v>0</v>
      </c>
      <c r="BC19" s="1033">
        <f>VLOOKUP(AZ19,Düngemittel!$B$6:$E$64,2,FALSE)*BA19</f>
        <v>0</v>
      </c>
      <c r="BD19" s="1033">
        <f>VLOOKUP(AZ19,Düngemittel!$B$6:$E$64,4,FALSE)*BA19</f>
        <v>0</v>
      </c>
      <c r="BE19" s="2089"/>
      <c r="BF19" s="1329"/>
      <c r="BG19" s="1330" t="s">
        <v>795</v>
      </c>
      <c r="BH19" s="1424">
        <v>0</v>
      </c>
      <c r="BI19" s="1033">
        <f>VLOOKUP(BG19,Düngemittel!$B$6:$E$64,2,FALSE)*(VLOOKUP(BG19,Düngemittel!$B$6:$E$64,3,FALSE))/100*BH19</f>
        <v>0</v>
      </c>
      <c r="BJ19" s="1033">
        <f>VLOOKUP(BG19,Düngemittel!$B$6:$E$64,2,FALSE)*BH19</f>
        <v>0</v>
      </c>
      <c r="BK19" s="1033">
        <f>VLOOKUP(BG19,Düngemittel!$B$6:$E$64,4,FALSE)*BH19</f>
        <v>0</v>
      </c>
      <c r="BL19" s="1185"/>
      <c r="BM19" s="1889">
        <f t="shared" si="13"/>
        <v>0</v>
      </c>
      <c r="BN19" s="1889">
        <f t="shared" si="14"/>
        <v>0</v>
      </c>
      <c r="BO19" s="1889">
        <f t="shared" si="15"/>
        <v>0</v>
      </c>
      <c r="BP19" s="1138">
        <f t="shared" si="16"/>
        <v>0</v>
      </c>
      <c r="BQ19" s="1889">
        <f t="shared" si="17"/>
        <v>0</v>
      </c>
      <c r="BR19" s="95"/>
      <c r="BS19" s="1973">
        <f t="shared" si="24"/>
        <v>0</v>
      </c>
      <c r="BT19" s="1973">
        <f t="shared" si="25"/>
        <v>0</v>
      </c>
      <c r="BU19" s="1973">
        <f t="shared" si="26"/>
        <v>0</v>
      </c>
      <c r="BV19" s="1934">
        <f t="shared" si="27"/>
        <v>0</v>
      </c>
      <c r="BW19" s="1973">
        <f t="shared" si="28"/>
        <v>0</v>
      </c>
      <c r="BX19" s="1878"/>
      <c r="CB19" s="1968" t="s">
        <v>1452</v>
      </c>
      <c r="CC19" s="1421">
        <v>25</v>
      </c>
      <c r="CD19" s="1421">
        <v>150</v>
      </c>
      <c r="CE19" s="1421">
        <v>10</v>
      </c>
      <c r="CF19" s="1421">
        <v>15</v>
      </c>
      <c r="CG19" s="1421">
        <v>15</v>
      </c>
      <c r="CH19" s="1421">
        <v>0</v>
      </c>
      <c r="CI19" s="1421">
        <v>0</v>
      </c>
      <c r="CJ19" s="2131">
        <v>60</v>
      </c>
      <c r="CK19" s="2132">
        <v>1.26</v>
      </c>
    </row>
    <row r="20" spans="1:89" ht="26.25" customHeight="1" thickBot="1">
      <c r="A20" s="468">
        <v>13</v>
      </c>
      <c r="B20" s="2121">
        <v>0</v>
      </c>
      <c r="C20" s="2127" t="s">
        <v>795</v>
      </c>
      <c r="D20" s="2122">
        <f t="shared" si="0"/>
        <v>0</v>
      </c>
      <c r="E20" s="1984">
        <f t="shared" si="1"/>
        <v>0</v>
      </c>
      <c r="F20" s="1988">
        <v>0</v>
      </c>
      <c r="G20" s="1986">
        <f t="shared" si="18"/>
        <v>0</v>
      </c>
      <c r="H20" s="2308">
        <f t="shared" si="19"/>
        <v>0</v>
      </c>
      <c r="I20" s="2308">
        <f t="shared" si="2"/>
        <v>0</v>
      </c>
      <c r="J20" s="2308">
        <f t="shared" si="3"/>
        <v>0</v>
      </c>
      <c r="K20" s="2308">
        <f t="shared" si="4"/>
        <v>0</v>
      </c>
      <c r="L20" s="1986" t="e">
        <f t="shared" si="20"/>
        <v>#DIV/0!</v>
      </c>
      <c r="M20" s="1989">
        <f t="shared" si="21"/>
        <v>0</v>
      </c>
      <c r="N20" s="1978" t="s">
        <v>503</v>
      </c>
      <c r="O20" s="743">
        <f t="shared" si="5"/>
        <v>0</v>
      </c>
      <c r="P20" s="1995" t="s">
        <v>25</v>
      </c>
      <c r="Q20" s="2001">
        <f t="shared" si="6"/>
        <v>0</v>
      </c>
      <c r="R20" s="2005">
        <f t="shared" si="7"/>
        <v>0</v>
      </c>
      <c r="S20" s="2194">
        <v>0</v>
      </c>
      <c r="T20" s="1995" t="s">
        <v>160</v>
      </c>
      <c r="U20" s="2001">
        <f t="shared" si="8"/>
        <v>0</v>
      </c>
      <c r="V20" s="2375">
        <v>0</v>
      </c>
      <c r="W20" s="2005">
        <f t="shared" si="22"/>
        <v>0</v>
      </c>
      <c r="X20" s="2001">
        <f t="shared" si="23"/>
        <v>0</v>
      </c>
      <c r="Y20" s="2365">
        <f t="shared" si="9"/>
        <v>0</v>
      </c>
      <c r="Z20" s="2001">
        <f t="shared" si="10"/>
        <v>0</v>
      </c>
      <c r="AA20" s="1"/>
      <c r="AB20" s="1281">
        <f t="shared" si="11"/>
        <v>13</v>
      </c>
      <c r="AC20" s="1281" t="str">
        <f t="shared" si="12"/>
        <v>leer</v>
      </c>
      <c r="AD20" s="1329"/>
      <c r="AE20" s="1330" t="s">
        <v>795</v>
      </c>
      <c r="AF20" s="1424">
        <v>0</v>
      </c>
      <c r="AG20" s="1033">
        <f>VLOOKUP(AE20,Düngemittel!$B$6:$E$64,2,FALSE)*(VLOOKUP(AE20,Düngemittel!$B$6:$E$64,3,FALSE))/100*AF20</f>
        <v>0</v>
      </c>
      <c r="AH20" s="1033">
        <f>VLOOKUP(AE20,Düngemittel!$B$6:$E$64,2,FALSE)*AF20</f>
        <v>0</v>
      </c>
      <c r="AI20" s="1033">
        <f>VLOOKUP(AE20,Düngemittel!$B$6:$E$64,4,FALSE)*AF20</f>
        <v>0</v>
      </c>
      <c r="AJ20" s="2089"/>
      <c r="AK20" s="1329"/>
      <c r="AL20" s="1330" t="s">
        <v>795</v>
      </c>
      <c r="AM20" s="1424">
        <v>0</v>
      </c>
      <c r="AN20" s="1033">
        <f>VLOOKUP(AL20,Düngemittel!$B$6:$E$64,2,FALSE)*(VLOOKUP(AL20,Düngemittel!$B$6:$E$64,3,FALSE))/100*AM20</f>
        <v>0</v>
      </c>
      <c r="AO20" s="1033">
        <f>VLOOKUP(AL20,Düngemittel!$B$6:$E$64,2,FALSE)*AM20</f>
        <v>0</v>
      </c>
      <c r="AP20" s="1033">
        <f>VLOOKUP(AL20,Düngemittel!$B$6:$E$64,4,FALSE)*AM20</f>
        <v>0</v>
      </c>
      <c r="AQ20" s="2089"/>
      <c r="AR20" s="1329"/>
      <c r="AS20" s="1330" t="s">
        <v>795</v>
      </c>
      <c r="AT20" s="1424">
        <v>0</v>
      </c>
      <c r="AU20" s="1033">
        <f>VLOOKUP(AS20,Düngemittel!$B$6:$E$64,2,FALSE)*(VLOOKUP(AS20,Düngemittel!$B$6:$E$64,3,FALSE))/100*AT20</f>
        <v>0</v>
      </c>
      <c r="AV20" s="1033">
        <f>VLOOKUP(AS20,Düngemittel!$B$6:$E$64,2,FALSE)*AT20</f>
        <v>0</v>
      </c>
      <c r="AW20" s="1033">
        <f>VLOOKUP(AS20,Düngemittel!$B$6:$E$64,4,FALSE)*AT20</f>
        <v>0</v>
      </c>
      <c r="AX20" s="2089"/>
      <c r="AY20" s="1329"/>
      <c r="AZ20" s="1330" t="s">
        <v>795</v>
      </c>
      <c r="BA20" s="1424">
        <v>0</v>
      </c>
      <c r="BB20" s="1033">
        <f>VLOOKUP(AZ20,Düngemittel!$B$6:$E$64,2,FALSE)*(VLOOKUP(AZ20,Düngemittel!$B$6:$E$64,3,FALSE))/100*BA20</f>
        <v>0</v>
      </c>
      <c r="BC20" s="1033">
        <f>VLOOKUP(AZ20,Düngemittel!$B$6:$E$64,2,FALSE)*BA20</f>
        <v>0</v>
      </c>
      <c r="BD20" s="1033">
        <f>VLOOKUP(AZ20,Düngemittel!$B$6:$E$64,4,FALSE)*BA20</f>
        <v>0</v>
      </c>
      <c r="BE20" s="2089"/>
      <c r="BF20" s="1329"/>
      <c r="BG20" s="1330" t="s">
        <v>795</v>
      </c>
      <c r="BH20" s="1424">
        <v>0</v>
      </c>
      <c r="BI20" s="1033">
        <f>VLOOKUP(BG20,Düngemittel!$B$6:$E$64,2,FALSE)*(VLOOKUP(BG20,Düngemittel!$B$6:$E$64,3,FALSE))/100*BH20</f>
        <v>0</v>
      </c>
      <c r="BJ20" s="1033">
        <f>VLOOKUP(BG20,Düngemittel!$B$6:$E$64,2,FALSE)*BH20</f>
        <v>0</v>
      </c>
      <c r="BK20" s="1033">
        <f>VLOOKUP(BG20,Düngemittel!$B$6:$E$64,4,FALSE)*BH20</f>
        <v>0</v>
      </c>
      <c r="BL20" s="1185"/>
      <c r="BM20" s="1889">
        <f t="shared" si="13"/>
        <v>0</v>
      </c>
      <c r="BN20" s="1889">
        <f t="shared" si="14"/>
        <v>0</v>
      </c>
      <c r="BO20" s="1889">
        <f t="shared" si="15"/>
        <v>0</v>
      </c>
      <c r="BP20" s="1138">
        <f t="shared" si="16"/>
        <v>0</v>
      </c>
      <c r="BQ20" s="1889">
        <f t="shared" si="17"/>
        <v>0</v>
      </c>
      <c r="BR20" s="95"/>
      <c r="BS20" s="1973">
        <f t="shared" si="24"/>
        <v>0</v>
      </c>
      <c r="BT20" s="1973">
        <f t="shared" si="25"/>
        <v>0</v>
      </c>
      <c r="BU20" s="1973">
        <f t="shared" si="26"/>
        <v>0</v>
      </c>
      <c r="BV20" s="1934">
        <f t="shared" si="27"/>
        <v>0</v>
      </c>
      <c r="BW20" s="1973">
        <f t="shared" si="28"/>
        <v>0</v>
      </c>
      <c r="BX20" s="1878"/>
      <c r="CB20" s="1968" t="s">
        <v>1453</v>
      </c>
      <c r="CC20" s="1421">
        <v>75</v>
      </c>
      <c r="CD20" s="1421">
        <v>80</v>
      </c>
      <c r="CE20" s="1421">
        <v>10</v>
      </c>
      <c r="CF20" s="1421">
        <v>8</v>
      </c>
      <c r="CG20" s="1421">
        <v>8</v>
      </c>
      <c r="CH20" s="1421">
        <v>0</v>
      </c>
      <c r="CI20" s="1421">
        <v>0</v>
      </c>
      <c r="CJ20" s="2131">
        <v>60</v>
      </c>
      <c r="CK20" s="2132">
        <v>0.41666666666666663</v>
      </c>
    </row>
    <row r="21" spans="1:89" ht="26.25" customHeight="1" thickBot="1">
      <c r="A21" s="468">
        <v>14</v>
      </c>
      <c r="B21" s="2121">
        <v>0</v>
      </c>
      <c r="C21" s="2127" t="s">
        <v>795</v>
      </c>
      <c r="D21" s="2122">
        <f t="shared" si="0"/>
        <v>0</v>
      </c>
      <c r="E21" s="1984">
        <f t="shared" si="1"/>
        <v>0</v>
      </c>
      <c r="F21" s="1988">
        <v>0</v>
      </c>
      <c r="G21" s="1986">
        <f t="shared" si="18"/>
        <v>0</v>
      </c>
      <c r="H21" s="2308">
        <f t="shared" si="19"/>
        <v>0</v>
      </c>
      <c r="I21" s="2308">
        <f t="shared" si="2"/>
        <v>0</v>
      </c>
      <c r="J21" s="2308">
        <f t="shared" si="3"/>
        <v>0</v>
      </c>
      <c r="K21" s="2308">
        <f t="shared" si="4"/>
        <v>0</v>
      </c>
      <c r="L21" s="1986" t="e">
        <f t="shared" si="20"/>
        <v>#DIV/0!</v>
      </c>
      <c r="M21" s="1989">
        <f t="shared" si="21"/>
        <v>0</v>
      </c>
      <c r="N21" s="1978" t="s">
        <v>503</v>
      </c>
      <c r="O21" s="743">
        <f t="shared" si="5"/>
        <v>0</v>
      </c>
      <c r="P21" s="1995" t="s">
        <v>25</v>
      </c>
      <c r="Q21" s="2001">
        <f t="shared" si="6"/>
        <v>0</v>
      </c>
      <c r="R21" s="2005">
        <f t="shared" si="7"/>
        <v>0</v>
      </c>
      <c r="S21" s="2194">
        <v>0</v>
      </c>
      <c r="T21" s="1995" t="s">
        <v>160</v>
      </c>
      <c r="U21" s="2001">
        <f t="shared" si="8"/>
        <v>0</v>
      </c>
      <c r="V21" s="2375">
        <v>0</v>
      </c>
      <c r="W21" s="2005">
        <f t="shared" si="22"/>
        <v>0</v>
      </c>
      <c r="X21" s="2001">
        <f t="shared" si="23"/>
        <v>0</v>
      </c>
      <c r="Y21" s="2365">
        <f t="shared" si="9"/>
        <v>0</v>
      </c>
      <c r="Z21" s="2001">
        <f t="shared" si="10"/>
        <v>0</v>
      </c>
      <c r="AA21" s="1"/>
      <c r="AB21" s="1281">
        <f t="shared" si="11"/>
        <v>14</v>
      </c>
      <c r="AC21" s="1281" t="str">
        <f t="shared" si="12"/>
        <v>leer</v>
      </c>
      <c r="AD21" s="1329"/>
      <c r="AE21" s="1330" t="s">
        <v>795</v>
      </c>
      <c r="AF21" s="1424">
        <v>0</v>
      </c>
      <c r="AG21" s="1033">
        <f>VLOOKUP(AE21,Düngemittel!$B$6:$E$64,2,FALSE)*(VLOOKUP(AE21,Düngemittel!$B$6:$E$64,3,FALSE))/100*AF21</f>
        <v>0</v>
      </c>
      <c r="AH21" s="1033">
        <f>VLOOKUP(AE21,Düngemittel!$B$6:$E$64,2,FALSE)*AF21</f>
        <v>0</v>
      </c>
      <c r="AI21" s="1033">
        <f>VLOOKUP(AE21,Düngemittel!$B$6:$E$64,4,FALSE)*AF21</f>
        <v>0</v>
      </c>
      <c r="AJ21" s="2089"/>
      <c r="AK21" s="1329"/>
      <c r="AL21" s="1330" t="s">
        <v>795</v>
      </c>
      <c r="AM21" s="1424">
        <v>0</v>
      </c>
      <c r="AN21" s="1033">
        <f>VLOOKUP(AL21,Düngemittel!$B$6:$E$64,2,FALSE)*(VLOOKUP(AL21,Düngemittel!$B$6:$E$64,3,FALSE))/100*AM21</f>
        <v>0</v>
      </c>
      <c r="AO21" s="1033">
        <f>VLOOKUP(AL21,Düngemittel!$B$6:$E$64,2,FALSE)*AM21</f>
        <v>0</v>
      </c>
      <c r="AP21" s="1033">
        <f>VLOOKUP(AL21,Düngemittel!$B$6:$E$64,4,FALSE)*AM21</f>
        <v>0</v>
      </c>
      <c r="AQ21" s="2089"/>
      <c r="AR21" s="1329"/>
      <c r="AS21" s="1330" t="s">
        <v>795</v>
      </c>
      <c r="AT21" s="1424">
        <v>0</v>
      </c>
      <c r="AU21" s="1033">
        <f>VLOOKUP(AS21,Düngemittel!$B$6:$E$64,2,FALSE)*(VLOOKUP(AS21,Düngemittel!$B$6:$E$64,3,FALSE))/100*AT21</f>
        <v>0</v>
      </c>
      <c r="AV21" s="1033">
        <f>VLOOKUP(AS21,Düngemittel!$B$6:$E$64,2,FALSE)*AT21</f>
        <v>0</v>
      </c>
      <c r="AW21" s="1033">
        <f>VLOOKUP(AS21,Düngemittel!$B$6:$E$64,4,FALSE)*AT21</f>
        <v>0</v>
      </c>
      <c r="AX21" s="2089"/>
      <c r="AY21" s="1329"/>
      <c r="AZ21" s="1330" t="s">
        <v>795</v>
      </c>
      <c r="BA21" s="1424">
        <v>0</v>
      </c>
      <c r="BB21" s="1033">
        <f>VLOOKUP(AZ21,Düngemittel!$B$6:$E$64,2,FALSE)*(VLOOKUP(AZ21,Düngemittel!$B$6:$E$64,3,FALSE))/100*BA21</f>
        <v>0</v>
      </c>
      <c r="BC21" s="1033">
        <f>VLOOKUP(AZ21,Düngemittel!$B$6:$E$64,2,FALSE)*BA21</f>
        <v>0</v>
      </c>
      <c r="BD21" s="1033">
        <f>VLOOKUP(AZ21,Düngemittel!$B$6:$E$64,4,FALSE)*BA21</f>
        <v>0</v>
      </c>
      <c r="BE21" s="2089"/>
      <c r="BF21" s="1329"/>
      <c r="BG21" s="1330" t="s">
        <v>795</v>
      </c>
      <c r="BH21" s="1424">
        <v>0</v>
      </c>
      <c r="BI21" s="1033">
        <f>VLOOKUP(BG21,Düngemittel!$B$6:$E$64,2,FALSE)*(VLOOKUP(BG21,Düngemittel!$B$6:$E$64,3,FALSE))/100*BH21</f>
        <v>0</v>
      </c>
      <c r="BJ21" s="1033">
        <f>VLOOKUP(BG21,Düngemittel!$B$6:$E$64,2,FALSE)*BH21</f>
        <v>0</v>
      </c>
      <c r="BK21" s="1033">
        <f>VLOOKUP(BG21,Düngemittel!$B$6:$E$64,4,FALSE)*BH21</f>
        <v>0</v>
      </c>
      <c r="BL21" s="1185"/>
      <c r="BM21" s="1889">
        <f t="shared" si="13"/>
        <v>0</v>
      </c>
      <c r="BN21" s="1889">
        <f t="shared" si="14"/>
        <v>0</v>
      </c>
      <c r="BO21" s="1889">
        <f t="shared" si="15"/>
        <v>0</v>
      </c>
      <c r="BP21" s="1138">
        <f t="shared" si="16"/>
        <v>0</v>
      </c>
      <c r="BQ21" s="1889">
        <f t="shared" si="17"/>
        <v>0</v>
      </c>
      <c r="BR21" s="95"/>
      <c r="BS21" s="1973">
        <f t="shared" si="24"/>
        <v>0</v>
      </c>
      <c r="BT21" s="1973">
        <f t="shared" si="25"/>
        <v>0</v>
      </c>
      <c r="BU21" s="1973">
        <f t="shared" si="26"/>
        <v>0</v>
      </c>
      <c r="BV21" s="1934">
        <f t="shared" si="27"/>
        <v>0</v>
      </c>
      <c r="BW21" s="1973">
        <f t="shared" si="28"/>
        <v>0</v>
      </c>
      <c r="BX21" s="1878"/>
      <c r="CB21" s="1968" t="s">
        <v>1454</v>
      </c>
      <c r="CC21" s="1421">
        <v>75</v>
      </c>
      <c r="CD21" s="1421">
        <v>80</v>
      </c>
      <c r="CE21" s="1421">
        <v>10</v>
      </c>
      <c r="CF21" s="1421">
        <v>8</v>
      </c>
      <c r="CG21" s="1421">
        <v>8</v>
      </c>
      <c r="CH21" s="1421">
        <v>0</v>
      </c>
      <c r="CI21" s="1421">
        <v>0</v>
      </c>
      <c r="CJ21" s="2131">
        <v>60</v>
      </c>
      <c r="CK21" s="2132">
        <v>0.25</v>
      </c>
    </row>
    <row r="22" spans="1:89" ht="26.25" customHeight="1" thickBot="1">
      <c r="A22" s="468">
        <v>15</v>
      </c>
      <c r="B22" s="2121">
        <v>0</v>
      </c>
      <c r="C22" s="2127" t="s">
        <v>795</v>
      </c>
      <c r="D22" s="2122">
        <f t="shared" si="0"/>
        <v>0</v>
      </c>
      <c r="E22" s="1984">
        <f t="shared" si="1"/>
        <v>0</v>
      </c>
      <c r="F22" s="1988">
        <v>0</v>
      </c>
      <c r="G22" s="1986">
        <f t="shared" si="18"/>
        <v>0</v>
      </c>
      <c r="H22" s="2308">
        <f t="shared" si="19"/>
        <v>0</v>
      </c>
      <c r="I22" s="2308">
        <f t="shared" si="2"/>
        <v>0</v>
      </c>
      <c r="J22" s="2308">
        <f t="shared" si="3"/>
        <v>0</v>
      </c>
      <c r="K22" s="2308">
        <f t="shared" si="4"/>
        <v>0</v>
      </c>
      <c r="L22" s="1986" t="e">
        <f t="shared" si="20"/>
        <v>#DIV/0!</v>
      </c>
      <c r="M22" s="1989">
        <f t="shared" si="21"/>
        <v>0</v>
      </c>
      <c r="N22" s="1978" t="s">
        <v>503</v>
      </c>
      <c r="O22" s="743">
        <f t="shared" si="5"/>
        <v>0</v>
      </c>
      <c r="P22" s="1995" t="s">
        <v>25</v>
      </c>
      <c r="Q22" s="2001">
        <f t="shared" si="6"/>
        <v>0</v>
      </c>
      <c r="R22" s="2005">
        <f t="shared" si="7"/>
        <v>0</v>
      </c>
      <c r="S22" s="2194">
        <v>0</v>
      </c>
      <c r="T22" s="1995" t="s">
        <v>160</v>
      </c>
      <c r="U22" s="2001">
        <f t="shared" si="8"/>
        <v>0</v>
      </c>
      <c r="V22" s="2375">
        <v>0</v>
      </c>
      <c r="W22" s="2005">
        <f t="shared" si="22"/>
        <v>0</v>
      </c>
      <c r="X22" s="2001">
        <f t="shared" si="23"/>
        <v>0</v>
      </c>
      <c r="Y22" s="2365">
        <f t="shared" si="9"/>
        <v>0</v>
      </c>
      <c r="Z22" s="2001">
        <f t="shared" si="10"/>
        <v>0</v>
      </c>
      <c r="AA22" s="1"/>
      <c r="AB22" s="1281">
        <f t="shared" si="11"/>
        <v>15</v>
      </c>
      <c r="AC22" s="1281" t="str">
        <f t="shared" si="12"/>
        <v>leer</v>
      </c>
      <c r="AD22" s="1329"/>
      <c r="AE22" s="1330" t="s">
        <v>795</v>
      </c>
      <c r="AF22" s="1424">
        <v>0</v>
      </c>
      <c r="AG22" s="1033">
        <f>VLOOKUP(AE22,Düngemittel!$B$6:$E$64,2,FALSE)*(VLOOKUP(AE22,Düngemittel!$B$6:$E$64,3,FALSE))/100*AF22</f>
        <v>0</v>
      </c>
      <c r="AH22" s="1033">
        <f>VLOOKUP(AE22,Düngemittel!$B$6:$E$64,2,FALSE)*AF22</f>
        <v>0</v>
      </c>
      <c r="AI22" s="1033">
        <f>VLOOKUP(AE22,Düngemittel!$B$6:$E$64,4,FALSE)*AF22</f>
        <v>0</v>
      </c>
      <c r="AJ22" s="2089"/>
      <c r="AK22" s="1329"/>
      <c r="AL22" s="1330" t="s">
        <v>795</v>
      </c>
      <c r="AM22" s="1424">
        <v>0</v>
      </c>
      <c r="AN22" s="1033">
        <f>VLOOKUP(AL22,Düngemittel!$B$6:$E$64,2,FALSE)*(VLOOKUP(AL22,Düngemittel!$B$6:$E$64,3,FALSE))/100*AM22</f>
        <v>0</v>
      </c>
      <c r="AO22" s="1033">
        <f>VLOOKUP(AL22,Düngemittel!$B$6:$E$64,2,FALSE)*AM22</f>
        <v>0</v>
      </c>
      <c r="AP22" s="1033">
        <f>VLOOKUP(AL22,Düngemittel!$B$6:$E$64,4,FALSE)*AM22</f>
        <v>0</v>
      </c>
      <c r="AQ22" s="2089"/>
      <c r="AR22" s="1329"/>
      <c r="AS22" s="1330" t="s">
        <v>795</v>
      </c>
      <c r="AT22" s="1424">
        <v>0</v>
      </c>
      <c r="AU22" s="1033">
        <f>VLOOKUP(AS22,Düngemittel!$B$6:$E$64,2,FALSE)*(VLOOKUP(AS22,Düngemittel!$B$6:$E$64,3,FALSE))/100*AT22</f>
        <v>0</v>
      </c>
      <c r="AV22" s="1033">
        <f>VLOOKUP(AS22,Düngemittel!$B$6:$E$64,2,FALSE)*AT22</f>
        <v>0</v>
      </c>
      <c r="AW22" s="1033">
        <f>VLOOKUP(AS22,Düngemittel!$B$6:$E$64,4,FALSE)*AT22</f>
        <v>0</v>
      </c>
      <c r="AX22" s="2089"/>
      <c r="AY22" s="1329"/>
      <c r="AZ22" s="1330" t="s">
        <v>795</v>
      </c>
      <c r="BA22" s="1424">
        <v>0</v>
      </c>
      <c r="BB22" s="1033">
        <f>VLOOKUP(AZ22,Düngemittel!$B$6:$E$64,2,FALSE)*(VLOOKUP(AZ22,Düngemittel!$B$6:$E$64,3,FALSE))/100*BA22</f>
        <v>0</v>
      </c>
      <c r="BC22" s="1033">
        <f>VLOOKUP(AZ22,Düngemittel!$B$6:$E$64,2,FALSE)*BA22</f>
        <v>0</v>
      </c>
      <c r="BD22" s="1033">
        <f>VLOOKUP(AZ22,Düngemittel!$B$6:$E$64,4,FALSE)*BA22</f>
        <v>0</v>
      </c>
      <c r="BE22" s="2089"/>
      <c r="BF22" s="1329"/>
      <c r="BG22" s="1330" t="s">
        <v>795</v>
      </c>
      <c r="BH22" s="1424">
        <v>0</v>
      </c>
      <c r="BI22" s="1033">
        <f>VLOOKUP(BG22,Düngemittel!$B$6:$E$64,2,FALSE)*(VLOOKUP(BG22,Düngemittel!$B$6:$E$64,3,FALSE))/100*BH22</f>
        <v>0</v>
      </c>
      <c r="BJ22" s="1033">
        <f>VLOOKUP(BG22,Düngemittel!$B$6:$E$64,2,FALSE)*BH22</f>
        <v>0</v>
      </c>
      <c r="BK22" s="1033">
        <f>VLOOKUP(BG22,Düngemittel!$B$6:$E$64,4,FALSE)*BH22</f>
        <v>0</v>
      </c>
      <c r="BL22" s="1185"/>
      <c r="BM22" s="1889">
        <f t="shared" si="13"/>
        <v>0</v>
      </c>
      <c r="BN22" s="1889">
        <f t="shared" si="14"/>
        <v>0</v>
      </c>
      <c r="BO22" s="1889">
        <f t="shared" si="15"/>
        <v>0</v>
      </c>
      <c r="BP22" s="1138">
        <f t="shared" si="16"/>
        <v>0</v>
      </c>
      <c r="BQ22" s="1889">
        <f t="shared" si="17"/>
        <v>0</v>
      </c>
      <c r="BR22" s="95"/>
      <c r="BS22" s="1973">
        <f t="shared" si="24"/>
        <v>0</v>
      </c>
      <c r="BT22" s="1973">
        <f t="shared" si="25"/>
        <v>0</v>
      </c>
      <c r="BU22" s="1973">
        <f t="shared" si="26"/>
        <v>0</v>
      </c>
      <c r="BV22" s="1934">
        <f t="shared" si="27"/>
        <v>0</v>
      </c>
      <c r="BW22" s="1973">
        <f t="shared" si="28"/>
        <v>0</v>
      </c>
      <c r="BX22" s="1878"/>
      <c r="CB22" s="1968" t="s">
        <v>1455</v>
      </c>
      <c r="CC22" s="1421">
        <v>20</v>
      </c>
      <c r="CD22" s="1421">
        <v>100</v>
      </c>
      <c r="CE22" s="1421">
        <v>10</v>
      </c>
      <c r="CF22" s="1421">
        <v>10</v>
      </c>
      <c r="CG22" s="1421">
        <v>10</v>
      </c>
      <c r="CH22" s="1421">
        <v>0</v>
      </c>
      <c r="CI22" s="1421">
        <v>0</v>
      </c>
      <c r="CJ22" s="2136">
        <v>30</v>
      </c>
      <c r="CK22" s="2132">
        <v>1.25</v>
      </c>
    </row>
    <row r="23" spans="1:89" ht="26.25" customHeight="1" thickBot="1">
      <c r="A23" s="468">
        <v>16</v>
      </c>
      <c r="B23" s="2121">
        <v>0</v>
      </c>
      <c r="C23" s="2127" t="s">
        <v>795</v>
      </c>
      <c r="D23" s="2122">
        <f t="shared" si="0"/>
        <v>0</v>
      </c>
      <c r="E23" s="1984">
        <f t="shared" si="1"/>
        <v>0</v>
      </c>
      <c r="F23" s="1988">
        <v>0</v>
      </c>
      <c r="G23" s="1986">
        <f t="shared" si="18"/>
        <v>0</v>
      </c>
      <c r="H23" s="2308">
        <f t="shared" si="19"/>
        <v>0</v>
      </c>
      <c r="I23" s="2308">
        <f t="shared" si="2"/>
        <v>0</v>
      </c>
      <c r="J23" s="2308">
        <f t="shared" si="3"/>
        <v>0</v>
      </c>
      <c r="K23" s="2308">
        <f t="shared" si="4"/>
        <v>0</v>
      </c>
      <c r="L23" s="1986" t="e">
        <f t="shared" si="20"/>
        <v>#DIV/0!</v>
      </c>
      <c r="M23" s="1989">
        <f t="shared" si="21"/>
        <v>0</v>
      </c>
      <c r="N23" s="1978" t="s">
        <v>503</v>
      </c>
      <c r="O23" s="743">
        <f t="shared" si="5"/>
        <v>0</v>
      </c>
      <c r="P23" s="1995" t="s">
        <v>25</v>
      </c>
      <c r="Q23" s="2001">
        <f t="shared" si="6"/>
        <v>0</v>
      </c>
      <c r="R23" s="2005">
        <f t="shared" si="7"/>
        <v>0</v>
      </c>
      <c r="S23" s="2194">
        <v>0</v>
      </c>
      <c r="T23" s="1995" t="s">
        <v>160</v>
      </c>
      <c r="U23" s="2001">
        <f t="shared" si="8"/>
        <v>0</v>
      </c>
      <c r="V23" s="2375">
        <v>0</v>
      </c>
      <c r="W23" s="2005">
        <f t="shared" si="22"/>
        <v>0</v>
      </c>
      <c r="X23" s="2001">
        <f t="shared" si="23"/>
        <v>0</v>
      </c>
      <c r="Y23" s="2365">
        <f t="shared" si="9"/>
        <v>0</v>
      </c>
      <c r="Z23" s="2001">
        <f t="shared" si="10"/>
        <v>0</v>
      </c>
      <c r="AA23" s="1"/>
      <c r="AB23" s="1281">
        <f t="shared" si="11"/>
        <v>16</v>
      </c>
      <c r="AC23" s="1281" t="str">
        <f t="shared" si="12"/>
        <v>leer</v>
      </c>
      <c r="AD23" s="1329"/>
      <c r="AE23" s="1330" t="s">
        <v>795</v>
      </c>
      <c r="AF23" s="1424">
        <v>0</v>
      </c>
      <c r="AG23" s="1033">
        <f>VLOOKUP(AE23,Düngemittel!$B$6:$E$64,2,FALSE)*(VLOOKUP(AE23,Düngemittel!$B$6:$E$64,3,FALSE))/100*AF23</f>
        <v>0</v>
      </c>
      <c r="AH23" s="1033">
        <f>VLOOKUP(AE23,Düngemittel!$B$6:$E$64,2,FALSE)*AF23</f>
        <v>0</v>
      </c>
      <c r="AI23" s="1033">
        <f>VLOOKUP(AE23,Düngemittel!$B$6:$E$64,4,FALSE)*AF23</f>
        <v>0</v>
      </c>
      <c r="AJ23" s="2089"/>
      <c r="AK23" s="1329"/>
      <c r="AL23" s="1330" t="s">
        <v>795</v>
      </c>
      <c r="AM23" s="1424">
        <v>0</v>
      </c>
      <c r="AN23" s="1033">
        <f>VLOOKUP(AL23,Düngemittel!$B$6:$E$64,2,FALSE)*(VLOOKUP(AL23,Düngemittel!$B$6:$E$64,3,FALSE))/100*AM23</f>
        <v>0</v>
      </c>
      <c r="AO23" s="1033">
        <f>VLOOKUP(AL23,Düngemittel!$B$6:$E$64,2,FALSE)*AM23</f>
        <v>0</v>
      </c>
      <c r="AP23" s="1033">
        <f>VLOOKUP(AL23,Düngemittel!$B$6:$E$64,4,FALSE)*AM23</f>
        <v>0</v>
      </c>
      <c r="AQ23" s="2089"/>
      <c r="AR23" s="1329"/>
      <c r="AS23" s="1330" t="s">
        <v>795</v>
      </c>
      <c r="AT23" s="1424">
        <v>0</v>
      </c>
      <c r="AU23" s="1033">
        <f>VLOOKUP(AS23,Düngemittel!$B$6:$E$64,2,FALSE)*(VLOOKUP(AS23,Düngemittel!$B$6:$E$64,3,FALSE))/100*AT23</f>
        <v>0</v>
      </c>
      <c r="AV23" s="1033">
        <f>VLOOKUP(AS23,Düngemittel!$B$6:$E$64,2,FALSE)*AT23</f>
        <v>0</v>
      </c>
      <c r="AW23" s="1033">
        <f>VLOOKUP(AS23,Düngemittel!$B$6:$E$64,4,FALSE)*AT23</f>
        <v>0</v>
      </c>
      <c r="AX23" s="2089"/>
      <c r="AY23" s="1329"/>
      <c r="AZ23" s="1330" t="s">
        <v>795</v>
      </c>
      <c r="BA23" s="1424">
        <v>0</v>
      </c>
      <c r="BB23" s="1033">
        <f>VLOOKUP(AZ23,Düngemittel!$B$6:$E$64,2,FALSE)*(VLOOKUP(AZ23,Düngemittel!$B$6:$E$64,3,FALSE))/100*BA23</f>
        <v>0</v>
      </c>
      <c r="BC23" s="1033">
        <f>VLOOKUP(AZ23,Düngemittel!$B$6:$E$64,2,FALSE)*BA23</f>
        <v>0</v>
      </c>
      <c r="BD23" s="1033">
        <f>VLOOKUP(AZ23,Düngemittel!$B$6:$E$64,4,FALSE)*BA23</f>
        <v>0</v>
      </c>
      <c r="BE23" s="2089"/>
      <c r="BF23" s="1329"/>
      <c r="BG23" s="1330" t="s">
        <v>795</v>
      </c>
      <c r="BH23" s="1424">
        <v>0</v>
      </c>
      <c r="BI23" s="1033">
        <f>VLOOKUP(BG23,Düngemittel!$B$6:$E$64,2,FALSE)*(VLOOKUP(BG23,Düngemittel!$B$6:$E$64,3,FALSE))/100*BH23</f>
        <v>0</v>
      </c>
      <c r="BJ23" s="1033">
        <f>VLOOKUP(BG23,Düngemittel!$B$6:$E$64,2,FALSE)*BH23</f>
        <v>0</v>
      </c>
      <c r="BK23" s="1033">
        <f>VLOOKUP(BG23,Düngemittel!$B$6:$E$64,4,FALSE)*BH23</f>
        <v>0</v>
      </c>
      <c r="BL23" s="1185"/>
      <c r="BM23" s="1889">
        <f t="shared" si="13"/>
        <v>0</v>
      </c>
      <c r="BN23" s="1889">
        <f t="shared" si="14"/>
        <v>0</v>
      </c>
      <c r="BO23" s="1889">
        <f t="shared" si="15"/>
        <v>0</v>
      </c>
      <c r="BP23" s="1138">
        <f t="shared" si="16"/>
        <v>0</v>
      </c>
      <c r="BQ23" s="1889">
        <f t="shared" si="17"/>
        <v>0</v>
      </c>
      <c r="BR23" s="95"/>
      <c r="BS23" s="1973">
        <f t="shared" si="24"/>
        <v>0</v>
      </c>
      <c r="BT23" s="1973">
        <f t="shared" si="25"/>
        <v>0</v>
      </c>
      <c r="BU23" s="1973">
        <f t="shared" si="26"/>
        <v>0</v>
      </c>
      <c r="BV23" s="1934">
        <f t="shared" si="27"/>
        <v>0</v>
      </c>
      <c r="BW23" s="1973">
        <f t="shared" si="28"/>
        <v>0</v>
      </c>
      <c r="BX23" s="1878"/>
      <c r="CB23" s="1968" t="s">
        <v>1456</v>
      </c>
      <c r="CC23" s="1421">
        <v>20</v>
      </c>
      <c r="CD23" s="1421">
        <v>100</v>
      </c>
      <c r="CE23" s="1421">
        <v>10</v>
      </c>
      <c r="CF23" s="1421">
        <v>10</v>
      </c>
      <c r="CG23" s="1421">
        <v>10</v>
      </c>
      <c r="CH23" s="1421">
        <v>0</v>
      </c>
      <c r="CI23" s="1421">
        <v>0</v>
      </c>
      <c r="CJ23" s="2136">
        <v>30</v>
      </c>
      <c r="CK23" s="2132">
        <v>0.25</v>
      </c>
    </row>
    <row r="24" spans="1:89" ht="26.25" customHeight="1" thickBot="1">
      <c r="A24" s="468">
        <v>17</v>
      </c>
      <c r="B24" s="2121">
        <v>0</v>
      </c>
      <c r="C24" s="2127" t="s">
        <v>795</v>
      </c>
      <c r="D24" s="2122">
        <f t="shared" si="0"/>
        <v>0</v>
      </c>
      <c r="E24" s="1984">
        <f t="shared" si="1"/>
        <v>0</v>
      </c>
      <c r="F24" s="1988">
        <v>0</v>
      </c>
      <c r="G24" s="1986">
        <f t="shared" si="18"/>
        <v>0</v>
      </c>
      <c r="H24" s="2308">
        <f t="shared" si="19"/>
        <v>0</v>
      </c>
      <c r="I24" s="2308">
        <f t="shared" si="2"/>
        <v>0</v>
      </c>
      <c r="J24" s="2308">
        <f t="shared" si="3"/>
        <v>0</v>
      </c>
      <c r="K24" s="2308">
        <f t="shared" si="4"/>
        <v>0</v>
      </c>
      <c r="L24" s="1986" t="e">
        <f t="shared" si="20"/>
        <v>#DIV/0!</v>
      </c>
      <c r="M24" s="1989">
        <f t="shared" si="21"/>
        <v>0</v>
      </c>
      <c r="N24" s="1978" t="s">
        <v>503</v>
      </c>
      <c r="O24" s="743">
        <f t="shared" si="5"/>
        <v>0</v>
      </c>
      <c r="P24" s="1995" t="s">
        <v>25</v>
      </c>
      <c r="Q24" s="2001">
        <f t="shared" si="6"/>
        <v>0</v>
      </c>
      <c r="R24" s="2005">
        <f t="shared" si="7"/>
        <v>0</v>
      </c>
      <c r="S24" s="2194">
        <v>0</v>
      </c>
      <c r="T24" s="1995" t="s">
        <v>160</v>
      </c>
      <c r="U24" s="2001">
        <f t="shared" si="8"/>
        <v>0</v>
      </c>
      <c r="V24" s="2375">
        <v>0</v>
      </c>
      <c r="W24" s="2005">
        <f t="shared" si="22"/>
        <v>0</v>
      </c>
      <c r="X24" s="2001">
        <f t="shared" si="23"/>
        <v>0</v>
      </c>
      <c r="Y24" s="2365">
        <f t="shared" si="9"/>
        <v>0</v>
      </c>
      <c r="Z24" s="2001">
        <f t="shared" si="10"/>
        <v>0</v>
      </c>
      <c r="AA24" s="1"/>
      <c r="AB24" s="1281">
        <f t="shared" si="11"/>
        <v>17</v>
      </c>
      <c r="AC24" s="1281" t="str">
        <f t="shared" si="12"/>
        <v>leer</v>
      </c>
      <c r="AD24" s="1329"/>
      <c r="AE24" s="1330" t="s">
        <v>795</v>
      </c>
      <c r="AF24" s="1424">
        <v>0</v>
      </c>
      <c r="AG24" s="1033">
        <f>VLOOKUP(AE24,Düngemittel!$B$6:$E$64,2,FALSE)*(VLOOKUP(AE24,Düngemittel!$B$6:$E$64,3,FALSE))/100*AF24</f>
        <v>0</v>
      </c>
      <c r="AH24" s="1033">
        <f>VLOOKUP(AE24,Düngemittel!$B$6:$E$64,2,FALSE)*AF24</f>
        <v>0</v>
      </c>
      <c r="AI24" s="1033">
        <f>VLOOKUP(AE24,Düngemittel!$B$6:$E$64,4,FALSE)*AF24</f>
        <v>0</v>
      </c>
      <c r="AJ24" s="2089"/>
      <c r="AK24" s="1329"/>
      <c r="AL24" s="1330" t="s">
        <v>795</v>
      </c>
      <c r="AM24" s="1424">
        <v>0</v>
      </c>
      <c r="AN24" s="1033">
        <f>VLOOKUP(AL24,Düngemittel!$B$6:$E$64,2,FALSE)*(VLOOKUP(AL24,Düngemittel!$B$6:$E$64,3,FALSE))/100*AM24</f>
        <v>0</v>
      </c>
      <c r="AO24" s="1033">
        <f>VLOOKUP(AL24,Düngemittel!$B$6:$E$64,2,FALSE)*AM24</f>
        <v>0</v>
      </c>
      <c r="AP24" s="1033">
        <f>VLOOKUP(AL24,Düngemittel!$B$6:$E$64,4,FALSE)*AM24</f>
        <v>0</v>
      </c>
      <c r="AQ24" s="2089"/>
      <c r="AR24" s="1329"/>
      <c r="AS24" s="1330" t="s">
        <v>795</v>
      </c>
      <c r="AT24" s="1424">
        <v>0</v>
      </c>
      <c r="AU24" s="1033">
        <f>VLOOKUP(AS24,Düngemittel!$B$6:$E$64,2,FALSE)*(VLOOKUP(AS24,Düngemittel!$B$6:$E$64,3,FALSE))/100*AT24</f>
        <v>0</v>
      </c>
      <c r="AV24" s="1033">
        <f>VLOOKUP(AS24,Düngemittel!$B$6:$E$64,2,FALSE)*AT24</f>
        <v>0</v>
      </c>
      <c r="AW24" s="1033">
        <f>VLOOKUP(AS24,Düngemittel!$B$6:$E$64,4,FALSE)*AT24</f>
        <v>0</v>
      </c>
      <c r="AX24" s="2089"/>
      <c r="AY24" s="1329"/>
      <c r="AZ24" s="1330" t="s">
        <v>795</v>
      </c>
      <c r="BA24" s="1424">
        <v>0</v>
      </c>
      <c r="BB24" s="1033">
        <f>VLOOKUP(AZ24,Düngemittel!$B$6:$E$64,2,FALSE)*(VLOOKUP(AZ24,Düngemittel!$B$6:$E$64,3,FALSE))/100*BA24</f>
        <v>0</v>
      </c>
      <c r="BC24" s="1033">
        <f>VLOOKUP(AZ24,Düngemittel!$B$6:$E$64,2,FALSE)*BA24</f>
        <v>0</v>
      </c>
      <c r="BD24" s="1033">
        <f>VLOOKUP(AZ24,Düngemittel!$B$6:$E$64,4,FALSE)*BA24</f>
        <v>0</v>
      </c>
      <c r="BE24" s="2089"/>
      <c r="BF24" s="1329"/>
      <c r="BG24" s="1330" t="s">
        <v>795</v>
      </c>
      <c r="BH24" s="1424">
        <v>0</v>
      </c>
      <c r="BI24" s="1033">
        <f>VLOOKUP(BG24,Düngemittel!$B$6:$E$64,2,FALSE)*(VLOOKUP(BG24,Düngemittel!$B$6:$E$64,3,FALSE))/100*BH24</f>
        <v>0</v>
      </c>
      <c r="BJ24" s="1033">
        <f>VLOOKUP(BG24,Düngemittel!$B$6:$E$64,2,FALSE)*BH24</f>
        <v>0</v>
      </c>
      <c r="BK24" s="1033">
        <f>VLOOKUP(BG24,Düngemittel!$B$6:$E$64,4,FALSE)*BH24</f>
        <v>0</v>
      </c>
      <c r="BL24" s="1185"/>
      <c r="BM24" s="1889">
        <f t="shared" si="13"/>
        <v>0</v>
      </c>
      <c r="BN24" s="1889">
        <f t="shared" si="14"/>
        <v>0</v>
      </c>
      <c r="BO24" s="1889">
        <f t="shared" si="15"/>
        <v>0</v>
      </c>
      <c r="BP24" s="1138">
        <f t="shared" si="16"/>
        <v>0</v>
      </c>
      <c r="BQ24" s="1889">
        <f t="shared" si="17"/>
        <v>0</v>
      </c>
      <c r="BR24" s="95"/>
      <c r="BS24" s="1973">
        <f t="shared" si="24"/>
        <v>0</v>
      </c>
      <c r="BT24" s="1973">
        <f t="shared" si="25"/>
        <v>0</v>
      </c>
      <c r="BU24" s="1973">
        <f t="shared" si="26"/>
        <v>0</v>
      </c>
      <c r="BV24" s="1934">
        <f t="shared" si="27"/>
        <v>0</v>
      </c>
      <c r="BW24" s="1973">
        <f t="shared" si="28"/>
        <v>0</v>
      </c>
      <c r="BX24" s="1878"/>
      <c r="CB24" s="1968" t="s">
        <v>1457</v>
      </c>
      <c r="CC24" s="1421">
        <v>150</v>
      </c>
      <c r="CD24" s="1421">
        <v>120</v>
      </c>
      <c r="CE24" s="1421">
        <v>10</v>
      </c>
      <c r="CF24" s="1421">
        <v>12</v>
      </c>
      <c r="CG24" s="1421">
        <v>12</v>
      </c>
      <c r="CH24" s="1421">
        <v>0</v>
      </c>
      <c r="CI24" s="1421">
        <v>0</v>
      </c>
      <c r="CJ24" s="2131">
        <v>30</v>
      </c>
      <c r="CK24" s="2132">
        <v>0.32333333333333336</v>
      </c>
    </row>
    <row r="25" spans="1:89" ht="26.25" customHeight="1" thickBot="1">
      <c r="A25" s="468">
        <v>18</v>
      </c>
      <c r="B25" s="2121">
        <v>0</v>
      </c>
      <c r="C25" s="2127" t="s">
        <v>795</v>
      </c>
      <c r="D25" s="2122">
        <f t="shared" si="0"/>
        <v>0</v>
      </c>
      <c r="E25" s="1984">
        <f t="shared" si="1"/>
        <v>0</v>
      </c>
      <c r="F25" s="1988">
        <v>0</v>
      </c>
      <c r="G25" s="1986">
        <f t="shared" si="18"/>
        <v>0</v>
      </c>
      <c r="H25" s="2308">
        <f t="shared" si="19"/>
        <v>0</v>
      </c>
      <c r="I25" s="2308">
        <f t="shared" si="2"/>
        <v>0</v>
      </c>
      <c r="J25" s="2308">
        <f t="shared" si="3"/>
        <v>0</v>
      </c>
      <c r="K25" s="2308">
        <f t="shared" si="4"/>
        <v>0</v>
      </c>
      <c r="L25" s="1986" t="e">
        <f t="shared" si="20"/>
        <v>#DIV/0!</v>
      </c>
      <c r="M25" s="1989">
        <f t="shared" si="21"/>
        <v>0</v>
      </c>
      <c r="N25" s="1978" t="s">
        <v>503</v>
      </c>
      <c r="O25" s="743">
        <f t="shared" si="5"/>
        <v>0</v>
      </c>
      <c r="P25" s="1995" t="s">
        <v>25</v>
      </c>
      <c r="Q25" s="2001">
        <f t="shared" si="6"/>
        <v>0</v>
      </c>
      <c r="R25" s="2005">
        <f t="shared" si="7"/>
        <v>0</v>
      </c>
      <c r="S25" s="2194">
        <v>0</v>
      </c>
      <c r="T25" s="1995" t="s">
        <v>160</v>
      </c>
      <c r="U25" s="2001">
        <f t="shared" si="8"/>
        <v>0</v>
      </c>
      <c r="V25" s="2375">
        <v>0</v>
      </c>
      <c r="W25" s="2005">
        <f t="shared" si="22"/>
        <v>0</v>
      </c>
      <c r="X25" s="2001">
        <f t="shared" si="23"/>
        <v>0</v>
      </c>
      <c r="Y25" s="2365">
        <f t="shared" si="9"/>
        <v>0</v>
      </c>
      <c r="Z25" s="2001">
        <f t="shared" si="10"/>
        <v>0</v>
      </c>
      <c r="AA25" s="1"/>
      <c r="AB25" s="1281">
        <f t="shared" si="11"/>
        <v>18</v>
      </c>
      <c r="AC25" s="1281" t="str">
        <f t="shared" si="12"/>
        <v>leer</v>
      </c>
      <c r="AD25" s="1329"/>
      <c r="AE25" s="1330" t="s">
        <v>795</v>
      </c>
      <c r="AF25" s="1424">
        <v>0</v>
      </c>
      <c r="AG25" s="1033">
        <f>VLOOKUP(AE25,Düngemittel!$B$6:$E$64,2,FALSE)*(VLOOKUP(AE25,Düngemittel!$B$6:$E$64,3,FALSE))/100*AF25</f>
        <v>0</v>
      </c>
      <c r="AH25" s="1033">
        <f>VLOOKUP(AE25,Düngemittel!$B$6:$E$64,2,FALSE)*AF25</f>
        <v>0</v>
      </c>
      <c r="AI25" s="1033">
        <f>VLOOKUP(AE25,Düngemittel!$B$6:$E$64,4,FALSE)*AF25</f>
        <v>0</v>
      </c>
      <c r="AJ25" s="2089"/>
      <c r="AK25" s="1329"/>
      <c r="AL25" s="1330" t="s">
        <v>795</v>
      </c>
      <c r="AM25" s="1424">
        <v>0</v>
      </c>
      <c r="AN25" s="1033">
        <f>VLOOKUP(AL25,Düngemittel!$B$6:$E$64,2,FALSE)*(VLOOKUP(AL25,Düngemittel!$B$6:$E$64,3,FALSE))/100*AM25</f>
        <v>0</v>
      </c>
      <c r="AO25" s="1033">
        <f>VLOOKUP(AL25,Düngemittel!$B$6:$E$64,2,FALSE)*AM25</f>
        <v>0</v>
      </c>
      <c r="AP25" s="1033">
        <f>VLOOKUP(AL25,Düngemittel!$B$6:$E$64,4,FALSE)*AM25</f>
        <v>0</v>
      </c>
      <c r="AQ25" s="2089"/>
      <c r="AR25" s="1329"/>
      <c r="AS25" s="1330" t="s">
        <v>795</v>
      </c>
      <c r="AT25" s="1424">
        <v>0</v>
      </c>
      <c r="AU25" s="1033">
        <f>VLOOKUP(AS25,Düngemittel!$B$6:$E$64,2,FALSE)*(VLOOKUP(AS25,Düngemittel!$B$6:$E$64,3,FALSE))/100*AT25</f>
        <v>0</v>
      </c>
      <c r="AV25" s="1033">
        <f>VLOOKUP(AS25,Düngemittel!$B$6:$E$64,2,FALSE)*AT25</f>
        <v>0</v>
      </c>
      <c r="AW25" s="1033">
        <f>VLOOKUP(AS25,Düngemittel!$B$6:$E$64,4,FALSE)*AT25</f>
        <v>0</v>
      </c>
      <c r="AX25" s="2089"/>
      <c r="AY25" s="1329"/>
      <c r="AZ25" s="1330" t="s">
        <v>795</v>
      </c>
      <c r="BA25" s="1424">
        <v>0</v>
      </c>
      <c r="BB25" s="1033">
        <f>VLOOKUP(AZ25,Düngemittel!$B$6:$E$64,2,FALSE)*(VLOOKUP(AZ25,Düngemittel!$B$6:$E$64,3,FALSE))/100*BA25</f>
        <v>0</v>
      </c>
      <c r="BC25" s="1033">
        <f>VLOOKUP(AZ25,Düngemittel!$B$6:$E$64,2,FALSE)*BA25</f>
        <v>0</v>
      </c>
      <c r="BD25" s="1033">
        <f>VLOOKUP(AZ25,Düngemittel!$B$6:$E$64,4,FALSE)*BA25</f>
        <v>0</v>
      </c>
      <c r="BE25" s="2089"/>
      <c r="BF25" s="1329"/>
      <c r="BG25" s="1330" t="s">
        <v>795</v>
      </c>
      <c r="BH25" s="1424">
        <v>0</v>
      </c>
      <c r="BI25" s="1033">
        <f>VLOOKUP(BG25,Düngemittel!$B$6:$E$64,2,FALSE)*(VLOOKUP(BG25,Düngemittel!$B$6:$E$64,3,FALSE))/100*BH25</f>
        <v>0</v>
      </c>
      <c r="BJ25" s="1033">
        <f>VLOOKUP(BG25,Düngemittel!$B$6:$E$64,2,FALSE)*BH25</f>
        <v>0</v>
      </c>
      <c r="BK25" s="1033">
        <f>VLOOKUP(BG25,Düngemittel!$B$6:$E$64,4,FALSE)*BH25</f>
        <v>0</v>
      </c>
      <c r="BL25" s="1185"/>
      <c r="BM25" s="1889">
        <f t="shared" si="13"/>
        <v>0</v>
      </c>
      <c r="BN25" s="1889">
        <f t="shared" si="14"/>
        <v>0</v>
      </c>
      <c r="BO25" s="1889">
        <f t="shared" si="15"/>
        <v>0</v>
      </c>
      <c r="BP25" s="1138">
        <f t="shared" si="16"/>
        <v>0</v>
      </c>
      <c r="BQ25" s="1889">
        <f t="shared" si="17"/>
        <v>0</v>
      </c>
      <c r="BR25" s="95"/>
      <c r="BS25" s="1973">
        <f t="shared" si="24"/>
        <v>0</v>
      </c>
      <c r="BT25" s="1973">
        <f t="shared" si="25"/>
        <v>0</v>
      </c>
      <c r="BU25" s="1973">
        <f t="shared" si="26"/>
        <v>0</v>
      </c>
      <c r="BV25" s="1934">
        <f t="shared" si="27"/>
        <v>0</v>
      </c>
      <c r="BW25" s="1973">
        <f t="shared" si="28"/>
        <v>0</v>
      </c>
      <c r="BX25" s="1878"/>
      <c r="CB25" s="1968" t="s">
        <v>1458</v>
      </c>
      <c r="CC25" s="1421">
        <v>150</v>
      </c>
      <c r="CD25" s="1421">
        <v>120</v>
      </c>
      <c r="CE25" s="1421">
        <v>10</v>
      </c>
      <c r="CF25" s="1421">
        <v>12</v>
      </c>
      <c r="CG25" s="1421">
        <v>12</v>
      </c>
      <c r="CH25" s="1421">
        <v>0</v>
      </c>
      <c r="CI25" s="1421">
        <v>0</v>
      </c>
      <c r="CJ25" s="2131">
        <v>30</v>
      </c>
      <c r="CK25" s="2132">
        <v>0.19</v>
      </c>
    </row>
    <row r="26" spans="1:89" ht="26.25" customHeight="1" thickBot="1">
      <c r="A26" s="468">
        <v>19</v>
      </c>
      <c r="B26" s="2121">
        <v>0</v>
      </c>
      <c r="C26" s="2127" t="s">
        <v>795</v>
      </c>
      <c r="D26" s="2122">
        <f t="shared" si="0"/>
        <v>0</v>
      </c>
      <c r="E26" s="1984">
        <f t="shared" si="1"/>
        <v>0</v>
      </c>
      <c r="F26" s="1988">
        <v>0</v>
      </c>
      <c r="G26" s="1986">
        <f t="shared" si="18"/>
        <v>0</v>
      </c>
      <c r="H26" s="2308">
        <f t="shared" si="19"/>
        <v>0</v>
      </c>
      <c r="I26" s="2308">
        <f t="shared" si="2"/>
        <v>0</v>
      </c>
      <c r="J26" s="2308">
        <f t="shared" si="3"/>
        <v>0</v>
      </c>
      <c r="K26" s="2308">
        <f t="shared" si="4"/>
        <v>0</v>
      </c>
      <c r="L26" s="1986" t="e">
        <f t="shared" si="20"/>
        <v>#DIV/0!</v>
      </c>
      <c r="M26" s="1989">
        <f t="shared" si="21"/>
        <v>0</v>
      </c>
      <c r="N26" s="1978" t="s">
        <v>503</v>
      </c>
      <c r="O26" s="743">
        <f t="shared" si="5"/>
        <v>0</v>
      </c>
      <c r="P26" s="1995" t="s">
        <v>25</v>
      </c>
      <c r="Q26" s="2001">
        <f t="shared" si="6"/>
        <v>0</v>
      </c>
      <c r="R26" s="2005">
        <f t="shared" si="7"/>
        <v>0</v>
      </c>
      <c r="S26" s="2194">
        <v>0</v>
      </c>
      <c r="T26" s="1995" t="s">
        <v>160</v>
      </c>
      <c r="U26" s="2001">
        <f t="shared" si="8"/>
        <v>0</v>
      </c>
      <c r="V26" s="2375">
        <v>0</v>
      </c>
      <c r="W26" s="2005">
        <f t="shared" si="22"/>
        <v>0</v>
      </c>
      <c r="X26" s="2001">
        <f t="shared" si="23"/>
        <v>0</v>
      </c>
      <c r="Y26" s="2365">
        <f t="shared" si="9"/>
        <v>0</v>
      </c>
      <c r="Z26" s="2001">
        <f t="shared" si="10"/>
        <v>0</v>
      </c>
      <c r="AA26" s="1"/>
      <c r="AB26" s="1281">
        <f t="shared" si="11"/>
        <v>19</v>
      </c>
      <c r="AC26" s="1281" t="str">
        <f t="shared" si="12"/>
        <v>leer</v>
      </c>
      <c r="AD26" s="1329"/>
      <c r="AE26" s="1330" t="s">
        <v>795</v>
      </c>
      <c r="AF26" s="1424">
        <v>0</v>
      </c>
      <c r="AG26" s="1033">
        <f>VLOOKUP(AE26,Düngemittel!$B$6:$E$64,2,FALSE)*(VLOOKUP(AE26,Düngemittel!$B$6:$E$64,3,FALSE))/100*AF26</f>
        <v>0</v>
      </c>
      <c r="AH26" s="1033">
        <f>VLOOKUP(AE26,Düngemittel!$B$6:$E$64,2,FALSE)*AF26</f>
        <v>0</v>
      </c>
      <c r="AI26" s="1033">
        <f>VLOOKUP(AE26,Düngemittel!$B$6:$E$64,4,FALSE)*AF26</f>
        <v>0</v>
      </c>
      <c r="AJ26" s="2089"/>
      <c r="AK26" s="1329"/>
      <c r="AL26" s="1330" t="s">
        <v>795</v>
      </c>
      <c r="AM26" s="1424">
        <v>0</v>
      </c>
      <c r="AN26" s="1033">
        <f>VLOOKUP(AL26,Düngemittel!$B$6:$E$64,2,FALSE)*(VLOOKUP(AL26,Düngemittel!$B$6:$E$64,3,FALSE))/100*AM26</f>
        <v>0</v>
      </c>
      <c r="AO26" s="1033">
        <f>VLOOKUP(AL26,Düngemittel!$B$6:$E$64,2,FALSE)*AM26</f>
        <v>0</v>
      </c>
      <c r="AP26" s="1033">
        <f>VLOOKUP(AL26,Düngemittel!$B$6:$E$64,4,FALSE)*AM26</f>
        <v>0</v>
      </c>
      <c r="AQ26" s="2089"/>
      <c r="AR26" s="1329"/>
      <c r="AS26" s="1330" t="s">
        <v>795</v>
      </c>
      <c r="AT26" s="1424">
        <v>0</v>
      </c>
      <c r="AU26" s="1033">
        <f>VLOOKUP(AS26,Düngemittel!$B$6:$E$64,2,FALSE)*(VLOOKUP(AS26,Düngemittel!$B$6:$E$64,3,FALSE))/100*AT26</f>
        <v>0</v>
      </c>
      <c r="AV26" s="1033">
        <f>VLOOKUP(AS26,Düngemittel!$B$6:$E$64,2,FALSE)*AT26</f>
        <v>0</v>
      </c>
      <c r="AW26" s="1033">
        <f>VLOOKUP(AS26,Düngemittel!$B$6:$E$64,4,FALSE)*AT26</f>
        <v>0</v>
      </c>
      <c r="AX26" s="2089"/>
      <c r="AY26" s="1329"/>
      <c r="AZ26" s="1330" t="s">
        <v>795</v>
      </c>
      <c r="BA26" s="1424">
        <v>0</v>
      </c>
      <c r="BB26" s="1033">
        <f>VLOOKUP(AZ26,Düngemittel!$B$6:$E$64,2,FALSE)*(VLOOKUP(AZ26,Düngemittel!$B$6:$E$64,3,FALSE))/100*BA26</f>
        <v>0</v>
      </c>
      <c r="BC26" s="1033">
        <f>VLOOKUP(AZ26,Düngemittel!$B$6:$E$64,2,FALSE)*BA26</f>
        <v>0</v>
      </c>
      <c r="BD26" s="1033">
        <f>VLOOKUP(AZ26,Düngemittel!$B$6:$E$64,4,FALSE)*BA26</f>
        <v>0</v>
      </c>
      <c r="BE26" s="2089"/>
      <c r="BF26" s="1329"/>
      <c r="BG26" s="1330" t="s">
        <v>795</v>
      </c>
      <c r="BH26" s="1424">
        <v>0</v>
      </c>
      <c r="BI26" s="1033">
        <f>VLOOKUP(BG26,Düngemittel!$B$6:$E$64,2,FALSE)*(VLOOKUP(BG26,Düngemittel!$B$6:$E$64,3,FALSE))/100*BH26</f>
        <v>0</v>
      </c>
      <c r="BJ26" s="1033">
        <f>VLOOKUP(BG26,Düngemittel!$B$6:$E$64,2,FALSE)*BH26</f>
        <v>0</v>
      </c>
      <c r="BK26" s="1033">
        <f>VLOOKUP(BG26,Düngemittel!$B$6:$E$64,4,FALSE)*BH26</f>
        <v>0</v>
      </c>
      <c r="BL26" s="1185"/>
      <c r="BM26" s="1889">
        <f t="shared" si="13"/>
        <v>0</v>
      </c>
      <c r="BN26" s="1889">
        <f t="shared" si="14"/>
        <v>0</v>
      </c>
      <c r="BO26" s="1889">
        <f t="shared" si="15"/>
        <v>0</v>
      </c>
      <c r="BP26" s="1138">
        <f t="shared" si="16"/>
        <v>0</v>
      </c>
      <c r="BQ26" s="1889">
        <f t="shared" si="17"/>
        <v>0</v>
      </c>
      <c r="BR26" s="95"/>
      <c r="BS26" s="1973">
        <f t="shared" si="24"/>
        <v>0</v>
      </c>
      <c r="BT26" s="1973">
        <f t="shared" si="25"/>
        <v>0</v>
      </c>
      <c r="BU26" s="1973">
        <f t="shared" si="26"/>
        <v>0</v>
      </c>
      <c r="BV26" s="1934">
        <f t="shared" si="27"/>
        <v>0</v>
      </c>
      <c r="BW26" s="1973">
        <f t="shared" si="28"/>
        <v>0</v>
      </c>
      <c r="BX26" s="1878"/>
      <c r="CB26" s="1968" t="s">
        <v>1459</v>
      </c>
      <c r="CC26" s="1421">
        <v>185</v>
      </c>
      <c r="CD26" s="1421">
        <v>150</v>
      </c>
      <c r="CE26" s="1421">
        <v>10</v>
      </c>
      <c r="CF26" s="1421">
        <v>15</v>
      </c>
      <c r="CG26" s="1421">
        <v>15</v>
      </c>
      <c r="CH26" s="1421">
        <v>0</v>
      </c>
      <c r="CI26" s="1421">
        <v>0</v>
      </c>
      <c r="CJ26" s="2133">
        <v>30</v>
      </c>
      <c r="CK26" s="2134">
        <v>0.26</v>
      </c>
    </row>
    <row r="27" spans="1:89" ht="26.25" customHeight="1" thickBot="1">
      <c r="A27" s="468">
        <v>20</v>
      </c>
      <c r="B27" s="2121">
        <v>0</v>
      </c>
      <c r="C27" s="2127" t="s">
        <v>795</v>
      </c>
      <c r="D27" s="2122">
        <f t="shared" si="0"/>
        <v>0</v>
      </c>
      <c r="E27" s="1984">
        <f t="shared" si="1"/>
        <v>0</v>
      </c>
      <c r="F27" s="1988">
        <v>0</v>
      </c>
      <c r="G27" s="1986">
        <f t="shared" si="18"/>
        <v>0</v>
      </c>
      <c r="H27" s="2308">
        <f t="shared" si="19"/>
        <v>0</v>
      </c>
      <c r="I27" s="2308">
        <f t="shared" si="2"/>
        <v>0</v>
      </c>
      <c r="J27" s="2308">
        <f t="shared" si="3"/>
        <v>0</v>
      </c>
      <c r="K27" s="2308">
        <f t="shared" si="4"/>
        <v>0</v>
      </c>
      <c r="L27" s="1986" t="e">
        <f t="shared" si="20"/>
        <v>#DIV/0!</v>
      </c>
      <c r="M27" s="1989">
        <f t="shared" si="21"/>
        <v>0</v>
      </c>
      <c r="N27" s="1978" t="s">
        <v>503</v>
      </c>
      <c r="O27" s="743">
        <f t="shared" si="5"/>
        <v>0</v>
      </c>
      <c r="P27" s="1995" t="s">
        <v>25</v>
      </c>
      <c r="Q27" s="2001">
        <f t="shared" si="6"/>
        <v>0</v>
      </c>
      <c r="R27" s="2005">
        <f t="shared" si="7"/>
        <v>0</v>
      </c>
      <c r="S27" s="2194">
        <v>0</v>
      </c>
      <c r="T27" s="1995" t="s">
        <v>160</v>
      </c>
      <c r="U27" s="2001">
        <f t="shared" si="8"/>
        <v>0</v>
      </c>
      <c r="V27" s="2375">
        <v>0</v>
      </c>
      <c r="W27" s="2005">
        <f t="shared" si="22"/>
        <v>0</v>
      </c>
      <c r="X27" s="2001">
        <f t="shared" si="23"/>
        <v>0</v>
      </c>
      <c r="Y27" s="2365">
        <f t="shared" si="9"/>
        <v>0</v>
      </c>
      <c r="Z27" s="2001">
        <f t="shared" si="10"/>
        <v>0</v>
      </c>
      <c r="AA27" s="1"/>
      <c r="AB27" s="1281">
        <f t="shared" si="11"/>
        <v>20</v>
      </c>
      <c r="AC27" s="1281" t="str">
        <f t="shared" si="12"/>
        <v>leer</v>
      </c>
      <c r="AD27" s="1329"/>
      <c r="AE27" s="1330" t="s">
        <v>795</v>
      </c>
      <c r="AF27" s="1424">
        <v>0</v>
      </c>
      <c r="AG27" s="1033">
        <f>VLOOKUP(AE27,Düngemittel!$B$6:$E$64,2,FALSE)*(VLOOKUP(AE27,Düngemittel!$B$6:$E$64,3,FALSE))/100*AF27</f>
        <v>0</v>
      </c>
      <c r="AH27" s="1033">
        <f>VLOOKUP(AE27,Düngemittel!$B$6:$E$64,2,FALSE)*AF27</f>
        <v>0</v>
      </c>
      <c r="AI27" s="1033">
        <f>VLOOKUP(AE27,Düngemittel!$B$6:$E$64,4,FALSE)*AF27</f>
        <v>0</v>
      </c>
      <c r="AJ27" s="2089"/>
      <c r="AK27" s="1329"/>
      <c r="AL27" s="1330" t="s">
        <v>795</v>
      </c>
      <c r="AM27" s="1424">
        <v>0</v>
      </c>
      <c r="AN27" s="1033">
        <f>VLOOKUP(AL27,Düngemittel!$B$6:$E$64,2,FALSE)*(VLOOKUP(AL27,Düngemittel!$B$6:$E$64,3,FALSE))/100*AM27</f>
        <v>0</v>
      </c>
      <c r="AO27" s="1033">
        <f>VLOOKUP(AL27,Düngemittel!$B$6:$E$64,2,FALSE)*AM27</f>
        <v>0</v>
      </c>
      <c r="AP27" s="1033">
        <f>VLOOKUP(AL27,Düngemittel!$B$6:$E$64,4,FALSE)*AM27</f>
        <v>0</v>
      </c>
      <c r="AQ27" s="2089"/>
      <c r="AR27" s="1329"/>
      <c r="AS27" s="1330" t="s">
        <v>795</v>
      </c>
      <c r="AT27" s="1424">
        <v>0</v>
      </c>
      <c r="AU27" s="1033">
        <f>VLOOKUP(AS27,Düngemittel!$B$6:$E$64,2,FALSE)*(VLOOKUP(AS27,Düngemittel!$B$6:$E$64,3,FALSE))/100*AT27</f>
        <v>0</v>
      </c>
      <c r="AV27" s="1033">
        <f>VLOOKUP(AS27,Düngemittel!$B$6:$E$64,2,FALSE)*AT27</f>
        <v>0</v>
      </c>
      <c r="AW27" s="1033">
        <f>VLOOKUP(AS27,Düngemittel!$B$6:$E$64,4,FALSE)*AT27</f>
        <v>0</v>
      </c>
      <c r="AX27" s="2089"/>
      <c r="AY27" s="1329"/>
      <c r="AZ27" s="1330" t="s">
        <v>795</v>
      </c>
      <c r="BA27" s="1424">
        <v>0</v>
      </c>
      <c r="BB27" s="1033">
        <f>VLOOKUP(AZ27,Düngemittel!$B$6:$E$64,2,FALSE)*(VLOOKUP(AZ27,Düngemittel!$B$6:$E$64,3,FALSE))/100*BA27</f>
        <v>0</v>
      </c>
      <c r="BC27" s="1033">
        <f>VLOOKUP(AZ27,Düngemittel!$B$6:$E$64,2,FALSE)*BA27</f>
        <v>0</v>
      </c>
      <c r="BD27" s="1033">
        <f>VLOOKUP(AZ27,Düngemittel!$B$6:$E$64,4,FALSE)*BA27</f>
        <v>0</v>
      </c>
      <c r="BE27" s="2089"/>
      <c r="BF27" s="1329"/>
      <c r="BG27" s="1330" t="s">
        <v>795</v>
      </c>
      <c r="BH27" s="1424">
        <v>0</v>
      </c>
      <c r="BI27" s="1033">
        <f>VLOOKUP(BG27,Düngemittel!$B$6:$E$64,2,FALSE)*(VLOOKUP(BG27,Düngemittel!$B$6:$E$64,3,FALSE))/100*BH27</f>
        <v>0</v>
      </c>
      <c r="BJ27" s="1033">
        <f>VLOOKUP(BG27,Düngemittel!$B$6:$E$64,2,FALSE)*BH27</f>
        <v>0</v>
      </c>
      <c r="BK27" s="1033">
        <f>VLOOKUP(BG27,Düngemittel!$B$6:$E$64,4,FALSE)*BH27</f>
        <v>0</v>
      </c>
      <c r="BL27" s="1185"/>
      <c r="BM27" s="1889">
        <f t="shared" si="13"/>
        <v>0</v>
      </c>
      <c r="BN27" s="1889">
        <f t="shared" si="14"/>
        <v>0</v>
      </c>
      <c r="BO27" s="1889">
        <f t="shared" si="15"/>
        <v>0</v>
      </c>
      <c r="BP27" s="1138">
        <f t="shared" si="16"/>
        <v>0</v>
      </c>
      <c r="BQ27" s="1889">
        <f t="shared" si="17"/>
        <v>0</v>
      </c>
      <c r="BR27" s="183"/>
      <c r="BS27" s="1973">
        <f t="shared" si="24"/>
        <v>0</v>
      </c>
      <c r="BT27" s="1973">
        <f t="shared" si="25"/>
        <v>0</v>
      </c>
      <c r="BU27" s="1973">
        <f t="shared" si="26"/>
        <v>0</v>
      </c>
      <c r="BV27" s="1934">
        <f t="shared" si="27"/>
        <v>0</v>
      </c>
      <c r="BW27" s="1973">
        <f t="shared" si="28"/>
        <v>0</v>
      </c>
      <c r="BX27" s="1878"/>
      <c r="CB27" s="1968" t="s">
        <v>1460</v>
      </c>
      <c r="CC27" s="1421">
        <v>20</v>
      </c>
      <c r="CD27" s="1421">
        <v>10</v>
      </c>
      <c r="CE27" s="1421">
        <v>10</v>
      </c>
      <c r="CF27" s="1421">
        <v>1</v>
      </c>
      <c r="CG27" s="1421">
        <v>1</v>
      </c>
      <c r="CH27" s="1421">
        <v>0</v>
      </c>
      <c r="CI27" s="1421">
        <v>0</v>
      </c>
      <c r="CJ27" s="2131">
        <v>30</v>
      </c>
      <c r="CK27" s="2132">
        <v>0.75</v>
      </c>
    </row>
    <row r="28" spans="1:89" ht="24.75" customHeight="1" thickBot="1">
      <c r="A28" s="468">
        <v>21</v>
      </c>
      <c r="B28" s="2121">
        <v>0</v>
      </c>
      <c r="C28" s="2127" t="s">
        <v>795</v>
      </c>
      <c r="D28" s="2122">
        <f t="shared" si="0"/>
        <v>0</v>
      </c>
      <c r="E28" s="1984">
        <f t="shared" si="1"/>
        <v>0</v>
      </c>
      <c r="F28" s="1988">
        <v>0</v>
      </c>
      <c r="G28" s="1986">
        <f t="shared" si="18"/>
        <v>0</v>
      </c>
      <c r="H28" s="2308">
        <f t="shared" si="19"/>
        <v>0</v>
      </c>
      <c r="I28" s="2308">
        <f t="shared" si="2"/>
        <v>0</v>
      </c>
      <c r="J28" s="2308">
        <f t="shared" si="3"/>
        <v>0</v>
      </c>
      <c r="K28" s="2308">
        <f t="shared" si="4"/>
        <v>0</v>
      </c>
      <c r="L28" s="1986" t="e">
        <f t="shared" si="20"/>
        <v>#DIV/0!</v>
      </c>
      <c r="M28" s="1989">
        <f t="shared" si="21"/>
        <v>0</v>
      </c>
      <c r="N28" s="1978" t="s">
        <v>503</v>
      </c>
      <c r="O28" s="743">
        <f t="shared" si="5"/>
        <v>0</v>
      </c>
      <c r="P28" s="1995" t="s">
        <v>25</v>
      </c>
      <c r="Q28" s="2001">
        <f t="shared" si="6"/>
        <v>0</v>
      </c>
      <c r="R28" s="2005">
        <f t="shared" si="7"/>
        <v>0</v>
      </c>
      <c r="S28" s="2194">
        <v>0</v>
      </c>
      <c r="T28" s="1995" t="s">
        <v>160</v>
      </c>
      <c r="U28" s="2001">
        <f t="shared" si="8"/>
        <v>0</v>
      </c>
      <c r="V28" s="2375">
        <v>0</v>
      </c>
      <c r="W28" s="2005">
        <f t="shared" si="22"/>
        <v>0</v>
      </c>
      <c r="X28" s="2001">
        <f t="shared" si="23"/>
        <v>0</v>
      </c>
      <c r="Y28" s="2365">
        <f t="shared" si="9"/>
        <v>0</v>
      </c>
      <c r="Z28" s="2001">
        <f t="shared" si="10"/>
        <v>0</v>
      </c>
      <c r="AA28" s="1"/>
      <c r="AB28" s="1281">
        <f t="shared" si="11"/>
        <v>21</v>
      </c>
      <c r="AC28" s="1281" t="str">
        <f t="shared" si="12"/>
        <v>leer</v>
      </c>
      <c r="AD28" s="1329"/>
      <c r="AE28" s="1330" t="s">
        <v>795</v>
      </c>
      <c r="AF28" s="1424">
        <v>0</v>
      </c>
      <c r="AG28" s="1033">
        <f>VLOOKUP(AE28,Düngemittel!$B$6:$E$64,2,FALSE)*(VLOOKUP(AE28,Düngemittel!$B$6:$E$64,3,FALSE))/100*AF28</f>
        <v>0</v>
      </c>
      <c r="AH28" s="1033">
        <f>VLOOKUP(AE28,Düngemittel!$B$6:$E$64,2,FALSE)*AF28</f>
        <v>0</v>
      </c>
      <c r="AI28" s="1033">
        <f>VLOOKUP(AE28,Düngemittel!$B$6:$E$64,4,FALSE)*AF28</f>
        <v>0</v>
      </c>
      <c r="AJ28" s="142"/>
      <c r="AK28" s="1329"/>
      <c r="AL28" s="1330" t="s">
        <v>795</v>
      </c>
      <c r="AM28" s="1424">
        <v>0</v>
      </c>
      <c r="AN28" s="1033">
        <f>VLOOKUP(AL28,Düngemittel!$B$6:$E$64,2,FALSE)*(VLOOKUP(AL28,Düngemittel!$B$6:$E$64,3,FALSE))/100*AM28</f>
        <v>0</v>
      </c>
      <c r="AO28" s="1033">
        <f>VLOOKUP(AL28,Düngemittel!$B$6:$E$64,2,FALSE)*AM28</f>
        <v>0</v>
      </c>
      <c r="AP28" s="1033">
        <f>VLOOKUP(AL28,Düngemittel!$B$6:$E$64,4,FALSE)*AM28</f>
        <v>0</v>
      </c>
      <c r="AQ28" s="142"/>
      <c r="AR28" s="1329"/>
      <c r="AS28" s="1330" t="s">
        <v>795</v>
      </c>
      <c r="AT28" s="1424">
        <v>0</v>
      </c>
      <c r="AU28" s="1033">
        <f>VLOOKUP(AS28,Düngemittel!$B$6:$E$64,2,FALSE)*(VLOOKUP(AS28,Düngemittel!$B$6:$E$64,3,FALSE))/100*AT28</f>
        <v>0</v>
      </c>
      <c r="AV28" s="1033">
        <f>VLOOKUP(AS28,Düngemittel!$B$6:$E$64,2,FALSE)*AT28</f>
        <v>0</v>
      </c>
      <c r="AW28" s="1033">
        <f>VLOOKUP(AS28,Düngemittel!$B$6:$E$64,4,FALSE)*AT28</f>
        <v>0</v>
      </c>
      <c r="AX28" s="142"/>
      <c r="AY28" s="1329"/>
      <c r="AZ28" s="1330" t="s">
        <v>795</v>
      </c>
      <c r="BA28" s="1424">
        <v>0</v>
      </c>
      <c r="BB28" s="1033">
        <f>VLOOKUP(AZ28,Düngemittel!$B$6:$E$64,2,FALSE)*(VLOOKUP(AZ28,Düngemittel!$B$6:$E$64,3,FALSE))/100*BA28</f>
        <v>0</v>
      </c>
      <c r="BC28" s="1033">
        <f>VLOOKUP(AZ28,Düngemittel!$B$6:$E$64,2,FALSE)*BA28</f>
        <v>0</v>
      </c>
      <c r="BD28" s="1033">
        <f>VLOOKUP(AZ28,Düngemittel!$B$6:$E$64,4,FALSE)*BA28</f>
        <v>0</v>
      </c>
      <c r="BE28" s="142"/>
      <c r="BF28" s="1329"/>
      <c r="BG28" s="1330" t="s">
        <v>795</v>
      </c>
      <c r="BH28" s="1424">
        <v>0</v>
      </c>
      <c r="BI28" s="1033">
        <f>VLOOKUP(BG28,Düngemittel!$B$6:$E$64,2,FALSE)*(VLOOKUP(BG28,Düngemittel!$B$6:$E$64,3,FALSE))/100*BH28</f>
        <v>0</v>
      </c>
      <c r="BJ28" s="1033">
        <f>VLOOKUP(BG28,Düngemittel!$B$6:$E$64,2,FALSE)*BH28</f>
        <v>0</v>
      </c>
      <c r="BK28" s="1033">
        <f>VLOOKUP(BG28,Düngemittel!$B$6:$E$64,4,FALSE)*BH28</f>
        <v>0</v>
      </c>
      <c r="BL28" s="1185"/>
      <c r="BM28" s="1889">
        <f t="shared" ref="BM28:BM31" si="29">IF(AG28&lt;AH28,0,AG28)+IF(AN28&lt;AO28,0,AN28)+IF(AU28&lt;AV28,0,AU28)+IF(BB28&lt;BC28,0,BB28)+IF(BI28&lt;BJ28,0,BI28)</f>
        <v>0</v>
      </c>
      <c r="BN28" s="1889">
        <f t="shared" ref="BN28:BN31" si="30">(AG28+AN28+AU28+BB28+BI28)</f>
        <v>0</v>
      </c>
      <c r="BO28" s="1889">
        <f t="shared" ref="BO28:BO31" si="31">(AH28+AO28+AV28+BC28+BJ28)</f>
        <v>0</v>
      </c>
      <c r="BP28" s="1138">
        <f t="shared" ref="BP28:BP31" si="32">IF(AG28&lt;AH28,AH28,0)+IF(AN28&lt;AO28,AO28,0)+IF(AU28&lt;AV28,AV28,0)+IF(BB28&lt;BC28,BC28,0)+IF(BI28&lt;BJ28,BJ28,0)</f>
        <v>0</v>
      </c>
      <c r="BQ28" s="1889">
        <f t="shared" ref="BQ28:BQ31" si="33">(AI28+AP28+AW28+BD28+BK28)</f>
        <v>0</v>
      </c>
      <c r="BR28" s="183"/>
      <c r="BS28" s="1973">
        <f t="shared" si="24"/>
        <v>0</v>
      </c>
      <c r="BT28" s="1973">
        <f t="shared" si="25"/>
        <v>0</v>
      </c>
      <c r="BU28" s="1973">
        <f t="shared" si="26"/>
        <v>0</v>
      </c>
      <c r="BV28" s="1934">
        <f t="shared" si="27"/>
        <v>0</v>
      </c>
      <c r="BW28" s="1973">
        <f t="shared" si="28"/>
        <v>0</v>
      </c>
      <c r="CB28" s="1968" t="s">
        <v>1461</v>
      </c>
      <c r="CC28" s="1421">
        <v>25</v>
      </c>
      <c r="CD28" s="1421">
        <v>85</v>
      </c>
      <c r="CE28" s="1421">
        <v>10</v>
      </c>
      <c r="CF28" s="1421">
        <v>8.5</v>
      </c>
      <c r="CG28" s="1421">
        <v>8.5</v>
      </c>
      <c r="CH28" s="1421">
        <v>0</v>
      </c>
      <c r="CI28" s="1421">
        <v>0</v>
      </c>
      <c r="CJ28" s="2133">
        <v>30</v>
      </c>
      <c r="CK28" s="2134">
        <v>0.43</v>
      </c>
    </row>
    <row r="29" spans="1:89" ht="24.75" customHeight="1" thickBot="1">
      <c r="A29" s="468">
        <v>22</v>
      </c>
      <c r="B29" s="2121">
        <v>0</v>
      </c>
      <c r="C29" s="2127" t="s">
        <v>795</v>
      </c>
      <c r="D29" s="2122">
        <f t="shared" si="0"/>
        <v>0</v>
      </c>
      <c r="E29" s="1984">
        <f t="shared" si="1"/>
        <v>0</v>
      </c>
      <c r="F29" s="1988">
        <v>0</v>
      </c>
      <c r="G29" s="1986">
        <f t="shared" si="18"/>
        <v>0</v>
      </c>
      <c r="H29" s="2308">
        <f t="shared" si="19"/>
        <v>0</v>
      </c>
      <c r="I29" s="2308">
        <f t="shared" si="2"/>
        <v>0</v>
      </c>
      <c r="J29" s="2308">
        <f t="shared" si="3"/>
        <v>0</v>
      </c>
      <c r="K29" s="2308">
        <f t="shared" si="4"/>
        <v>0</v>
      </c>
      <c r="L29" s="1986" t="e">
        <f t="shared" si="20"/>
        <v>#DIV/0!</v>
      </c>
      <c r="M29" s="1989">
        <f t="shared" si="21"/>
        <v>0</v>
      </c>
      <c r="N29" s="1978" t="s">
        <v>503</v>
      </c>
      <c r="O29" s="743">
        <f t="shared" si="5"/>
        <v>0</v>
      </c>
      <c r="P29" s="1995" t="s">
        <v>25</v>
      </c>
      <c r="Q29" s="2001">
        <f t="shared" si="6"/>
        <v>0</v>
      </c>
      <c r="R29" s="2005">
        <f t="shared" si="7"/>
        <v>0</v>
      </c>
      <c r="S29" s="2194">
        <v>0</v>
      </c>
      <c r="T29" s="1995" t="s">
        <v>160</v>
      </c>
      <c r="U29" s="2001">
        <f t="shared" si="8"/>
        <v>0</v>
      </c>
      <c r="V29" s="2375">
        <v>0</v>
      </c>
      <c r="W29" s="2005">
        <f t="shared" si="22"/>
        <v>0</v>
      </c>
      <c r="X29" s="2001">
        <f t="shared" si="23"/>
        <v>0</v>
      </c>
      <c r="Y29" s="2365">
        <f t="shared" si="9"/>
        <v>0</v>
      </c>
      <c r="Z29" s="2001">
        <f t="shared" si="10"/>
        <v>0</v>
      </c>
      <c r="AA29" s="1"/>
      <c r="AB29" s="1281">
        <f t="shared" si="11"/>
        <v>22</v>
      </c>
      <c r="AC29" s="1281" t="str">
        <f t="shared" si="12"/>
        <v>leer</v>
      </c>
      <c r="AD29" s="1329"/>
      <c r="AE29" s="1330" t="s">
        <v>795</v>
      </c>
      <c r="AF29" s="1424">
        <v>0</v>
      </c>
      <c r="AG29" s="1033">
        <f>VLOOKUP(AE29,Düngemittel!$B$6:$E$64,2,FALSE)*(VLOOKUP(AE29,Düngemittel!$B$6:$E$64,3,FALSE))/100*AF29</f>
        <v>0</v>
      </c>
      <c r="AH29" s="1033">
        <f>VLOOKUP(AE29,Düngemittel!$B$6:$E$64,2,FALSE)*AF29</f>
        <v>0</v>
      </c>
      <c r="AI29" s="1033">
        <f>VLOOKUP(AE29,Düngemittel!$B$6:$E$64,4,FALSE)*AF29</f>
        <v>0</v>
      </c>
      <c r="AJ29" s="2089"/>
      <c r="AK29" s="1329"/>
      <c r="AL29" s="1330" t="s">
        <v>795</v>
      </c>
      <c r="AM29" s="1424">
        <v>0</v>
      </c>
      <c r="AN29" s="1033">
        <f>VLOOKUP(AL29,Düngemittel!$B$6:$E$64,2,FALSE)*(VLOOKUP(AL29,Düngemittel!$B$6:$E$64,3,FALSE))/100*AM29</f>
        <v>0</v>
      </c>
      <c r="AO29" s="1033">
        <f>VLOOKUP(AL29,Düngemittel!$B$6:$E$64,2,FALSE)*AM29</f>
        <v>0</v>
      </c>
      <c r="AP29" s="1033">
        <f>VLOOKUP(AL29,Düngemittel!$B$6:$E$64,4,FALSE)*AM29</f>
        <v>0</v>
      </c>
      <c r="AQ29" s="2089"/>
      <c r="AR29" s="1329"/>
      <c r="AS29" s="1330" t="s">
        <v>795</v>
      </c>
      <c r="AT29" s="1424">
        <v>0</v>
      </c>
      <c r="AU29" s="1033">
        <f>VLOOKUP(AS29,Düngemittel!$B$6:$E$64,2,FALSE)*(VLOOKUP(AS29,Düngemittel!$B$6:$E$64,3,FALSE))/100*AT29</f>
        <v>0</v>
      </c>
      <c r="AV29" s="1033">
        <f>VLOOKUP(AS29,Düngemittel!$B$6:$E$64,2,FALSE)*AT29</f>
        <v>0</v>
      </c>
      <c r="AW29" s="1033">
        <f>VLOOKUP(AS29,Düngemittel!$B$6:$E$64,4,FALSE)*AT29</f>
        <v>0</v>
      </c>
      <c r="AX29" s="2089"/>
      <c r="AY29" s="1329"/>
      <c r="AZ29" s="1330" t="s">
        <v>795</v>
      </c>
      <c r="BA29" s="1424">
        <v>0</v>
      </c>
      <c r="BB29" s="1033">
        <f>VLOOKUP(AZ29,Düngemittel!$B$6:$E$64,2,FALSE)*(VLOOKUP(AZ29,Düngemittel!$B$6:$E$64,3,FALSE))/100*BA29</f>
        <v>0</v>
      </c>
      <c r="BC29" s="1033">
        <f>VLOOKUP(AZ29,Düngemittel!$B$6:$E$64,2,FALSE)*BA29</f>
        <v>0</v>
      </c>
      <c r="BD29" s="1033">
        <f>VLOOKUP(AZ29,Düngemittel!$B$6:$E$64,4,FALSE)*BA29</f>
        <v>0</v>
      </c>
      <c r="BE29" s="2089"/>
      <c r="BF29" s="1329"/>
      <c r="BG29" s="1330" t="s">
        <v>795</v>
      </c>
      <c r="BH29" s="1424">
        <v>0</v>
      </c>
      <c r="BI29" s="1033">
        <f>VLOOKUP(BG29,Düngemittel!$B$6:$E$64,2,FALSE)*(VLOOKUP(BG29,Düngemittel!$B$6:$E$64,3,FALSE))/100*BH29</f>
        <v>0</v>
      </c>
      <c r="BJ29" s="1033">
        <f>VLOOKUP(BG29,Düngemittel!$B$6:$E$64,2,FALSE)*BH29</f>
        <v>0</v>
      </c>
      <c r="BK29" s="1033">
        <f>VLOOKUP(BG29,Düngemittel!$B$6:$E$64,4,FALSE)*BH29</f>
        <v>0</v>
      </c>
      <c r="BL29" s="1185"/>
      <c r="BM29" s="1889">
        <f t="shared" si="29"/>
        <v>0</v>
      </c>
      <c r="BN29" s="1889">
        <f t="shared" si="30"/>
        <v>0</v>
      </c>
      <c r="BO29" s="1889">
        <f t="shared" si="31"/>
        <v>0</v>
      </c>
      <c r="BP29" s="1138">
        <f t="shared" si="32"/>
        <v>0</v>
      </c>
      <c r="BQ29" s="1889">
        <f t="shared" si="33"/>
        <v>0</v>
      </c>
      <c r="BR29" s="183"/>
      <c r="BS29" s="1973">
        <f t="shared" si="24"/>
        <v>0</v>
      </c>
      <c r="BT29" s="1973">
        <f t="shared" si="25"/>
        <v>0</v>
      </c>
      <c r="BU29" s="1973">
        <f t="shared" si="26"/>
        <v>0</v>
      </c>
      <c r="BV29" s="1934">
        <f t="shared" si="27"/>
        <v>0</v>
      </c>
      <c r="BW29" s="1973">
        <f t="shared" si="28"/>
        <v>0</v>
      </c>
      <c r="CB29" s="1968" t="s">
        <v>1462</v>
      </c>
      <c r="CC29" s="1421">
        <v>25</v>
      </c>
      <c r="CD29" s="1421">
        <v>85</v>
      </c>
      <c r="CE29" s="1421">
        <v>10</v>
      </c>
      <c r="CF29" s="1421">
        <v>8.5</v>
      </c>
      <c r="CG29" s="1421">
        <v>8.5</v>
      </c>
      <c r="CH29" s="1421">
        <v>0</v>
      </c>
      <c r="CI29" s="1421">
        <v>0</v>
      </c>
      <c r="CJ29" s="2133">
        <v>30</v>
      </c>
      <c r="CK29" s="2134">
        <v>0.35</v>
      </c>
    </row>
    <row r="30" spans="1:89" ht="30.75" thickBot="1">
      <c r="A30" s="468">
        <v>23</v>
      </c>
      <c r="B30" s="2121">
        <v>0</v>
      </c>
      <c r="C30" s="2127" t="s">
        <v>795</v>
      </c>
      <c r="D30" s="2122">
        <f t="shared" si="0"/>
        <v>0</v>
      </c>
      <c r="E30" s="1984">
        <f t="shared" si="1"/>
        <v>0</v>
      </c>
      <c r="F30" s="1988">
        <v>0</v>
      </c>
      <c r="G30" s="1986">
        <f t="shared" si="18"/>
        <v>0</v>
      </c>
      <c r="H30" s="2308">
        <f t="shared" si="19"/>
        <v>0</v>
      </c>
      <c r="I30" s="2308">
        <f t="shared" si="2"/>
        <v>0</v>
      </c>
      <c r="J30" s="2308">
        <f t="shared" si="3"/>
        <v>0</v>
      </c>
      <c r="K30" s="2308">
        <f t="shared" si="4"/>
        <v>0</v>
      </c>
      <c r="L30" s="1986" t="e">
        <f t="shared" si="20"/>
        <v>#DIV/0!</v>
      </c>
      <c r="M30" s="1989">
        <f t="shared" si="21"/>
        <v>0</v>
      </c>
      <c r="N30" s="1978" t="s">
        <v>503</v>
      </c>
      <c r="O30" s="743">
        <f t="shared" si="5"/>
        <v>0</v>
      </c>
      <c r="P30" s="1995" t="s">
        <v>25</v>
      </c>
      <c r="Q30" s="2001">
        <f t="shared" si="6"/>
        <v>0</v>
      </c>
      <c r="R30" s="2005">
        <f t="shared" si="7"/>
        <v>0</v>
      </c>
      <c r="S30" s="2194">
        <v>0</v>
      </c>
      <c r="T30" s="1995" t="s">
        <v>160</v>
      </c>
      <c r="U30" s="2001">
        <f t="shared" si="8"/>
        <v>0</v>
      </c>
      <c r="V30" s="2375">
        <v>0</v>
      </c>
      <c r="W30" s="2005">
        <f t="shared" si="22"/>
        <v>0</v>
      </c>
      <c r="X30" s="2001">
        <f t="shared" si="23"/>
        <v>0</v>
      </c>
      <c r="Y30" s="2365">
        <f t="shared" si="9"/>
        <v>0</v>
      </c>
      <c r="Z30" s="2001">
        <f t="shared" si="10"/>
        <v>0</v>
      </c>
      <c r="AA30" s="1"/>
      <c r="AB30" s="1281">
        <f t="shared" si="11"/>
        <v>23</v>
      </c>
      <c r="AC30" s="1281" t="str">
        <f t="shared" si="12"/>
        <v>leer</v>
      </c>
      <c r="AD30" s="1329"/>
      <c r="AE30" s="1330" t="s">
        <v>795</v>
      </c>
      <c r="AF30" s="1424">
        <v>0</v>
      </c>
      <c r="AG30" s="1033">
        <f>VLOOKUP(AE30,Düngemittel!$B$6:$E$64,2,FALSE)*(VLOOKUP(AE30,Düngemittel!$B$6:$E$64,3,FALSE))/100*AF30</f>
        <v>0</v>
      </c>
      <c r="AH30" s="1033">
        <f>VLOOKUP(AE30,Düngemittel!$B$6:$E$64,2,FALSE)*AF30</f>
        <v>0</v>
      </c>
      <c r="AI30" s="1033">
        <f>VLOOKUP(AE30,Düngemittel!$B$6:$E$64,4,FALSE)*AF30</f>
        <v>0</v>
      </c>
      <c r="AJ30" s="2089"/>
      <c r="AK30" s="1329"/>
      <c r="AL30" s="1330" t="s">
        <v>795</v>
      </c>
      <c r="AM30" s="1424">
        <v>0</v>
      </c>
      <c r="AN30" s="1033">
        <f>VLOOKUP(AL30,Düngemittel!$B$6:$E$64,2,FALSE)*(VLOOKUP(AL30,Düngemittel!$B$6:$E$64,3,FALSE))/100*AM30</f>
        <v>0</v>
      </c>
      <c r="AO30" s="1033">
        <f>VLOOKUP(AL30,Düngemittel!$B$6:$E$64,2,FALSE)*AM30</f>
        <v>0</v>
      </c>
      <c r="AP30" s="1033">
        <f>VLOOKUP(AL30,Düngemittel!$B$6:$E$64,4,FALSE)*AM30</f>
        <v>0</v>
      </c>
      <c r="AQ30" s="2089"/>
      <c r="AR30" s="1329"/>
      <c r="AS30" s="1330" t="s">
        <v>795</v>
      </c>
      <c r="AT30" s="1424">
        <v>0</v>
      </c>
      <c r="AU30" s="1033">
        <f>VLOOKUP(AS30,Düngemittel!$B$6:$E$64,2,FALSE)*(VLOOKUP(AS30,Düngemittel!$B$6:$E$64,3,FALSE))/100*AT30</f>
        <v>0</v>
      </c>
      <c r="AV30" s="1033">
        <f>VLOOKUP(AS30,Düngemittel!$B$6:$E$64,2,FALSE)*AT30</f>
        <v>0</v>
      </c>
      <c r="AW30" s="1033">
        <f>VLOOKUP(AS30,Düngemittel!$B$6:$E$64,4,FALSE)*AT30</f>
        <v>0</v>
      </c>
      <c r="AX30" s="2089"/>
      <c r="AY30" s="1329"/>
      <c r="AZ30" s="1330" t="s">
        <v>795</v>
      </c>
      <c r="BA30" s="1424">
        <v>0</v>
      </c>
      <c r="BB30" s="1033">
        <f>VLOOKUP(AZ30,Düngemittel!$B$6:$E$64,2,FALSE)*(VLOOKUP(AZ30,Düngemittel!$B$6:$E$64,3,FALSE))/100*BA30</f>
        <v>0</v>
      </c>
      <c r="BC30" s="1033">
        <f>VLOOKUP(AZ30,Düngemittel!$B$6:$E$64,2,FALSE)*BA30</f>
        <v>0</v>
      </c>
      <c r="BD30" s="1033">
        <f>VLOOKUP(AZ30,Düngemittel!$B$6:$E$64,4,FALSE)*BA30</f>
        <v>0</v>
      </c>
      <c r="BE30" s="2089"/>
      <c r="BF30" s="1329"/>
      <c r="BG30" s="1330" t="s">
        <v>795</v>
      </c>
      <c r="BH30" s="1424">
        <v>0</v>
      </c>
      <c r="BI30" s="1033">
        <f>VLOOKUP(BG30,Düngemittel!$B$6:$E$64,2,FALSE)*(VLOOKUP(BG30,Düngemittel!$B$6:$E$64,3,FALSE))/100*BH30</f>
        <v>0</v>
      </c>
      <c r="BJ30" s="1033">
        <f>VLOOKUP(BG30,Düngemittel!$B$6:$E$64,2,FALSE)*BH30</f>
        <v>0</v>
      </c>
      <c r="BK30" s="1033">
        <f>VLOOKUP(BG30,Düngemittel!$B$6:$E$64,4,FALSE)*BH30</f>
        <v>0</v>
      </c>
      <c r="BL30" s="1974"/>
      <c r="BM30" s="1889">
        <f t="shared" si="29"/>
        <v>0</v>
      </c>
      <c r="BN30" s="1889">
        <f t="shared" si="30"/>
        <v>0</v>
      </c>
      <c r="BO30" s="1889">
        <f t="shared" si="31"/>
        <v>0</v>
      </c>
      <c r="BP30" s="1138">
        <f t="shared" si="32"/>
        <v>0</v>
      </c>
      <c r="BQ30" s="1889">
        <f t="shared" si="33"/>
        <v>0</v>
      </c>
      <c r="BR30" s="183"/>
      <c r="BS30" s="1973">
        <f t="shared" si="24"/>
        <v>0</v>
      </c>
      <c r="BT30" s="1973">
        <f t="shared" si="25"/>
        <v>0</v>
      </c>
      <c r="BU30" s="1973">
        <f t="shared" si="26"/>
        <v>0</v>
      </c>
      <c r="BV30" s="1934">
        <f t="shared" si="27"/>
        <v>0</v>
      </c>
      <c r="BW30" s="1973">
        <f t="shared" si="28"/>
        <v>0</v>
      </c>
      <c r="CB30" s="1968" t="s">
        <v>1463</v>
      </c>
      <c r="CC30" s="1421">
        <v>150</v>
      </c>
      <c r="CD30" s="1421">
        <v>120</v>
      </c>
      <c r="CE30" s="1421">
        <v>10</v>
      </c>
      <c r="CF30" s="1421">
        <v>12</v>
      </c>
      <c r="CG30" s="1421">
        <v>12</v>
      </c>
      <c r="CH30" s="1421">
        <v>0</v>
      </c>
      <c r="CI30" s="1421">
        <v>0</v>
      </c>
      <c r="CJ30" s="2131">
        <v>30</v>
      </c>
      <c r="CK30" s="2134">
        <v>0.08</v>
      </c>
    </row>
    <row r="31" spans="1:89" ht="29.25" customHeight="1" thickBot="1">
      <c r="A31" s="515">
        <v>24</v>
      </c>
      <c r="B31" s="2124">
        <v>0</v>
      </c>
      <c r="C31" s="2128" t="s">
        <v>795</v>
      </c>
      <c r="D31" s="2122">
        <f t="shared" si="0"/>
        <v>0</v>
      </c>
      <c r="E31" s="1984">
        <f t="shared" si="1"/>
        <v>0</v>
      </c>
      <c r="F31" s="1990">
        <v>0</v>
      </c>
      <c r="G31" s="1986">
        <f t="shared" si="18"/>
        <v>0</v>
      </c>
      <c r="H31" s="2308">
        <f t="shared" si="19"/>
        <v>0</v>
      </c>
      <c r="I31" s="2308">
        <f t="shared" si="2"/>
        <v>0</v>
      </c>
      <c r="J31" s="2308">
        <f t="shared" si="3"/>
        <v>0</v>
      </c>
      <c r="K31" s="2308">
        <f t="shared" si="4"/>
        <v>0</v>
      </c>
      <c r="L31" s="1986" t="e">
        <f t="shared" si="20"/>
        <v>#DIV/0!</v>
      </c>
      <c r="M31" s="1993">
        <f t="shared" si="21"/>
        <v>0</v>
      </c>
      <c r="N31" s="2020" t="s">
        <v>503</v>
      </c>
      <c r="O31" s="1997">
        <f t="shared" si="5"/>
        <v>0</v>
      </c>
      <c r="P31" s="1996" t="s">
        <v>25</v>
      </c>
      <c r="Q31" s="2003">
        <f t="shared" si="6"/>
        <v>0</v>
      </c>
      <c r="R31" s="2005">
        <f t="shared" si="7"/>
        <v>0</v>
      </c>
      <c r="S31" s="2195">
        <v>0</v>
      </c>
      <c r="T31" s="1996" t="s">
        <v>160</v>
      </c>
      <c r="U31" s="2003">
        <f t="shared" si="8"/>
        <v>0</v>
      </c>
      <c r="V31" s="2376">
        <v>0</v>
      </c>
      <c r="W31" s="2006">
        <f t="shared" si="22"/>
        <v>0</v>
      </c>
      <c r="X31" s="2003">
        <f t="shared" si="23"/>
        <v>0</v>
      </c>
      <c r="Y31" s="2365">
        <f t="shared" si="9"/>
        <v>0</v>
      </c>
      <c r="Z31" s="2003">
        <f t="shared" si="10"/>
        <v>0</v>
      </c>
      <c r="AA31" s="1"/>
      <c r="AB31" s="1281">
        <f t="shared" si="11"/>
        <v>24</v>
      </c>
      <c r="AC31" s="1281" t="str">
        <f t="shared" si="12"/>
        <v>leer</v>
      </c>
      <c r="AD31" s="1329"/>
      <c r="AE31" s="1330" t="s">
        <v>795</v>
      </c>
      <c r="AF31" s="1424">
        <v>0</v>
      </c>
      <c r="AG31" s="1033">
        <f>VLOOKUP(AE31,Düngemittel!$B$6:$E$64,2,FALSE)*(VLOOKUP(AE31,Düngemittel!$B$6:$E$64,3,FALSE))/100*AF31</f>
        <v>0</v>
      </c>
      <c r="AH31" s="1033">
        <f>VLOOKUP(AE31,Düngemittel!$B$6:$E$64,2,FALSE)*AF31</f>
        <v>0</v>
      </c>
      <c r="AI31" s="1033">
        <f>VLOOKUP(AE31,Düngemittel!$B$6:$E$64,4,FALSE)*AF31</f>
        <v>0</v>
      </c>
      <c r="AJ31" s="2089"/>
      <c r="AK31" s="1329"/>
      <c r="AL31" s="1330" t="s">
        <v>795</v>
      </c>
      <c r="AM31" s="1424">
        <v>0</v>
      </c>
      <c r="AN31" s="1033">
        <f>VLOOKUP(AL31,Düngemittel!$B$6:$E$64,2,FALSE)*(VLOOKUP(AL31,Düngemittel!$B$6:$E$64,3,FALSE))/100*AM31</f>
        <v>0</v>
      </c>
      <c r="AO31" s="1033">
        <f>VLOOKUP(AL31,Düngemittel!$B$6:$E$64,2,FALSE)*AM31</f>
        <v>0</v>
      </c>
      <c r="AP31" s="1033">
        <f>VLOOKUP(AL31,Düngemittel!$B$6:$E$64,4,FALSE)*AM31</f>
        <v>0</v>
      </c>
      <c r="AQ31" s="2089"/>
      <c r="AR31" s="1329"/>
      <c r="AS31" s="1330" t="s">
        <v>795</v>
      </c>
      <c r="AT31" s="1424">
        <v>0</v>
      </c>
      <c r="AU31" s="1033">
        <f>VLOOKUP(AS31,Düngemittel!$B$6:$E$64,2,FALSE)*(VLOOKUP(AS31,Düngemittel!$B$6:$E$64,3,FALSE))/100*AT31</f>
        <v>0</v>
      </c>
      <c r="AV31" s="1033">
        <f>VLOOKUP(AS31,Düngemittel!$B$6:$E$64,2,FALSE)*AT31</f>
        <v>0</v>
      </c>
      <c r="AW31" s="1033">
        <f>VLOOKUP(AS31,Düngemittel!$B$6:$E$64,4,FALSE)*AT31</f>
        <v>0</v>
      </c>
      <c r="AX31" s="2089"/>
      <c r="AY31" s="1329"/>
      <c r="AZ31" s="1330" t="s">
        <v>795</v>
      </c>
      <c r="BA31" s="1424">
        <v>0</v>
      </c>
      <c r="BB31" s="1033">
        <f>VLOOKUP(AZ31,Düngemittel!$B$6:$E$64,2,FALSE)*(VLOOKUP(AZ31,Düngemittel!$B$6:$E$64,3,FALSE))/100*BA31</f>
        <v>0</v>
      </c>
      <c r="BC31" s="1033">
        <f>VLOOKUP(AZ31,Düngemittel!$B$6:$E$64,2,FALSE)*BA31</f>
        <v>0</v>
      </c>
      <c r="BD31" s="1033">
        <f>VLOOKUP(AZ31,Düngemittel!$B$6:$E$64,4,FALSE)*BA31</f>
        <v>0</v>
      </c>
      <c r="BE31" s="2089"/>
      <c r="BF31" s="1329"/>
      <c r="BG31" s="1330" t="s">
        <v>795</v>
      </c>
      <c r="BH31" s="1424">
        <v>0</v>
      </c>
      <c r="BI31" s="1033">
        <f>VLOOKUP(BG31,Düngemittel!$B$6:$E$64,2,FALSE)*(VLOOKUP(BG31,Düngemittel!$B$6:$E$64,3,FALSE))/100*BH31</f>
        <v>0</v>
      </c>
      <c r="BJ31" s="1033">
        <f>VLOOKUP(BG31,Düngemittel!$B$6:$E$64,2,FALSE)*BH31</f>
        <v>0</v>
      </c>
      <c r="BK31" s="1033">
        <f>VLOOKUP(BG31,Düngemittel!$B$6:$E$64,4,FALSE)*BH31</f>
        <v>0</v>
      </c>
      <c r="BL31" s="1185"/>
      <c r="BM31" s="1889">
        <f t="shared" si="29"/>
        <v>0</v>
      </c>
      <c r="BN31" s="1889">
        <f t="shared" si="30"/>
        <v>0</v>
      </c>
      <c r="BO31" s="1889">
        <f t="shared" si="31"/>
        <v>0</v>
      </c>
      <c r="BP31" s="1138">
        <f t="shared" si="32"/>
        <v>0</v>
      </c>
      <c r="BQ31" s="1889">
        <f t="shared" si="33"/>
        <v>0</v>
      </c>
      <c r="BR31" s="183"/>
      <c r="BS31" s="1973">
        <f t="shared" si="24"/>
        <v>0</v>
      </c>
      <c r="BT31" s="1973">
        <f t="shared" si="25"/>
        <v>0</v>
      </c>
      <c r="BU31" s="1973">
        <f t="shared" si="26"/>
        <v>0</v>
      </c>
      <c r="BV31" s="1934">
        <f t="shared" si="27"/>
        <v>0</v>
      </c>
      <c r="BW31" s="1973">
        <f t="shared" si="28"/>
        <v>0</v>
      </c>
      <c r="CB31" s="1968" t="s">
        <v>1464</v>
      </c>
      <c r="CC31" s="1421">
        <v>110</v>
      </c>
      <c r="CD31" s="1421">
        <v>120</v>
      </c>
      <c r="CE31" s="1421">
        <v>10</v>
      </c>
      <c r="CF31" s="1421">
        <v>12</v>
      </c>
      <c r="CG31" s="1421">
        <v>12</v>
      </c>
      <c r="CH31" s="1421">
        <v>0</v>
      </c>
      <c r="CI31" s="1421">
        <v>0</v>
      </c>
      <c r="CJ31" s="2133">
        <v>60</v>
      </c>
      <c r="CK31" s="2134">
        <v>0.39727272727272728</v>
      </c>
    </row>
    <row r="32" spans="1:89" ht="42.75" customHeight="1" thickBot="1">
      <c r="A32" s="1"/>
      <c r="B32" s="2016">
        <f>SUM(B8:B31)</f>
        <v>0</v>
      </c>
      <c r="C32" s="2014" t="s">
        <v>1764</v>
      </c>
      <c r="D32" s="2014"/>
      <c r="E32" s="2014"/>
      <c r="F32" s="2014"/>
      <c r="G32" s="2014"/>
      <c r="H32" s="2014"/>
      <c r="I32" s="2014"/>
      <c r="J32" s="2014"/>
      <c r="K32" s="2014"/>
      <c r="L32" s="2014"/>
      <c r="M32" s="2014"/>
      <c r="N32" s="2014"/>
      <c r="O32" s="2014"/>
      <c r="P32" s="2014"/>
      <c r="Q32" s="2014"/>
      <c r="R32" s="2014"/>
      <c r="S32" s="2014"/>
      <c r="T32" s="2014"/>
      <c r="U32" s="2014"/>
      <c r="V32" s="2014"/>
      <c r="W32" s="2380"/>
      <c r="X32" s="2381">
        <f>SUM(X8:X31)</f>
        <v>0</v>
      </c>
      <c r="Y32" s="1"/>
      <c r="Z32" s="2017">
        <f>SUM(Z8:Z31)</f>
        <v>0</v>
      </c>
      <c r="AA32" s="1"/>
      <c r="AB32" s="1975"/>
      <c r="AC32" s="1975" t="str">
        <f t="shared" si="12"/>
        <v>ha Heil- und Gewürzpflanzen</v>
      </c>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185"/>
      <c r="BM32" s="1"/>
      <c r="BN32" s="1"/>
      <c r="BO32" s="1"/>
      <c r="BP32" s="1"/>
      <c r="BQ32" s="1"/>
      <c r="BR32" s="1"/>
      <c r="BS32" s="1890">
        <f>SUM(BS8:BS26)</f>
        <v>0</v>
      </c>
      <c r="BT32" s="1890">
        <f>SUM(BT8:BT26)</f>
        <v>0</v>
      </c>
      <c r="BU32" s="1890">
        <f>SUM(BU8:BU26)</f>
        <v>0</v>
      </c>
      <c r="BV32" s="1808">
        <f>SUM(BV8:BV26)</f>
        <v>0</v>
      </c>
      <c r="BW32" s="1890">
        <f>SUM(BW8:BW26)</f>
        <v>0</v>
      </c>
      <c r="BX32" s="1143" t="s">
        <v>1081</v>
      </c>
      <c r="CB32" s="1968" t="s">
        <v>1465</v>
      </c>
      <c r="CC32" s="1421">
        <v>110</v>
      </c>
      <c r="CD32" s="1421">
        <v>120</v>
      </c>
      <c r="CE32" s="1421">
        <v>10</v>
      </c>
      <c r="CF32" s="1421">
        <v>12</v>
      </c>
      <c r="CG32" s="1421">
        <v>12</v>
      </c>
      <c r="CH32" s="1421">
        <v>0</v>
      </c>
      <c r="CI32" s="1421">
        <v>0</v>
      </c>
      <c r="CJ32" s="2133">
        <v>60</v>
      </c>
      <c r="CK32" s="2134">
        <v>0.23</v>
      </c>
    </row>
    <row r="33" spans="1:89" ht="83.25" customHeight="1" thickBot="1">
      <c r="A33" s="1"/>
      <c r="B33" s="1"/>
      <c r="C33" s="1"/>
      <c r="D33" s="1"/>
      <c r="E33" s="1"/>
      <c r="F33" s="1"/>
      <c r="G33" s="1"/>
      <c r="H33" s="1"/>
      <c r="I33" s="1"/>
      <c r="J33" s="1"/>
      <c r="K33" s="1"/>
      <c r="L33" s="1"/>
      <c r="M33" s="1"/>
      <c r="N33" s="1"/>
      <c r="O33" s="1970"/>
      <c r="P33" s="1"/>
      <c r="Q33" s="1"/>
      <c r="R33" s="1"/>
      <c r="S33" s="1"/>
      <c r="T33" s="1"/>
      <c r="U33" s="1"/>
      <c r="V33" s="1"/>
      <c r="W33" s="216"/>
      <c r="X33" s="2379" t="s">
        <v>1100</v>
      </c>
      <c r="Y33" s="1185"/>
      <c r="Z33" s="2018" t="s">
        <v>1341</v>
      </c>
      <c r="AA33" s="1"/>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185"/>
      <c r="BM33" s="622" t="e">
        <f t="shared" ref="BM33:BP33" si="34">BS33</f>
        <v>#DIV/0!</v>
      </c>
      <c r="BN33" s="622" t="e">
        <f t="shared" si="34"/>
        <v>#DIV/0!</v>
      </c>
      <c r="BO33" s="622" t="e">
        <f t="shared" si="34"/>
        <v>#DIV/0!</v>
      </c>
      <c r="BP33" s="1138" t="e">
        <f t="shared" si="34"/>
        <v>#DIV/0!</v>
      </c>
      <c r="BQ33" s="1889" t="e">
        <f>BW33</f>
        <v>#DIV/0!</v>
      </c>
      <c r="BR33" s="183"/>
      <c r="BS33" s="1971" t="e">
        <f>BS32/$B32</f>
        <v>#DIV/0!</v>
      </c>
      <c r="BT33" s="1140" t="e">
        <f t="shared" ref="BT33:BW33" si="35">BT32/$B32</f>
        <v>#DIV/0!</v>
      </c>
      <c r="BU33" s="1140" t="e">
        <f t="shared" si="35"/>
        <v>#DIV/0!</v>
      </c>
      <c r="BV33" s="1140" t="e">
        <f t="shared" si="35"/>
        <v>#DIV/0!</v>
      </c>
      <c r="BW33" s="1140" t="e">
        <f t="shared" si="35"/>
        <v>#DIV/0!</v>
      </c>
      <c r="BX33" s="1143" t="s">
        <v>1060</v>
      </c>
      <c r="CB33" s="1968" t="s">
        <v>1466</v>
      </c>
      <c r="CC33" s="1421">
        <v>40</v>
      </c>
      <c r="CD33" s="1421">
        <v>70</v>
      </c>
      <c r="CE33" s="1421">
        <v>10</v>
      </c>
      <c r="CF33" s="1421">
        <v>7</v>
      </c>
      <c r="CG33" s="1421">
        <v>7</v>
      </c>
      <c r="CH33" s="1421">
        <v>0</v>
      </c>
      <c r="CI33" s="1421">
        <v>0</v>
      </c>
      <c r="CJ33" s="2136">
        <v>60</v>
      </c>
      <c r="CK33" s="2132">
        <v>0.16</v>
      </c>
    </row>
    <row r="34" spans="1:89" ht="54" customHeight="1">
      <c r="A34" s="1"/>
      <c r="B34" s="1"/>
      <c r="C34" s="1"/>
      <c r="D34" s="1"/>
      <c r="E34" s="1"/>
      <c r="F34" s="36"/>
      <c r="G34" s="1"/>
      <c r="H34" s="1"/>
      <c r="I34" s="1"/>
      <c r="J34" s="1"/>
      <c r="K34" s="1"/>
      <c r="L34" s="1"/>
      <c r="M34" s="1"/>
      <c r="N34" s="1"/>
      <c r="O34" s="1970"/>
      <c r="P34" s="1"/>
      <c r="Q34" s="1"/>
      <c r="R34" s="1"/>
      <c r="S34" s="1"/>
      <c r="T34" s="1"/>
      <c r="U34" s="1"/>
      <c r="V34" s="1"/>
      <c r="W34" s="1"/>
      <c r="X34" s="1"/>
      <c r="Y34" s="1"/>
      <c r="Z34" s="1"/>
      <c r="AA34" s="1"/>
      <c r="AB34" s="1161"/>
      <c r="AC34" s="1161"/>
      <c r="AD34" s="1891"/>
      <c r="AE34" s="189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216"/>
      <c r="BM34" s="1134" t="s">
        <v>1080</v>
      </c>
      <c r="BN34" s="1879" t="s">
        <v>1066</v>
      </c>
      <c r="BO34" s="1879" t="s">
        <v>1083</v>
      </c>
      <c r="BP34" s="906" t="s">
        <v>1241</v>
      </c>
      <c r="BQ34" s="1879" t="s">
        <v>284</v>
      </c>
      <c r="BR34" s="1161"/>
      <c r="BS34" s="1141" t="s">
        <v>1080</v>
      </c>
      <c r="BT34" s="1879" t="s">
        <v>1066</v>
      </c>
      <c r="BU34" s="1142" t="s">
        <v>1082</v>
      </c>
      <c r="BV34" s="906" t="s">
        <v>1241</v>
      </c>
      <c r="BW34" s="1879" t="s">
        <v>284</v>
      </c>
      <c r="CB34" s="1968" t="s">
        <v>1467</v>
      </c>
      <c r="CC34" s="1421">
        <v>40</v>
      </c>
      <c r="CD34" s="1421">
        <v>70</v>
      </c>
      <c r="CE34" s="1421">
        <v>10</v>
      </c>
      <c r="CF34" s="1421">
        <v>7</v>
      </c>
      <c r="CG34" s="1421">
        <v>7</v>
      </c>
      <c r="CH34" s="1421">
        <v>0</v>
      </c>
      <c r="CI34" s="1421">
        <v>0</v>
      </c>
      <c r="CJ34" s="2136">
        <v>60</v>
      </c>
      <c r="CK34" s="2134">
        <v>0.44000000000000006</v>
      </c>
    </row>
    <row r="35" spans="1:89" ht="19.5" customHeight="1">
      <c r="A35" s="2459" t="s">
        <v>1068</v>
      </c>
      <c r="B35" s="2460"/>
      <c r="C35" s="2667" t="s">
        <v>1069</v>
      </c>
      <c r="D35" s="2668"/>
      <c r="E35" s="2668"/>
      <c r="F35" s="2668"/>
      <c r="G35" s="2668"/>
      <c r="H35" s="2668"/>
      <c r="I35" s="2668"/>
      <c r="J35" s="2668"/>
      <c r="K35" s="2668"/>
      <c r="L35" s="2668"/>
      <c r="M35" s="2668"/>
      <c r="N35" s="2668"/>
      <c r="O35" s="2668"/>
      <c r="P35" s="2668"/>
      <c r="Q35" s="2668"/>
      <c r="R35" s="2668"/>
      <c r="S35" s="2668"/>
      <c r="T35" s="2668"/>
      <c r="U35" s="2668"/>
      <c r="V35" s="2668"/>
      <c r="W35" s="2668"/>
      <c r="X35" s="2800"/>
      <c r="Y35" s="2800"/>
      <c r="Z35" s="2800"/>
      <c r="AA35" s="2800"/>
      <c r="AB35" s="2800"/>
      <c r="AC35" s="2800"/>
      <c r="AD35" s="2800"/>
      <c r="AE35" s="2800"/>
      <c r="AF35" s="2801"/>
      <c r="AG35" s="2802"/>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185"/>
      <c r="BM35" s="1"/>
      <c r="BN35" s="1"/>
      <c r="BO35" s="1"/>
      <c r="BP35" s="1"/>
      <c r="BQ35" s="1"/>
      <c r="BR35" s="1"/>
      <c r="BS35" s="1"/>
      <c r="BT35" s="1"/>
      <c r="BU35" s="1"/>
      <c r="BV35" s="1"/>
      <c r="BW35" s="1"/>
      <c r="CB35" s="1968" t="s">
        <v>1468</v>
      </c>
      <c r="CC35" s="1421">
        <v>60</v>
      </c>
      <c r="CD35" s="1421">
        <v>70</v>
      </c>
      <c r="CE35" s="1421">
        <v>10</v>
      </c>
      <c r="CF35" s="1421">
        <v>7</v>
      </c>
      <c r="CG35" s="1421">
        <v>7</v>
      </c>
      <c r="CH35" s="1421">
        <v>0</v>
      </c>
      <c r="CI35" s="1421">
        <v>0</v>
      </c>
      <c r="CJ35" s="2136">
        <v>60</v>
      </c>
      <c r="CK35" s="2134">
        <v>0.48666666666666669</v>
      </c>
    </row>
    <row r="36" spans="1:89" ht="19.5" customHeight="1">
      <c r="A36" s="2461"/>
      <c r="B36" s="2462"/>
      <c r="C36" s="2669"/>
      <c r="D36" s="2670"/>
      <c r="E36" s="2670"/>
      <c r="F36" s="2670"/>
      <c r="G36" s="2670"/>
      <c r="H36" s="2670"/>
      <c r="I36" s="2670"/>
      <c r="J36" s="2670"/>
      <c r="K36" s="2670"/>
      <c r="L36" s="2670"/>
      <c r="M36" s="2670"/>
      <c r="N36" s="2670"/>
      <c r="O36" s="2670"/>
      <c r="P36" s="2670"/>
      <c r="Q36" s="2670"/>
      <c r="R36" s="2670"/>
      <c r="S36" s="2670"/>
      <c r="T36" s="2670"/>
      <c r="U36" s="2670"/>
      <c r="V36" s="2670"/>
      <c r="W36" s="2670"/>
      <c r="X36" s="2803"/>
      <c r="Y36" s="2803"/>
      <c r="Z36" s="2803"/>
      <c r="AA36" s="2803"/>
      <c r="AB36" s="2803"/>
      <c r="AC36" s="2803"/>
      <c r="AD36" s="2803"/>
      <c r="AE36" s="2803"/>
      <c r="AF36" s="2804"/>
      <c r="AG36" s="2805"/>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161"/>
      <c r="BM36" s="1"/>
      <c r="BN36" s="1"/>
      <c r="BO36" s="1"/>
      <c r="BP36" s="1"/>
      <c r="BQ36" s="1"/>
      <c r="BR36" s="1"/>
      <c r="BS36" s="1"/>
      <c r="BT36" s="1"/>
      <c r="BU36" s="1"/>
      <c r="BV36" s="1"/>
      <c r="BW36" s="1"/>
      <c r="CB36" s="1968" t="s">
        <v>1469</v>
      </c>
      <c r="CC36" s="1421">
        <v>60</v>
      </c>
      <c r="CD36" s="1421">
        <v>70</v>
      </c>
      <c r="CE36" s="1421">
        <v>10</v>
      </c>
      <c r="CF36" s="1421">
        <v>7</v>
      </c>
      <c r="CG36" s="1421">
        <v>7</v>
      </c>
      <c r="CH36" s="1421">
        <v>0</v>
      </c>
      <c r="CI36" s="1421">
        <v>0</v>
      </c>
      <c r="CJ36" s="2136">
        <v>60</v>
      </c>
      <c r="CK36" s="2132">
        <v>0.3</v>
      </c>
    </row>
    <row r="37" spans="1:89" ht="19.5" customHeight="1">
      <c r="A37" s="2463"/>
      <c r="B37" s="2464"/>
      <c r="C37" s="2806"/>
      <c r="D37" s="2803"/>
      <c r="E37" s="2803"/>
      <c r="F37" s="2803"/>
      <c r="G37" s="2803"/>
      <c r="H37" s="2803"/>
      <c r="I37" s="2803"/>
      <c r="J37" s="2803"/>
      <c r="K37" s="2803"/>
      <c r="L37" s="2803"/>
      <c r="M37" s="2803"/>
      <c r="N37" s="2803"/>
      <c r="O37" s="2803"/>
      <c r="P37" s="2803"/>
      <c r="Q37" s="2803"/>
      <c r="R37" s="2803"/>
      <c r="S37" s="2803"/>
      <c r="T37" s="2803"/>
      <c r="U37" s="2803"/>
      <c r="V37" s="2803"/>
      <c r="W37" s="2803"/>
      <c r="X37" s="2803"/>
      <c r="Y37" s="2803"/>
      <c r="Z37" s="2803"/>
      <c r="AA37" s="2803"/>
      <c r="AB37" s="2803"/>
      <c r="AC37" s="2803"/>
      <c r="AD37" s="2803"/>
      <c r="AE37" s="2803"/>
      <c r="AF37" s="2804"/>
      <c r="AG37" s="2805"/>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CB37" s="1968" t="s">
        <v>1470</v>
      </c>
      <c r="CC37" s="1421">
        <v>135</v>
      </c>
      <c r="CD37" s="1421">
        <v>130</v>
      </c>
      <c r="CE37" s="1421">
        <v>10</v>
      </c>
      <c r="CF37" s="1421">
        <v>13</v>
      </c>
      <c r="CG37" s="1421">
        <v>13</v>
      </c>
      <c r="CH37" s="1421">
        <v>0</v>
      </c>
      <c r="CI37" s="1421">
        <v>0</v>
      </c>
      <c r="CJ37" s="2131">
        <v>60</v>
      </c>
      <c r="CK37" s="2132">
        <v>0.16</v>
      </c>
    </row>
    <row r="38" spans="1:89" ht="19.5" customHeight="1">
      <c r="A38" s="2463"/>
      <c r="B38" s="2464"/>
      <c r="C38" s="2806"/>
      <c r="D38" s="2803"/>
      <c r="E38" s="2803"/>
      <c r="F38" s="2803"/>
      <c r="G38" s="2803"/>
      <c r="H38" s="2803"/>
      <c r="I38" s="2803"/>
      <c r="J38" s="2803"/>
      <c r="K38" s="2803"/>
      <c r="L38" s="2803"/>
      <c r="M38" s="2803"/>
      <c r="N38" s="2803"/>
      <c r="O38" s="2803"/>
      <c r="P38" s="2803"/>
      <c r="Q38" s="2803"/>
      <c r="R38" s="2803"/>
      <c r="S38" s="2803"/>
      <c r="T38" s="2803"/>
      <c r="U38" s="2803"/>
      <c r="V38" s="2803"/>
      <c r="W38" s="2803"/>
      <c r="X38" s="2803"/>
      <c r="Y38" s="2803"/>
      <c r="Z38" s="2803"/>
      <c r="AA38" s="2803"/>
      <c r="AB38" s="2803"/>
      <c r="AC38" s="2803"/>
      <c r="AD38" s="2803"/>
      <c r="AE38" s="2803"/>
      <c r="AF38" s="2804"/>
      <c r="AG38" s="2805"/>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CB38" s="1968" t="s">
        <v>1471</v>
      </c>
      <c r="CC38" s="1421">
        <v>50</v>
      </c>
      <c r="CD38" s="1421">
        <v>60</v>
      </c>
      <c r="CE38" s="1421">
        <v>10</v>
      </c>
      <c r="CF38" s="1421">
        <v>6</v>
      </c>
      <c r="CG38" s="1421">
        <v>6</v>
      </c>
      <c r="CH38" s="1421">
        <v>0</v>
      </c>
      <c r="CI38" s="1421">
        <v>0</v>
      </c>
      <c r="CJ38" s="2133">
        <v>30</v>
      </c>
      <c r="CK38" s="2134">
        <v>0.38</v>
      </c>
    </row>
    <row r="39" spans="1:89" ht="19.5" customHeight="1">
      <c r="A39" s="2465"/>
      <c r="B39" s="2466"/>
      <c r="C39" s="2807"/>
      <c r="D39" s="2808"/>
      <c r="E39" s="2808"/>
      <c r="F39" s="2808"/>
      <c r="G39" s="2808"/>
      <c r="H39" s="2808"/>
      <c r="I39" s="2808"/>
      <c r="J39" s="2808"/>
      <c r="K39" s="2808"/>
      <c r="L39" s="2808"/>
      <c r="M39" s="2808"/>
      <c r="N39" s="2808"/>
      <c r="O39" s="2808"/>
      <c r="P39" s="2808"/>
      <c r="Q39" s="2808"/>
      <c r="R39" s="2808"/>
      <c r="S39" s="2808"/>
      <c r="T39" s="2808"/>
      <c r="U39" s="2808"/>
      <c r="V39" s="2808"/>
      <c r="W39" s="2808"/>
      <c r="X39" s="2808"/>
      <c r="Y39" s="2808"/>
      <c r="Z39" s="2808"/>
      <c r="AA39" s="2808"/>
      <c r="AB39" s="2808"/>
      <c r="AC39" s="2808"/>
      <c r="AD39" s="2808"/>
      <c r="AE39" s="2808"/>
      <c r="AF39" s="2809"/>
      <c r="AG39" s="2810"/>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CB39" s="1968" t="s">
        <v>1472</v>
      </c>
      <c r="CC39" s="1421">
        <v>50</v>
      </c>
      <c r="CD39" s="1421">
        <v>60</v>
      </c>
      <c r="CE39" s="1421">
        <v>10</v>
      </c>
      <c r="CF39" s="1421">
        <v>6</v>
      </c>
      <c r="CG39" s="1421">
        <v>6</v>
      </c>
      <c r="CH39" s="1421">
        <v>0</v>
      </c>
      <c r="CI39" s="1421">
        <v>0</v>
      </c>
      <c r="CJ39" s="2133">
        <v>30</v>
      </c>
      <c r="CK39" s="2134">
        <v>0.17</v>
      </c>
    </row>
    <row r="40" spans="1:89" ht="19.5" customHeight="1">
      <c r="A40" s="175"/>
      <c r="B40" s="1421"/>
      <c r="C40" s="1421"/>
      <c r="D40" s="175"/>
      <c r="E40" s="1421"/>
      <c r="F40" s="1421"/>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75"/>
      <c r="AE40" s="282"/>
      <c r="AF40" s="638"/>
      <c r="AG40" s="92"/>
      <c r="CB40" s="1968" t="s">
        <v>1473</v>
      </c>
      <c r="CC40" s="1421">
        <v>250</v>
      </c>
      <c r="CD40" s="1421">
        <v>190</v>
      </c>
      <c r="CE40" s="1421">
        <v>10</v>
      </c>
      <c r="CF40" s="1421">
        <v>19</v>
      </c>
      <c r="CG40" s="1421">
        <v>19</v>
      </c>
      <c r="CH40" s="1421">
        <v>0</v>
      </c>
      <c r="CI40" s="1421">
        <v>0</v>
      </c>
      <c r="CJ40" s="2131">
        <v>60</v>
      </c>
      <c r="CK40" s="2132">
        <v>0.15</v>
      </c>
    </row>
    <row r="41" spans="1:89" ht="19.5" customHeight="1">
      <c r="A41" s="2481" t="s">
        <v>609</v>
      </c>
      <c r="B41" s="2482"/>
      <c r="C41" s="2787" t="s">
        <v>1273</v>
      </c>
      <c r="D41" s="2517"/>
      <c r="E41" s="2517"/>
      <c r="F41" s="2517"/>
      <c r="G41" s="2517"/>
      <c r="H41" s="2517"/>
      <c r="I41" s="2517"/>
      <c r="J41" s="2517"/>
      <c r="K41" s="2517"/>
      <c r="L41" s="2517"/>
      <c r="M41" s="2517"/>
      <c r="N41" s="2517"/>
      <c r="O41" s="2517"/>
      <c r="P41" s="2517"/>
      <c r="Q41" s="2517"/>
      <c r="R41" s="2517"/>
      <c r="S41" s="2517"/>
      <c r="T41" s="2517"/>
      <c r="U41" s="2517"/>
      <c r="V41" s="2517"/>
      <c r="W41" s="2517"/>
      <c r="X41" s="2517"/>
      <c r="Y41" s="2517"/>
      <c r="Z41" s="2517"/>
      <c r="AA41" s="2517"/>
      <c r="AB41" s="2517"/>
      <c r="AC41" s="2517"/>
      <c r="AD41" s="2788"/>
      <c r="AE41" s="2788"/>
      <c r="AF41" s="2788"/>
      <c r="AG41" s="2788"/>
      <c r="CB41" s="1968" t="s">
        <v>1474</v>
      </c>
      <c r="CC41" s="1421">
        <v>70</v>
      </c>
      <c r="CD41" s="1421">
        <v>155</v>
      </c>
      <c r="CE41" s="1421">
        <v>10</v>
      </c>
      <c r="CF41" s="1421">
        <v>15.5</v>
      </c>
      <c r="CG41" s="1421">
        <v>15.5</v>
      </c>
      <c r="CH41" s="1421">
        <v>0</v>
      </c>
      <c r="CI41" s="1421">
        <v>0</v>
      </c>
      <c r="CJ41" s="2131">
        <v>60</v>
      </c>
      <c r="CK41" s="2132">
        <v>0.92</v>
      </c>
    </row>
    <row r="42" spans="1:89" ht="19.5" customHeight="1">
      <c r="A42" s="2483"/>
      <c r="B42" s="2484"/>
      <c r="C42" s="2517"/>
      <c r="D42" s="2517"/>
      <c r="E42" s="2517"/>
      <c r="F42" s="2517"/>
      <c r="G42" s="2517"/>
      <c r="H42" s="2517"/>
      <c r="I42" s="2517"/>
      <c r="J42" s="2517"/>
      <c r="K42" s="2517"/>
      <c r="L42" s="2517"/>
      <c r="M42" s="2517"/>
      <c r="N42" s="2517"/>
      <c r="O42" s="2517"/>
      <c r="P42" s="2517"/>
      <c r="Q42" s="2517"/>
      <c r="R42" s="2517"/>
      <c r="S42" s="2517"/>
      <c r="T42" s="2517"/>
      <c r="U42" s="2517"/>
      <c r="V42" s="2517"/>
      <c r="W42" s="2517"/>
      <c r="X42" s="2517"/>
      <c r="Y42" s="2517"/>
      <c r="Z42" s="2517"/>
      <c r="AA42" s="2517"/>
      <c r="AB42" s="2517"/>
      <c r="AC42" s="2517"/>
      <c r="AD42" s="2788"/>
      <c r="AE42" s="2788"/>
      <c r="AF42" s="2788"/>
      <c r="AG42" s="2788"/>
      <c r="CB42" s="1968" t="s">
        <v>1475</v>
      </c>
      <c r="CC42" s="1421">
        <v>70</v>
      </c>
      <c r="CD42" s="1421">
        <v>155</v>
      </c>
      <c r="CE42" s="1421">
        <v>10</v>
      </c>
      <c r="CF42" s="1421">
        <v>15.5</v>
      </c>
      <c r="CG42" s="1421">
        <v>15.5</v>
      </c>
      <c r="CH42" s="1421">
        <v>0</v>
      </c>
      <c r="CI42" s="1421">
        <v>0</v>
      </c>
      <c r="CJ42" s="2131">
        <v>60</v>
      </c>
      <c r="CK42" s="2132">
        <v>0.17</v>
      </c>
    </row>
    <row r="43" spans="1:89" ht="19.5" customHeight="1">
      <c r="A43" s="2485"/>
      <c r="B43" s="2486"/>
      <c r="C43" s="2517"/>
      <c r="D43" s="2517"/>
      <c r="E43" s="2517"/>
      <c r="F43" s="2517"/>
      <c r="G43" s="2517"/>
      <c r="H43" s="2517"/>
      <c r="I43" s="2517"/>
      <c r="J43" s="2517"/>
      <c r="K43" s="2517"/>
      <c r="L43" s="2517"/>
      <c r="M43" s="2517"/>
      <c r="N43" s="2517"/>
      <c r="O43" s="2517"/>
      <c r="P43" s="2517"/>
      <c r="Q43" s="2517"/>
      <c r="R43" s="2517"/>
      <c r="S43" s="2517"/>
      <c r="T43" s="2517"/>
      <c r="U43" s="2517"/>
      <c r="V43" s="2517"/>
      <c r="W43" s="2517"/>
      <c r="X43" s="2517"/>
      <c r="Y43" s="2517"/>
      <c r="Z43" s="2517"/>
      <c r="AA43" s="2517"/>
      <c r="AB43" s="2517"/>
      <c r="AC43" s="2517"/>
      <c r="AD43" s="2788"/>
      <c r="AE43" s="2788"/>
      <c r="AF43" s="2788"/>
      <c r="AG43" s="2788"/>
      <c r="CB43" s="1968" t="s">
        <v>1476</v>
      </c>
      <c r="CC43" s="1421">
        <v>5</v>
      </c>
      <c r="CD43" s="1421">
        <v>55</v>
      </c>
      <c r="CE43" s="1421">
        <v>10</v>
      </c>
      <c r="CF43" s="1421">
        <v>3</v>
      </c>
      <c r="CG43" s="1421">
        <v>3</v>
      </c>
      <c r="CH43" s="1421">
        <v>0</v>
      </c>
      <c r="CI43" s="1421">
        <v>0</v>
      </c>
      <c r="CJ43" s="2131">
        <v>60</v>
      </c>
      <c r="CK43" s="2132">
        <v>3.08</v>
      </c>
    </row>
    <row r="44" spans="1:89" ht="19.5" customHeight="1">
      <c r="A44" s="2487"/>
      <c r="B44" s="2488"/>
      <c r="C44" s="2787" t="s">
        <v>588</v>
      </c>
      <c r="D44" s="2517"/>
      <c r="E44" s="2517"/>
      <c r="F44" s="2517"/>
      <c r="G44" s="2517"/>
      <c r="H44" s="2517"/>
      <c r="I44" s="2517"/>
      <c r="J44" s="2517"/>
      <c r="K44" s="2517"/>
      <c r="L44" s="2517"/>
      <c r="M44" s="2517"/>
      <c r="N44" s="2517"/>
      <c r="O44" s="2517"/>
      <c r="P44" s="2517"/>
      <c r="Q44" s="2517"/>
      <c r="R44" s="2517"/>
      <c r="S44" s="2517"/>
      <c r="T44" s="2517"/>
      <c r="U44" s="2517"/>
      <c r="V44" s="2517"/>
      <c r="W44" s="2517"/>
      <c r="X44" s="2788"/>
      <c r="Y44" s="2788"/>
      <c r="Z44" s="2788"/>
      <c r="AA44" s="2788"/>
      <c r="AB44" s="2788"/>
      <c r="AC44" s="2788"/>
      <c r="AD44" s="2788"/>
      <c r="AE44" s="2788"/>
      <c r="AF44" s="2788"/>
      <c r="AG44" s="2788"/>
      <c r="CB44" s="1968" t="s">
        <v>1477</v>
      </c>
      <c r="CC44" s="1421">
        <v>5</v>
      </c>
      <c r="CD44" s="1421">
        <v>55</v>
      </c>
      <c r="CE44" s="1421">
        <v>10</v>
      </c>
      <c r="CF44" s="1421">
        <v>3</v>
      </c>
      <c r="CG44" s="1421">
        <v>3</v>
      </c>
      <c r="CH44" s="1421">
        <v>0</v>
      </c>
      <c r="CI44" s="1421">
        <v>0</v>
      </c>
      <c r="CJ44" s="2131">
        <v>60</v>
      </c>
      <c r="CK44" s="2132">
        <v>1.4</v>
      </c>
    </row>
    <row r="45" spans="1:89" ht="19.5" customHeight="1">
      <c r="CB45" s="1968" t="s">
        <v>1478</v>
      </c>
      <c r="CC45" s="1421">
        <v>450</v>
      </c>
      <c r="CD45" s="1421">
        <v>185</v>
      </c>
      <c r="CE45" s="1421">
        <v>10</v>
      </c>
      <c r="CF45" s="1421">
        <v>18.5</v>
      </c>
      <c r="CG45" s="1421">
        <v>18.5</v>
      </c>
      <c r="CH45" s="1421">
        <v>0</v>
      </c>
      <c r="CI45" s="1421">
        <v>0</v>
      </c>
      <c r="CJ45" s="2131">
        <v>30</v>
      </c>
      <c r="CK45" s="2132">
        <v>0.12</v>
      </c>
    </row>
    <row r="46" spans="1:89" ht="19.5" customHeight="1">
      <c r="CB46" s="1968" t="s">
        <v>1479</v>
      </c>
      <c r="CC46" s="1421">
        <v>300</v>
      </c>
      <c r="CD46" s="1421">
        <v>110</v>
      </c>
      <c r="CE46" s="1421">
        <v>10</v>
      </c>
      <c r="CF46" s="1421">
        <v>6</v>
      </c>
      <c r="CG46" s="1421">
        <v>6</v>
      </c>
      <c r="CH46" s="1421">
        <v>0</v>
      </c>
      <c r="CI46" s="1421">
        <v>0</v>
      </c>
      <c r="CJ46" s="2131">
        <v>60</v>
      </c>
      <c r="CK46" s="2132">
        <v>0.05</v>
      </c>
    </row>
    <row r="47" spans="1:89" ht="19.5" customHeight="1">
      <c r="CB47" s="1968" t="s">
        <v>1480</v>
      </c>
      <c r="CC47" s="1421">
        <v>300</v>
      </c>
      <c r="CD47" s="1421">
        <v>140</v>
      </c>
      <c r="CE47" s="1421">
        <v>10</v>
      </c>
      <c r="CF47" s="1421">
        <v>14</v>
      </c>
      <c r="CG47" s="1421">
        <v>14</v>
      </c>
      <c r="CH47" s="1421">
        <v>0</v>
      </c>
      <c r="CI47" s="1421">
        <v>0</v>
      </c>
      <c r="CJ47" s="2131">
        <v>60</v>
      </c>
      <c r="CK47" s="2132">
        <v>0.17</v>
      </c>
    </row>
    <row r="48" spans="1:89" ht="19.5" customHeight="1">
      <c r="CB48" s="1968" t="s">
        <v>1481</v>
      </c>
      <c r="CC48" s="1421">
        <v>180</v>
      </c>
      <c r="CD48" s="1421">
        <v>195</v>
      </c>
      <c r="CE48" s="1421">
        <v>10</v>
      </c>
      <c r="CF48" s="1421">
        <v>19.5</v>
      </c>
      <c r="CG48" s="1421">
        <v>19.5</v>
      </c>
      <c r="CH48" s="1421">
        <v>0</v>
      </c>
      <c r="CI48" s="1421">
        <v>0</v>
      </c>
      <c r="CJ48" s="2131">
        <v>60</v>
      </c>
      <c r="CK48" s="2134">
        <v>0.26</v>
      </c>
    </row>
    <row r="49" spans="80:89" ht="19.5" customHeight="1">
      <c r="CB49" s="1968" t="s">
        <v>1482</v>
      </c>
      <c r="CC49" s="1421">
        <v>80</v>
      </c>
      <c r="CD49" s="1421">
        <v>195</v>
      </c>
      <c r="CE49" s="1421">
        <v>10</v>
      </c>
      <c r="CF49" s="1421">
        <v>19.5</v>
      </c>
      <c r="CG49" s="1421">
        <v>19.5</v>
      </c>
      <c r="CH49" s="1421">
        <v>0</v>
      </c>
      <c r="CI49" s="1421">
        <v>0</v>
      </c>
      <c r="CJ49" s="2131">
        <v>60</v>
      </c>
      <c r="CK49" s="2134">
        <v>0.34888888888888892</v>
      </c>
    </row>
    <row r="50" spans="80:89" ht="19.5" customHeight="1">
      <c r="CB50" s="1968" t="s">
        <v>1483</v>
      </c>
      <c r="CC50" s="1421">
        <v>80</v>
      </c>
      <c r="CD50" s="1421">
        <v>195</v>
      </c>
      <c r="CE50" s="1421">
        <v>10</v>
      </c>
      <c r="CF50" s="1421">
        <v>19.5</v>
      </c>
      <c r="CG50" s="1421">
        <v>19.5</v>
      </c>
      <c r="CH50" s="1421">
        <v>0</v>
      </c>
      <c r="CI50" s="1421">
        <v>0</v>
      </c>
      <c r="CJ50" s="2131">
        <v>60</v>
      </c>
      <c r="CK50" s="2132">
        <v>0.2</v>
      </c>
    </row>
    <row r="51" spans="80:89" ht="19.5" customHeight="1">
      <c r="CB51" s="1968" t="s">
        <v>1484</v>
      </c>
      <c r="CC51" s="1421">
        <v>120</v>
      </c>
      <c r="CD51" s="1421">
        <v>125</v>
      </c>
      <c r="CE51" s="1421">
        <v>10</v>
      </c>
      <c r="CF51" s="1421">
        <v>12.5</v>
      </c>
      <c r="CG51" s="1421">
        <v>12.5</v>
      </c>
      <c r="CH51" s="1421">
        <v>0</v>
      </c>
      <c r="CI51" s="1421">
        <v>0</v>
      </c>
      <c r="CJ51" s="2131">
        <v>30</v>
      </c>
      <c r="CK51" s="2132">
        <v>0.15</v>
      </c>
    </row>
    <row r="52" spans="80:89" ht="19.5" customHeight="1">
      <c r="CB52" s="1968" t="s">
        <v>1485</v>
      </c>
      <c r="CC52" s="1421">
        <v>150</v>
      </c>
      <c r="CD52" s="1421">
        <v>65</v>
      </c>
      <c r="CE52" s="1421">
        <v>10</v>
      </c>
      <c r="CF52" s="1421">
        <v>6.5</v>
      </c>
      <c r="CG52" s="1421">
        <v>6.5</v>
      </c>
      <c r="CH52" s="1421">
        <v>0</v>
      </c>
      <c r="CI52" s="1421">
        <v>0</v>
      </c>
      <c r="CJ52" s="2131">
        <v>30</v>
      </c>
      <c r="CK52" s="2132">
        <v>9.1999999999999998E-2</v>
      </c>
    </row>
    <row r="53" spans="80:89" ht="19.5" customHeight="1">
      <c r="CB53" s="1968" t="s">
        <v>1486</v>
      </c>
      <c r="CC53" s="1421">
        <v>250</v>
      </c>
      <c r="CD53" s="1421">
        <v>105</v>
      </c>
      <c r="CE53" s="1421">
        <v>10</v>
      </c>
      <c r="CF53" s="1421">
        <v>10.5</v>
      </c>
      <c r="CG53" s="1421">
        <v>10.5</v>
      </c>
      <c r="CH53" s="1421">
        <v>0</v>
      </c>
      <c r="CI53" s="1421">
        <v>0</v>
      </c>
      <c r="CJ53" s="2131">
        <v>30</v>
      </c>
      <c r="CK53" s="2132">
        <v>9.1999999999999998E-2</v>
      </c>
    </row>
    <row r="54" spans="80:89" ht="19.5" customHeight="1">
      <c r="CB54" s="1968" t="s">
        <v>1487</v>
      </c>
      <c r="CC54" s="1421">
        <v>50</v>
      </c>
      <c r="CD54" s="1421">
        <v>85</v>
      </c>
      <c r="CE54" s="1421">
        <v>10</v>
      </c>
      <c r="CF54" s="1421">
        <v>4</v>
      </c>
      <c r="CG54" s="1421">
        <v>4</v>
      </c>
      <c r="CH54" s="1421">
        <v>0</v>
      </c>
      <c r="CI54" s="1421">
        <v>0</v>
      </c>
      <c r="CJ54" s="2133">
        <v>30</v>
      </c>
      <c r="CK54" s="2134">
        <v>0.17</v>
      </c>
    </row>
    <row r="55" spans="80:89" ht="19.5" customHeight="1">
      <c r="CB55" s="1968" t="s">
        <v>1488</v>
      </c>
      <c r="CC55" s="1421">
        <v>20</v>
      </c>
      <c r="CD55" s="1421">
        <v>100</v>
      </c>
      <c r="CE55" s="1421">
        <v>10</v>
      </c>
      <c r="CF55" s="1421">
        <v>10</v>
      </c>
      <c r="CG55" s="1421">
        <v>10</v>
      </c>
      <c r="CH55" s="1421">
        <v>0</v>
      </c>
      <c r="CI55" s="1421">
        <v>0</v>
      </c>
      <c r="CJ55" s="2133">
        <v>60</v>
      </c>
      <c r="CK55" s="2134">
        <v>2.15</v>
      </c>
    </row>
    <row r="56" spans="80:89" ht="19.5" customHeight="1">
      <c r="CB56" s="1968" t="s">
        <v>1489</v>
      </c>
      <c r="CC56" s="1421">
        <v>20</v>
      </c>
      <c r="CD56" s="1421">
        <v>100</v>
      </c>
      <c r="CE56" s="1421">
        <v>10</v>
      </c>
      <c r="CF56" s="1421">
        <v>10</v>
      </c>
      <c r="CG56" s="1421">
        <v>10</v>
      </c>
      <c r="CH56" s="1421">
        <v>0</v>
      </c>
      <c r="CI56" s="1421">
        <v>0</v>
      </c>
      <c r="CJ56" s="2133">
        <v>60</v>
      </c>
      <c r="CK56" s="2134">
        <v>1.6</v>
      </c>
    </row>
    <row r="57" spans="80:89" ht="19.5" customHeight="1">
      <c r="CB57" s="1968" t="s">
        <v>1490</v>
      </c>
      <c r="CC57" s="1421">
        <v>500</v>
      </c>
      <c r="CD57" s="1421">
        <v>175</v>
      </c>
      <c r="CE57" s="1421">
        <v>10</v>
      </c>
      <c r="CF57" s="1421">
        <v>18</v>
      </c>
      <c r="CG57" s="1421">
        <v>18</v>
      </c>
      <c r="CH57" s="1421">
        <v>0</v>
      </c>
      <c r="CI57" s="1421">
        <v>0</v>
      </c>
      <c r="CJ57" s="2131">
        <v>60</v>
      </c>
      <c r="CK57" s="2132">
        <v>0.11</v>
      </c>
    </row>
    <row r="58" spans="80:89" ht="19.5" customHeight="1">
      <c r="CB58" s="1968" t="s">
        <v>1491</v>
      </c>
      <c r="CC58" s="1421">
        <v>100</v>
      </c>
      <c r="CD58" s="1421">
        <v>60</v>
      </c>
      <c r="CE58" s="1421">
        <v>10</v>
      </c>
      <c r="CF58" s="1421">
        <v>6</v>
      </c>
      <c r="CG58" s="1421">
        <v>6</v>
      </c>
      <c r="CH58" s="1421">
        <v>0</v>
      </c>
      <c r="CI58" s="1421">
        <v>0</v>
      </c>
      <c r="CJ58" s="2133">
        <v>60</v>
      </c>
      <c r="CK58" s="2134">
        <v>0.12</v>
      </c>
    </row>
    <row r="59" spans="80:89" ht="19.5" customHeight="1">
      <c r="CB59" s="1968" t="s">
        <v>1492</v>
      </c>
      <c r="CC59" s="1421">
        <v>150</v>
      </c>
      <c r="CD59" s="1421">
        <v>141</v>
      </c>
      <c r="CE59" s="1421">
        <v>10</v>
      </c>
      <c r="CF59" s="1421">
        <v>14</v>
      </c>
      <c r="CG59" s="1421">
        <v>14</v>
      </c>
      <c r="CH59" s="1421">
        <v>0</v>
      </c>
      <c r="CI59" s="1421">
        <v>0</v>
      </c>
      <c r="CJ59" s="2131">
        <v>60</v>
      </c>
      <c r="CK59" s="2132">
        <v>0.34666666666666668</v>
      </c>
    </row>
    <row r="60" spans="80:89" ht="19.5" customHeight="1">
      <c r="CB60" s="1968" t="s">
        <v>1493</v>
      </c>
      <c r="CC60" s="1421">
        <v>150</v>
      </c>
      <c r="CD60" s="1421">
        <v>140</v>
      </c>
      <c r="CE60" s="1421">
        <v>10</v>
      </c>
      <c r="CF60" s="1421">
        <v>14</v>
      </c>
      <c r="CG60" s="1421">
        <v>14</v>
      </c>
      <c r="CH60" s="1421">
        <v>0</v>
      </c>
      <c r="CI60" s="1421">
        <v>0</v>
      </c>
      <c r="CJ60" s="2131">
        <v>60</v>
      </c>
      <c r="CK60" s="2132">
        <v>0.3</v>
      </c>
    </row>
    <row r="61" spans="80:89" ht="19.5" customHeight="1">
      <c r="CB61" s="1968" t="s">
        <v>1494</v>
      </c>
      <c r="CC61" s="1421">
        <v>230</v>
      </c>
      <c r="CD61" s="1421">
        <v>155</v>
      </c>
      <c r="CE61" s="1421">
        <v>10</v>
      </c>
      <c r="CF61" s="1421">
        <v>15.5</v>
      </c>
      <c r="CG61" s="1421">
        <v>15.5</v>
      </c>
      <c r="CH61" s="1421">
        <v>0</v>
      </c>
      <c r="CI61" s="1421">
        <v>0</v>
      </c>
      <c r="CJ61" s="2131">
        <v>60</v>
      </c>
      <c r="CK61" s="2132">
        <v>0.14000000000000001</v>
      </c>
    </row>
    <row r="62" spans="80:89" ht="19.5" customHeight="1">
      <c r="CB62" s="1968" t="s">
        <v>1495</v>
      </c>
      <c r="CC62" s="1421">
        <v>200</v>
      </c>
      <c r="CD62" s="1421">
        <v>140</v>
      </c>
      <c r="CE62" s="1421">
        <v>10</v>
      </c>
      <c r="CF62" s="1421">
        <v>14</v>
      </c>
      <c r="CG62" s="1421">
        <v>14</v>
      </c>
      <c r="CH62" s="1421">
        <v>0</v>
      </c>
      <c r="CI62" s="1421">
        <v>0</v>
      </c>
      <c r="CJ62" s="2131">
        <v>60</v>
      </c>
      <c r="CK62" s="2132">
        <v>0.37</v>
      </c>
    </row>
    <row r="63" spans="80:89" ht="19.5" customHeight="1">
      <c r="CB63" s="1968" t="s">
        <v>1496</v>
      </c>
      <c r="CC63" s="1421">
        <v>200</v>
      </c>
      <c r="CD63" s="1421">
        <v>140</v>
      </c>
      <c r="CE63" s="1421">
        <v>10</v>
      </c>
      <c r="CF63" s="1421">
        <v>14</v>
      </c>
      <c r="CG63" s="1421">
        <v>14</v>
      </c>
      <c r="CH63" s="1421">
        <v>0</v>
      </c>
      <c r="CI63" s="1421">
        <v>0</v>
      </c>
      <c r="CJ63" s="2131">
        <v>60</v>
      </c>
      <c r="CK63" s="2132">
        <v>0.23</v>
      </c>
    </row>
    <row r="64" spans="80:89" ht="19.5" customHeight="1">
      <c r="CB64" s="1968" t="s">
        <v>1497</v>
      </c>
      <c r="CC64" s="1421">
        <v>200</v>
      </c>
      <c r="CD64" s="1421">
        <v>190</v>
      </c>
      <c r="CE64" s="1421">
        <v>10</v>
      </c>
      <c r="CF64" s="1421">
        <v>19</v>
      </c>
      <c r="CG64" s="1421">
        <v>19</v>
      </c>
      <c r="CH64" s="1421">
        <v>0</v>
      </c>
      <c r="CI64" s="1421">
        <v>0</v>
      </c>
      <c r="CJ64" s="2131">
        <v>60</v>
      </c>
      <c r="CK64" s="2132">
        <v>0.41000000000000003</v>
      </c>
    </row>
    <row r="65" spans="80:89" ht="19.5" customHeight="1">
      <c r="CB65" s="1968" t="s">
        <v>1498</v>
      </c>
      <c r="CC65" s="1421">
        <v>200</v>
      </c>
      <c r="CD65" s="1421">
        <v>190</v>
      </c>
      <c r="CE65" s="1421">
        <v>10</v>
      </c>
      <c r="CF65" s="1421">
        <v>16</v>
      </c>
      <c r="CG65" s="1421">
        <v>16</v>
      </c>
      <c r="CH65" s="1421">
        <v>0</v>
      </c>
      <c r="CI65" s="1421">
        <v>0</v>
      </c>
      <c r="CJ65" s="2131">
        <v>60</v>
      </c>
      <c r="CK65" s="2132">
        <v>0.25</v>
      </c>
    </row>
    <row r="66" spans="80:89" ht="19.5" customHeight="1">
      <c r="CB66" s="1968" t="s">
        <v>1499</v>
      </c>
      <c r="CC66" s="1421">
        <v>20</v>
      </c>
      <c r="CD66" s="1421">
        <v>45</v>
      </c>
      <c r="CE66" s="1421">
        <v>10</v>
      </c>
      <c r="CF66" s="1421">
        <v>2</v>
      </c>
      <c r="CG66" s="1421">
        <v>2</v>
      </c>
      <c r="CH66" s="1421">
        <v>0</v>
      </c>
      <c r="CI66" s="1421">
        <v>0</v>
      </c>
      <c r="CJ66" s="2133">
        <v>30</v>
      </c>
      <c r="CK66" s="2134">
        <v>0.2</v>
      </c>
    </row>
    <row r="67" spans="80:89" ht="19.5" customHeight="1">
      <c r="CB67" s="1968" t="s">
        <v>1500</v>
      </c>
      <c r="CC67" s="1421">
        <v>300</v>
      </c>
      <c r="CD67" s="1421">
        <v>130</v>
      </c>
      <c r="CE67" s="1421">
        <v>10</v>
      </c>
      <c r="CF67" s="1421">
        <v>13</v>
      </c>
      <c r="CG67" s="1421">
        <v>13</v>
      </c>
      <c r="CH67" s="1421">
        <v>0</v>
      </c>
      <c r="CI67" s="1421">
        <v>0</v>
      </c>
      <c r="CJ67" s="2136">
        <v>30</v>
      </c>
      <c r="CK67" s="2132">
        <v>0.2</v>
      </c>
    </row>
    <row r="68" spans="80:89" ht="19.5" customHeight="1">
      <c r="CB68" s="1968" t="s">
        <v>1501</v>
      </c>
      <c r="CC68" s="1421">
        <v>150</v>
      </c>
      <c r="CD68" s="1421">
        <v>125</v>
      </c>
      <c r="CE68" s="1421">
        <v>10</v>
      </c>
      <c r="CF68" s="1421">
        <v>12.5</v>
      </c>
      <c r="CG68" s="1421">
        <v>12.5</v>
      </c>
      <c r="CH68" s="1421">
        <v>0</v>
      </c>
      <c r="CI68" s="1421">
        <v>0</v>
      </c>
      <c r="CJ68" s="2131">
        <v>30</v>
      </c>
      <c r="CK68" s="2132">
        <v>0.16</v>
      </c>
    </row>
    <row r="69" spans="80:89" ht="19.5" customHeight="1">
      <c r="CB69" s="1968" t="s">
        <v>1502</v>
      </c>
      <c r="CC69" s="1421">
        <v>40</v>
      </c>
      <c r="CD69" s="1421">
        <v>120</v>
      </c>
      <c r="CE69" s="1421">
        <v>10</v>
      </c>
      <c r="CF69" s="1421">
        <v>12</v>
      </c>
      <c r="CG69" s="1421">
        <v>12</v>
      </c>
      <c r="CH69" s="1421">
        <v>0</v>
      </c>
      <c r="CI69" s="1421">
        <v>0</v>
      </c>
      <c r="CJ69" s="2131">
        <v>60</v>
      </c>
      <c r="CK69" s="2134">
        <v>1.22</v>
      </c>
    </row>
    <row r="70" spans="80:89" ht="19.5" customHeight="1">
      <c r="CB70" s="1968" t="s">
        <v>1503</v>
      </c>
      <c r="CC70" s="1421">
        <v>40</v>
      </c>
      <c r="CD70" s="1421">
        <v>120</v>
      </c>
      <c r="CE70" s="1421">
        <v>10</v>
      </c>
      <c r="CF70" s="1421">
        <v>12</v>
      </c>
      <c r="CG70" s="1421">
        <v>12</v>
      </c>
      <c r="CH70" s="1421">
        <v>0</v>
      </c>
      <c r="CI70" s="1421">
        <v>0</v>
      </c>
      <c r="CJ70" s="2131">
        <v>60</v>
      </c>
      <c r="CK70" s="2134">
        <v>0.83</v>
      </c>
    </row>
    <row r="71" spans="80:89" ht="19.5" customHeight="1">
      <c r="CB71" s="1968" t="s">
        <v>1504</v>
      </c>
      <c r="CC71" s="1421">
        <v>150</v>
      </c>
      <c r="CD71" s="1421">
        <v>190</v>
      </c>
      <c r="CE71" s="1421">
        <v>10</v>
      </c>
      <c r="CF71" s="1421">
        <v>19</v>
      </c>
      <c r="CG71" s="1421">
        <v>19</v>
      </c>
      <c r="CH71" s="1421">
        <v>0</v>
      </c>
      <c r="CI71" s="1421">
        <v>0</v>
      </c>
      <c r="CJ71" s="2133">
        <v>60</v>
      </c>
      <c r="CK71" s="2134">
        <v>0.23</v>
      </c>
    </row>
    <row r="72" spans="80:89" ht="19.5" customHeight="1">
      <c r="CB72" s="1968" t="s">
        <v>1505</v>
      </c>
      <c r="CC72" s="1421">
        <v>220</v>
      </c>
      <c r="CD72" s="1421">
        <v>135</v>
      </c>
      <c r="CE72" s="1421">
        <v>10</v>
      </c>
      <c r="CF72" s="1421">
        <v>13.5</v>
      </c>
      <c r="CG72" s="1421">
        <v>13.5</v>
      </c>
      <c r="CH72" s="1421">
        <v>0</v>
      </c>
      <c r="CI72" s="1421">
        <v>0</v>
      </c>
      <c r="CJ72" s="2135">
        <v>60</v>
      </c>
      <c r="CK72" s="2132">
        <v>0.08</v>
      </c>
    </row>
    <row r="73" spans="80:89" ht="19.5" customHeight="1">
      <c r="CB73" s="1968" t="s">
        <v>1506</v>
      </c>
      <c r="CC73" s="1421">
        <v>480</v>
      </c>
      <c r="CD73" s="1421">
        <v>195</v>
      </c>
      <c r="CE73" s="1421">
        <v>10</v>
      </c>
      <c r="CF73" s="1421">
        <v>19.5</v>
      </c>
      <c r="CG73" s="1421">
        <v>19.5</v>
      </c>
      <c r="CH73" s="1421">
        <v>0</v>
      </c>
      <c r="CI73" s="1421">
        <v>0</v>
      </c>
      <c r="CJ73" s="2135">
        <v>60</v>
      </c>
      <c r="CK73" s="2132">
        <v>0.05</v>
      </c>
    </row>
    <row r="74" spans="80:89" ht="19.5" customHeight="1">
      <c r="CB74" s="1968" t="s">
        <v>1507</v>
      </c>
      <c r="CC74" s="1421">
        <v>300</v>
      </c>
      <c r="CD74" s="1421">
        <v>155</v>
      </c>
      <c r="CE74" s="1421">
        <v>10</v>
      </c>
      <c r="CF74" s="1421">
        <v>15.5</v>
      </c>
      <c r="CG74" s="1421">
        <v>15.5</v>
      </c>
      <c r="CH74" s="1421">
        <v>0</v>
      </c>
      <c r="CI74" s="1421">
        <v>0</v>
      </c>
      <c r="CJ74" s="2131">
        <v>30</v>
      </c>
      <c r="CK74" s="2132">
        <v>0.14000000000000001</v>
      </c>
    </row>
    <row r="75" spans="80:89" ht="19.5" customHeight="1">
      <c r="CB75" s="1968" t="s">
        <v>1508</v>
      </c>
      <c r="CC75" s="1421">
        <v>300</v>
      </c>
      <c r="CD75" s="1421">
        <v>150</v>
      </c>
      <c r="CE75" s="1421">
        <v>10</v>
      </c>
      <c r="CF75" s="1421">
        <v>15</v>
      </c>
      <c r="CG75" s="1421">
        <v>15</v>
      </c>
      <c r="CH75" s="1421">
        <v>0</v>
      </c>
      <c r="CI75" s="1421">
        <v>0</v>
      </c>
      <c r="CJ75" s="2131">
        <v>60</v>
      </c>
      <c r="CK75" s="2134">
        <v>0.17</v>
      </c>
    </row>
    <row r="76" spans="80:89" ht="19.5" customHeight="1">
      <c r="CB76" s="1968" t="s">
        <v>1509</v>
      </c>
      <c r="CC76" s="1421">
        <v>150</v>
      </c>
      <c r="CD76" s="1421">
        <v>120</v>
      </c>
      <c r="CE76" s="1421">
        <v>10</v>
      </c>
      <c r="CF76" s="1421">
        <v>12</v>
      </c>
      <c r="CG76" s="1421">
        <v>12</v>
      </c>
      <c r="CH76" s="1421">
        <v>0</v>
      </c>
      <c r="CI76" s="1421">
        <v>0</v>
      </c>
      <c r="CJ76" s="2131">
        <v>30</v>
      </c>
      <c r="CK76" s="2134">
        <v>0.26</v>
      </c>
    </row>
    <row r="77" spans="80:89" ht="19.5" customHeight="1">
      <c r="CB77" s="1968" t="s">
        <v>1510</v>
      </c>
      <c r="CC77" s="1421">
        <v>55</v>
      </c>
      <c r="CD77" s="1421">
        <v>75</v>
      </c>
      <c r="CE77" s="1421">
        <v>10</v>
      </c>
      <c r="CF77" s="1421">
        <v>4</v>
      </c>
      <c r="CG77" s="1421">
        <v>4</v>
      </c>
      <c r="CH77" s="1421">
        <v>0</v>
      </c>
      <c r="CI77" s="1421">
        <v>0</v>
      </c>
      <c r="CJ77" s="2133">
        <v>60</v>
      </c>
      <c r="CK77" s="2134">
        <v>0.2</v>
      </c>
    </row>
    <row r="78" spans="80:89" ht="19.5" customHeight="1">
      <c r="CB78" s="1968" t="s">
        <v>1511</v>
      </c>
      <c r="CC78" s="1421">
        <v>6</v>
      </c>
      <c r="CD78" s="1421">
        <v>25</v>
      </c>
      <c r="CE78" s="1421">
        <v>10</v>
      </c>
      <c r="CF78" s="1421">
        <v>1</v>
      </c>
      <c r="CG78" s="1421">
        <v>1</v>
      </c>
      <c r="CH78" s="1421">
        <v>0</v>
      </c>
      <c r="CI78" s="1421">
        <v>0</v>
      </c>
      <c r="CJ78" s="2133">
        <v>30</v>
      </c>
      <c r="CK78" s="2134">
        <v>0.24</v>
      </c>
    </row>
    <row r="79" spans="80:89" ht="19.5" customHeight="1">
      <c r="CB79" s="1968" t="s">
        <v>1512</v>
      </c>
      <c r="CC79" s="1421">
        <v>210</v>
      </c>
      <c r="CD79" s="1421">
        <v>165</v>
      </c>
      <c r="CE79" s="1421">
        <v>10</v>
      </c>
      <c r="CF79" s="1421">
        <v>16.5</v>
      </c>
      <c r="CG79" s="1421">
        <v>16.5</v>
      </c>
      <c r="CH79" s="1421">
        <v>0</v>
      </c>
      <c r="CI79" s="1421">
        <v>0</v>
      </c>
      <c r="CJ79" s="2131">
        <v>60</v>
      </c>
      <c r="CK79" s="2132">
        <v>0.21</v>
      </c>
    </row>
    <row r="80" spans="80:89" ht="19.5" customHeight="1">
      <c r="CB80" s="1968" t="s">
        <v>1513</v>
      </c>
      <c r="CC80" s="1421">
        <v>115</v>
      </c>
      <c r="CD80" s="1421">
        <v>110</v>
      </c>
      <c r="CE80" s="1421">
        <v>10</v>
      </c>
      <c r="CF80" s="1421">
        <v>6</v>
      </c>
      <c r="CG80" s="1421">
        <v>6</v>
      </c>
      <c r="CH80" s="1421">
        <v>0</v>
      </c>
      <c r="CI80" s="1421">
        <v>0</v>
      </c>
      <c r="CJ80" s="2133">
        <v>60</v>
      </c>
      <c r="CK80" s="2134">
        <v>0.22</v>
      </c>
    </row>
    <row r="81" spans="80:89" ht="19.5" customHeight="1">
      <c r="CB81" s="1968" t="s">
        <v>1514</v>
      </c>
      <c r="CC81" s="1421">
        <v>420</v>
      </c>
      <c r="CD81" s="1421">
        <v>200</v>
      </c>
      <c r="CE81" s="1421">
        <v>10</v>
      </c>
      <c r="CF81" s="1421">
        <v>20</v>
      </c>
      <c r="CG81" s="1421">
        <v>20</v>
      </c>
      <c r="CH81" s="1421">
        <v>0</v>
      </c>
      <c r="CI81" s="1421">
        <v>0</v>
      </c>
      <c r="CJ81" s="2133">
        <v>60</v>
      </c>
      <c r="CK81" s="2134">
        <v>7.0000000000000007E-2</v>
      </c>
    </row>
    <row r="82" spans="80:89" ht="19.5" customHeight="1">
      <c r="CB82" s="1968" t="s">
        <v>1515</v>
      </c>
      <c r="CC82" s="1421">
        <v>200</v>
      </c>
      <c r="CD82" s="1421">
        <v>145</v>
      </c>
      <c r="CE82" s="1421">
        <v>10</v>
      </c>
      <c r="CF82" s="1421">
        <v>15</v>
      </c>
      <c r="CG82" s="1421">
        <v>15</v>
      </c>
      <c r="CH82" s="1421">
        <v>0</v>
      </c>
      <c r="CI82" s="1421">
        <v>0</v>
      </c>
      <c r="CJ82" s="2131">
        <v>60</v>
      </c>
      <c r="CK82" s="2132">
        <v>0.2</v>
      </c>
    </row>
    <row r="83" spans="80:89" ht="19.5" customHeight="1">
      <c r="CB83" s="1968" t="s">
        <v>1516</v>
      </c>
      <c r="CC83" s="1421">
        <v>45</v>
      </c>
      <c r="CD83" s="1421">
        <v>75</v>
      </c>
      <c r="CE83" s="1421">
        <v>10</v>
      </c>
      <c r="CF83" s="1421">
        <v>4</v>
      </c>
      <c r="CG83" s="1421">
        <v>4</v>
      </c>
      <c r="CH83" s="1421">
        <v>0</v>
      </c>
      <c r="CI83" s="1421">
        <v>0</v>
      </c>
      <c r="CJ83" s="2136">
        <v>60</v>
      </c>
      <c r="CK83" s="2134">
        <v>0.32999999999999996</v>
      </c>
    </row>
    <row r="84" spans="80:89" ht="19.5" customHeight="1">
      <c r="CB84" s="1968" t="s">
        <v>1517</v>
      </c>
      <c r="CC84" s="1421">
        <v>45</v>
      </c>
      <c r="CD84" s="1421">
        <v>75</v>
      </c>
      <c r="CE84" s="1421">
        <v>10</v>
      </c>
      <c r="CF84" s="1421">
        <v>4</v>
      </c>
      <c r="CG84" s="1421">
        <v>4</v>
      </c>
      <c r="CH84" s="1421">
        <v>0</v>
      </c>
      <c r="CI84" s="1421">
        <v>0</v>
      </c>
      <c r="CJ84" s="2136">
        <v>60</v>
      </c>
      <c r="CK84" s="2134">
        <v>0.21</v>
      </c>
    </row>
    <row r="85" spans="80:89" ht="19.5" customHeight="1">
      <c r="CB85" s="1968" t="s">
        <v>1518</v>
      </c>
      <c r="CC85" s="1421">
        <v>20</v>
      </c>
      <c r="CD85" s="1421">
        <v>65</v>
      </c>
      <c r="CE85" s="1421">
        <v>10</v>
      </c>
      <c r="CF85" s="1421">
        <v>3</v>
      </c>
      <c r="CG85" s="1421">
        <v>3</v>
      </c>
      <c r="CH85" s="1421">
        <v>0</v>
      </c>
      <c r="CI85" s="1421">
        <v>0</v>
      </c>
      <c r="CJ85" s="2136">
        <v>60</v>
      </c>
      <c r="CK85" s="2134">
        <v>0.48</v>
      </c>
    </row>
    <row r="86" spans="80:89" ht="19.5" customHeight="1">
      <c r="CB86" s="1968" t="s">
        <v>1519</v>
      </c>
      <c r="CC86" s="1421">
        <v>20</v>
      </c>
      <c r="CD86" s="1421">
        <v>65</v>
      </c>
      <c r="CE86" s="1421">
        <v>10</v>
      </c>
      <c r="CF86" s="1421">
        <v>3</v>
      </c>
      <c r="CG86" s="1421">
        <v>3</v>
      </c>
      <c r="CH86" s="1421">
        <v>0</v>
      </c>
      <c r="CI86" s="1421">
        <v>0</v>
      </c>
      <c r="CJ86" s="2136">
        <v>60</v>
      </c>
      <c r="CK86" s="2132">
        <v>0.21</v>
      </c>
    </row>
    <row r="87" spans="80:89" ht="19.5" customHeight="1">
      <c r="CB87" s="1968" t="s">
        <v>1520</v>
      </c>
      <c r="CC87" s="1421">
        <v>185</v>
      </c>
      <c r="CD87" s="1421">
        <v>135</v>
      </c>
      <c r="CE87" s="1421">
        <v>10</v>
      </c>
      <c r="CF87" s="1421">
        <v>13.5</v>
      </c>
      <c r="CG87" s="1421">
        <v>13.5</v>
      </c>
      <c r="CH87" s="1421">
        <v>0</v>
      </c>
      <c r="CI87" s="1421">
        <v>0</v>
      </c>
      <c r="CJ87" s="2131">
        <v>30</v>
      </c>
      <c r="CK87" s="2134">
        <v>0.16</v>
      </c>
    </row>
    <row r="88" spans="80:89" ht="19.5" customHeight="1">
      <c r="CB88" s="1968" t="s">
        <v>1521</v>
      </c>
      <c r="CC88" s="1421">
        <v>200</v>
      </c>
      <c r="CD88" s="1421">
        <v>185</v>
      </c>
      <c r="CE88" s="1421">
        <v>10</v>
      </c>
      <c r="CF88" s="1421">
        <v>18.5</v>
      </c>
      <c r="CG88" s="1421">
        <v>18.5</v>
      </c>
      <c r="CH88" s="1421">
        <v>0</v>
      </c>
      <c r="CI88" s="1421">
        <v>0</v>
      </c>
      <c r="CJ88" s="2133">
        <v>60</v>
      </c>
      <c r="CK88" s="2134">
        <v>0.14000000000000001</v>
      </c>
    </row>
    <row r="89" spans="80:89" ht="19.5" customHeight="1">
      <c r="CB89" s="1968" t="s">
        <v>1522</v>
      </c>
      <c r="CC89" s="1421">
        <v>190</v>
      </c>
      <c r="CD89" s="1421">
        <v>120</v>
      </c>
      <c r="CE89" s="1421">
        <v>10</v>
      </c>
      <c r="CF89" s="1421">
        <v>12</v>
      </c>
      <c r="CG89" s="1421">
        <v>12</v>
      </c>
      <c r="CH89" s="1421">
        <v>0</v>
      </c>
      <c r="CI89" s="1421">
        <v>0</v>
      </c>
      <c r="CJ89" s="2131">
        <v>30</v>
      </c>
      <c r="CK89" s="2132">
        <v>0.1</v>
      </c>
    </row>
    <row r="90" spans="80:89" ht="19.5" customHeight="1">
      <c r="CB90" s="1968" t="s">
        <v>1523</v>
      </c>
      <c r="CC90" s="1421">
        <v>80</v>
      </c>
      <c r="CD90" s="1421">
        <v>85</v>
      </c>
      <c r="CE90" s="1421">
        <v>10</v>
      </c>
      <c r="CF90" s="1421">
        <v>8.5</v>
      </c>
      <c r="CG90" s="1421">
        <v>8.5</v>
      </c>
      <c r="CH90" s="1421">
        <v>0</v>
      </c>
      <c r="CI90" s="1421">
        <v>0</v>
      </c>
      <c r="CJ90" s="2131">
        <v>30</v>
      </c>
      <c r="CK90" s="2134">
        <v>0.28250000000000003</v>
      </c>
    </row>
    <row r="91" spans="80:89" ht="19.5" customHeight="1">
      <c r="CB91" s="1968" t="s">
        <v>1524</v>
      </c>
      <c r="CC91" s="1421">
        <v>80</v>
      </c>
      <c r="CD91" s="1421">
        <v>85</v>
      </c>
      <c r="CE91" s="1421">
        <v>10</v>
      </c>
      <c r="CF91" s="1421">
        <v>8.5</v>
      </c>
      <c r="CG91" s="1421">
        <v>8.5</v>
      </c>
      <c r="CH91" s="1421">
        <v>0</v>
      </c>
      <c r="CI91" s="1421">
        <v>0</v>
      </c>
      <c r="CJ91" s="2131">
        <v>30</v>
      </c>
      <c r="CK91" s="2134">
        <v>0.17</v>
      </c>
    </row>
    <row r="92" spans="80:89" ht="19.5" customHeight="1">
      <c r="CB92" s="1968" t="s">
        <v>1525</v>
      </c>
      <c r="CC92" s="1421">
        <v>120</v>
      </c>
      <c r="CD92" s="1421">
        <v>100</v>
      </c>
      <c r="CE92" s="1421">
        <v>10</v>
      </c>
      <c r="CF92" s="1421">
        <v>5</v>
      </c>
      <c r="CG92" s="1421">
        <v>5</v>
      </c>
      <c r="CH92" s="1421">
        <v>0</v>
      </c>
      <c r="CI92" s="1421">
        <v>0</v>
      </c>
      <c r="CJ92" s="2131">
        <v>30</v>
      </c>
      <c r="CK92" s="2134">
        <v>0.14000000000000001</v>
      </c>
    </row>
    <row r="93" spans="80:89" ht="19.5" customHeight="1">
      <c r="CB93" s="1968" t="s">
        <v>1526</v>
      </c>
      <c r="CC93" s="1421">
        <v>20</v>
      </c>
      <c r="CD93" s="1421">
        <v>80</v>
      </c>
      <c r="CE93" s="1421">
        <v>10</v>
      </c>
      <c r="CF93" s="1421">
        <v>8</v>
      </c>
      <c r="CG93" s="1421">
        <v>8</v>
      </c>
      <c r="CH93" s="1421">
        <v>0</v>
      </c>
      <c r="CI93" s="1421">
        <v>0</v>
      </c>
      <c r="CJ93" s="2136">
        <v>60</v>
      </c>
      <c r="CK93" s="2134">
        <v>2.15</v>
      </c>
    </row>
    <row r="94" spans="80:89" ht="19.5" customHeight="1">
      <c r="CB94" s="1968" t="s">
        <v>1527</v>
      </c>
      <c r="CC94" s="1421">
        <v>20</v>
      </c>
      <c r="CD94" s="1421">
        <v>80</v>
      </c>
      <c r="CE94" s="1421">
        <v>10</v>
      </c>
      <c r="CF94" s="1421">
        <v>8</v>
      </c>
      <c r="CG94" s="1421">
        <v>8</v>
      </c>
      <c r="CH94" s="1421">
        <v>0</v>
      </c>
      <c r="CI94" s="1421">
        <v>0</v>
      </c>
      <c r="CJ94" s="2136">
        <v>60</v>
      </c>
      <c r="CK94" s="2132">
        <v>1.1000000000000001</v>
      </c>
    </row>
    <row r="95" spans="80:89" ht="19.5" customHeight="1">
      <c r="CB95" s="1968" t="s">
        <v>1528</v>
      </c>
      <c r="CC95" s="1421">
        <v>200</v>
      </c>
      <c r="CD95" s="1421">
        <v>115</v>
      </c>
      <c r="CE95" s="1421">
        <v>10</v>
      </c>
      <c r="CF95" s="1421">
        <v>11.5</v>
      </c>
      <c r="CG95" s="1421">
        <v>11.5</v>
      </c>
      <c r="CH95" s="1421">
        <v>0</v>
      </c>
      <c r="CI95" s="1421">
        <v>0</v>
      </c>
      <c r="CJ95" s="2131">
        <v>30</v>
      </c>
      <c r="CK95" s="2132">
        <v>0.1</v>
      </c>
    </row>
    <row r="96" spans="80:89" ht="19.5" customHeight="1">
      <c r="CB96" s="1968" t="s">
        <v>1529</v>
      </c>
      <c r="CC96" s="1421">
        <v>70</v>
      </c>
      <c r="CD96" s="1421">
        <v>160</v>
      </c>
      <c r="CE96" s="1421">
        <v>10</v>
      </c>
      <c r="CF96" s="1421">
        <v>16</v>
      </c>
      <c r="CG96" s="1421">
        <v>16</v>
      </c>
      <c r="CH96" s="1421">
        <v>0</v>
      </c>
      <c r="CI96" s="1421">
        <v>0</v>
      </c>
      <c r="CJ96" s="2131">
        <v>30</v>
      </c>
      <c r="CK96" s="2134">
        <v>0.32</v>
      </c>
    </row>
    <row r="97" spans="80:89" ht="19.5" customHeight="1">
      <c r="CB97" s="1968" t="s">
        <v>1530</v>
      </c>
      <c r="CC97" s="1421">
        <v>70</v>
      </c>
      <c r="CD97" s="1421">
        <v>160</v>
      </c>
      <c r="CE97" s="1421">
        <v>10</v>
      </c>
      <c r="CF97" s="1421">
        <v>16</v>
      </c>
      <c r="CG97" s="1421">
        <v>16</v>
      </c>
      <c r="CH97" s="1421">
        <v>0</v>
      </c>
      <c r="CI97" s="1421">
        <v>0</v>
      </c>
      <c r="CJ97" s="2131">
        <v>30</v>
      </c>
      <c r="CK97" s="2132">
        <v>0.19</v>
      </c>
    </row>
    <row r="98" spans="80:89" ht="19.5" customHeight="1">
      <c r="CB98" s="1968" t="s">
        <v>1531</v>
      </c>
      <c r="CC98" s="1421">
        <v>95</v>
      </c>
      <c r="CD98" s="1421">
        <v>40</v>
      </c>
      <c r="CE98" s="1421">
        <v>9.5</v>
      </c>
      <c r="CF98" s="1421">
        <v>2</v>
      </c>
      <c r="CG98" s="1421">
        <v>2</v>
      </c>
      <c r="CH98" s="1421">
        <v>0</v>
      </c>
      <c r="CI98" s="1421">
        <v>0</v>
      </c>
      <c r="CJ98" s="2133">
        <v>30</v>
      </c>
      <c r="CK98" s="2134">
        <v>0.12</v>
      </c>
    </row>
    <row r="99" spans="80:89" ht="19.5" customHeight="1">
      <c r="CB99" s="1968" t="s">
        <v>1532</v>
      </c>
      <c r="CC99" s="1421">
        <v>25</v>
      </c>
      <c r="CD99" s="1421">
        <v>30</v>
      </c>
      <c r="CE99" s="1421">
        <v>10</v>
      </c>
      <c r="CF99" s="1421">
        <v>2</v>
      </c>
      <c r="CG99" s="1421">
        <v>2</v>
      </c>
      <c r="CH99" s="1421">
        <v>0</v>
      </c>
      <c r="CI99" s="1421">
        <v>0</v>
      </c>
      <c r="CJ99" s="2133">
        <v>30</v>
      </c>
      <c r="CK99" s="2134">
        <v>0.22</v>
      </c>
    </row>
    <row r="100" spans="80:89" ht="19.5" customHeight="1">
      <c r="CB100" s="1968" t="s">
        <v>1533</v>
      </c>
      <c r="CC100" s="1421">
        <v>20</v>
      </c>
      <c r="CD100" s="1421">
        <v>110</v>
      </c>
      <c r="CE100" s="1421">
        <v>10</v>
      </c>
      <c r="CF100" s="1421">
        <v>11</v>
      </c>
      <c r="CG100" s="1421">
        <v>11</v>
      </c>
      <c r="CH100" s="1421">
        <v>0</v>
      </c>
      <c r="CI100" s="1421">
        <v>0</v>
      </c>
      <c r="CJ100" s="2136">
        <v>60</v>
      </c>
      <c r="CK100" s="2134">
        <v>2.7249999999999996</v>
      </c>
    </row>
    <row r="101" spans="80:89" ht="19.5" customHeight="1">
      <c r="CB101" s="1968" t="s">
        <v>1534</v>
      </c>
      <c r="CC101" s="1421">
        <v>20</v>
      </c>
      <c r="CD101" s="1421">
        <v>110</v>
      </c>
      <c r="CE101" s="1421">
        <v>10</v>
      </c>
      <c r="CF101" s="1421">
        <v>11</v>
      </c>
      <c r="CG101" s="1421">
        <v>11</v>
      </c>
      <c r="CH101" s="1421">
        <v>0</v>
      </c>
      <c r="CI101" s="1421">
        <v>0</v>
      </c>
      <c r="CJ101" s="2136">
        <v>60</v>
      </c>
      <c r="CK101" s="2134">
        <v>1.1499999999999999</v>
      </c>
    </row>
    <row r="102" spans="80:89" ht="19.5" customHeight="1">
      <c r="CB102" s="1968" t="s">
        <v>1535</v>
      </c>
      <c r="CC102" s="1421">
        <v>23</v>
      </c>
      <c r="CD102" s="1421">
        <v>120</v>
      </c>
      <c r="CE102" s="1421">
        <v>10</v>
      </c>
      <c r="CF102" s="1421">
        <v>12</v>
      </c>
      <c r="CG102" s="1421">
        <v>12</v>
      </c>
      <c r="CH102" s="1421">
        <v>0</v>
      </c>
      <c r="CI102" s="1421">
        <v>0</v>
      </c>
      <c r="CJ102" s="2131">
        <v>60</v>
      </c>
      <c r="CK102" s="2134">
        <v>2.7021739130434779</v>
      </c>
    </row>
    <row r="103" spans="80:89" ht="19.5" customHeight="1">
      <c r="CB103" s="1968" t="s">
        <v>1536</v>
      </c>
      <c r="CC103" s="1421">
        <v>23</v>
      </c>
      <c r="CD103" s="1421">
        <v>120</v>
      </c>
      <c r="CE103" s="1421">
        <v>10</v>
      </c>
      <c r="CF103" s="1421">
        <v>12</v>
      </c>
      <c r="CG103" s="1421">
        <v>12</v>
      </c>
      <c r="CH103" s="1421">
        <v>0</v>
      </c>
      <c r="CI103" s="1421">
        <v>0</v>
      </c>
      <c r="CJ103" s="2131">
        <v>60</v>
      </c>
      <c r="CK103" s="2132">
        <v>1.1499999999999999</v>
      </c>
    </row>
    <row r="104" spans="80:89" ht="19.5" customHeight="1">
      <c r="CB104" s="1968" t="s">
        <v>1537</v>
      </c>
      <c r="CC104" s="1421">
        <v>0</v>
      </c>
      <c r="CD104" s="1421">
        <v>20</v>
      </c>
      <c r="CE104" s="1421">
        <v>10</v>
      </c>
      <c r="CF104" s="1421">
        <v>1</v>
      </c>
      <c r="CG104" s="1421">
        <v>1</v>
      </c>
      <c r="CH104" s="1421">
        <v>0</v>
      </c>
      <c r="CI104" s="1421">
        <v>0</v>
      </c>
      <c r="CJ104" s="2133">
        <v>60</v>
      </c>
      <c r="CK104" s="2134">
        <v>1.1499999999999999</v>
      </c>
    </row>
    <row r="105" spans="80:89" ht="19.5" customHeight="1">
      <c r="CB105" s="1968" t="s">
        <v>1538</v>
      </c>
      <c r="CC105" s="1421">
        <v>25</v>
      </c>
      <c r="CD105" s="1421">
        <v>90</v>
      </c>
      <c r="CE105" s="1421">
        <v>10</v>
      </c>
      <c r="CF105" s="1421">
        <v>9</v>
      </c>
      <c r="CG105" s="1421">
        <v>9</v>
      </c>
      <c r="CH105" s="1421">
        <v>0</v>
      </c>
      <c r="CI105" s="1421">
        <v>0</v>
      </c>
      <c r="CJ105" s="2136">
        <v>60</v>
      </c>
      <c r="CK105" s="2132">
        <v>0.13</v>
      </c>
    </row>
    <row r="106" spans="80:89" ht="19.5" customHeight="1">
      <c r="CB106" s="1968" t="s">
        <v>1539</v>
      </c>
      <c r="CC106" s="1421">
        <v>550</v>
      </c>
      <c r="CD106" s="1421">
        <v>245</v>
      </c>
      <c r="CE106" s="1421">
        <v>10</v>
      </c>
      <c r="CF106" s="1421">
        <v>25</v>
      </c>
      <c r="CG106" s="1421">
        <v>25</v>
      </c>
      <c r="CH106" s="1421">
        <v>0</v>
      </c>
      <c r="CI106" s="1421">
        <v>0</v>
      </c>
      <c r="CJ106" s="2131">
        <v>60</v>
      </c>
      <c r="CK106" s="2132">
        <v>0.11</v>
      </c>
    </row>
    <row r="107" spans="80:89" ht="19.5" customHeight="1">
      <c r="CB107" s="1968" t="s">
        <v>1540</v>
      </c>
      <c r="CC107" s="1421">
        <v>550</v>
      </c>
      <c r="CD107" s="1421">
        <v>245</v>
      </c>
      <c r="CE107" s="1421">
        <v>10</v>
      </c>
      <c r="CF107" s="1421">
        <v>25</v>
      </c>
      <c r="CG107" s="1421">
        <v>25</v>
      </c>
      <c r="CH107" s="1421">
        <v>0</v>
      </c>
      <c r="CI107" s="1421">
        <v>0</v>
      </c>
      <c r="CJ107" s="2131">
        <v>60</v>
      </c>
      <c r="CK107" s="2132">
        <v>0.65416666666666667</v>
      </c>
    </row>
    <row r="108" spans="80:89" ht="19.5" customHeight="1">
      <c r="CB108" s="1421" t="s">
        <v>1541</v>
      </c>
      <c r="CC108" s="1421">
        <v>120</v>
      </c>
      <c r="CD108" s="1421">
        <v>245</v>
      </c>
      <c r="CE108" s="1421">
        <v>10</v>
      </c>
      <c r="CF108" s="1421">
        <v>25</v>
      </c>
      <c r="CG108" s="1421">
        <v>25</v>
      </c>
      <c r="CH108" s="1421">
        <v>0</v>
      </c>
      <c r="CI108" s="1421">
        <v>0</v>
      </c>
      <c r="CJ108" s="2131">
        <v>60</v>
      </c>
      <c r="CK108" s="2132">
        <v>0.15</v>
      </c>
    </row>
    <row r="109" spans="80:89" ht="19.5" customHeight="1">
      <c r="CB109" s="1421" t="s">
        <v>1542</v>
      </c>
      <c r="CC109" s="1421">
        <v>30</v>
      </c>
      <c r="CD109" s="1421">
        <v>100</v>
      </c>
      <c r="CE109" s="1421">
        <v>10</v>
      </c>
      <c r="CF109" s="1421">
        <v>5</v>
      </c>
      <c r="CG109" s="1421">
        <v>5</v>
      </c>
      <c r="CH109" s="1421">
        <v>0</v>
      </c>
      <c r="CI109" s="1421">
        <v>0</v>
      </c>
      <c r="CJ109" s="2135">
        <v>30</v>
      </c>
      <c r="CK109" s="2132">
        <v>0.21</v>
      </c>
    </row>
    <row r="110" spans="80:89" ht="19.5" customHeight="1">
      <c r="CB110" s="1421" t="s">
        <v>1543</v>
      </c>
      <c r="CC110" s="1421">
        <v>275</v>
      </c>
      <c r="CD110" s="2137">
        <v>135</v>
      </c>
      <c r="CE110" s="1421">
        <v>10</v>
      </c>
      <c r="CF110" s="1421">
        <v>14</v>
      </c>
      <c r="CG110" s="1421">
        <v>14</v>
      </c>
      <c r="CH110" s="1421">
        <v>0</v>
      </c>
      <c r="CI110" s="1421">
        <v>0</v>
      </c>
      <c r="CJ110" s="2136">
        <v>60</v>
      </c>
      <c r="CK110" s="2132">
        <v>0.11</v>
      </c>
    </row>
    <row r="111" spans="80:89" ht="19.5" customHeight="1">
      <c r="CB111" s="1421" t="s">
        <v>1544</v>
      </c>
      <c r="CC111" s="1421">
        <v>100</v>
      </c>
      <c r="CD111" s="2137">
        <v>70</v>
      </c>
      <c r="CE111" s="1421">
        <v>10</v>
      </c>
      <c r="CF111" s="1421">
        <v>7</v>
      </c>
      <c r="CG111" s="1421">
        <v>7</v>
      </c>
      <c r="CH111" s="1421">
        <v>0</v>
      </c>
      <c r="CI111" s="1421">
        <v>0</v>
      </c>
      <c r="CJ111" s="2131">
        <v>60</v>
      </c>
      <c r="CK111" s="2132">
        <v>0.2</v>
      </c>
    </row>
    <row r="112" spans="80:89" ht="19.5" customHeight="1">
      <c r="CB112" s="1421" t="s">
        <v>1545</v>
      </c>
      <c r="CC112" s="1421">
        <v>200</v>
      </c>
      <c r="CD112" s="2137">
        <v>135</v>
      </c>
      <c r="CE112" s="1421">
        <v>10</v>
      </c>
      <c r="CF112" s="1421">
        <v>14</v>
      </c>
      <c r="CG112" s="1421">
        <v>14</v>
      </c>
      <c r="CH112" s="1421">
        <v>0</v>
      </c>
      <c r="CI112" s="1421">
        <v>0</v>
      </c>
      <c r="CJ112" s="2131">
        <v>30</v>
      </c>
      <c r="CK112" s="2132">
        <v>0.14000000000000001</v>
      </c>
    </row>
    <row r="113" spans="80:89" ht="19.5" customHeight="1">
      <c r="CB113" s="1421" t="s">
        <v>1546</v>
      </c>
      <c r="CC113" s="1421">
        <v>500</v>
      </c>
      <c r="CD113" s="1967">
        <v>215</v>
      </c>
      <c r="CE113" s="1421">
        <v>10</v>
      </c>
      <c r="CF113" s="1421">
        <v>21.5</v>
      </c>
      <c r="CG113" s="1421">
        <v>21.5</v>
      </c>
      <c r="CH113" s="1421">
        <v>0</v>
      </c>
      <c r="CI113" s="1421">
        <v>0</v>
      </c>
      <c r="CJ113" s="2131">
        <v>60</v>
      </c>
      <c r="CK113" s="2132">
        <v>0.16</v>
      </c>
    </row>
    <row r="114" spans="80:89" ht="19.5" customHeight="1">
      <c r="CB114" s="1421" t="s">
        <v>1547</v>
      </c>
      <c r="CC114" s="1421">
        <v>100</v>
      </c>
      <c r="CD114" s="1967">
        <v>235</v>
      </c>
      <c r="CE114" s="1421">
        <v>10</v>
      </c>
      <c r="CF114" s="1421">
        <v>23.5</v>
      </c>
      <c r="CG114" s="1421">
        <v>23.5</v>
      </c>
      <c r="CH114" s="1421">
        <v>0</v>
      </c>
      <c r="CI114" s="1421">
        <v>0</v>
      </c>
      <c r="CJ114" s="2131">
        <v>60</v>
      </c>
      <c r="CK114" s="2132">
        <v>0.88</v>
      </c>
    </row>
    <row r="115" spans="80:89" ht="19.5" customHeight="1">
      <c r="CB115" s="1421" t="s">
        <v>1548</v>
      </c>
      <c r="CC115" s="1421">
        <v>100</v>
      </c>
      <c r="CD115" s="1967">
        <v>235</v>
      </c>
      <c r="CE115" s="1421">
        <v>10</v>
      </c>
      <c r="CF115" s="1421">
        <v>23.5</v>
      </c>
      <c r="CG115" s="1421">
        <v>23.5</v>
      </c>
      <c r="CH115" s="1421">
        <v>0</v>
      </c>
      <c r="CI115" s="1421">
        <v>0</v>
      </c>
      <c r="CJ115" s="2131">
        <v>60</v>
      </c>
      <c r="CK115" s="2132">
        <v>0.16</v>
      </c>
    </row>
    <row r="116" spans="80:89">
      <c r="CB116" s="1421" t="s">
        <v>1549</v>
      </c>
      <c r="CC116" s="1421">
        <v>280</v>
      </c>
      <c r="CD116" s="1967">
        <v>105</v>
      </c>
      <c r="CE116" s="1421">
        <v>10</v>
      </c>
      <c r="CF116" s="1421">
        <v>5</v>
      </c>
      <c r="CG116" s="1421">
        <v>5</v>
      </c>
      <c r="CH116" s="1421">
        <v>0</v>
      </c>
      <c r="CI116" s="1421">
        <v>0</v>
      </c>
      <c r="CJ116" s="2133">
        <v>60</v>
      </c>
      <c r="CK116" s="2134">
        <v>0.12</v>
      </c>
    </row>
    <row r="117" spans="80:89">
      <c r="CB117" s="1421" t="s">
        <v>1550</v>
      </c>
      <c r="CC117" s="1421">
        <v>15</v>
      </c>
      <c r="CD117" s="1967">
        <v>100</v>
      </c>
      <c r="CE117" s="1421">
        <v>10</v>
      </c>
      <c r="CF117" s="1421">
        <v>10</v>
      </c>
      <c r="CG117" s="1421">
        <v>10</v>
      </c>
      <c r="CH117" s="1421">
        <v>0</v>
      </c>
      <c r="CI117" s="1421">
        <v>0</v>
      </c>
      <c r="CJ117" s="2133">
        <v>60</v>
      </c>
      <c r="CK117" s="2132">
        <v>3.2666666666666666</v>
      </c>
    </row>
    <row r="118" spans="80:89">
      <c r="CB118" s="1421" t="s">
        <v>1551</v>
      </c>
      <c r="CC118" s="1421">
        <v>15</v>
      </c>
      <c r="CD118" s="1967">
        <v>100</v>
      </c>
      <c r="CE118" s="1421">
        <v>10</v>
      </c>
      <c r="CF118" s="1421">
        <v>10</v>
      </c>
      <c r="CG118" s="1421">
        <v>10</v>
      </c>
      <c r="CH118" s="1421">
        <v>0</v>
      </c>
      <c r="CI118" s="1421">
        <v>0</v>
      </c>
      <c r="CJ118" s="2133">
        <v>60</v>
      </c>
      <c r="CK118" s="2132">
        <v>1.1200000000000001</v>
      </c>
    </row>
    <row r="119" spans="80:89">
      <c r="CB119" s="1421" t="s">
        <v>1552</v>
      </c>
      <c r="CC119" s="1421">
        <v>200</v>
      </c>
      <c r="CD119" s="1967">
        <v>255</v>
      </c>
      <c r="CE119" s="1421">
        <v>10</v>
      </c>
      <c r="CF119" s="1421">
        <v>26</v>
      </c>
      <c r="CG119" s="1421">
        <v>26</v>
      </c>
      <c r="CH119" s="1421">
        <v>0</v>
      </c>
      <c r="CI119" s="1421">
        <v>0</v>
      </c>
      <c r="CJ119" s="2131">
        <v>60</v>
      </c>
      <c r="CK119" s="2132">
        <v>0.34499999999999997</v>
      </c>
    </row>
    <row r="120" spans="80:89">
      <c r="CB120" s="1421" t="s">
        <v>1553</v>
      </c>
      <c r="CC120" s="1421">
        <v>200</v>
      </c>
      <c r="CD120" s="1967">
        <v>255</v>
      </c>
      <c r="CE120" s="1421">
        <v>10</v>
      </c>
      <c r="CF120" s="1421">
        <v>26</v>
      </c>
      <c r="CG120" s="1421">
        <v>26</v>
      </c>
      <c r="CH120" s="1421">
        <v>0</v>
      </c>
      <c r="CI120" s="1421">
        <v>0</v>
      </c>
      <c r="CJ120" s="2131">
        <v>60</v>
      </c>
      <c r="CK120" s="2132">
        <v>0.22</v>
      </c>
    </row>
    <row r="121" spans="80:89">
      <c r="CB121" s="1421" t="s">
        <v>1554</v>
      </c>
      <c r="CC121" s="1421">
        <v>35</v>
      </c>
      <c r="CD121" s="1967">
        <v>40</v>
      </c>
      <c r="CE121" s="1421">
        <v>10</v>
      </c>
      <c r="CF121" s="1421">
        <v>2</v>
      </c>
      <c r="CG121" s="1421">
        <v>2</v>
      </c>
      <c r="CH121" s="1421">
        <v>0</v>
      </c>
      <c r="CI121" s="1421">
        <v>0</v>
      </c>
      <c r="CJ121" s="2133">
        <v>30</v>
      </c>
      <c r="CK121" s="2134">
        <v>0.45428571428571429</v>
      </c>
    </row>
    <row r="122" spans="80:89">
      <c r="CB122" s="1421" t="s">
        <v>1555</v>
      </c>
      <c r="CC122" s="1421">
        <v>35</v>
      </c>
      <c r="CD122" s="1967">
        <v>40</v>
      </c>
      <c r="CE122" s="1421">
        <v>10</v>
      </c>
      <c r="CF122" s="1421">
        <v>2</v>
      </c>
      <c r="CG122" s="1421">
        <v>2</v>
      </c>
      <c r="CH122" s="1421">
        <v>0</v>
      </c>
      <c r="CI122" s="1421">
        <v>0</v>
      </c>
      <c r="CJ122" s="2133">
        <v>30</v>
      </c>
      <c r="CK122" s="2134">
        <v>0.28000000000000003</v>
      </c>
    </row>
    <row r="123" spans="80:89">
      <c r="CB123" s="1421" t="s">
        <v>1556</v>
      </c>
      <c r="CC123" s="1421">
        <v>150</v>
      </c>
      <c r="CD123" s="1967">
        <v>90</v>
      </c>
      <c r="CE123" s="1421">
        <v>10</v>
      </c>
      <c r="CF123" s="1421">
        <v>5</v>
      </c>
      <c r="CG123" s="1421">
        <v>5</v>
      </c>
      <c r="CH123" s="1421">
        <v>0</v>
      </c>
      <c r="CI123" s="1421">
        <v>0</v>
      </c>
      <c r="CJ123" s="2131">
        <v>30</v>
      </c>
      <c r="CK123" s="2132">
        <v>0.11</v>
      </c>
    </row>
    <row r="124" spans="80:89">
      <c r="CB124" s="1421" t="s">
        <v>1557</v>
      </c>
      <c r="CC124" s="1421">
        <v>25</v>
      </c>
      <c r="CD124" s="1967">
        <v>80</v>
      </c>
      <c r="CE124" s="1421">
        <v>10</v>
      </c>
      <c r="CF124" s="1421">
        <v>8</v>
      </c>
      <c r="CG124" s="1421">
        <v>8</v>
      </c>
      <c r="CH124" s="1421">
        <v>0</v>
      </c>
      <c r="CI124" s="1421">
        <v>0</v>
      </c>
      <c r="CJ124" s="2131">
        <v>60</v>
      </c>
      <c r="CK124" s="2134">
        <v>1.9019999999999999</v>
      </c>
    </row>
    <row r="125" spans="80:89">
      <c r="CB125" s="1421" t="s">
        <v>1558</v>
      </c>
      <c r="CC125" s="1421">
        <v>25</v>
      </c>
      <c r="CD125" s="1967">
        <v>80</v>
      </c>
      <c r="CE125" s="1421">
        <v>10</v>
      </c>
      <c r="CF125" s="1421">
        <v>8</v>
      </c>
      <c r="CG125" s="1421">
        <v>8</v>
      </c>
      <c r="CH125" s="1421">
        <v>0</v>
      </c>
      <c r="CI125" s="1421">
        <v>0</v>
      </c>
      <c r="CJ125" s="2131">
        <v>60</v>
      </c>
      <c r="CK125" s="2132">
        <v>0.95</v>
      </c>
    </row>
    <row r="126" spans="80:89">
      <c r="CB126" s="1421" t="s">
        <v>1559</v>
      </c>
      <c r="CC126" s="1421">
        <v>300</v>
      </c>
      <c r="CD126" s="1967">
        <v>165</v>
      </c>
      <c r="CE126" s="1421">
        <v>10</v>
      </c>
      <c r="CF126" s="1421">
        <v>17</v>
      </c>
      <c r="CG126" s="1421">
        <v>17</v>
      </c>
      <c r="CH126" s="1421">
        <v>0</v>
      </c>
      <c r="CI126" s="1421">
        <v>0</v>
      </c>
      <c r="CJ126" s="2131">
        <v>60</v>
      </c>
      <c r="CK126" s="2134">
        <v>0.16</v>
      </c>
    </row>
    <row r="127" spans="80:89">
      <c r="CB127" s="1421" t="s">
        <v>1560</v>
      </c>
      <c r="CC127" s="1421">
        <v>120</v>
      </c>
      <c r="CD127" s="1967">
        <v>95</v>
      </c>
      <c r="CE127" s="1421">
        <v>10</v>
      </c>
      <c r="CF127" s="1421">
        <v>5</v>
      </c>
      <c r="CG127" s="1421">
        <v>5</v>
      </c>
      <c r="CH127" s="1421">
        <v>0</v>
      </c>
      <c r="CI127" s="1421">
        <v>0</v>
      </c>
      <c r="CJ127" s="2131">
        <v>60</v>
      </c>
      <c r="CK127" s="2132">
        <v>0.16</v>
      </c>
    </row>
    <row r="128" spans="80:89">
      <c r="CB128" s="1421" t="s">
        <v>1561</v>
      </c>
      <c r="CC128" s="1421">
        <v>250</v>
      </c>
      <c r="CD128" s="1967">
        <v>170</v>
      </c>
      <c r="CE128" s="1421">
        <v>10</v>
      </c>
      <c r="CF128" s="1421">
        <v>17</v>
      </c>
      <c r="CG128" s="1421">
        <v>17</v>
      </c>
      <c r="CH128" s="1421">
        <v>0</v>
      </c>
      <c r="CI128" s="1421">
        <v>0</v>
      </c>
      <c r="CJ128" s="2131">
        <v>60</v>
      </c>
      <c r="CK128" s="2132">
        <v>0.14000000000000001</v>
      </c>
    </row>
    <row r="129" spans="80:89">
      <c r="CB129" s="1421" t="s">
        <v>1562</v>
      </c>
      <c r="CC129" s="1421">
        <v>15</v>
      </c>
      <c r="CD129" s="1967">
        <v>100</v>
      </c>
      <c r="CE129" s="1421">
        <v>10</v>
      </c>
      <c r="CF129" s="1421">
        <v>10</v>
      </c>
      <c r="CG129" s="1421">
        <v>10</v>
      </c>
      <c r="CH129" s="1421">
        <v>0</v>
      </c>
      <c r="CI129" s="1421">
        <v>0</v>
      </c>
      <c r="CJ129" s="2131">
        <v>60</v>
      </c>
      <c r="CK129" s="2134">
        <v>2.4266666666666672</v>
      </c>
    </row>
    <row r="130" spans="80:89">
      <c r="CB130" s="1421" t="s">
        <v>1563</v>
      </c>
      <c r="CC130" s="1421">
        <v>15</v>
      </c>
      <c r="CD130" s="1967">
        <v>100</v>
      </c>
      <c r="CE130" s="1421">
        <v>10</v>
      </c>
      <c r="CF130" s="1421">
        <v>10</v>
      </c>
      <c r="CG130" s="1421">
        <v>10</v>
      </c>
      <c r="CH130" s="1421">
        <v>0</v>
      </c>
      <c r="CI130" s="1421">
        <v>0</v>
      </c>
      <c r="CJ130" s="2131">
        <v>60</v>
      </c>
      <c r="CK130" s="2132">
        <v>1.1200000000000001</v>
      </c>
    </row>
    <row r="131" spans="80:89">
      <c r="CB131" s="1421" t="s">
        <v>1564</v>
      </c>
      <c r="CC131" s="1421">
        <v>150</v>
      </c>
      <c r="CD131" s="1967">
        <v>115</v>
      </c>
      <c r="CE131" s="1421">
        <v>10</v>
      </c>
      <c r="CF131" s="1421">
        <v>12</v>
      </c>
      <c r="CG131" s="1421">
        <v>12</v>
      </c>
      <c r="CH131" s="1421">
        <v>0</v>
      </c>
      <c r="CI131" s="1421">
        <v>0</v>
      </c>
      <c r="CJ131" s="2133">
        <v>30</v>
      </c>
      <c r="CK131" s="2134">
        <v>0.29333333333333333</v>
      </c>
    </row>
    <row r="132" spans="80:89">
      <c r="CB132" s="1421" t="s">
        <v>1565</v>
      </c>
      <c r="CC132" s="1421">
        <v>150</v>
      </c>
      <c r="CD132" s="1967">
        <v>115</v>
      </c>
      <c r="CE132" s="1421">
        <v>10</v>
      </c>
      <c r="CF132" s="1421">
        <v>12</v>
      </c>
      <c r="CG132" s="1421">
        <v>12</v>
      </c>
      <c r="CH132" s="1421">
        <v>0</v>
      </c>
      <c r="CI132" s="1421">
        <v>0</v>
      </c>
      <c r="CJ132" s="2133">
        <v>30</v>
      </c>
      <c r="CK132" s="2134">
        <v>0.18</v>
      </c>
    </row>
    <row r="133" spans="80:89">
      <c r="CB133" s="1421" t="s">
        <v>1566</v>
      </c>
      <c r="CC133" s="1421">
        <v>160</v>
      </c>
      <c r="CD133" s="1967">
        <v>100</v>
      </c>
      <c r="CE133" s="1421">
        <v>10</v>
      </c>
      <c r="CF133" s="1421">
        <v>10</v>
      </c>
      <c r="CG133" s="1421">
        <v>10</v>
      </c>
      <c r="CH133" s="1421">
        <v>0</v>
      </c>
      <c r="CI133" s="1421">
        <v>0</v>
      </c>
      <c r="CJ133" s="2133">
        <v>60</v>
      </c>
      <c r="CK133" s="2134">
        <v>0.15</v>
      </c>
    </row>
    <row r="134" spans="80:89">
      <c r="CB134" s="1421" t="s">
        <v>1567</v>
      </c>
      <c r="CC134" s="1421">
        <v>120</v>
      </c>
      <c r="CD134" s="1967">
        <v>100</v>
      </c>
      <c r="CE134" s="1421">
        <v>10</v>
      </c>
      <c r="CF134" s="1421">
        <v>5</v>
      </c>
      <c r="CG134" s="1421">
        <v>5</v>
      </c>
      <c r="CH134" s="1421">
        <v>0</v>
      </c>
      <c r="CI134" s="1421">
        <v>0</v>
      </c>
      <c r="CJ134" s="2131">
        <v>30</v>
      </c>
      <c r="CK134" s="2132">
        <v>0.14000000000000001</v>
      </c>
    </row>
    <row r="135" spans="80:89">
      <c r="CB135" s="1421" t="s">
        <v>1568</v>
      </c>
      <c r="CC135" s="1421">
        <v>50</v>
      </c>
      <c r="CD135" s="1967">
        <v>115</v>
      </c>
      <c r="CE135" s="1421">
        <v>10</v>
      </c>
      <c r="CF135" s="1421">
        <v>12</v>
      </c>
      <c r="CG135" s="1421">
        <v>12</v>
      </c>
      <c r="CH135" s="1421">
        <v>0</v>
      </c>
      <c r="CI135" s="1421">
        <v>0</v>
      </c>
      <c r="CJ135" s="2133">
        <v>60</v>
      </c>
      <c r="CK135" s="2134">
        <v>0.15</v>
      </c>
    </row>
    <row r="136" spans="80:89">
      <c r="CB136" s="1421" t="s">
        <v>1569</v>
      </c>
      <c r="CC136" s="1421">
        <v>130</v>
      </c>
      <c r="CD136" s="1967">
        <v>115</v>
      </c>
      <c r="CE136" s="1421">
        <v>10</v>
      </c>
      <c r="CF136" s="1421">
        <v>12</v>
      </c>
      <c r="CG136" s="1421">
        <v>12</v>
      </c>
      <c r="CH136" s="1421">
        <v>0</v>
      </c>
      <c r="CI136" s="1421">
        <v>0</v>
      </c>
      <c r="CJ136" s="2133">
        <v>60</v>
      </c>
      <c r="CK136" s="2138">
        <v>0.2076923076923077</v>
      </c>
    </row>
    <row r="137" spans="80:89">
      <c r="CB137" s="1421" t="s">
        <v>1570</v>
      </c>
      <c r="CC137" s="1421">
        <v>130</v>
      </c>
      <c r="CD137" s="1967">
        <v>115</v>
      </c>
      <c r="CE137" s="1421">
        <v>10</v>
      </c>
      <c r="CF137" s="1421">
        <v>12</v>
      </c>
      <c r="CG137" s="1421">
        <v>12</v>
      </c>
      <c r="CH137" s="1421">
        <v>0</v>
      </c>
      <c r="CI137" s="1421">
        <v>0</v>
      </c>
      <c r="CJ137" s="2133">
        <v>60</v>
      </c>
      <c r="CK137" s="2138">
        <v>0.15</v>
      </c>
    </row>
    <row r="138" spans="80:89">
      <c r="CB138" s="1421" t="s">
        <v>1571</v>
      </c>
      <c r="CC138" s="1421">
        <v>240</v>
      </c>
      <c r="CD138" s="1967">
        <v>160</v>
      </c>
      <c r="CE138" s="1421">
        <v>10</v>
      </c>
      <c r="CF138" s="1421">
        <v>16</v>
      </c>
      <c r="CG138" s="1421">
        <v>16</v>
      </c>
      <c r="CH138" s="1421">
        <v>0</v>
      </c>
      <c r="CI138" s="1421">
        <v>0</v>
      </c>
      <c r="CJ138" s="2131">
        <v>60</v>
      </c>
      <c r="CK138" s="2132">
        <v>0.12</v>
      </c>
    </row>
    <row r="139" spans="80:89">
      <c r="CB139" s="1421" t="s">
        <v>1572</v>
      </c>
      <c r="CC139" s="1421">
        <v>160</v>
      </c>
      <c r="CD139" s="1967">
        <v>100</v>
      </c>
      <c r="CE139" s="1421">
        <v>10</v>
      </c>
      <c r="CF139" s="1421">
        <v>5</v>
      </c>
      <c r="CG139" s="1421">
        <v>5</v>
      </c>
      <c r="CH139" s="1421">
        <v>0</v>
      </c>
      <c r="CI139" s="1421">
        <v>0</v>
      </c>
      <c r="CJ139" s="2131">
        <v>60</v>
      </c>
      <c r="CK139" s="2132">
        <v>0.12</v>
      </c>
    </row>
    <row r="140" spans="80:89">
      <c r="CB140" s="1421" t="s">
        <v>1573</v>
      </c>
      <c r="CC140" s="1421">
        <v>500</v>
      </c>
      <c r="CD140" s="1967">
        <v>285</v>
      </c>
      <c r="CE140" s="1421">
        <v>10</v>
      </c>
      <c r="CF140" s="1421">
        <v>29</v>
      </c>
      <c r="CG140" s="1421">
        <v>14</v>
      </c>
      <c r="CH140" s="1421">
        <v>0</v>
      </c>
      <c r="CI140" s="1421">
        <v>0</v>
      </c>
      <c r="CJ140" s="2133">
        <v>60</v>
      </c>
      <c r="CK140" s="2134">
        <v>0.13</v>
      </c>
    </row>
    <row r="141" spans="80:89">
      <c r="CB141" s="1421" t="s">
        <v>1574</v>
      </c>
      <c r="CC141" s="1421">
        <v>400</v>
      </c>
      <c r="CD141" s="1967">
        <v>210</v>
      </c>
      <c r="CE141" s="1421">
        <v>10</v>
      </c>
      <c r="CF141" s="1421">
        <v>21</v>
      </c>
      <c r="CG141" s="1421">
        <v>21</v>
      </c>
      <c r="CH141" s="1421">
        <v>0</v>
      </c>
      <c r="CI141" s="1421">
        <v>0</v>
      </c>
      <c r="CJ141" s="2131">
        <v>30</v>
      </c>
      <c r="CK141" s="2132">
        <v>0.11</v>
      </c>
    </row>
    <row r="142" spans="80:89">
      <c r="CB142" s="1421" t="s">
        <v>1575</v>
      </c>
      <c r="CC142" s="1421">
        <v>600</v>
      </c>
      <c r="CD142" s="1967">
        <v>215</v>
      </c>
      <c r="CE142" s="1421">
        <v>10</v>
      </c>
      <c r="CF142" s="1421">
        <v>22</v>
      </c>
      <c r="CG142" s="1421">
        <v>22</v>
      </c>
      <c r="CH142" s="1421">
        <v>0</v>
      </c>
      <c r="CI142" s="1421">
        <v>0</v>
      </c>
      <c r="CJ142" s="2135">
        <v>60</v>
      </c>
      <c r="CK142" s="2132">
        <v>7.0000000000000007E-2</v>
      </c>
    </row>
    <row r="143" spans="80:89">
      <c r="CB143" s="1421" t="s">
        <v>1576</v>
      </c>
      <c r="CC143" s="1421">
        <v>50</v>
      </c>
      <c r="CD143" s="1421">
        <v>185</v>
      </c>
      <c r="CE143" s="1421">
        <v>10</v>
      </c>
      <c r="CF143" s="1421">
        <v>19</v>
      </c>
      <c r="CG143" s="1421">
        <v>19</v>
      </c>
      <c r="CH143" s="1421">
        <v>0</v>
      </c>
      <c r="CI143" s="1421">
        <v>0</v>
      </c>
      <c r="CJ143" s="2131">
        <v>60</v>
      </c>
      <c r="CK143" s="2132">
        <v>0.75000000000000011</v>
      </c>
    </row>
    <row r="144" spans="80:89">
      <c r="CB144" s="1421" t="s">
        <v>1577</v>
      </c>
      <c r="CC144" s="1421">
        <v>50</v>
      </c>
      <c r="CD144" s="1421">
        <v>185</v>
      </c>
      <c r="CE144" s="1421">
        <v>10</v>
      </c>
      <c r="CF144" s="1421">
        <v>19</v>
      </c>
      <c r="CG144" s="1421">
        <v>19</v>
      </c>
      <c r="CH144" s="1421">
        <v>0</v>
      </c>
      <c r="CI144" s="1421">
        <v>0</v>
      </c>
      <c r="CJ144" s="2131">
        <v>60</v>
      </c>
      <c r="CK144" s="2132">
        <v>0.12</v>
      </c>
    </row>
    <row r="145" spans="80:89">
      <c r="CB145" s="1421" t="s">
        <v>1578</v>
      </c>
      <c r="CC145" s="1421">
        <v>50</v>
      </c>
      <c r="CD145" s="1421">
        <v>50</v>
      </c>
      <c r="CE145" s="1421">
        <v>10</v>
      </c>
      <c r="CF145" s="1421">
        <v>3</v>
      </c>
      <c r="CG145" s="1421">
        <v>3</v>
      </c>
      <c r="CH145" s="1421">
        <v>0</v>
      </c>
      <c r="CI145" s="1421">
        <v>0</v>
      </c>
      <c r="CJ145" s="2133">
        <v>60</v>
      </c>
      <c r="CK145" s="2134">
        <v>0.15</v>
      </c>
    </row>
    <row r="146" spans="80:89">
      <c r="CB146" s="1421" t="s">
        <v>1579</v>
      </c>
      <c r="CC146" s="1421">
        <v>80</v>
      </c>
      <c r="CD146" s="1421">
        <v>65</v>
      </c>
      <c r="CE146" s="1421">
        <v>10</v>
      </c>
      <c r="CF146" s="1421">
        <v>7</v>
      </c>
      <c r="CG146" s="1421">
        <v>7</v>
      </c>
      <c r="CH146" s="1421">
        <v>0</v>
      </c>
      <c r="CI146" s="1421">
        <v>0</v>
      </c>
      <c r="CJ146" s="2131">
        <v>30</v>
      </c>
      <c r="CK146" s="2132">
        <v>0.09</v>
      </c>
    </row>
    <row r="147" spans="80:89">
      <c r="CB147" s="1421" t="s">
        <v>1580</v>
      </c>
      <c r="CC147" s="1421">
        <v>200</v>
      </c>
      <c r="CD147" s="1421">
        <v>175</v>
      </c>
      <c r="CE147" s="1421">
        <v>10</v>
      </c>
      <c r="CF147" s="1421">
        <v>18</v>
      </c>
      <c r="CG147" s="1421">
        <v>18</v>
      </c>
      <c r="CH147" s="1421">
        <v>0</v>
      </c>
      <c r="CI147" s="1421">
        <v>0</v>
      </c>
      <c r="CJ147" s="2131">
        <v>60</v>
      </c>
      <c r="CK147" s="2132">
        <v>0.28400000000000003</v>
      </c>
    </row>
    <row r="148" spans="80:89">
      <c r="CB148" s="1421" t="s">
        <v>1581</v>
      </c>
      <c r="CC148" s="1421">
        <v>200</v>
      </c>
      <c r="CD148" s="1421">
        <v>175</v>
      </c>
      <c r="CE148" s="1421">
        <v>10</v>
      </c>
      <c r="CF148" s="1421">
        <v>18</v>
      </c>
      <c r="CG148" s="1421">
        <v>18</v>
      </c>
      <c r="CH148" s="1421">
        <v>0</v>
      </c>
      <c r="CI148" s="1421">
        <v>0</v>
      </c>
      <c r="CJ148" s="2131">
        <v>60</v>
      </c>
      <c r="CK148" s="2132">
        <v>0.13</v>
      </c>
    </row>
    <row r="149" spans="80:89">
      <c r="CB149" s="1421" t="s">
        <v>1582</v>
      </c>
      <c r="CC149" s="1421">
        <v>350</v>
      </c>
      <c r="CD149" s="1421">
        <v>210</v>
      </c>
      <c r="CE149" s="1421">
        <v>10</v>
      </c>
      <c r="CF149" s="1421">
        <v>21</v>
      </c>
      <c r="CG149" s="1421">
        <v>21</v>
      </c>
      <c r="CH149" s="1421">
        <v>0</v>
      </c>
      <c r="CI149" s="1421">
        <v>0</v>
      </c>
      <c r="CJ149" s="2131">
        <v>60</v>
      </c>
      <c r="CK149" s="2132">
        <v>0.11</v>
      </c>
    </row>
    <row r="150" spans="80:89">
      <c r="CB150" s="1421" t="s">
        <v>1583</v>
      </c>
      <c r="CC150" s="1421">
        <v>80</v>
      </c>
      <c r="CD150" s="1421">
        <v>110</v>
      </c>
      <c r="CE150" s="1421">
        <v>10</v>
      </c>
      <c r="CF150" s="1421">
        <v>11</v>
      </c>
      <c r="CG150" s="1421">
        <v>11</v>
      </c>
      <c r="CH150" s="1421">
        <v>0</v>
      </c>
      <c r="CI150" s="1421">
        <v>0</v>
      </c>
      <c r="CJ150" s="2131">
        <v>30</v>
      </c>
      <c r="CK150" s="2132">
        <v>0.38</v>
      </c>
    </row>
    <row r="151" spans="80:89">
      <c r="CB151" s="1421" t="s">
        <v>1584</v>
      </c>
      <c r="CC151" s="1421">
        <v>80</v>
      </c>
      <c r="CD151" s="1421">
        <v>110</v>
      </c>
      <c r="CE151" s="1421">
        <v>10</v>
      </c>
      <c r="CF151" s="1421">
        <v>11</v>
      </c>
      <c r="CG151" s="1421">
        <v>11</v>
      </c>
      <c r="CH151" s="1421">
        <v>0</v>
      </c>
      <c r="CI151" s="1421">
        <v>0</v>
      </c>
      <c r="CJ151" s="2131">
        <v>30</v>
      </c>
      <c r="CK151" s="2132">
        <v>0.23</v>
      </c>
    </row>
    <row r="152" spans="80:89">
      <c r="CB152" s="1421" t="s">
        <v>1585</v>
      </c>
      <c r="CC152" s="1421">
        <v>100</v>
      </c>
      <c r="CD152" s="1421">
        <v>100</v>
      </c>
      <c r="CE152" s="1421">
        <v>10</v>
      </c>
      <c r="CF152" s="1421">
        <v>10</v>
      </c>
      <c r="CG152" s="1421">
        <v>10</v>
      </c>
      <c r="CH152" s="1421">
        <v>0</v>
      </c>
      <c r="CI152" s="1421">
        <v>0</v>
      </c>
      <c r="CJ152" s="2135">
        <v>60</v>
      </c>
      <c r="CK152" s="2132">
        <v>0.28000000000000003</v>
      </c>
    </row>
    <row r="153" spans="80:89">
      <c r="CB153" s="1421" t="s">
        <v>1586</v>
      </c>
      <c r="CC153" s="1421">
        <v>100</v>
      </c>
      <c r="CD153" s="1421">
        <v>100</v>
      </c>
      <c r="CE153" s="1421">
        <v>10</v>
      </c>
      <c r="CF153" s="1421">
        <v>10</v>
      </c>
      <c r="CG153" s="1421">
        <v>10</v>
      </c>
      <c r="CH153" s="1421">
        <v>0</v>
      </c>
      <c r="CI153" s="1421">
        <v>0</v>
      </c>
      <c r="CJ153" s="2131">
        <v>60</v>
      </c>
      <c r="CK153" s="2132">
        <v>0.21</v>
      </c>
    </row>
    <row r="154" spans="80:89">
      <c r="CB154" s="1421" t="s">
        <v>1587</v>
      </c>
      <c r="CC154" s="1421">
        <v>300</v>
      </c>
      <c r="CD154" s="1421">
        <v>130</v>
      </c>
      <c r="CE154" s="1421">
        <v>10</v>
      </c>
      <c r="CF154" s="1421">
        <v>13</v>
      </c>
      <c r="CG154" s="1421">
        <v>13</v>
      </c>
      <c r="CH154" s="1421">
        <v>0</v>
      </c>
      <c r="CI154" s="1421">
        <v>0</v>
      </c>
      <c r="CJ154" s="2131">
        <v>60</v>
      </c>
      <c r="CK154" s="2132">
        <v>0.08</v>
      </c>
    </row>
    <row r="155" spans="80:89">
      <c r="CB155" s="1421" t="s">
        <v>1588</v>
      </c>
      <c r="CC155" s="1421">
        <v>350</v>
      </c>
      <c r="CD155" s="1421">
        <v>180</v>
      </c>
      <c r="CE155" s="1421">
        <v>10</v>
      </c>
      <c r="CF155" s="1421">
        <v>18</v>
      </c>
      <c r="CG155" s="1421">
        <v>18</v>
      </c>
      <c r="CH155" s="1421">
        <v>0</v>
      </c>
      <c r="CI155" s="1421">
        <v>0</v>
      </c>
      <c r="CJ155" s="2131">
        <v>60</v>
      </c>
      <c r="CK155" s="2132">
        <v>0.16</v>
      </c>
    </row>
    <row r="156" spans="80:89">
      <c r="CB156" s="1421" t="s">
        <v>1589</v>
      </c>
      <c r="CC156" s="1421">
        <v>150</v>
      </c>
      <c r="CD156" s="1421">
        <v>95</v>
      </c>
      <c r="CE156" s="1421">
        <v>10</v>
      </c>
      <c r="CF156" s="1421">
        <v>5</v>
      </c>
      <c r="CG156" s="1421">
        <v>5</v>
      </c>
      <c r="CH156" s="1421">
        <v>0</v>
      </c>
      <c r="CI156" s="1421">
        <v>0</v>
      </c>
      <c r="CJ156" s="2133">
        <v>60</v>
      </c>
      <c r="CK156" s="2134">
        <v>0.09</v>
      </c>
    </row>
    <row r="157" spans="80:89">
      <c r="CB157" s="1421" t="s">
        <v>1590</v>
      </c>
      <c r="CC157" s="1421">
        <v>25</v>
      </c>
      <c r="CD157" s="1421">
        <v>95</v>
      </c>
      <c r="CE157" s="1421">
        <v>10</v>
      </c>
      <c r="CF157" s="1421">
        <v>5</v>
      </c>
      <c r="CG157" s="1421">
        <v>5</v>
      </c>
      <c r="CH157" s="1421">
        <v>0</v>
      </c>
      <c r="CI157" s="1421">
        <v>0</v>
      </c>
      <c r="CJ157" s="2133">
        <v>60</v>
      </c>
      <c r="CK157" s="2134">
        <v>0.51</v>
      </c>
    </row>
    <row r="158" spans="80:89">
      <c r="CB158" s="1421" t="s">
        <v>1591</v>
      </c>
      <c r="CC158" s="1421">
        <v>25</v>
      </c>
      <c r="CD158" s="1421">
        <v>95</v>
      </c>
      <c r="CE158" s="1421">
        <v>10</v>
      </c>
      <c r="CF158" s="1421">
        <v>5</v>
      </c>
      <c r="CG158" s="1421">
        <v>5</v>
      </c>
      <c r="CH158" s="1421">
        <v>0</v>
      </c>
      <c r="CI158" s="1421">
        <v>0</v>
      </c>
      <c r="CJ158" s="2133">
        <v>60</v>
      </c>
      <c r="CK158" s="2134">
        <v>0.12</v>
      </c>
    </row>
    <row r="159" spans="80:89">
      <c r="CB159" s="1421" t="s">
        <v>1592</v>
      </c>
      <c r="CC159" s="1421">
        <v>120</v>
      </c>
      <c r="CD159" s="1421">
        <v>105</v>
      </c>
      <c r="CE159" s="1421">
        <v>10</v>
      </c>
      <c r="CF159" s="1421">
        <v>11</v>
      </c>
      <c r="CG159" s="1421">
        <v>11</v>
      </c>
      <c r="CH159" s="1421">
        <v>0</v>
      </c>
      <c r="CI159" s="1421">
        <v>0</v>
      </c>
      <c r="CJ159" s="2131">
        <v>30</v>
      </c>
      <c r="CK159" s="2132">
        <v>0.15</v>
      </c>
    </row>
    <row r="160" spans="80:89">
      <c r="CB160" s="1421" t="s">
        <v>1593</v>
      </c>
      <c r="CC160" s="1421">
        <v>120</v>
      </c>
      <c r="CD160" s="1421">
        <v>105</v>
      </c>
      <c r="CE160" s="1421">
        <v>10</v>
      </c>
      <c r="CF160" s="1421">
        <v>10</v>
      </c>
      <c r="CG160" s="1421">
        <v>10</v>
      </c>
      <c r="CH160" s="1421">
        <v>0</v>
      </c>
      <c r="CI160" s="1421">
        <v>0</v>
      </c>
      <c r="CJ160" s="2131">
        <v>30</v>
      </c>
      <c r="CK160" s="2132">
        <v>0.28541666666666665</v>
      </c>
    </row>
    <row r="161" spans="80:89">
      <c r="CB161" s="1421" t="s">
        <v>1594</v>
      </c>
      <c r="CC161" s="1421">
        <v>200</v>
      </c>
      <c r="CD161" s="1421">
        <v>145</v>
      </c>
      <c r="CE161" s="1421">
        <v>10</v>
      </c>
      <c r="CF161" s="1421">
        <v>7</v>
      </c>
      <c r="CG161" s="1421">
        <v>7</v>
      </c>
      <c r="CH161" s="1421">
        <v>0</v>
      </c>
      <c r="CI161" s="1421">
        <v>0</v>
      </c>
      <c r="CJ161" s="2135">
        <v>60</v>
      </c>
      <c r="CK161" s="2134">
        <v>0.09</v>
      </c>
    </row>
    <row r="162" spans="80:89">
      <c r="CB162" s="1421" t="s">
        <v>1595</v>
      </c>
      <c r="CC162" s="1421">
        <v>300</v>
      </c>
      <c r="CD162" s="1421">
        <v>210</v>
      </c>
      <c r="CE162" s="1421">
        <v>10</v>
      </c>
      <c r="CF162" s="1421">
        <v>21</v>
      </c>
      <c r="CG162" s="1421">
        <v>21</v>
      </c>
      <c r="CH162" s="1421">
        <v>0</v>
      </c>
      <c r="CI162" s="1421">
        <v>0</v>
      </c>
      <c r="CJ162" s="2131">
        <v>60</v>
      </c>
      <c r="CK162" s="2132">
        <v>0.13700000000000001</v>
      </c>
    </row>
    <row r="163" spans="80:89">
      <c r="CB163" s="1421" t="s">
        <v>1596</v>
      </c>
      <c r="CC163" s="1421">
        <v>200</v>
      </c>
      <c r="CD163" s="1421">
        <v>180</v>
      </c>
      <c r="CE163" s="1421">
        <v>10</v>
      </c>
      <c r="CF163" s="1421">
        <v>18</v>
      </c>
      <c r="CG163" s="1421">
        <v>9</v>
      </c>
      <c r="CH163" s="1421">
        <v>0</v>
      </c>
      <c r="CI163" s="1421">
        <v>0</v>
      </c>
      <c r="CJ163" s="2131">
        <v>60</v>
      </c>
      <c r="CK163" s="2132">
        <v>0.13700000000000001</v>
      </c>
    </row>
    <row r="164" spans="80:89">
      <c r="CB164" s="1421" t="s">
        <v>1597</v>
      </c>
      <c r="CC164" s="1421">
        <v>500</v>
      </c>
      <c r="CD164" s="1421">
        <v>310</v>
      </c>
      <c r="CE164" s="1421">
        <v>10</v>
      </c>
      <c r="CF164" s="1421">
        <v>31</v>
      </c>
      <c r="CG164" s="1421">
        <v>31</v>
      </c>
      <c r="CH164" s="1421">
        <v>0</v>
      </c>
      <c r="CI164" s="1421">
        <v>0</v>
      </c>
      <c r="CJ164" s="2136">
        <v>60</v>
      </c>
      <c r="CK164" s="2134">
        <v>0.13700000000000001</v>
      </c>
    </row>
    <row r="165" spans="80:89">
      <c r="CB165" s="1421" t="s">
        <v>1598</v>
      </c>
      <c r="CC165" s="1421">
        <v>280</v>
      </c>
      <c r="CD165" s="1421">
        <v>240</v>
      </c>
      <c r="CE165" s="1421">
        <v>10</v>
      </c>
      <c r="CF165" s="1421">
        <v>24</v>
      </c>
      <c r="CG165" s="1421">
        <v>12</v>
      </c>
      <c r="CH165" s="1421">
        <v>0</v>
      </c>
      <c r="CI165" s="1421">
        <v>0</v>
      </c>
      <c r="CJ165" s="2131">
        <v>60</v>
      </c>
      <c r="CK165" s="2132">
        <v>0.13700000000000001</v>
      </c>
    </row>
    <row r="166" spans="80:89">
      <c r="CB166" s="1421" t="s">
        <v>1599</v>
      </c>
      <c r="CC166" s="1421">
        <v>300</v>
      </c>
      <c r="CD166" s="1421">
        <v>160</v>
      </c>
      <c r="CE166" s="1421">
        <v>10</v>
      </c>
      <c r="CF166" s="1421">
        <v>16</v>
      </c>
      <c r="CG166" s="1421">
        <v>16</v>
      </c>
      <c r="CH166" s="1421">
        <v>0</v>
      </c>
      <c r="CI166" s="1421">
        <v>0</v>
      </c>
      <c r="CJ166" s="2131">
        <v>60</v>
      </c>
      <c r="CK166" s="2132">
        <v>0.11</v>
      </c>
    </row>
    <row r="167" spans="80:89">
      <c r="CB167" s="1421" t="s">
        <v>1600</v>
      </c>
      <c r="CC167" s="1421">
        <v>15</v>
      </c>
      <c r="CD167" s="1421">
        <v>105</v>
      </c>
      <c r="CE167" s="1421">
        <v>10</v>
      </c>
      <c r="CF167" s="1421">
        <v>5</v>
      </c>
      <c r="CG167" s="1421">
        <v>5</v>
      </c>
      <c r="CH167" s="1421">
        <v>0</v>
      </c>
      <c r="CI167" s="1421">
        <v>0</v>
      </c>
      <c r="CJ167" s="2131">
        <v>60</v>
      </c>
      <c r="CK167" s="2132">
        <v>2</v>
      </c>
    </row>
    <row r="168" spans="80:89">
      <c r="CB168" s="1421" t="s">
        <v>1601</v>
      </c>
      <c r="CC168" s="1421">
        <v>15</v>
      </c>
      <c r="CD168" s="1421">
        <v>105</v>
      </c>
      <c r="CE168" s="1421">
        <v>10</v>
      </c>
      <c r="CF168" s="1421">
        <v>5</v>
      </c>
      <c r="CG168" s="1421">
        <v>5</v>
      </c>
      <c r="CH168" s="1421">
        <v>0</v>
      </c>
      <c r="CI168" s="1421">
        <v>0</v>
      </c>
      <c r="CJ168" s="2131">
        <v>60</v>
      </c>
      <c r="CK168" s="2132">
        <v>1.71</v>
      </c>
    </row>
    <row r="169" spans="80:89">
      <c r="CB169" s="1421" t="s">
        <v>1602</v>
      </c>
      <c r="CC169" s="1421">
        <v>50</v>
      </c>
      <c r="CD169" s="1421">
        <v>50</v>
      </c>
      <c r="CE169" s="1421">
        <v>10</v>
      </c>
      <c r="CF169" s="1421">
        <v>3</v>
      </c>
      <c r="CG169" s="1421">
        <v>3</v>
      </c>
      <c r="CH169" s="1421">
        <v>0</v>
      </c>
      <c r="CI169" s="1421">
        <v>0</v>
      </c>
      <c r="CJ169" s="2133">
        <v>60</v>
      </c>
      <c r="CK169" s="2134">
        <v>0.08</v>
      </c>
    </row>
    <row r="170" spans="80:89">
      <c r="CB170" s="1421" t="s">
        <v>1603</v>
      </c>
      <c r="CC170" s="1421">
        <v>50</v>
      </c>
      <c r="CD170" s="1421">
        <v>50</v>
      </c>
      <c r="CE170" s="1421">
        <v>10</v>
      </c>
      <c r="CF170" s="1421">
        <v>3</v>
      </c>
      <c r="CG170" s="1421">
        <v>3</v>
      </c>
      <c r="CH170" s="1421">
        <v>0</v>
      </c>
      <c r="CI170" s="1421">
        <v>0</v>
      </c>
      <c r="CJ170" s="2133">
        <v>60</v>
      </c>
      <c r="CK170" s="2134">
        <v>0.09</v>
      </c>
    </row>
    <row r="171" spans="80:89">
      <c r="CB171" s="1421" t="s">
        <v>1604</v>
      </c>
      <c r="CC171" s="1421">
        <v>550</v>
      </c>
      <c r="CD171" s="1421">
        <v>245</v>
      </c>
      <c r="CE171" s="1421">
        <v>10</v>
      </c>
      <c r="CF171" s="1421">
        <v>25</v>
      </c>
      <c r="CG171" s="1421">
        <v>25</v>
      </c>
      <c r="CH171" s="1421">
        <v>0</v>
      </c>
      <c r="CI171" s="1421">
        <v>0</v>
      </c>
      <c r="CJ171" s="2135">
        <v>60</v>
      </c>
      <c r="CK171" s="2132">
        <v>0.11</v>
      </c>
    </row>
    <row r="172" spans="80:89">
      <c r="CB172" s="1421" t="s">
        <v>1605</v>
      </c>
      <c r="CC172" s="1421">
        <v>9</v>
      </c>
      <c r="CD172" s="1421">
        <v>65</v>
      </c>
      <c r="CE172" s="1421">
        <v>10</v>
      </c>
      <c r="CF172" s="1421">
        <v>7</v>
      </c>
      <c r="CG172" s="1421">
        <v>7</v>
      </c>
      <c r="CH172" s="1421">
        <v>0</v>
      </c>
      <c r="CI172" s="1421">
        <v>0</v>
      </c>
      <c r="CJ172" s="2131">
        <v>60</v>
      </c>
      <c r="CK172" s="2134">
        <v>2.0644444444444443</v>
      </c>
    </row>
    <row r="173" spans="80:89">
      <c r="CB173" s="1421" t="s">
        <v>1606</v>
      </c>
      <c r="CC173" s="1421">
        <v>9</v>
      </c>
      <c r="CD173" s="1421">
        <v>65</v>
      </c>
      <c r="CE173" s="1421">
        <v>10</v>
      </c>
      <c r="CF173" s="1421">
        <v>7</v>
      </c>
      <c r="CG173" s="1421">
        <v>7</v>
      </c>
      <c r="CH173" s="1421">
        <v>0</v>
      </c>
      <c r="CI173" s="1421">
        <v>0</v>
      </c>
      <c r="CJ173" s="2131">
        <v>60</v>
      </c>
      <c r="CK173" s="2134">
        <v>1.53</v>
      </c>
    </row>
    <row r="174" spans="80:89">
      <c r="CB174" s="1421" t="s">
        <v>1607</v>
      </c>
      <c r="CC174" s="1421">
        <v>15</v>
      </c>
      <c r="CD174" s="1421">
        <v>135</v>
      </c>
      <c r="CE174" s="1421">
        <v>10</v>
      </c>
      <c r="CF174" s="1421">
        <v>14</v>
      </c>
      <c r="CG174" s="1421">
        <v>14</v>
      </c>
      <c r="CH174" s="1421">
        <v>0</v>
      </c>
      <c r="CI174" s="1421">
        <v>0</v>
      </c>
      <c r="CJ174" s="2131">
        <v>60</v>
      </c>
      <c r="CK174" s="2134">
        <v>3.3699999999999997</v>
      </c>
    </row>
    <row r="175" spans="80:89">
      <c r="CB175" s="1421" t="s">
        <v>1608</v>
      </c>
      <c r="CC175" s="1421">
        <v>15</v>
      </c>
      <c r="CD175" s="1421">
        <v>135</v>
      </c>
      <c r="CE175" s="1421">
        <v>10</v>
      </c>
      <c r="CF175" s="1421">
        <v>14</v>
      </c>
      <c r="CG175" s="1421">
        <v>14</v>
      </c>
      <c r="CH175" s="1421">
        <v>0</v>
      </c>
      <c r="CI175" s="1421">
        <v>0</v>
      </c>
      <c r="CJ175" s="2131">
        <v>60</v>
      </c>
      <c r="CK175" s="2132">
        <v>1.77</v>
      </c>
    </row>
    <row r="176" spans="80:89">
      <c r="CB176" s="1421" t="s">
        <v>1609</v>
      </c>
      <c r="CC176" s="1421">
        <v>12</v>
      </c>
      <c r="CD176" s="1421">
        <v>80</v>
      </c>
      <c r="CE176" s="1421">
        <v>10</v>
      </c>
      <c r="CF176" s="1421">
        <v>8</v>
      </c>
      <c r="CG176" s="1421">
        <v>8</v>
      </c>
      <c r="CH176" s="1421">
        <v>0</v>
      </c>
      <c r="CI176" s="1421">
        <v>0</v>
      </c>
      <c r="CJ176" s="2133">
        <v>60</v>
      </c>
      <c r="CK176" s="2134">
        <v>2.7099999999999995</v>
      </c>
    </row>
    <row r="177" spans="80:89">
      <c r="CB177" s="1421" t="s">
        <v>1610</v>
      </c>
      <c r="CC177" s="1421">
        <v>12</v>
      </c>
      <c r="CD177" s="1421">
        <v>80</v>
      </c>
      <c r="CE177" s="1421">
        <v>10</v>
      </c>
      <c r="CF177" s="1421">
        <v>8</v>
      </c>
      <c r="CG177" s="1421">
        <v>8</v>
      </c>
      <c r="CH177" s="1421">
        <v>0</v>
      </c>
      <c r="CI177" s="1421">
        <v>0</v>
      </c>
      <c r="CJ177" s="2133">
        <v>60</v>
      </c>
      <c r="CK177" s="2134">
        <v>1.81</v>
      </c>
    </row>
    <row r="178" spans="80:89">
      <c r="CB178" s="1421" t="s">
        <v>1611</v>
      </c>
      <c r="CC178" s="1421">
        <v>500</v>
      </c>
      <c r="CD178" s="1421">
        <v>150</v>
      </c>
      <c r="CE178" s="1421">
        <v>10</v>
      </c>
      <c r="CF178" s="1421">
        <v>15</v>
      </c>
      <c r="CG178" s="1421">
        <v>15</v>
      </c>
      <c r="CH178" s="1421">
        <v>0</v>
      </c>
      <c r="CI178" s="1421">
        <v>0</v>
      </c>
      <c r="CJ178" s="2131">
        <v>60</v>
      </c>
      <c r="CK178" s="2132">
        <v>0.1</v>
      </c>
    </row>
    <row r="179" spans="80:89">
      <c r="CB179" s="1421" t="s">
        <v>1612</v>
      </c>
      <c r="CC179" s="1421">
        <v>50</v>
      </c>
      <c r="CD179" s="1421">
        <v>75</v>
      </c>
      <c r="CE179" s="1421">
        <v>10</v>
      </c>
      <c r="CF179" s="1421">
        <v>4</v>
      </c>
      <c r="CG179" s="1421">
        <v>4</v>
      </c>
      <c r="CH179" s="1421">
        <v>0</v>
      </c>
      <c r="CI179" s="1421">
        <v>0</v>
      </c>
      <c r="CJ179" s="2131">
        <v>60</v>
      </c>
      <c r="CK179" s="2132">
        <v>0.12</v>
      </c>
    </row>
    <row r="180" spans="80:89">
      <c r="CB180" s="1421" t="s">
        <v>1613</v>
      </c>
      <c r="CC180" s="1421">
        <v>20</v>
      </c>
      <c r="CD180" s="1421">
        <v>75</v>
      </c>
      <c r="CE180" s="1421">
        <v>10</v>
      </c>
      <c r="CF180" s="1421">
        <v>4</v>
      </c>
      <c r="CG180" s="1421">
        <v>4</v>
      </c>
      <c r="CH180" s="1421">
        <v>0</v>
      </c>
      <c r="CI180" s="1421">
        <v>0</v>
      </c>
      <c r="CJ180" s="2131">
        <v>60</v>
      </c>
      <c r="CK180" s="2134">
        <v>0.5</v>
      </c>
    </row>
    <row r="181" spans="80:89">
      <c r="CB181" s="1421" t="s">
        <v>1614</v>
      </c>
      <c r="CC181" s="1421">
        <v>20</v>
      </c>
      <c r="CD181" s="1421">
        <v>75</v>
      </c>
      <c r="CE181" s="1421">
        <v>10</v>
      </c>
      <c r="CF181" s="1421">
        <v>4</v>
      </c>
      <c r="CG181" s="1421">
        <v>4</v>
      </c>
      <c r="CH181" s="1421">
        <v>0</v>
      </c>
      <c r="CI181" s="1421">
        <v>0</v>
      </c>
      <c r="CJ181" s="2131">
        <v>60</v>
      </c>
      <c r="CK181" s="2132">
        <v>0.2</v>
      </c>
    </row>
    <row r="182" spans="80:89">
      <c r="CB182" s="1421" t="s">
        <v>1615</v>
      </c>
      <c r="CC182" s="1421">
        <v>7</v>
      </c>
      <c r="CD182" s="1421">
        <v>75</v>
      </c>
      <c r="CE182" s="1421">
        <v>10</v>
      </c>
      <c r="CF182" s="1421">
        <v>4</v>
      </c>
      <c r="CG182" s="1421">
        <v>4</v>
      </c>
      <c r="CH182" s="1421">
        <v>0</v>
      </c>
      <c r="CI182" s="1421">
        <v>0</v>
      </c>
      <c r="CJ182" s="2131">
        <v>60</v>
      </c>
      <c r="CK182" s="2134">
        <v>1.0571428571428572</v>
      </c>
    </row>
    <row r="183" spans="80:89">
      <c r="CB183" s="1421" t="s">
        <v>1616</v>
      </c>
      <c r="CC183" s="1421">
        <v>7</v>
      </c>
      <c r="CD183" s="1421">
        <v>75</v>
      </c>
      <c r="CE183" s="1421">
        <v>10</v>
      </c>
      <c r="CF183" s="1421">
        <v>4</v>
      </c>
      <c r="CG183" s="1421">
        <v>4</v>
      </c>
      <c r="CH183" s="1421">
        <v>0</v>
      </c>
      <c r="CI183" s="1421">
        <v>0</v>
      </c>
      <c r="CJ183" s="2131">
        <v>60</v>
      </c>
      <c r="CK183" s="2132">
        <v>0.2</v>
      </c>
    </row>
    <row r="184" spans="80:89">
      <c r="CB184" s="1421" t="s">
        <v>1617</v>
      </c>
      <c r="CC184" s="1421">
        <v>300</v>
      </c>
      <c r="CD184" s="1421">
        <v>180</v>
      </c>
      <c r="CE184" s="1421">
        <v>10</v>
      </c>
      <c r="CF184" s="1421">
        <v>18</v>
      </c>
      <c r="CG184" s="1421">
        <v>18</v>
      </c>
      <c r="CH184" s="1421">
        <v>0</v>
      </c>
      <c r="CI184" s="1421">
        <v>0</v>
      </c>
      <c r="CJ184" s="2131">
        <v>60</v>
      </c>
      <c r="CK184" s="2132">
        <v>0.1</v>
      </c>
    </row>
    <row r="185" spans="80:89">
      <c r="CB185" s="1421" t="s">
        <v>1618</v>
      </c>
      <c r="CC185" s="1421">
        <v>150</v>
      </c>
      <c r="CD185" s="1421">
        <v>180</v>
      </c>
      <c r="CE185" s="1421">
        <v>10</v>
      </c>
      <c r="CF185" s="1421">
        <v>18</v>
      </c>
      <c r="CG185" s="1421">
        <v>18</v>
      </c>
      <c r="CH185" s="1421">
        <v>0</v>
      </c>
      <c r="CI185" s="1421">
        <v>0</v>
      </c>
      <c r="CJ185" s="2131">
        <v>60</v>
      </c>
      <c r="CK185" s="2134">
        <v>0.34</v>
      </c>
    </row>
    <row r="186" spans="80:89">
      <c r="CB186" s="1421" t="s">
        <v>1619</v>
      </c>
      <c r="CC186" s="1421">
        <v>150</v>
      </c>
      <c r="CD186" s="1421">
        <v>180</v>
      </c>
      <c r="CE186" s="1421">
        <v>10</v>
      </c>
      <c r="CF186" s="1421">
        <v>18</v>
      </c>
      <c r="CG186" s="1421">
        <v>18</v>
      </c>
      <c r="CH186" s="1421">
        <v>0</v>
      </c>
      <c r="CI186" s="1421">
        <v>0</v>
      </c>
      <c r="CJ186" s="2131">
        <v>60</v>
      </c>
      <c r="CK186" s="2132">
        <v>0.14000000000000001</v>
      </c>
    </row>
    <row r="187" spans="80:89">
      <c r="CB187" s="1421" t="s">
        <v>1620</v>
      </c>
      <c r="CC187" s="1421">
        <v>50</v>
      </c>
      <c r="CD187" s="1421">
        <v>180</v>
      </c>
      <c r="CE187" s="1421">
        <v>10</v>
      </c>
      <c r="CF187" s="1421">
        <v>18</v>
      </c>
      <c r="CG187" s="1421">
        <v>18</v>
      </c>
      <c r="CH187" s="1421">
        <v>0</v>
      </c>
      <c r="CI187" s="1421">
        <v>0</v>
      </c>
      <c r="CJ187" s="2131">
        <v>60</v>
      </c>
      <c r="CK187" s="2134">
        <v>0.74</v>
      </c>
    </row>
    <row r="188" spans="80:89">
      <c r="CB188" s="1421" t="s">
        <v>1621</v>
      </c>
      <c r="CC188" s="1421">
        <v>50</v>
      </c>
      <c r="CD188" s="1421">
        <v>180</v>
      </c>
      <c r="CE188" s="1421">
        <v>10</v>
      </c>
      <c r="CF188" s="1421">
        <v>18</v>
      </c>
      <c r="CG188" s="1421">
        <v>18</v>
      </c>
      <c r="CH188" s="1421">
        <v>0</v>
      </c>
      <c r="CI188" s="1421">
        <v>0</v>
      </c>
      <c r="CJ188" s="2131">
        <v>60</v>
      </c>
      <c r="CK188" s="2132">
        <v>0.14000000000000001</v>
      </c>
    </row>
    <row r="189" spans="80:89">
      <c r="CB189" s="1421" t="s">
        <v>1622</v>
      </c>
      <c r="CC189" s="1421">
        <v>300</v>
      </c>
      <c r="CD189" s="1421">
        <v>215</v>
      </c>
      <c r="CE189" s="1421">
        <v>10</v>
      </c>
      <c r="CF189" s="1421">
        <v>22</v>
      </c>
      <c r="CG189" s="1421">
        <v>22</v>
      </c>
      <c r="CH189" s="1421">
        <v>0</v>
      </c>
      <c r="CI189" s="1421">
        <v>0</v>
      </c>
      <c r="CJ189" s="2131">
        <v>60</v>
      </c>
      <c r="CK189" s="2132">
        <v>0.13</v>
      </c>
    </row>
    <row r="190" spans="80:89">
      <c r="CB190" s="1421" t="s">
        <v>1623</v>
      </c>
      <c r="CC190" s="1421">
        <v>150</v>
      </c>
      <c r="CD190" s="1421">
        <v>215</v>
      </c>
      <c r="CE190" s="1421">
        <v>10</v>
      </c>
      <c r="CF190" s="1421">
        <v>22</v>
      </c>
      <c r="CG190" s="1421">
        <v>22</v>
      </c>
      <c r="CH190" s="1421">
        <v>0</v>
      </c>
      <c r="CI190" s="1421">
        <v>0</v>
      </c>
      <c r="CJ190" s="2131">
        <v>60</v>
      </c>
      <c r="CK190" s="2134">
        <v>0.4</v>
      </c>
    </row>
    <row r="191" spans="80:89">
      <c r="CB191" s="1421" t="s">
        <v>1624</v>
      </c>
      <c r="CC191" s="1421">
        <v>150</v>
      </c>
      <c r="CD191" s="1421">
        <v>215</v>
      </c>
      <c r="CE191" s="1421">
        <v>10</v>
      </c>
      <c r="CF191" s="1421">
        <v>22</v>
      </c>
      <c r="CG191" s="1421">
        <v>22</v>
      </c>
      <c r="CH191" s="1421">
        <v>0</v>
      </c>
      <c r="CI191" s="1421">
        <v>0</v>
      </c>
      <c r="CJ191" s="2131">
        <v>60</v>
      </c>
      <c r="CK191" s="2132">
        <v>0.14000000000000001</v>
      </c>
    </row>
    <row r="192" spans="80:89">
      <c r="CB192" s="1421" t="s">
        <v>1625</v>
      </c>
      <c r="CC192" s="1421">
        <v>50</v>
      </c>
      <c r="CD192" s="1421">
        <v>215</v>
      </c>
      <c r="CE192" s="1421">
        <v>10</v>
      </c>
      <c r="CF192" s="1421">
        <v>22</v>
      </c>
      <c r="CG192" s="1421">
        <v>22</v>
      </c>
      <c r="CH192" s="1421">
        <v>0</v>
      </c>
      <c r="CI192" s="1421">
        <v>0</v>
      </c>
      <c r="CJ192" s="2131">
        <v>60</v>
      </c>
      <c r="CK192" s="2134">
        <v>0.92</v>
      </c>
    </row>
    <row r="193" spans="80:89">
      <c r="CB193" s="1421" t="s">
        <v>1626</v>
      </c>
      <c r="CC193" s="1421">
        <v>50</v>
      </c>
      <c r="CD193" s="1421">
        <v>215</v>
      </c>
      <c r="CE193" s="1421">
        <v>10</v>
      </c>
      <c r="CF193" s="1421">
        <v>22</v>
      </c>
      <c r="CG193" s="1421">
        <v>22</v>
      </c>
      <c r="CH193" s="1421">
        <v>0</v>
      </c>
      <c r="CI193" s="1421">
        <v>0</v>
      </c>
      <c r="CJ193" s="2131">
        <v>60</v>
      </c>
      <c r="CK193" s="2132">
        <v>0.14000000000000001</v>
      </c>
    </row>
    <row r="194" spans="80:89">
      <c r="CB194" s="1421" t="s">
        <v>1627</v>
      </c>
      <c r="CC194" s="1421">
        <v>350</v>
      </c>
      <c r="CD194" s="1421">
        <v>185</v>
      </c>
      <c r="CE194" s="1421">
        <v>10</v>
      </c>
      <c r="CF194" s="1421">
        <v>19</v>
      </c>
      <c r="CG194" s="1421">
        <v>19</v>
      </c>
      <c r="CH194" s="1421">
        <v>0</v>
      </c>
      <c r="CI194" s="1421">
        <v>0</v>
      </c>
      <c r="CJ194" s="2131">
        <v>60</v>
      </c>
      <c r="CK194" s="2134">
        <v>0.12</v>
      </c>
    </row>
    <row r="195" spans="80:89">
      <c r="CB195" s="1421" t="s">
        <v>1628</v>
      </c>
      <c r="CC195" s="1421">
        <v>350</v>
      </c>
      <c r="CD195" s="1421">
        <v>225</v>
      </c>
      <c r="CE195" s="1421">
        <v>10</v>
      </c>
      <c r="CF195" s="1421">
        <v>23</v>
      </c>
      <c r="CG195" s="1421">
        <v>23</v>
      </c>
      <c r="CH195" s="1421">
        <v>0</v>
      </c>
      <c r="CI195" s="1421">
        <v>0</v>
      </c>
      <c r="CJ195" s="2136">
        <v>30</v>
      </c>
      <c r="CK195" s="2132">
        <v>0.14000000000000001</v>
      </c>
    </row>
    <row r="196" spans="80:89">
      <c r="CB196" s="1421" t="s">
        <v>1629</v>
      </c>
      <c r="CC196" s="1421">
        <v>350</v>
      </c>
      <c r="CD196" s="1421">
        <v>225</v>
      </c>
      <c r="CE196" s="1421">
        <v>10</v>
      </c>
      <c r="CF196" s="1421">
        <v>23</v>
      </c>
      <c r="CG196" s="1421">
        <v>23</v>
      </c>
      <c r="CH196" s="1421">
        <v>0</v>
      </c>
      <c r="CI196" s="1421">
        <v>0</v>
      </c>
      <c r="CJ196" s="2136">
        <v>30</v>
      </c>
      <c r="CK196" s="2134">
        <v>0.14000000000000001</v>
      </c>
    </row>
    <row r="197" spans="80:89">
      <c r="CB197" s="1421" t="s">
        <v>1630</v>
      </c>
      <c r="CC197" s="1421">
        <v>80</v>
      </c>
      <c r="CD197" s="1421">
        <v>45</v>
      </c>
      <c r="CE197" s="1421">
        <v>10</v>
      </c>
      <c r="CF197" s="1421">
        <v>2</v>
      </c>
      <c r="CG197" s="1421">
        <v>2</v>
      </c>
      <c r="CH197" s="1421">
        <v>0</v>
      </c>
      <c r="CI197" s="1421">
        <v>0</v>
      </c>
      <c r="CJ197" s="2133">
        <v>30</v>
      </c>
      <c r="CK197" s="2134">
        <v>0.09</v>
      </c>
    </row>
    <row r="198" spans="80:89">
      <c r="CB198" s="1421" t="s">
        <v>1631</v>
      </c>
      <c r="CC198" s="1421">
        <v>150</v>
      </c>
      <c r="CD198" s="1421">
        <v>100</v>
      </c>
      <c r="CE198" s="1421">
        <v>10</v>
      </c>
      <c r="CF198" s="1421">
        <v>5</v>
      </c>
      <c r="CG198" s="1421">
        <v>5</v>
      </c>
      <c r="CH198" s="1421">
        <v>0</v>
      </c>
      <c r="CI198" s="1421">
        <v>0</v>
      </c>
      <c r="CJ198" s="2131">
        <v>60</v>
      </c>
      <c r="CK198" s="2132">
        <v>0.12</v>
      </c>
    </row>
    <row r="199" spans="80:89">
      <c r="CB199" s="1421" t="s">
        <v>1632</v>
      </c>
      <c r="CC199" s="1421">
        <v>120</v>
      </c>
      <c r="CD199" s="1421">
        <v>130</v>
      </c>
      <c r="CE199" s="1421">
        <v>10</v>
      </c>
      <c r="CF199" s="1421">
        <v>13</v>
      </c>
      <c r="CG199" s="1421">
        <v>13</v>
      </c>
      <c r="CH199" s="1421">
        <v>0</v>
      </c>
      <c r="CI199" s="1421">
        <v>0</v>
      </c>
      <c r="CJ199" s="2131">
        <v>60</v>
      </c>
      <c r="CK199" s="2132">
        <v>0.46</v>
      </c>
    </row>
    <row r="200" spans="80:89">
      <c r="CB200" s="1421" t="s">
        <v>1633</v>
      </c>
      <c r="CC200" s="1421">
        <v>40</v>
      </c>
      <c r="CD200" s="1421">
        <v>150</v>
      </c>
      <c r="CE200" s="1421">
        <v>10</v>
      </c>
      <c r="CF200" s="1421">
        <v>15</v>
      </c>
      <c r="CG200" s="1421">
        <v>15</v>
      </c>
      <c r="CH200" s="1421">
        <v>0</v>
      </c>
      <c r="CI200" s="1421">
        <v>0</v>
      </c>
      <c r="CJ200" s="2131">
        <v>60</v>
      </c>
      <c r="CK200" s="2132">
        <v>1.2</v>
      </c>
    </row>
    <row r="201" spans="80:89">
      <c r="CB201" s="1421" t="s">
        <v>1634</v>
      </c>
      <c r="CC201" s="1421">
        <v>40</v>
      </c>
      <c r="CD201" s="1421">
        <v>150</v>
      </c>
      <c r="CE201" s="1421">
        <v>10</v>
      </c>
      <c r="CF201" s="1421">
        <v>15</v>
      </c>
      <c r="CG201" s="1421">
        <v>15</v>
      </c>
      <c r="CH201" s="1421">
        <v>0</v>
      </c>
      <c r="CI201" s="1421">
        <v>0</v>
      </c>
      <c r="CJ201" s="2131">
        <v>60</v>
      </c>
      <c r="CK201" s="2132">
        <v>0.25</v>
      </c>
    </row>
    <row r="202" spans="80:89">
      <c r="CB202" s="1421" t="s">
        <v>1635</v>
      </c>
      <c r="CC202" s="1421">
        <v>300</v>
      </c>
      <c r="CD202" s="1421">
        <v>135</v>
      </c>
      <c r="CE202" s="1421">
        <v>10</v>
      </c>
      <c r="CF202" s="1421">
        <v>14</v>
      </c>
      <c r="CG202" s="1421">
        <v>14</v>
      </c>
      <c r="CH202" s="1421">
        <v>0</v>
      </c>
      <c r="CI202" s="1421">
        <v>0</v>
      </c>
      <c r="CJ202" s="2131">
        <v>60</v>
      </c>
      <c r="CK202" s="2132">
        <v>0.17</v>
      </c>
    </row>
    <row r="203" spans="80:89">
      <c r="CB203" s="1421" t="s">
        <v>1636</v>
      </c>
      <c r="CC203" s="1421">
        <v>100</v>
      </c>
      <c r="CD203" s="1421">
        <v>80</v>
      </c>
      <c r="CE203" s="1421">
        <v>10</v>
      </c>
      <c r="CF203" s="1421">
        <v>4</v>
      </c>
      <c r="CG203" s="1421">
        <v>4</v>
      </c>
      <c r="CH203" s="1421">
        <v>0</v>
      </c>
      <c r="CI203" s="1421">
        <v>0</v>
      </c>
      <c r="CJ203" s="2131">
        <v>30</v>
      </c>
      <c r="CK203" s="2139">
        <v>0.1</v>
      </c>
    </row>
    <row r="204" spans="80:89">
      <c r="CB204" s="1421" t="s">
        <v>1637</v>
      </c>
      <c r="CC204" s="1421">
        <v>800</v>
      </c>
      <c r="CD204" s="1421">
        <v>440</v>
      </c>
      <c r="CE204" s="1421">
        <v>10</v>
      </c>
      <c r="CF204" s="1421">
        <v>44</v>
      </c>
      <c r="CG204" s="1421">
        <v>44</v>
      </c>
      <c r="CH204" s="1421">
        <v>0</v>
      </c>
      <c r="CI204" s="1421">
        <v>0</v>
      </c>
      <c r="CJ204" s="2136">
        <v>60</v>
      </c>
      <c r="CK204" s="2132">
        <v>0.13700000000000001</v>
      </c>
    </row>
    <row r="205" spans="80:89">
      <c r="CB205" s="1421" t="s">
        <v>1638</v>
      </c>
      <c r="CC205" s="1421">
        <v>150</v>
      </c>
      <c r="CD205" s="1421">
        <v>105</v>
      </c>
      <c r="CE205" s="1421">
        <v>10</v>
      </c>
      <c r="CF205" s="1421">
        <v>5</v>
      </c>
      <c r="CG205" s="1421">
        <v>5</v>
      </c>
      <c r="CH205" s="1421">
        <v>0</v>
      </c>
      <c r="CI205" s="1421">
        <v>0</v>
      </c>
      <c r="CJ205" s="2133">
        <v>60</v>
      </c>
      <c r="CK205" s="2132">
        <v>0.1</v>
      </c>
    </row>
    <row r="206" spans="80:89">
      <c r="CB206" s="1421" t="s">
        <v>1639</v>
      </c>
      <c r="CC206" s="1421">
        <v>300</v>
      </c>
      <c r="CD206" s="1421">
        <v>185</v>
      </c>
      <c r="CE206" s="1421">
        <v>10</v>
      </c>
      <c r="CF206" s="1421">
        <v>19</v>
      </c>
      <c r="CG206" s="1421">
        <v>19</v>
      </c>
      <c r="CH206" s="1421">
        <v>0</v>
      </c>
      <c r="CI206" s="1421">
        <v>0</v>
      </c>
      <c r="CJ206" s="2135">
        <v>60</v>
      </c>
      <c r="CK206" s="2132">
        <v>0.14000000000000001</v>
      </c>
    </row>
    <row r="207" spans="80:89">
      <c r="CB207" s="1421" t="s">
        <v>1640</v>
      </c>
      <c r="CC207" s="1421">
        <v>265</v>
      </c>
      <c r="CD207" s="1421">
        <v>155</v>
      </c>
      <c r="CE207" s="1421">
        <v>10</v>
      </c>
      <c r="CF207" s="1421">
        <v>16</v>
      </c>
      <c r="CG207" s="1421">
        <v>16</v>
      </c>
      <c r="CH207" s="1421">
        <v>0</v>
      </c>
      <c r="CI207" s="1421">
        <v>0</v>
      </c>
      <c r="CJ207" s="2135">
        <v>60</v>
      </c>
      <c r="CK207" s="2132">
        <v>0.14000000000000001</v>
      </c>
    </row>
    <row r="210" spans="80:81">
      <c r="CB210" s="2130" t="s">
        <v>6</v>
      </c>
      <c r="CC210" s="2137"/>
    </row>
    <row r="211" spans="80:81" ht="15.75">
      <c r="CB211" s="525" t="s">
        <v>503</v>
      </c>
      <c r="CC211" s="749">
        <v>0</v>
      </c>
    </row>
    <row r="212" spans="80:81" ht="15.75">
      <c r="CB212" s="525" t="s">
        <v>22</v>
      </c>
      <c r="CC212" s="749">
        <v>10</v>
      </c>
    </row>
    <row r="213" spans="80:81" ht="15.75">
      <c r="CB213" s="525" t="s">
        <v>528</v>
      </c>
      <c r="CC213" s="749">
        <v>10</v>
      </c>
    </row>
    <row r="214" spans="80:81" ht="15.75">
      <c r="CB214" s="525" t="s">
        <v>7</v>
      </c>
      <c r="CC214" s="749">
        <v>10</v>
      </c>
    </row>
    <row r="215" spans="80:81" ht="15.75">
      <c r="CB215" s="525" t="s">
        <v>17</v>
      </c>
      <c r="CC215" s="808">
        <v>20</v>
      </c>
    </row>
    <row r="216" spans="80:81" ht="15.75">
      <c r="CB216" s="525" t="s">
        <v>23</v>
      </c>
      <c r="CC216" s="808">
        <v>0</v>
      </c>
    </row>
    <row r="217" spans="80:81" ht="15.75">
      <c r="CB217" s="525" t="s">
        <v>20</v>
      </c>
      <c r="CC217" s="808">
        <v>20</v>
      </c>
    </row>
    <row r="218" spans="80:81" ht="15.75">
      <c r="CB218" s="525" t="s">
        <v>19</v>
      </c>
      <c r="CC218" s="808">
        <v>10</v>
      </c>
    </row>
    <row r="219" spans="80:81" ht="15.75">
      <c r="CB219" s="525" t="s">
        <v>529</v>
      </c>
      <c r="CC219" s="808">
        <v>0</v>
      </c>
    </row>
    <row r="220" spans="80:81" ht="15.75">
      <c r="CB220" s="525" t="s">
        <v>21</v>
      </c>
      <c r="CC220" s="808">
        <v>10</v>
      </c>
    </row>
    <row r="221" spans="80:81" ht="15.75">
      <c r="CB221" s="525" t="s">
        <v>18</v>
      </c>
      <c r="CC221" s="808">
        <v>20</v>
      </c>
    </row>
    <row r="222" spans="80:81" ht="15.75">
      <c r="CB222" s="525"/>
      <c r="CC222" s="808"/>
    </row>
    <row r="223" spans="80:81" ht="15.75">
      <c r="CB223" s="2130" t="s">
        <v>8</v>
      </c>
      <c r="CC223" s="808"/>
    </row>
    <row r="224" spans="80:81" ht="15.75">
      <c r="CB224" s="525" t="s">
        <v>25</v>
      </c>
      <c r="CC224" s="808">
        <v>0</v>
      </c>
    </row>
    <row r="225" spans="80:81" ht="15.75">
      <c r="CB225" s="525" t="s">
        <v>531</v>
      </c>
      <c r="CC225" s="808">
        <v>0</v>
      </c>
    </row>
    <row r="226" spans="80:81" ht="15.75">
      <c r="CB226" s="525" t="s">
        <v>530</v>
      </c>
      <c r="CC226" s="808">
        <v>20</v>
      </c>
    </row>
    <row r="227" spans="80:81" ht="15.75">
      <c r="CB227" s="525" t="s">
        <v>28</v>
      </c>
      <c r="CC227" s="808">
        <v>10</v>
      </c>
    </row>
    <row r="228" spans="80:81" ht="15.75">
      <c r="CB228" s="525" t="s">
        <v>533</v>
      </c>
      <c r="CC228" s="808">
        <v>10</v>
      </c>
    </row>
    <row r="229" spans="80:81" ht="15.75">
      <c r="CB229" s="525" t="s">
        <v>671</v>
      </c>
      <c r="CC229" s="808">
        <v>30</v>
      </c>
    </row>
    <row r="230" spans="80:81" ht="15.75">
      <c r="CB230" s="525" t="s">
        <v>532</v>
      </c>
      <c r="CC230" s="808">
        <v>40</v>
      </c>
    </row>
    <row r="231" spans="80:81" ht="15.75">
      <c r="CB231" s="525" t="s">
        <v>9</v>
      </c>
      <c r="CC231" s="808">
        <v>0</v>
      </c>
    </row>
    <row r="232" spans="80:81" ht="15.75">
      <c r="CB232" s="525" t="s">
        <v>10</v>
      </c>
      <c r="CC232" s="808">
        <v>10</v>
      </c>
    </row>
    <row r="233" spans="80:81" ht="15.75">
      <c r="CB233" s="525" t="s">
        <v>31</v>
      </c>
      <c r="CC233" s="808">
        <v>0</v>
      </c>
    </row>
    <row r="234" spans="80:81" ht="15.75">
      <c r="CB234" s="525"/>
      <c r="CC234" s="808"/>
    </row>
    <row r="235" spans="80:81" ht="15.75">
      <c r="CB235" s="2130" t="s">
        <v>159</v>
      </c>
      <c r="CC235" s="808"/>
    </row>
    <row r="236" spans="80:81" ht="15.75">
      <c r="CB236" s="525" t="s">
        <v>224</v>
      </c>
      <c r="CC236" s="808">
        <v>20</v>
      </c>
    </row>
    <row r="237" spans="80:81" ht="15.75">
      <c r="CB237" s="525" t="s">
        <v>160</v>
      </c>
      <c r="CC237" s="808">
        <v>0</v>
      </c>
    </row>
    <row r="238" spans="80:81">
      <c r="CB238" s="525"/>
      <c r="CC238" s="1967"/>
    </row>
    <row r="239" spans="80:81">
      <c r="CB239" s="525" t="s">
        <v>1328</v>
      </c>
      <c r="CC239" s="1967"/>
    </row>
    <row r="240" spans="80:81">
      <c r="CB240" s="525" t="s">
        <v>1329</v>
      </c>
      <c r="CC240" s="1967" t="s">
        <v>1330</v>
      </c>
    </row>
    <row r="241" spans="80:81">
      <c r="CB241" s="525" t="s">
        <v>1331</v>
      </c>
      <c r="CC241" s="1967">
        <v>20</v>
      </c>
    </row>
    <row r="242" spans="80:81">
      <c r="CB242" s="525" t="s">
        <v>1327</v>
      </c>
      <c r="CC242" s="1967">
        <v>0</v>
      </c>
    </row>
  </sheetData>
  <sheetProtection sheet="1" objects="1" scenarios="1"/>
  <mergeCells count="46">
    <mergeCell ref="CJ3:CJ5"/>
    <mergeCell ref="BM1:BW5"/>
    <mergeCell ref="CK3:CK5"/>
    <mergeCell ref="CC3:CC5"/>
    <mergeCell ref="CD3:CD5"/>
    <mergeCell ref="CE3:CE5"/>
    <mergeCell ref="CF3:CF5"/>
    <mergeCell ref="CG3:CG5"/>
    <mergeCell ref="CH3:CH5"/>
    <mergeCell ref="AR6:AW6"/>
    <mergeCell ref="AY6:BD6"/>
    <mergeCell ref="CI3:CI5"/>
    <mergeCell ref="BS6:BW6"/>
    <mergeCell ref="BM6:BQ6"/>
    <mergeCell ref="AB4:BK4"/>
    <mergeCell ref="AB5:BK5"/>
    <mergeCell ref="BF6:BK6"/>
    <mergeCell ref="AC6:AC7"/>
    <mergeCell ref="W6:X6"/>
    <mergeCell ref="AB6:AB7"/>
    <mergeCell ref="AD6:AI6"/>
    <mergeCell ref="AK6:AP6"/>
    <mergeCell ref="Y6:Z6"/>
    <mergeCell ref="T6:T7"/>
    <mergeCell ref="U6:U7"/>
    <mergeCell ref="D6:E6"/>
    <mergeCell ref="N6:N7"/>
    <mergeCell ref="O6:O7"/>
    <mergeCell ref="P6:P7"/>
    <mergeCell ref="Q6:Q7"/>
    <mergeCell ref="A41:B44"/>
    <mergeCell ref="C41:AG43"/>
    <mergeCell ref="C44:AG44"/>
    <mergeCell ref="B1:D1"/>
    <mergeCell ref="S1:T1"/>
    <mergeCell ref="B2:D2"/>
    <mergeCell ref="S2:T2"/>
    <mergeCell ref="B3:D3"/>
    <mergeCell ref="A5:Z5"/>
    <mergeCell ref="A4:Z4"/>
    <mergeCell ref="F6:M6"/>
    <mergeCell ref="V6:V7"/>
    <mergeCell ref="R6:R7"/>
    <mergeCell ref="S6:S7"/>
    <mergeCell ref="A35:B39"/>
    <mergeCell ref="C35:AG39"/>
  </mergeCells>
  <dataValidations count="4">
    <dataValidation type="list" allowBlank="1" showInputMessage="1" showErrorMessage="1" sqref="T8:T31">
      <formula1>"bis 4 %, ab 4 %"</formula1>
    </dataValidation>
    <dataValidation type="list" allowBlank="1" showInputMessage="1" showErrorMessage="1" sqref="N8:N31">
      <formula1>$CB$211:$CB$221</formula1>
    </dataValidation>
    <dataValidation type="list" allowBlank="1" showInputMessage="1" showErrorMessage="1" sqref="P8:P31">
      <formula1>$CB$224:$CB$233</formula1>
    </dataValidation>
    <dataValidation type="list" allowBlank="1" showInputMessage="1" showErrorMessage="1" sqref="C8:C31">
      <formula1>$CB$6:$CB$207</formula1>
    </dataValidation>
  </dataValidations>
  <pageMargins left="0.7" right="0.7" top="0.78740157499999996" bottom="0.78740157499999996" header="0.3" footer="0.3"/>
  <pageSetup paperSize="9" scale="28" orientation="portrait" r:id="rId1"/>
  <colBreaks count="1" manualBreakCount="1">
    <brk id="27" max="30"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AE8:AE31 AL8:AL31 AS8:AS31 AZ8:AZ31 BG8:BG31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K242"/>
  <sheetViews>
    <sheetView zoomScale="80" zoomScaleNormal="80" zoomScaleSheetLayoutView="40" workbookViewId="0">
      <selection activeCell="A8" sqref="A8"/>
    </sheetView>
  </sheetViews>
  <sheetFormatPr baseColWidth="10" defaultRowHeight="15"/>
  <cols>
    <col min="1" max="1" width="23.28515625" customWidth="1"/>
    <col min="2" max="2" width="14.140625" customWidth="1"/>
    <col min="3" max="3" width="26" customWidth="1"/>
    <col min="6" max="6" width="10.85546875" customWidth="1"/>
    <col min="7" max="8" width="7.28515625" hidden="1" customWidth="1"/>
    <col min="9" max="9" width="4.5703125" hidden="1" customWidth="1"/>
    <col min="10" max="11" width="5.42578125" hidden="1" customWidth="1"/>
    <col min="12" max="12" width="14.28515625" hidden="1" customWidth="1"/>
    <col min="13" max="13" width="14.85546875" hidden="1" customWidth="1"/>
    <col min="14" max="14" width="18.7109375" customWidth="1"/>
    <col min="15" max="15" width="7.140625" style="1969" customWidth="1"/>
    <col min="16" max="16" width="31.85546875" customWidth="1"/>
    <col min="17" max="17" width="7.7109375" customWidth="1"/>
    <col min="18" max="18" width="7.28515625" customWidth="1"/>
    <col min="21" max="21" width="6.5703125" customWidth="1"/>
    <col min="22" max="22" width="14.140625" customWidth="1"/>
    <col min="27" max="27" width="3" customWidth="1"/>
    <col min="28" max="28" width="16.28515625" customWidth="1"/>
    <col min="29" max="29" width="19.7109375" customWidth="1"/>
    <col min="30" max="30" width="12.85546875" customWidth="1"/>
    <col min="31" max="31" width="17.42578125" customWidth="1"/>
    <col min="36" max="36" width="2.28515625" customWidth="1"/>
    <col min="38" max="38" width="16.28515625" customWidth="1"/>
    <col min="43" max="43" width="4.140625" customWidth="1"/>
    <col min="45" max="45" width="14.42578125" customWidth="1"/>
    <col min="50" max="64" width="3.28515625" customWidth="1"/>
    <col min="70" max="70" width="3.42578125" customWidth="1"/>
    <col min="76" max="76" width="5.7109375" customWidth="1"/>
    <col min="77" max="77" width="4.7109375" customWidth="1"/>
    <col min="78" max="79" width="11.42578125" hidden="1" customWidth="1"/>
    <col min="80" max="80" width="56.85546875" style="1421" customWidth="1"/>
    <col min="81" max="81" width="11.42578125" style="1421"/>
    <col min="82" max="82" width="15.7109375" style="1421" customWidth="1"/>
    <col min="83" max="84" width="11.42578125" style="1421"/>
    <col min="85" max="85" width="13.7109375" style="1421" customWidth="1"/>
    <col min="86" max="86" width="14.140625" style="1421" customWidth="1"/>
    <col min="87" max="87" width="17.5703125" style="1421" customWidth="1"/>
    <col min="88" max="89" width="11.42578125" style="1421"/>
  </cols>
  <sheetData>
    <row r="1" spans="1:89" ht="27.75" customHeight="1">
      <c r="A1" s="2833" t="s">
        <v>1711</v>
      </c>
      <c r="B1" s="2785" t="str">
        <f>'DüV-N-Ackerbau'!C1</f>
        <v>Karl vom Land</v>
      </c>
      <c r="C1" s="2785"/>
      <c r="D1" s="2785"/>
      <c r="E1" s="2063" t="str">
        <f>'DüV-N-Ackerbau'!F1</f>
        <v>Erntejahr</v>
      </c>
      <c r="F1" s="1342"/>
      <c r="G1" s="2061"/>
      <c r="H1" s="2061"/>
      <c r="I1" s="2061"/>
      <c r="J1" s="2061"/>
      <c r="K1" s="2061"/>
      <c r="L1" s="2061"/>
      <c r="M1" s="2061"/>
      <c r="N1" s="2061"/>
      <c r="O1" s="2061"/>
      <c r="P1" s="2061"/>
      <c r="Q1" s="2061"/>
      <c r="R1" s="2061"/>
      <c r="S1" s="2584" t="s">
        <v>34</v>
      </c>
      <c r="T1" s="2585"/>
      <c r="U1" s="2061"/>
      <c r="V1" s="2061"/>
      <c r="W1" s="2382"/>
      <c r="X1" s="2870" t="s">
        <v>1143</v>
      </c>
      <c r="Y1" s="2832"/>
      <c r="AB1" s="2559" t="s">
        <v>1142</v>
      </c>
      <c r="AC1" s="2560"/>
      <c r="AD1" s="2569" t="s">
        <v>1182</v>
      </c>
      <c r="AE1" s="2569"/>
      <c r="AF1" s="2569"/>
      <c r="AG1" s="2569"/>
      <c r="AH1" s="2569"/>
      <c r="AI1" s="2569"/>
      <c r="AJ1" s="2570"/>
      <c r="AK1" s="2570"/>
      <c r="AL1" s="2570"/>
      <c r="AM1" s="2570"/>
      <c r="AN1" s="2570"/>
      <c r="AO1" s="2570"/>
      <c r="AP1" s="2570"/>
      <c r="AQ1" s="2571"/>
      <c r="AR1" s="2571"/>
      <c r="AS1" s="2571"/>
      <c r="AT1" s="2571"/>
      <c r="AU1" s="2571"/>
      <c r="AV1" s="2571"/>
      <c r="AW1" s="2571"/>
      <c r="AX1" s="2571"/>
      <c r="AY1" s="2571"/>
      <c r="AZ1" s="2571"/>
      <c r="BA1" s="2571"/>
      <c r="BB1" s="2571"/>
      <c r="BC1" s="2571"/>
      <c r="BD1" s="2571"/>
      <c r="BE1" s="2571"/>
      <c r="BF1" s="2571"/>
      <c r="BG1" s="2571"/>
      <c r="BH1" s="2571"/>
      <c r="BI1" s="2571"/>
      <c r="BJ1" s="2571"/>
      <c r="BK1" s="2571"/>
      <c r="BM1" s="2895" t="s">
        <v>1407</v>
      </c>
      <c r="BN1" s="2896"/>
      <c r="BO1" s="2896"/>
      <c r="BP1" s="2896"/>
      <c r="BQ1" s="2896"/>
      <c r="BR1" s="2896"/>
      <c r="BS1" s="2896"/>
      <c r="BT1" s="2896"/>
      <c r="BU1" s="2896"/>
      <c r="BV1" s="2896"/>
      <c r="BW1" s="2897"/>
    </row>
    <row r="2" spans="1:89" ht="23.25" customHeight="1">
      <c r="A2" s="2834"/>
      <c r="B2" s="2786" t="str">
        <f>'DüV-N-Ackerbau'!C2</f>
        <v>Höfen 1</v>
      </c>
      <c r="C2" s="2786"/>
      <c r="D2" s="2786"/>
      <c r="E2" s="2064">
        <f>'DüV-N-Ackerbau'!G1</f>
        <v>2022</v>
      </c>
      <c r="F2" s="1344"/>
      <c r="G2" s="1345"/>
      <c r="H2" s="1345"/>
      <c r="I2" s="1345"/>
      <c r="J2" s="1345"/>
      <c r="K2" s="1345"/>
      <c r="L2" s="1345"/>
      <c r="M2" s="1345"/>
      <c r="N2" s="1345"/>
      <c r="O2" s="1345"/>
      <c r="P2" s="1345"/>
      <c r="Q2" s="1345"/>
      <c r="R2" s="1345"/>
      <c r="S2" s="2586" t="s">
        <v>36</v>
      </c>
      <c r="T2" s="2587"/>
      <c r="U2" s="2062"/>
      <c r="V2" s="2062"/>
      <c r="W2" s="2382"/>
      <c r="X2" s="2870"/>
      <c r="Y2" s="2832"/>
      <c r="AB2" s="2560"/>
      <c r="AC2" s="2560"/>
      <c r="AD2" s="2569"/>
      <c r="AE2" s="2569"/>
      <c r="AF2" s="2569"/>
      <c r="AG2" s="2569"/>
      <c r="AH2" s="2569"/>
      <c r="AI2" s="2569"/>
      <c r="AJ2" s="2570"/>
      <c r="AK2" s="2570"/>
      <c r="AL2" s="2570"/>
      <c r="AM2" s="2570"/>
      <c r="AN2" s="2570"/>
      <c r="AO2" s="2570"/>
      <c r="AP2" s="2570"/>
      <c r="AQ2" s="2571"/>
      <c r="AR2" s="2571"/>
      <c r="AS2" s="2571"/>
      <c r="AT2" s="2571"/>
      <c r="AU2" s="2571"/>
      <c r="AV2" s="2571"/>
      <c r="AW2" s="2571"/>
      <c r="AX2" s="2571"/>
      <c r="AY2" s="2571"/>
      <c r="AZ2" s="2571"/>
      <c r="BA2" s="2571"/>
      <c r="BB2" s="2571"/>
      <c r="BC2" s="2571"/>
      <c r="BD2" s="2571"/>
      <c r="BE2" s="2571"/>
      <c r="BF2" s="2571"/>
      <c r="BG2" s="2571"/>
      <c r="BH2" s="2571"/>
      <c r="BI2" s="2571"/>
      <c r="BJ2" s="2571"/>
      <c r="BK2" s="2571"/>
      <c r="BM2" s="2898"/>
      <c r="BN2" s="2899"/>
      <c r="BO2" s="2899"/>
      <c r="BP2" s="2899"/>
      <c r="BQ2" s="2899"/>
      <c r="BR2" s="2899"/>
      <c r="BS2" s="2899"/>
      <c r="BT2" s="2899"/>
      <c r="BU2" s="2899"/>
      <c r="BV2" s="2899"/>
      <c r="BW2" s="2900"/>
    </row>
    <row r="3" spans="1:89" ht="21" customHeight="1" thickBot="1">
      <c r="A3" s="2834"/>
      <c r="B3" s="2786" t="str">
        <f>'DüV-N-Ackerbau'!C3</f>
        <v>12345 Auf dem Feld</v>
      </c>
      <c r="C3" s="2786"/>
      <c r="D3" s="2786"/>
      <c r="E3" s="1344"/>
      <c r="F3" s="1344"/>
      <c r="G3" s="2062"/>
      <c r="H3" s="2062"/>
      <c r="I3" s="2062"/>
      <c r="J3" s="2062"/>
      <c r="K3" s="2062"/>
      <c r="L3" s="2062"/>
      <c r="M3" s="2062"/>
      <c r="N3" s="2062"/>
      <c r="O3" s="2062"/>
      <c r="P3" s="2062"/>
      <c r="Q3" s="2062"/>
      <c r="R3" s="2062"/>
      <c r="S3" s="2062"/>
      <c r="T3" s="2062"/>
      <c r="U3" s="2062"/>
      <c r="V3" s="2062"/>
      <c r="W3" s="2382"/>
      <c r="X3" s="2871"/>
      <c r="Y3" s="2872"/>
      <c r="AB3" s="2560"/>
      <c r="AC3" s="2560"/>
      <c r="AD3" s="2569"/>
      <c r="AE3" s="2569"/>
      <c r="AF3" s="2569"/>
      <c r="AG3" s="2569"/>
      <c r="AH3" s="2569"/>
      <c r="AI3" s="2569"/>
      <c r="AJ3" s="2570"/>
      <c r="AK3" s="2570"/>
      <c r="AL3" s="2570"/>
      <c r="AM3" s="2570"/>
      <c r="AN3" s="2570"/>
      <c r="AO3" s="2570"/>
      <c r="AP3" s="2570"/>
      <c r="AQ3" s="2571"/>
      <c r="AR3" s="2571"/>
      <c r="AS3" s="2571"/>
      <c r="AT3" s="2571"/>
      <c r="AU3" s="2571"/>
      <c r="AV3" s="2571"/>
      <c r="AW3" s="2571"/>
      <c r="AX3" s="2571"/>
      <c r="AY3" s="2571"/>
      <c r="AZ3" s="2571"/>
      <c r="BA3" s="2571"/>
      <c r="BB3" s="2571"/>
      <c r="BC3" s="2571"/>
      <c r="BD3" s="2571"/>
      <c r="BE3" s="2571"/>
      <c r="BF3" s="2571"/>
      <c r="BG3" s="2571"/>
      <c r="BH3" s="2571"/>
      <c r="BI3" s="2571"/>
      <c r="BJ3" s="2571"/>
      <c r="BK3" s="2571"/>
      <c r="BM3" s="2898"/>
      <c r="BN3" s="2899"/>
      <c r="BO3" s="2899"/>
      <c r="BP3" s="2899"/>
      <c r="BQ3" s="2899"/>
      <c r="BR3" s="2899"/>
      <c r="BS3" s="2899"/>
      <c r="BT3" s="2899"/>
      <c r="BU3" s="2899"/>
      <c r="BV3" s="2899"/>
      <c r="BW3" s="2900"/>
      <c r="CC3" s="2577" t="s">
        <v>33</v>
      </c>
      <c r="CD3" s="2577" t="s">
        <v>1275</v>
      </c>
      <c r="CE3" s="2578" t="s">
        <v>1322</v>
      </c>
      <c r="CF3" s="2578" t="s">
        <v>1323</v>
      </c>
      <c r="CG3" s="2578" t="s">
        <v>1324</v>
      </c>
      <c r="CH3" s="2579" t="s">
        <v>1325</v>
      </c>
      <c r="CI3" s="2579" t="s">
        <v>1333</v>
      </c>
      <c r="CJ3" s="2580" t="s">
        <v>323</v>
      </c>
      <c r="CK3" s="2582" t="s">
        <v>1276</v>
      </c>
    </row>
    <row r="4" spans="1:89" ht="42" customHeight="1" thickBot="1">
      <c r="A4" s="2874" t="s">
        <v>1405</v>
      </c>
      <c r="B4" s="2874"/>
      <c r="C4" s="2874"/>
      <c r="D4" s="2874"/>
      <c r="E4" s="2874"/>
      <c r="F4" s="2874"/>
      <c r="G4" s="2874"/>
      <c r="H4" s="2874"/>
      <c r="I4" s="2874"/>
      <c r="J4" s="2874"/>
      <c r="K4" s="2874"/>
      <c r="L4" s="2874"/>
      <c r="M4" s="2874"/>
      <c r="N4" s="2874"/>
      <c r="O4" s="2874"/>
      <c r="P4" s="2874"/>
      <c r="Q4" s="2874"/>
      <c r="R4" s="2874"/>
      <c r="S4" s="2874"/>
      <c r="T4" s="2874"/>
      <c r="U4" s="2874"/>
      <c r="V4" s="2874"/>
      <c r="W4" s="2874"/>
      <c r="X4" s="2874"/>
      <c r="Y4" s="2874"/>
      <c r="Z4" s="2874"/>
      <c r="AB4" s="2511" t="s">
        <v>1150</v>
      </c>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1878"/>
      <c r="BM4" s="2898"/>
      <c r="BN4" s="2899"/>
      <c r="BO4" s="2899"/>
      <c r="BP4" s="2899"/>
      <c r="BQ4" s="2899"/>
      <c r="BR4" s="2899"/>
      <c r="BS4" s="2899"/>
      <c r="BT4" s="2899"/>
      <c r="BU4" s="2899"/>
      <c r="BV4" s="2899"/>
      <c r="BW4" s="2900"/>
      <c r="BX4" s="1878"/>
      <c r="CB4" s="175" t="s">
        <v>1393</v>
      </c>
      <c r="CC4" s="2577"/>
      <c r="CD4" s="2577"/>
      <c r="CE4" s="2578"/>
      <c r="CF4" s="2578"/>
      <c r="CG4" s="2578"/>
      <c r="CH4" s="2579"/>
      <c r="CI4" s="2579"/>
      <c r="CJ4" s="2580"/>
      <c r="CK4" s="2582"/>
    </row>
    <row r="5" spans="1:89" ht="33.75" customHeight="1" thickBot="1">
      <c r="A5" s="2873" t="s">
        <v>1402</v>
      </c>
      <c r="B5" s="2873"/>
      <c r="C5" s="2873"/>
      <c r="D5" s="2873"/>
      <c r="E5" s="2873"/>
      <c r="F5" s="2873"/>
      <c r="G5" s="2873"/>
      <c r="H5" s="2873"/>
      <c r="I5" s="2873"/>
      <c r="J5" s="2873"/>
      <c r="K5" s="2873"/>
      <c r="L5" s="2873"/>
      <c r="M5" s="2873"/>
      <c r="N5" s="2873"/>
      <c r="O5" s="2873"/>
      <c r="P5" s="2873"/>
      <c r="Q5" s="2873"/>
      <c r="R5" s="2873"/>
      <c r="S5" s="2873"/>
      <c r="T5" s="2873"/>
      <c r="U5" s="2873"/>
      <c r="V5" s="2873"/>
      <c r="W5" s="2873"/>
      <c r="X5" s="2873"/>
      <c r="Y5" s="2873"/>
      <c r="Z5" s="2873"/>
      <c r="AB5" s="2516" t="s">
        <v>1018</v>
      </c>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1880"/>
      <c r="BM5" s="2539"/>
      <c r="BN5" s="2901"/>
      <c r="BO5" s="2901"/>
      <c r="BP5" s="2901"/>
      <c r="BQ5" s="2901"/>
      <c r="BR5" s="2901"/>
      <c r="BS5" s="2901"/>
      <c r="BT5" s="2901"/>
      <c r="BU5" s="2901"/>
      <c r="BV5" s="2901"/>
      <c r="BW5" s="2902"/>
      <c r="BX5" s="1878"/>
      <c r="CC5" s="2577"/>
      <c r="CD5" s="2577"/>
      <c r="CE5" s="2578"/>
      <c r="CF5" s="2578"/>
      <c r="CG5" s="2578"/>
      <c r="CH5" s="2579"/>
      <c r="CI5" s="2579"/>
      <c r="CJ5" s="2581"/>
      <c r="CK5" s="2583"/>
    </row>
    <row r="6" spans="1:89" ht="39.75" customHeight="1" thickBot="1">
      <c r="A6" s="1"/>
      <c r="B6" s="1"/>
      <c r="C6" s="7"/>
      <c r="D6" s="2875" t="s">
        <v>295</v>
      </c>
      <c r="E6" s="2877"/>
      <c r="F6" s="2875" t="s">
        <v>296</v>
      </c>
      <c r="G6" s="2876"/>
      <c r="H6" s="2876"/>
      <c r="I6" s="2876"/>
      <c r="J6" s="2876"/>
      <c r="K6" s="2876"/>
      <c r="L6" s="2876"/>
      <c r="M6" s="2877"/>
      <c r="N6" s="2883" t="s">
        <v>6</v>
      </c>
      <c r="O6" s="2885" t="s">
        <v>163</v>
      </c>
      <c r="P6" s="2883" t="s">
        <v>8</v>
      </c>
      <c r="Q6" s="2885" t="s">
        <v>163</v>
      </c>
      <c r="R6" s="2880" t="s">
        <v>1335</v>
      </c>
      <c r="S6" s="2882" t="s">
        <v>223</v>
      </c>
      <c r="T6" s="2883" t="s">
        <v>256</v>
      </c>
      <c r="U6" s="2885" t="s">
        <v>163</v>
      </c>
      <c r="V6" s="2878" t="s">
        <v>1055</v>
      </c>
      <c r="W6" s="2880" t="s">
        <v>1013</v>
      </c>
      <c r="X6" s="2886"/>
      <c r="Y6" s="2888" t="s">
        <v>1132</v>
      </c>
      <c r="Z6" s="2886"/>
      <c r="AB6" s="2501" t="s">
        <v>1134</v>
      </c>
      <c r="AC6" s="2515" t="s">
        <v>623</v>
      </c>
      <c r="AD6" s="2612" t="s">
        <v>1425</v>
      </c>
      <c r="AE6" s="2504"/>
      <c r="AF6" s="2504"/>
      <c r="AG6" s="2504"/>
      <c r="AH6" s="2504"/>
      <c r="AI6" s="2504"/>
      <c r="AJ6" s="525"/>
      <c r="AK6" s="2612" t="s">
        <v>1426</v>
      </c>
      <c r="AL6" s="2504"/>
      <c r="AM6" s="2504"/>
      <c r="AN6" s="2504"/>
      <c r="AO6" s="2504"/>
      <c r="AP6" s="2504"/>
      <c r="AQ6" s="2099"/>
      <c r="AR6" s="2612" t="s">
        <v>1427</v>
      </c>
      <c r="AS6" s="2504"/>
      <c r="AT6" s="2504"/>
      <c r="AU6" s="2504"/>
      <c r="AV6" s="2504"/>
      <c r="AW6" s="2504"/>
      <c r="AX6" s="897"/>
      <c r="AY6" s="2612" t="s">
        <v>1428</v>
      </c>
      <c r="AZ6" s="2504"/>
      <c r="BA6" s="2504"/>
      <c r="BB6" s="2504"/>
      <c r="BC6" s="2504"/>
      <c r="BD6" s="2504"/>
      <c r="BE6" s="897"/>
      <c r="BF6" s="2612" t="s">
        <v>1429</v>
      </c>
      <c r="BG6" s="2504"/>
      <c r="BH6" s="2504"/>
      <c r="BI6" s="2504"/>
      <c r="BJ6" s="2504"/>
      <c r="BK6" s="2504"/>
      <c r="BL6" s="1878"/>
      <c r="BM6" s="2521" t="s">
        <v>1065</v>
      </c>
      <c r="BN6" s="2522"/>
      <c r="BO6" s="2522"/>
      <c r="BP6" s="2522"/>
      <c r="BQ6" s="2523"/>
      <c r="BR6" s="1136"/>
      <c r="BS6" s="2508" t="s">
        <v>1076</v>
      </c>
      <c r="BT6" s="2509"/>
      <c r="BU6" s="2509"/>
      <c r="BV6" s="2509"/>
      <c r="BW6" s="2510"/>
      <c r="BX6" s="1878"/>
      <c r="CB6" s="1968" t="s">
        <v>795</v>
      </c>
      <c r="CC6" s="1421">
        <v>0</v>
      </c>
      <c r="CD6" s="1421">
        <v>0</v>
      </c>
      <c r="CE6" s="1421">
        <v>0</v>
      </c>
      <c r="CF6" s="1421">
        <v>0</v>
      </c>
      <c r="CG6" s="1421">
        <v>0</v>
      </c>
      <c r="CH6" s="1421">
        <v>0</v>
      </c>
      <c r="CI6" s="1421">
        <v>0</v>
      </c>
      <c r="CJ6" s="1421">
        <v>0</v>
      </c>
      <c r="CK6" s="1421">
        <v>0</v>
      </c>
    </row>
    <row r="7" spans="1:89" ht="90.75" customHeight="1" thickBot="1">
      <c r="A7" s="2011" t="s">
        <v>1337</v>
      </c>
      <c r="B7" s="2012" t="s">
        <v>1336</v>
      </c>
      <c r="C7" s="2009" t="s">
        <v>1406</v>
      </c>
      <c r="D7" s="561" t="s">
        <v>33</v>
      </c>
      <c r="E7" s="562" t="s">
        <v>1338</v>
      </c>
      <c r="F7" s="1937" t="s">
        <v>1339</v>
      </c>
      <c r="G7" s="1979" t="s">
        <v>1315</v>
      </c>
      <c r="H7" s="1979" t="s">
        <v>1316</v>
      </c>
      <c r="I7" s="1980" t="s">
        <v>1317</v>
      </c>
      <c r="J7" s="1980" t="s">
        <v>1318</v>
      </c>
      <c r="K7" s="1980" t="s">
        <v>1319</v>
      </c>
      <c r="L7" s="1980" t="s">
        <v>1320</v>
      </c>
      <c r="M7" s="1938" t="s">
        <v>1321</v>
      </c>
      <c r="N7" s="2884"/>
      <c r="O7" s="2794"/>
      <c r="P7" s="2884"/>
      <c r="Q7" s="2794"/>
      <c r="R7" s="2881"/>
      <c r="S7" s="2822"/>
      <c r="T7" s="2884"/>
      <c r="U7" s="2794"/>
      <c r="V7" s="2879"/>
      <c r="W7" s="1937" t="s">
        <v>322</v>
      </c>
      <c r="X7" s="2378" t="s">
        <v>1340</v>
      </c>
      <c r="Y7" s="2007" t="s">
        <v>322</v>
      </c>
      <c r="Z7" s="2008" t="s">
        <v>1340</v>
      </c>
      <c r="AB7" s="2502"/>
      <c r="AC7" s="2490"/>
      <c r="AD7" s="2092" t="s">
        <v>839</v>
      </c>
      <c r="AE7" s="2090" t="s">
        <v>819</v>
      </c>
      <c r="AF7" s="2095" t="s">
        <v>33</v>
      </c>
      <c r="AG7" s="2091" t="s">
        <v>1062</v>
      </c>
      <c r="AH7" s="2095" t="s">
        <v>1063</v>
      </c>
      <c r="AI7" s="2091" t="s">
        <v>1064</v>
      </c>
      <c r="AJ7" s="1421"/>
      <c r="AK7" s="2092" t="s">
        <v>839</v>
      </c>
      <c r="AL7" s="2090" t="s">
        <v>819</v>
      </c>
      <c r="AM7" s="2095" t="s">
        <v>33</v>
      </c>
      <c r="AN7" s="2091" t="s">
        <v>1062</v>
      </c>
      <c r="AO7" s="2095" t="s">
        <v>1063</v>
      </c>
      <c r="AP7" s="2091" t="s">
        <v>1064</v>
      </c>
      <c r="AQ7" s="279"/>
      <c r="AR7" s="2092" t="s">
        <v>839</v>
      </c>
      <c r="AS7" s="2090" t="s">
        <v>819</v>
      </c>
      <c r="AT7" s="2095" t="s">
        <v>33</v>
      </c>
      <c r="AU7" s="2091" t="s">
        <v>1062</v>
      </c>
      <c r="AV7" s="2095" t="s">
        <v>1063</v>
      </c>
      <c r="AW7" s="2091" t="s">
        <v>1064</v>
      </c>
      <c r="AX7" s="279"/>
      <c r="AY7" s="2092" t="s">
        <v>839</v>
      </c>
      <c r="AZ7" s="2090" t="s">
        <v>819</v>
      </c>
      <c r="BA7" s="2095" t="s">
        <v>33</v>
      </c>
      <c r="BB7" s="2091" t="s">
        <v>1062</v>
      </c>
      <c r="BC7" s="2095" t="s">
        <v>1063</v>
      </c>
      <c r="BD7" s="2091" t="s">
        <v>1064</v>
      </c>
      <c r="BE7" s="279"/>
      <c r="BF7" s="2092" t="s">
        <v>839</v>
      </c>
      <c r="BG7" s="2090" t="s">
        <v>819</v>
      </c>
      <c r="BH7" s="2095" t="s">
        <v>33</v>
      </c>
      <c r="BI7" s="2091" t="s">
        <v>1062</v>
      </c>
      <c r="BJ7" s="2095" t="s">
        <v>1063</v>
      </c>
      <c r="BK7" s="2091" t="s">
        <v>1064</v>
      </c>
      <c r="BL7" s="1878"/>
      <c r="BM7" s="1809" t="s">
        <v>1080</v>
      </c>
      <c r="BN7" s="1879" t="s">
        <v>1066</v>
      </c>
      <c r="BO7" s="1307" t="s">
        <v>1309</v>
      </c>
      <c r="BP7" s="906" t="s">
        <v>1241</v>
      </c>
      <c r="BQ7" s="1879" t="s">
        <v>284</v>
      </c>
      <c r="BR7" s="1874"/>
      <c r="BS7" s="1809" t="s">
        <v>1080</v>
      </c>
      <c r="BT7" s="1168" t="s">
        <v>1307</v>
      </c>
      <c r="BU7" s="1307" t="s">
        <v>1309</v>
      </c>
      <c r="BV7" s="906" t="s">
        <v>1241</v>
      </c>
      <c r="BW7" s="1879" t="s">
        <v>284</v>
      </c>
      <c r="BX7" s="1137"/>
      <c r="CB7" s="1968" t="s">
        <v>1440</v>
      </c>
      <c r="CC7" s="1421">
        <v>50</v>
      </c>
      <c r="CD7" s="1421">
        <v>45</v>
      </c>
      <c r="CE7" s="1421">
        <v>10</v>
      </c>
      <c r="CF7" s="1421">
        <v>2</v>
      </c>
      <c r="CG7" s="1421">
        <v>2</v>
      </c>
      <c r="CH7" s="1421">
        <v>0</v>
      </c>
      <c r="CI7" s="1421">
        <v>0</v>
      </c>
      <c r="CJ7" s="2131">
        <v>30</v>
      </c>
      <c r="CK7" s="2132">
        <v>0.23</v>
      </c>
    </row>
    <row r="8" spans="1:89" ht="30.75" thickBot="1">
      <c r="A8" s="513" t="s">
        <v>829</v>
      </c>
      <c r="B8" s="2010">
        <v>0</v>
      </c>
      <c r="C8" s="2126" t="s">
        <v>795</v>
      </c>
      <c r="D8" s="1981">
        <f t="shared" ref="D8:D31" si="0">VLOOKUP(C8,$CB$6:$CK$207,2,FALSE)</f>
        <v>0</v>
      </c>
      <c r="E8" s="1982">
        <f t="shared" ref="E8:E31" si="1">VLOOKUP(C8,$CB$6:$CK$207,3,FALSE)</f>
        <v>0</v>
      </c>
      <c r="F8" s="1985">
        <v>0</v>
      </c>
      <c r="G8" s="1986">
        <f>F8-D8</f>
        <v>0</v>
      </c>
      <c r="H8" s="1887">
        <f>IF(D8=0,0,G8*100/D8)</f>
        <v>0</v>
      </c>
      <c r="I8" s="1887">
        <f t="shared" ref="I8:I31" si="2">VLOOKUP(C8,$CB$6:$CK$207,4,FALSE)</f>
        <v>0</v>
      </c>
      <c r="J8" s="1887">
        <f t="shared" ref="J8:J31" si="3">VLOOKUP(C8,$CB$6:$CK$207,5,FALSE)</f>
        <v>0</v>
      </c>
      <c r="K8" s="1887">
        <f t="shared" ref="K8:K31" si="4">VLOOKUP(C8,$CB$6:$CK$207,6,FALSE)</f>
        <v>0</v>
      </c>
      <c r="L8" s="1986" t="e">
        <f>IF(H8&gt;0,ROUNDDOWN(H8/I8,0)*J8,IF(H8&lt;=0,ROUNDDOWN(H8/I8,0)*K8,IF(G8&gt;0,G8*J8/F8,K8*G8/0)))</f>
        <v>#DIV/0!</v>
      </c>
      <c r="M8" s="1987">
        <f>IF(D8=0,0,L8+E8)</f>
        <v>0</v>
      </c>
      <c r="N8" s="2019" t="s">
        <v>503</v>
      </c>
      <c r="O8" s="744">
        <f t="shared" ref="O8:O31" si="5">VLOOKUP(N8,$CB$211:$CC$221,2,FALSE)</f>
        <v>0</v>
      </c>
      <c r="P8" s="1998" t="s">
        <v>25</v>
      </c>
      <c r="Q8" s="1999">
        <f t="shared" ref="Q8:Q31" si="6">VLOOKUP(P8,$CB$224:$CC$233,2,FALSE)</f>
        <v>0</v>
      </c>
      <c r="R8" s="2004">
        <f t="shared" ref="R8:R31" si="7">VLOOKUP(C8,$CB$6:$CK$207,9,FALSE)</f>
        <v>0</v>
      </c>
      <c r="S8" s="2193">
        <v>0</v>
      </c>
      <c r="T8" s="1994" t="s">
        <v>160</v>
      </c>
      <c r="U8" s="1999">
        <f t="shared" ref="U8:U31" si="8">VLOOKUP(T8,$CB$236:$CC$237,2,FALSE)</f>
        <v>0</v>
      </c>
      <c r="V8" s="2374">
        <v>0</v>
      </c>
      <c r="W8" s="2004">
        <f>IF(M8-S8-V8-U8-O8-Q8&lt;0,0,M8-S8-V8-U8-O8-Q8)</f>
        <v>0</v>
      </c>
      <c r="X8" s="1999">
        <f>IF(W8&lt;0,0,W8*B8)</f>
        <v>0</v>
      </c>
      <c r="Y8" s="2377">
        <f t="shared" ref="Y8:Y31" si="9">F8*VLOOKUP(C8,$CB$6:$CK$207,10,FALSE)</f>
        <v>0</v>
      </c>
      <c r="Z8" s="1999">
        <f t="shared" ref="Z8:Z31" si="10">IF(Y8&lt;0,0,B8*Y8)</f>
        <v>0</v>
      </c>
      <c r="AA8" s="1"/>
      <c r="AB8" s="1281" t="str">
        <f t="shared" ref="AB8:AB31" si="11">A8</f>
        <v>Bewirtsch.einh. 1</v>
      </c>
      <c r="AC8" s="1281" t="str">
        <f t="shared" ref="AC8:AC31" si="12">C8</f>
        <v>leer</v>
      </c>
      <c r="AD8" s="1329"/>
      <c r="AE8" s="1330" t="s">
        <v>795</v>
      </c>
      <c r="AF8" s="1424">
        <v>0</v>
      </c>
      <c r="AG8" s="1033">
        <f>VLOOKUP(AE8,Düngemittel!$B$6:$E$64,2,FALSE)*(VLOOKUP(AE8,Düngemittel!$B$6:$E$64,3,FALSE))/100*AF8</f>
        <v>0</v>
      </c>
      <c r="AH8" s="1033">
        <f>VLOOKUP(AE8,Düngemittel!$B$6:$E$64,2,FALSE)*AF8</f>
        <v>0</v>
      </c>
      <c r="AI8" s="1033">
        <f>VLOOKUP(AE8,Düngemittel!$B$6:$E$64,4,FALSE)*AF8</f>
        <v>0</v>
      </c>
      <c r="AJ8" s="92"/>
      <c r="AK8" s="1329"/>
      <c r="AL8" s="1330" t="s">
        <v>795</v>
      </c>
      <c r="AM8" s="1424">
        <v>0</v>
      </c>
      <c r="AN8" s="1033">
        <f>VLOOKUP(AL8,Düngemittel!$B$6:$E$64,2,FALSE)*(VLOOKUP(AL8,Düngemittel!$B$6:$E$64,3,FALSE))/100*AM8</f>
        <v>0</v>
      </c>
      <c r="AO8" s="1033">
        <f>VLOOKUP(AL8,Düngemittel!$B$6:$E$64,2,FALSE)*AM8</f>
        <v>0</v>
      </c>
      <c r="AP8" s="1033">
        <f>VLOOKUP(AL8,Düngemittel!$B$6:$E$64,4,FALSE)*AM8</f>
        <v>0</v>
      </c>
      <c r="AQ8" s="92"/>
      <c r="AR8" s="1329"/>
      <c r="AS8" s="1330" t="s">
        <v>795</v>
      </c>
      <c r="AT8" s="1424">
        <v>0</v>
      </c>
      <c r="AU8" s="1033">
        <f>VLOOKUP(AS8,Düngemittel!$B$6:$E$64,2,FALSE)*(VLOOKUP(AS8,Düngemittel!$B$6:$E$64,3,FALSE))/100*AT8</f>
        <v>0</v>
      </c>
      <c r="AV8" s="1033">
        <f>VLOOKUP(AS8,Düngemittel!$B$6:$E$64,2,FALSE)*AT8</f>
        <v>0</v>
      </c>
      <c r="AW8" s="1033">
        <f>VLOOKUP(AS8,Düngemittel!$B$6:$E$64,4,FALSE)*AT8</f>
        <v>0</v>
      </c>
      <c r="AX8" s="92"/>
      <c r="AY8" s="1329"/>
      <c r="AZ8" s="1330" t="s">
        <v>795</v>
      </c>
      <c r="BA8" s="1424">
        <v>0</v>
      </c>
      <c r="BB8" s="1033">
        <f>VLOOKUP(AZ8,Düngemittel!$B$6:$E$64,2,FALSE)*(VLOOKUP(AZ8,Düngemittel!$B$6:$E$64,3,FALSE))/100*BA8</f>
        <v>0</v>
      </c>
      <c r="BC8" s="1033">
        <f>VLOOKUP(AZ8,Düngemittel!$B$6:$E$64,2,FALSE)*BA8</f>
        <v>0</v>
      </c>
      <c r="BD8" s="1033">
        <f>VLOOKUP(AZ8,Düngemittel!$B$6:$E$64,4,FALSE)*BA8</f>
        <v>0</v>
      </c>
      <c r="BE8" s="92"/>
      <c r="BF8" s="1329"/>
      <c r="BG8" s="1330" t="s">
        <v>795</v>
      </c>
      <c r="BH8" s="1424">
        <v>0</v>
      </c>
      <c r="BI8" s="1033">
        <f>VLOOKUP(BG8,Düngemittel!$B$6:$E$64,2,FALSE)*(VLOOKUP(BG8,Düngemittel!$B$6:$E$64,3,FALSE))/100*BH8</f>
        <v>0</v>
      </c>
      <c r="BJ8" s="1033">
        <f>VLOOKUP(BG8,Düngemittel!$B$6:$E$64,2,FALSE)*BH8</f>
        <v>0</v>
      </c>
      <c r="BK8" s="1033">
        <f>VLOOKUP(BG8,Düngemittel!$B$6:$E$64,4,FALSE)*BH8</f>
        <v>0</v>
      </c>
      <c r="BL8" s="175"/>
      <c r="BM8" s="1814">
        <f t="shared" ref="BM8:BM27" si="13">IF(AG8&lt;AH8,0,AG8)+IF(AN8&lt;AO8,0,AN8)+IF(AU8&lt;AV8,0,AU8)+IF(BB8&lt;BC8,0,BB8)+IF(BI8&lt;BJ8,0,BI8)</f>
        <v>0</v>
      </c>
      <c r="BN8" s="1889">
        <f t="shared" ref="BN8:BN27" si="14">(AG8+AN8+AU8+BB8+BI8)</f>
        <v>0</v>
      </c>
      <c r="BO8" s="1814">
        <f t="shared" ref="BO8:BO27" si="15">(AH8+AO8+AV8+BC8+BJ8)</f>
        <v>0</v>
      </c>
      <c r="BP8" s="1138">
        <f t="shared" ref="BP8:BP27" si="16">IF(AG8&lt;AH8,AH8,0)+IF(AN8&lt;AO8,AO8,0)+IF(AU8&lt;AV8,AV8,0)+IF(BB8&lt;BC8,BC8,0)+IF(BI8&lt;BJ8,BJ8,0)</f>
        <v>0</v>
      </c>
      <c r="BQ8" s="1889">
        <f t="shared" ref="BQ8:BQ27" si="17">(AI8+AP8+AW8+BD8+BK8)</f>
        <v>0</v>
      </c>
      <c r="BR8" s="95"/>
      <c r="BS8" s="2023">
        <f>BM8*$B8</f>
        <v>0</v>
      </c>
      <c r="BT8" s="1973">
        <f>BN8*$B8</f>
        <v>0</v>
      </c>
      <c r="BU8" s="2023">
        <f>BO8*$B8</f>
        <v>0</v>
      </c>
      <c r="BV8" s="1934">
        <f>BP8*$B8</f>
        <v>0</v>
      </c>
      <c r="BW8" s="1973">
        <f>BQ8*$B8</f>
        <v>0</v>
      </c>
      <c r="BX8" s="1137"/>
      <c r="CB8" s="1968" t="s">
        <v>1441</v>
      </c>
      <c r="CC8" s="1421">
        <v>50</v>
      </c>
      <c r="CD8" s="1421">
        <v>45</v>
      </c>
      <c r="CE8" s="1421">
        <v>10</v>
      </c>
      <c r="CF8" s="1421">
        <v>2</v>
      </c>
      <c r="CG8" s="1421">
        <v>2</v>
      </c>
      <c r="CH8" s="1421">
        <v>0</v>
      </c>
      <c r="CI8" s="1421">
        <v>0</v>
      </c>
      <c r="CJ8" s="2133">
        <v>30</v>
      </c>
      <c r="CK8" s="2134">
        <v>0.2</v>
      </c>
    </row>
    <row r="9" spans="1:89" ht="30.75" thickBot="1">
      <c r="A9" s="468" t="s">
        <v>568</v>
      </c>
      <c r="B9" s="1976">
        <v>0</v>
      </c>
      <c r="C9" s="2127" t="s">
        <v>795</v>
      </c>
      <c r="D9" s="1983">
        <f t="shared" si="0"/>
        <v>0</v>
      </c>
      <c r="E9" s="1984">
        <f t="shared" si="1"/>
        <v>0</v>
      </c>
      <c r="F9" s="1988">
        <v>0</v>
      </c>
      <c r="G9" s="1972">
        <f t="shared" ref="G9:G31" si="18">F9-D9</f>
        <v>0</v>
      </c>
      <c r="H9" s="1888">
        <f t="shared" ref="H9:H31" si="19">IF(D9=0,0,G9*100/D9)</f>
        <v>0</v>
      </c>
      <c r="I9" s="2308">
        <f t="shared" si="2"/>
        <v>0</v>
      </c>
      <c r="J9" s="2308">
        <f t="shared" si="3"/>
        <v>0</v>
      </c>
      <c r="K9" s="2308">
        <f t="shared" si="4"/>
        <v>0</v>
      </c>
      <c r="L9" s="1986" t="e">
        <f t="shared" ref="L9:L31" si="20">IF(H9&gt;0,ROUNDDOWN(H9/I9,0)*J9,IF(H9&lt;=0,ROUNDDOWN(H9/I9,0)*K9,IF(G9&gt;0,G9*J9/F9,K9*G9/0)))</f>
        <v>#DIV/0!</v>
      </c>
      <c r="M9" s="1989">
        <f t="shared" ref="M9:M31" si="21">IF(D9=0,0,L9+E9)</f>
        <v>0</v>
      </c>
      <c r="N9" s="1978" t="s">
        <v>503</v>
      </c>
      <c r="O9" s="743">
        <f t="shared" si="5"/>
        <v>0</v>
      </c>
      <c r="P9" s="2000" t="s">
        <v>25</v>
      </c>
      <c r="Q9" s="2001">
        <f t="shared" si="6"/>
        <v>0</v>
      </c>
      <c r="R9" s="2005">
        <f t="shared" si="7"/>
        <v>0</v>
      </c>
      <c r="S9" s="2194">
        <v>0</v>
      </c>
      <c r="T9" s="1995" t="s">
        <v>160</v>
      </c>
      <c r="U9" s="2001">
        <f t="shared" si="8"/>
        <v>0</v>
      </c>
      <c r="V9" s="2375">
        <v>0</v>
      </c>
      <c r="W9" s="2005">
        <f t="shared" ref="W9:W31" si="22">IF(M9-S9-V9-U9-O9-Q9&lt;0,0,M9-S9-V9-U9-O9-Q9)</f>
        <v>0</v>
      </c>
      <c r="X9" s="2001">
        <f t="shared" ref="X9:X31" si="23">IF(W9&lt;0,0,W9*B9)</f>
        <v>0</v>
      </c>
      <c r="Y9" s="2365">
        <f t="shared" si="9"/>
        <v>0</v>
      </c>
      <c r="Z9" s="2001">
        <f t="shared" si="10"/>
        <v>0</v>
      </c>
      <c r="AA9" s="1"/>
      <c r="AB9" s="1281" t="str">
        <f t="shared" si="11"/>
        <v>Fläche 2</v>
      </c>
      <c r="AC9" s="1281" t="str">
        <f t="shared" si="12"/>
        <v>leer</v>
      </c>
      <c r="AD9" s="1329"/>
      <c r="AE9" s="1330" t="s">
        <v>795</v>
      </c>
      <c r="AF9" s="1424">
        <v>0</v>
      </c>
      <c r="AG9" s="1033">
        <f>VLOOKUP(AE9,Düngemittel!$B$6:$E$64,2,FALSE)*(VLOOKUP(AE9,Düngemittel!$B$6:$E$64,3,FALSE))/100*AF9</f>
        <v>0</v>
      </c>
      <c r="AH9" s="1033">
        <f>VLOOKUP(AE9,Düngemittel!$B$6:$E$64,2,FALSE)*AF9</f>
        <v>0</v>
      </c>
      <c r="AI9" s="1033">
        <f>VLOOKUP(AE9,Düngemittel!$B$6:$E$64,4,FALSE)*AF9</f>
        <v>0</v>
      </c>
      <c r="AJ9" s="2089"/>
      <c r="AK9" s="1329"/>
      <c r="AL9" s="1330" t="s">
        <v>830</v>
      </c>
      <c r="AM9" s="1424">
        <v>0</v>
      </c>
      <c r="AN9" s="1033">
        <f>VLOOKUP(AL9,Düngemittel!$B$6:$E$64,2,FALSE)*(VLOOKUP(AL9,Düngemittel!$B$6:$E$64,3,FALSE))/100*AM9</f>
        <v>0</v>
      </c>
      <c r="AO9" s="1033">
        <f>VLOOKUP(AL9,Düngemittel!$B$6:$E$64,2,FALSE)*AM9</f>
        <v>0</v>
      </c>
      <c r="AP9" s="1033">
        <f>VLOOKUP(AL9,Düngemittel!$B$6:$E$64,4,FALSE)*AM9</f>
        <v>0</v>
      </c>
      <c r="AQ9" s="2089"/>
      <c r="AR9" s="1329"/>
      <c r="AS9" s="1330" t="s">
        <v>795</v>
      </c>
      <c r="AT9" s="1424">
        <v>0</v>
      </c>
      <c r="AU9" s="1033">
        <f>VLOOKUP(AS9,Düngemittel!$B$6:$E$64,2,FALSE)*(VLOOKUP(AS9,Düngemittel!$B$6:$E$64,3,FALSE))/100*AT9</f>
        <v>0</v>
      </c>
      <c r="AV9" s="1033">
        <f>VLOOKUP(AS9,Düngemittel!$B$6:$E$64,2,FALSE)*AT9</f>
        <v>0</v>
      </c>
      <c r="AW9" s="1033">
        <f>VLOOKUP(AS9,Düngemittel!$B$6:$E$64,4,FALSE)*AT9</f>
        <v>0</v>
      </c>
      <c r="AX9" s="2089"/>
      <c r="AY9" s="1329"/>
      <c r="AZ9" s="1330" t="s">
        <v>795</v>
      </c>
      <c r="BA9" s="1424">
        <v>0</v>
      </c>
      <c r="BB9" s="1033">
        <f>VLOOKUP(AZ9,Düngemittel!$B$6:$E$64,2,FALSE)*(VLOOKUP(AZ9,Düngemittel!$B$6:$E$64,3,FALSE))/100*BA9</f>
        <v>0</v>
      </c>
      <c r="BC9" s="1033">
        <f>VLOOKUP(AZ9,Düngemittel!$B$6:$E$64,2,FALSE)*BA9</f>
        <v>0</v>
      </c>
      <c r="BD9" s="1033">
        <f>VLOOKUP(AZ9,Düngemittel!$B$6:$E$64,4,FALSE)*BA9</f>
        <v>0</v>
      </c>
      <c r="BE9" s="2089"/>
      <c r="BF9" s="1329"/>
      <c r="BG9" s="1330" t="s">
        <v>795</v>
      </c>
      <c r="BH9" s="1424">
        <v>0</v>
      </c>
      <c r="BI9" s="1033">
        <f>VLOOKUP(BG9,Düngemittel!$B$6:$E$64,2,FALSE)*(VLOOKUP(BG9,Düngemittel!$B$6:$E$64,3,FALSE))/100*BH9</f>
        <v>0</v>
      </c>
      <c r="BJ9" s="1033">
        <f>VLOOKUP(BG9,Düngemittel!$B$6:$E$64,2,FALSE)*BH9</f>
        <v>0</v>
      </c>
      <c r="BK9" s="1033">
        <f>VLOOKUP(BG9,Düngemittel!$B$6:$E$64,4,FALSE)*BH9</f>
        <v>0</v>
      </c>
      <c r="BL9" s="1908"/>
      <c r="BM9" s="1814">
        <f t="shared" si="13"/>
        <v>0</v>
      </c>
      <c r="BN9" s="1889">
        <f t="shared" si="14"/>
        <v>0</v>
      </c>
      <c r="BO9" s="1814">
        <f t="shared" si="15"/>
        <v>0</v>
      </c>
      <c r="BP9" s="1138">
        <f t="shared" si="16"/>
        <v>0</v>
      </c>
      <c r="BQ9" s="1889">
        <f t="shared" si="17"/>
        <v>0</v>
      </c>
      <c r="BR9" s="95"/>
      <c r="BS9" s="2023">
        <f t="shared" ref="BS9:BW31" si="24">BM9*$B9</f>
        <v>0</v>
      </c>
      <c r="BT9" s="1973">
        <f t="shared" si="24"/>
        <v>0</v>
      </c>
      <c r="BU9" s="2023">
        <f t="shared" si="24"/>
        <v>0</v>
      </c>
      <c r="BV9" s="1934">
        <f t="shared" si="24"/>
        <v>0</v>
      </c>
      <c r="BW9" s="1973">
        <f t="shared" si="24"/>
        <v>0</v>
      </c>
      <c r="BX9" s="1874"/>
      <c r="CB9" s="1968" t="s">
        <v>1442</v>
      </c>
      <c r="CC9" s="1421">
        <v>80</v>
      </c>
      <c r="CD9" s="1421">
        <v>85</v>
      </c>
      <c r="CE9" s="1421">
        <v>10</v>
      </c>
      <c r="CF9" s="1421">
        <v>4</v>
      </c>
      <c r="CG9" s="1421">
        <v>4</v>
      </c>
      <c r="CH9" s="1421">
        <v>0</v>
      </c>
      <c r="CI9" s="1421">
        <v>0</v>
      </c>
      <c r="CJ9" s="2135">
        <v>60</v>
      </c>
      <c r="CK9" s="2134">
        <v>0.18</v>
      </c>
    </row>
    <row r="10" spans="1:89" ht="30.75" thickBot="1">
      <c r="A10" s="468" t="s">
        <v>569</v>
      </c>
      <c r="B10" s="1976">
        <v>0</v>
      </c>
      <c r="C10" s="2127" t="s">
        <v>795</v>
      </c>
      <c r="D10" s="1983">
        <f t="shared" si="0"/>
        <v>0</v>
      </c>
      <c r="E10" s="1984">
        <f t="shared" si="1"/>
        <v>0</v>
      </c>
      <c r="F10" s="1988">
        <v>0</v>
      </c>
      <c r="G10" s="1972">
        <f t="shared" si="18"/>
        <v>0</v>
      </c>
      <c r="H10" s="1888">
        <f t="shared" si="19"/>
        <v>0</v>
      </c>
      <c r="I10" s="2308">
        <f t="shared" si="2"/>
        <v>0</v>
      </c>
      <c r="J10" s="2308">
        <f t="shared" si="3"/>
        <v>0</v>
      </c>
      <c r="K10" s="2308">
        <f t="shared" si="4"/>
        <v>0</v>
      </c>
      <c r="L10" s="1986" t="e">
        <f t="shared" si="20"/>
        <v>#DIV/0!</v>
      </c>
      <c r="M10" s="1989">
        <f t="shared" si="21"/>
        <v>0</v>
      </c>
      <c r="N10" s="1978" t="s">
        <v>503</v>
      </c>
      <c r="O10" s="743">
        <f t="shared" si="5"/>
        <v>0</v>
      </c>
      <c r="P10" s="2000" t="s">
        <v>25</v>
      </c>
      <c r="Q10" s="2001">
        <f t="shared" si="6"/>
        <v>0</v>
      </c>
      <c r="R10" s="2005">
        <f t="shared" si="7"/>
        <v>0</v>
      </c>
      <c r="S10" s="2194">
        <v>0</v>
      </c>
      <c r="T10" s="1995" t="s">
        <v>160</v>
      </c>
      <c r="U10" s="2001">
        <f t="shared" si="8"/>
        <v>0</v>
      </c>
      <c r="V10" s="2375">
        <v>0</v>
      </c>
      <c r="W10" s="2005">
        <f t="shared" si="22"/>
        <v>0</v>
      </c>
      <c r="X10" s="2001">
        <f t="shared" si="23"/>
        <v>0</v>
      </c>
      <c r="Y10" s="2365">
        <f t="shared" si="9"/>
        <v>0</v>
      </c>
      <c r="Z10" s="2001">
        <f t="shared" si="10"/>
        <v>0</v>
      </c>
      <c r="AA10" s="1"/>
      <c r="AB10" s="1281" t="str">
        <f t="shared" si="11"/>
        <v>Acker 3</v>
      </c>
      <c r="AC10" s="1281" t="str">
        <f t="shared" si="12"/>
        <v>leer</v>
      </c>
      <c r="AD10" s="1329"/>
      <c r="AE10" s="1330" t="s">
        <v>795</v>
      </c>
      <c r="AF10" s="1424">
        <v>0</v>
      </c>
      <c r="AG10" s="1033">
        <f>VLOOKUP(AE10,Düngemittel!$B$6:$E$64,2,FALSE)*(VLOOKUP(AE10,Düngemittel!$B$6:$E$64,3,FALSE))/100*AF10</f>
        <v>0</v>
      </c>
      <c r="AH10" s="1033">
        <f>VLOOKUP(AE10,Düngemittel!$B$6:$E$64,2,FALSE)*AF10</f>
        <v>0</v>
      </c>
      <c r="AI10" s="1033">
        <f>VLOOKUP(AE10,Düngemittel!$B$6:$E$64,4,FALSE)*AF10</f>
        <v>0</v>
      </c>
      <c r="AJ10" s="2089"/>
      <c r="AK10" s="1329"/>
      <c r="AL10" s="1330" t="s">
        <v>795</v>
      </c>
      <c r="AM10" s="1424">
        <v>0</v>
      </c>
      <c r="AN10" s="1033">
        <f>VLOOKUP(AL10,Düngemittel!$B$6:$E$64,2,FALSE)*(VLOOKUP(AL10,Düngemittel!$B$6:$E$64,3,FALSE))/100*AM10</f>
        <v>0</v>
      </c>
      <c r="AO10" s="1033">
        <f>VLOOKUP(AL10,Düngemittel!$B$6:$E$64,2,FALSE)*AM10</f>
        <v>0</v>
      </c>
      <c r="AP10" s="1033">
        <f>VLOOKUP(AL10,Düngemittel!$B$6:$E$64,4,FALSE)*AM10</f>
        <v>0</v>
      </c>
      <c r="AQ10" s="2089"/>
      <c r="AR10" s="1329"/>
      <c r="AS10" s="1330" t="s">
        <v>795</v>
      </c>
      <c r="AT10" s="1424">
        <v>0</v>
      </c>
      <c r="AU10" s="1033">
        <f>VLOOKUP(AS10,Düngemittel!$B$6:$E$64,2,FALSE)*(VLOOKUP(AS10,Düngemittel!$B$6:$E$64,3,FALSE))/100*AT10</f>
        <v>0</v>
      </c>
      <c r="AV10" s="1033">
        <f>VLOOKUP(AS10,Düngemittel!$B$6:$E$64,2,FALSE)*AT10</f>
        <v>0</v>
      </c>
      <c r="AW10" s="1033">
        <f>VLOOKUP(AS10,Düngemittel!$B$6:$E$64,4,FALSE)*AT10</f>
        <v>0</v>
      </c>
      <c r="AX10" s="2089"/>
      <c r="AY10" s="1329"/>
      <c r="AZ10" s="1330" t="s">
        <v>795</v>
      </c>
      <c r="BA10" s="1424">
        <v>0</v>
      </c>
      <c r="BB10" s="1033">
        <f>VLOOKUP(AZ10,Düngemittel!$B$6:$E$64,2,FALSE)*(VLOOKUP(AZ10,Düngemittel!$B$6:$E$64,3,FALSE))/100*BA10</f>
        <v>0</v>
      </c>
      <c r="BC10" s="1033">
        <f>VLOOKUP(AZ10,Düngemittel!$B$6:$E$64,2,FALSE)*BA10</f>
        <v>0</v>
      </c>
      <c r="BD10" s="1033">
        <f>VLOOKUP(AZ10,Düngemittel!$B$6:$E$64,4,FALSE)*BA10</f>
        <v>0</v>
      </c>
      <c r="BE10" s="2089"/>
      <c r="BF10" s="1329"/>
      <c r="BG10" s="1330" t="s">
        <v>795</v>
      </c>
      <c r="BH10" s="1424">
        <v>0</v>
      </c>
      <c r="BI10" s="1033">
        <f>VLOOKUP(BG10,Düngemittel!$B$6:$E$64,2,FALSE)*(VLOOKUP(BG10,Düngemittel!$B$6:$E$64,3,FALSE))/100*BH10</f>
        <v>0</v>
      </c>
      <c r="BJ10" s="1033">
        <f>VLOOKUP(BG10,Düngemittel!$B$6:$E$64,2,FALSE)*BH10</f>
        <v>0</v>
      </c>
      <c r="BK10" s="1033">
        <f>VLOOKUP(BG10,Düngemittel!$B$6:$E$64,4,FALSE)*BH10</f>
        <v>0</v>
      </c>
      <c r="BL10" s="1185"/>
      <c r="BM10" s="1814">
        <f t="shared" si="13"/>
        <v>0</v>
      </c>
      <c r="BN10" s="1889">
        <f t="shared" si="14"/>
        <v>0</v>
      </c>
      <c r="BO10" s="1814">
        <f t="shared" si="15"/>
        <v>0</v>
      </c>
      <c r="BP10" s="1138">
        <f t="shared" si="16"/>
        <v>0</v>
      </c>
      <c r="BQ10" s="1889">
        <f t="shared" si="17"/>
        <v>0</v>
      </c>
      <c r="BR10" s="95"/>
      <c r="BS10" s="2023">
        <f t="shared" si="24"/>
        <v>0</v>
      </c>
      <c r="BT10" s="1973">
        <f t="shared" si="24"/>
        <v>0</v>
      </c>
      <c r="BU10" s="2023">
        <f t="shared" si="24"/>
        <v>0</v>
      </c>
      <c r="BV10" s="1934">
        <f t="shared" si="24"/>
        <v>0</v>
      </c>
      <c r="BW10" s="1973">
        <f t="shared" si="24"/>
        <v>0</v>
      </c>
      <c r="BX10" s="1878"/>
      <c r="CB10" s="1968" t="s">
        <v>1443</v>
      </c>
      <c r="CC10" s="1421">
        <v>300</v>
      </c>
      <c r="CD10" s="1421">
        <v>205</v>
      </c>
      <c r="CE10" s="1421">
        <v>10</v>
      </c>
      <c r="CF10" s="1421">
        <v>21</v>
      </c>
      <c r="CG10" s="1421">
        <v>21</v>
      </c>
      <c r="CH10" s="1421">
        <v>0</v>
      </c>
      <c r="CI10" s="1421">
        <v>0</v>
      </c>
      <c r="CJ10" s="2131">
        <v>60</v>
      </c>
      <c r="CK10" s="2132">
        <v>0.24009999999999998</v>
      </c>
    </row>
    <row r="11" spans="1:89" ht="30.75" thickBot="1">
      <c r="A11" s="468" t="s">
        <v>565</v>
      </c>
      <c r="B11" s="1976">
        <v>0</v>
      </c>
      <c r="C11" s="2127" t="s">
        <v>795</v>
      </c>
      <c r="D11" s="1983">
        <f t="shared" si="0"/>
        <v>0</v>
      </c>
      <c r="E11" s="1984">
        <f t="shared" si="1"/>
        <v>0</v>
      </c>
      <c r="F11" s="1988">
        <v>0</v>
      </c>
      <c r="G11" s="1972">
        <f t="shared" si="18"/>
        <v>0</v>
      </c>
      <c r="H11" s="1888">
        <f t="shared" si="19"/>
        <v>0</v>
      </c>
      <c r="I11" s="2308">
        <f t="shared" si="2"/>
        <v>0</v>
      </c>
      <c r="J11" s="2308">
        <f t="shared" si="3"/>
        <v>0</v>
      </c>
      <c r="K11" s="2308">
        <f t="shared" si="4"/>
        <v>0</v>
      </c>
      <c r="L11" s="1986" t="e">
        <f t="shared" si="20"/>
        <v>#DIV/0!</v>
      </c>
      <c r="M11" s="1989">
        <f t="shared" si="21"/>
        <v>0</v>
      </c>
      <c r="N11" s="1978" t="s">
        <v>503</v>
      </c>
      <c r="O11" s="743">
        <f t="shared" si="5"/>
        <v>0</v>
      </c>
      <c r="P11" s="2000" t="s">
        <v>25</v>
      </c>
      <c r="Q11" s="2001">
        <f t="shared" si="6"/>
        <v>0</v>
      </c>
      <c r="R11" s="2005">
        <f t="shared" si="7"/>
        <v>0</v>
      </c>
      <c r="S11" s="2194">
        <v>0</v>
      </c>
      <c r="T11" s="1995" t="s">
        <v>160</v>
      </c>
      <c r="U11" s="2001">
        <f t="shared" si="8"/>
        <v>0</v>
      </c>
      <c r="V11" s="2375">
        <v>0</v>
      </c>
      <c r="W11" s="2005">
        <f t="shared" si="22"/>
        <v>0</v>
      </c>
      <c r="X11" s="2001">
        <f t="shared" si="23"/>
        <v>0</v>
      </c>
      <c r="Y11" s="2365">
        <f t="shared" si="9"/>
        <v>0</v>
      </c>
      <c r="Z11" s="2001">
        <f t="shared" si="10"/>
        <v>0</v>
      </c>
      <c r="AA11" s="1"/>
      <c r="AB11" s="1281" t="str">
        <f t="shared" si="11"/>
        <v>Schlag 4</v>
      </c>
      <c r="AC11" s="1281" t="str">
        <f t="shared" si="12"/>
        <v>leer</v>
      </c>
      <c r="AD11" s="1329"/>
      <c r="AE11" s="1330" t="s">
        <v>795</v>
      </c>
      <c r="AF11" s="1424">
        <v>0</v>
      </c>
      <c r="AG11" s="1033">
        <f>VLOOKUP(AE11,Düngemittel!$B$6:$E$64,2,FALSE)*(VLOOKUP(AE11,Düngemittel!$B$6:$E$64,3,FALSE))/100*AF11</f>
        <v>0</v>
      </c>
      <c r="AH11" s="1033">
        <f>VLOOKUP(AE11,Düngemittel!$B$6:$E$64,2,FALSE)*AF11</f>
        <v>0</v>
      </c>
      <c r="AI11" s="1033">
        <f>VLOOKUP(AE11,Düngemittel!$B$6:$E$64,4,FALSE)*AF11</f>
        <v>0</v>
      </c>
      <c r="AJ11" s="2089"/>
      <c r="AK11" s="1329"/>
      <c r="AL11" s="1330" t="s">
        <v>795</v>
      </c>
      <c r="AM11" s="1424">
        <v>0</v>
      </c>
      <c r="AN11" s="1033">
        <f>VLOOKUP(AL11,Düngemittel!$B$6:$E$64,2,FALSE)*(VLOOKUP(AL11,Düngemittel!$B$6:$E$64,3,FALSE))/100*AM11</f>
        <v>0</v>
      </c>
      <c r="AO11" s="1033">
        <f>VLOOKUP(AL11,Düngemittel!$B$6:$E$64,2,FALSE)*AM11</f>
        <v>0</v>
      </c>
      <c r="AP11" s="1033">
        <f>VLOOKUP(AL11,Düngemittel!$B$6:$E$64,4,FALSE)*AM11</f>
        <v>0</v>
      </c>
      <c r="AQ11" s="2089"/>
      <c r="AR11" s="1329"/>
      <c r="AS11" s="1330" t="s">
        <v>795</v>
      </c>
      <c r="AT11" s="1424">
        <v>0</v>
      </c>
      <c r="AU11" s="1033">
        <f>VLOOKUP(AS11,Düngemittel!$B$6:$E$64,2,FALSE)*(VLOOKUP(AS11,Düngemittel!$B$6:$E$64,3,FALSE))/100*AT11</f>
        <v>0</v>
      </c>
      <c r="AV11" s="1033">
        <f>VLOOKUP(AS11,Düngemittel!$B$6:$E$64,2,FALSE)*AT11</f>
        <v>0</v>
      </c>
      <c r="AW11" s="1033">
        <f>VLOOKUP(AS11,Düngemittel!$B$6:$E$64,4,FALSE)*AT11</f>
        <v>0</v>
      </c>
      <c r="AX11" s="2089"/>
      <c r="AY11" s="1329"/>
      <c r="AZ11" s="1330" t="s">
        <v>795</v>
      </c>
      <c r="BA11" s="1424">
        <v>0</v>
      </c>
      <c r="BB11" s="1033">
        <f>VLOOKUP(AZ11,Düngemittel!$B$6:$E$64,2,FALSE)*(VLOOKUP(AZ11,Düngemittel!$B$6:$E$64,3,FALSE))/100*BA11</f>
        <v>0</v>
      </c>
      <c r="BC11" s="1033">
        <f>VLOOKUP(AZ11,Düngemittel!$B$6:$E$64,2,FALSE)*BA11</f>
        <v>0</v>
      </c>
      <c r="BD11" s="1033">
        <f>VLOOKUP(AZ11,Düngemittel!$B$6:$E$64,4,FALSE)*BA11</f>
        <v>0</v>
      </c>
      <c r="BE11" s="2089"/>
      <c r="BF11" s="1329"/>
      <c r="BG11" s="1330" t="s">
        <v>795</v>
      </c>
      <c r="BH11" s="1424">
        <v>0</v>
      </c>
      <c r="BI11" s="1033">
        <f>VLOOKUP(BG11,Düngemittel!$B$6:$E$64,2,FALSE)*(VLOOKUP(BG11,Düngemittel!$B$6:$E$64,3,FALSE))/100*BH11</f>
        <v>0</v>
      </c>
      <c r="BJ11" s="1033">
        <f>VLOOKUP(BG11,Düngemittel!$B$6:$E$64,2,FALSE)*BH11</f>
        <v>0</v>
      </c>
      <c r="BK11" s="1033">
        <f>VLOOKUP(BG11,Düngemittel!$B$6:$E$64,4,FALSE)*BH11</f>
        <v>0</v>
      </c>
      <c r="BL11" s="1185"/>
      <c r="BM11" s="1814">
        <f t="shared" si="13"/>
        <v>0</v>
      </c>
      <c r="BN11" s="1889">
        <f t="shared" si="14"/>
        <v>0</v>
      </c>
      <c r="BO11" s="1814">
        <f t="shared" si="15"/>
        <v>0</v>
      </c>
      <c r="BP11" s="1138">
        <f t="shared" si="16"/>
        <v>0</v>
      </c>
      <c r="BQ11" s="1889">
        <f t="shared" si="17"/>
        <v>0</v>
      </c>
      <c r="BR11" s="95"/>
      <c r="BS11" s="2023">
        <f t="shared" si="24"/>
        <v>0</v>
      </c>
      <c r="BT11" s="1973">
        <f t="shared" si="24"/>
        <v>0</v>
      </c>
      <c r="BU11" s="2023">
        <f t="shared" si="24"/>
        <v>0</v>
      </c>
      <c r="BV11" s="1934">
        <f t="shared" si="24"/>
        <v>0</v>
      </c>
      <c r="BW11" s="1973">
        <f t="shared" si="24"/>
        <v>0</v>
      </c>
      <c r="BX11" s="1878"/>
      <c r="CB11" s="1968" t="s">
        <v>1444</v>
      </c>
      <c r="CC11" s="1421">
        <v>300</v>
      </c>
      <c r="CD11" s="1421">
        <v>205</v>
      </c>
      <c r="CE11" s="1421">
        <v>10</v>
      </c>
      <c r="CF11" s="1421">
        <v>21</v>
      </c>
      <c r="CG11" s="1421">
        <v>21</v>
      </c>
      <c r="CH11" s="1421">
        <v>0</v>
      </c>
      <c r="CI11" s="1421">
        <v>0</v>
      </c>
      <c r="CJ11" s="2135">
        <v>60</v>
      </c>
      <c r="CK11" s="2132">
        <v>0.21</v>
      </c>
    </row>
    <row r="12" spans="1:89" ht="30.75" thickBot="1">
      <c r="A12" s="468" t="s">
        <v>1131</v>
      </c>
      <c r="B12" s="1976">
        <v>0</v>
      </c>
      <c r="C12" s="2127" t="s">
        <v>795</v>
      </c>
      <c r="D12" s="1983">
        <f t="shared" si="0"/>
        <v>0</v>
      </c>
      <c r="E12" s="1984">
        <f t="shared" si="1"/>
        <v>0</v>
      </c>
      <c r="F12" s="1988">
        <v>0</v>
      </c>
      <c r="G12" s="1972">
        <f t="shared" si="18"/>
        <v>0</v>
      </c>
      <c r="H12" s="1888">
        <f t="shared" si="19"/>
        <v>0</v>
      </c>
      <c r="I12" s="2308">
        <f t="shared" si="2"/>
        <v>0</v>
      </c>
      <c r="J12" s="2308">
        <f t="shared" si="3"/>
        <v>0</v>
      </c>
      <c r="K12" s="2308">
        <f t="shared" si="4"/>
        <v>0</v>
      </c>
      <c r="L12" s="1986" t="e">
        <f t="shared" si="20"/>
        <v>#DIV/0!</v>
      </c>
      <c r="M12" s="1989">
        <f t="shared" si="21"/>
        <v>0</v>
      </c>
      <c r="N12" s="1978" t="s">
        <v>503</v>
      </c>
      <c r="O12" s="743">
        <f t="shared" si="5"/>
        <v>0</v>
      </c>
      <c r="P12" s="2000" t="s">
        <v>25</v>
      </c>
      <c r="Q12" s="2001">
        <f t="shared" si="6"/>
        <v>0</v>
      </c>
      <c r="R12" s="2005">
        <f t="shared" si="7"/>
        <v>0</v>
      </c>
      <c r="S12" s="2194">
        <v>0</v>
      </c>
      <c r="T12" s="1995" t="s">
        <v>160</v>
      </c>
      <c r="U12" s="2001">
        <f t="shared" si="8"/>
        <v>0</v>
      </c>
      <c r="V12" s="2375">
        <v>0</v>
      </c>
      <c r="W12" s="2005">
        <f t="shared" si="22"/>
        <v>0</v>
      </c>
      <c r="X12" s="2001">
        <f t="shared" si="23"/>
        <v>0</v>
      </c>
      <c r="Y12" s="2365">
        <f t="shared" si="9"/>
        <v>0</v>
      </c>
      <c r="Z12" s="2001">
        <f t="shared" si="10"/>
        <v>0</v>
      </c>
      <c r="AA12" s="1"/>
      <c r="AB12" s="1281" t="str">
        <f t="shared" si="11"/>
        <v>Flurstück 5</v>
      </c>
      <c r="AC12" s="1281" t="str">
        <f t="shared" si="12"/>
        <v>leer</v>
      </c>
      <c r="AD12" s="1329"/>
      <c r="AE12" s="1330" t="s">
        <v>795</v>
      </c>
      <c r="AF12" s="1424">
        <v>0</v>
      </c>
      <c r="AG12" s="1033">
        <f>VLOOKUP(AE12,Düngemittel!$B$6:$E$64,2,FALSE)*(VLOOKUP(AE12,Düngemittel!$B$6:$E$64,3,FALSE))/100*AF12</f>
        <v>0</v>
      </c>
      <c r="AH12" s="1033">
        <f>VLOOKUP(AE12,Düngemittel!$B$6:$E$64,2,FALSE)*AF12</f>
        <v>0</v>
      </c>
      <c r="AI12" s="1033">
        <f>VLOOKUP(AE12,Düngemittel!$B$6:$E$64,4,FALSE)*AF12</f>
        <v>0</v>
      </c>
      <c r="AJ12" s="2089"/>
      <c r="AK12" s="1329"/>
      <c r="AL12" s="1330" t="s">
        <v>795</v>
      </c>
      <c r="AM12" s="1424">
        <v>0</v>
      </c>
      <c r="AN12" s="1033">
        <f>VLOOKUP(AL12,Düngemittel!$B$6:$E$64,2,FALSE)*(VLOOKUP(AL12,Düngemittel!$B$6:$E$64,3,FALSE))/100*AM12</f>
        <v>0</v>
      </c>
      <c r="AO12" s="1033">
        <f>VLOOKUP(AL12,Düngemittel!$B$6:$E$64,2,FALSE)*AM12</f>
        <v>0</v>
      </c>
      <c r="AP12" s="1033">
        <f>VLOOKUP(AL12,Düngemittel!$B$6:$E$64,4,FALSE)*AM12</f>
        <v>0</v>
      </c>
      <c r="AQ12" s="2089"/>
      <c r="AR12" s="1329"/>
      <c r="AS12" s="1330" t="s">
        <v>795</v>
      </c>
      <c r="AT12" s="1424">
        <v>0</v>
      </c>
      <c r="AU12" s="1033">
        <f>VLOOKUP(AS12,Düngemittel!$B$6:$E$64,2,FALSE)*(VLOOKUP(AS12,Düngemittel!$B$6:$E$64,3,FALSE))/100*AT12</f>
        <v>0</v>
      </c>
      <c r="AV12" s="1033">
        <f>VLOOKUP(AS12,Düngemittel!$B$6:$E$64,2,FALSE)*AT12</f>
        <v>0</v>
      </c>
      <c r="AW12" s="1033">
        <f>VLOOKUP(AS12,Düngemittel!$B$6:$E$64,4,FALSE)*AT12</f>
        <v>0</v>
      </c>
      <c r="AX12" s="2089"/>
      <c r="AY12" s="1329"/>
      <c r="AZ12" s="1330" t="s">
        <v>795</v>
      </c>
      <c r="BA12" s="1424">
        <v>0</v>
      </c>
      <c r="BB12" s="1033">
        <f>VLOOKUP(AZ12,Düngemittel!$B$6:$E$64,2,FALSE)*(VLOOKUP(AZ12,Düngemittel!$B$6:$E$64,3,FALSE))/100*BA12</f>
        <v>0</v>
      </c>
      <c r="BC12" s="1033">
        <f>VLOOKUP(AZ12,Düngemittel!$B$6:$E$64,2,FALSE)*BA12</f>
        <v>0</v>
      </c>
      <c r="BD12" s="1033">
        <f>VLOOKUP(AZ12,Düngemittel!$B$6:$E$64,4,FALSE)*BA12</f>
        <v>0</v>
      </c>
      <c r="BE12" s="2089"/>
      <c r="BF12" s="1329"/>
      <c r="BG12" s="1330" t="s">
        <v>795</v>
      </c>
      <c r="BH12" s="1424">
        <v>0</v>
      </c>
      <c r="BI12" s="1033">
        <f>VLOOKUP(BG12,Düngemittel!$B$6:$E$64,2,FALSE)*(VLOOKUP(BG12,Düngemittel!$B$6:$E$64,3,FALSE))/100*BH12</f>
        <v>0</v>
      </c>
      <c r="BJ12" s="1033">
        <f>VLOOKUP(BG12,Düngemittel!$B$6:$E$64,2,FALSE)*BH12</f>
        <v>0</v>
      </c>
      <c r="BK12" s="1033">
        <f>VLOOKUP(BG12,Düngemittel!$B$6:$E$64,4,FALSE)*BH12</f>
        <v>0</v>
      </c>
      <c r="BL12" s="1185"/>
      <c r="BM12" s="1814">
        <f t="shared" si="13"/>
        <v>0</v>
      </c>
      <c r="BN12" s="1889">
        <f t="shared" si="14"/>
        <v>0</v>
      </c>
      <c r="BO12" s="1814">
        <f t="shared" si="15"/>
        <v>0</v>
      </c>
      <c r="BP12" s="1138">
        <f t="shared" si="16"/>
        <v>0</v>
      </c>
      <c r="BQ12" s="1889">
        <f t="shared" si="17"/>
        <v>0</v>
      </c>
      <c r="BR12" s="95"/>
      <c r="BS12" s="2023">
        <f t="shared" si="24"/>
        <v>0</v>
      </c>
      <c r="BT12" s="1973">
        <f t="shared" si="24"/>
        <v>0</v>
      </c>
      <c r="BU12" s="2023">
        <f t="shared" si="24"/>
        <v>0</v>
      </c>
      <c r="BV12" s="1934">
        <f t="shared" si="24"/>
        <v>0</v>
      </c>
      <c r="BW12" s="1973">
        <f t="shared" si="24"/>
        <v>0</v>
      </c>
      <c r="BX12" s="1878"/>
      <c r="CB12" s="1968" t="s">
        <v>1445</v>
      </c>
      <c r="CC12" s="1421">
        <v>700</v>
      </c>
      <c r="CD12" s="1421">
        <v>180</v>
      </c>
      <c r="CE12" s="1421">
        <v>10</v>
      </c>
      <c r="CF12" s="1421">
        <v>18</v>
      </c>
      <c r="CG12" s="1421">
        <v>18</v>
      </c>
      <c r="CH12" s="1421">
        <v>0</v>
      </c>
      <c r="CI12" s="1421">
        <v>0</v>
      </c>
      <c r="CJ12" s="2131">
        <v>60</v>
      </c>
      <c r="CK12" s="2134">
        <v>7.0000000000000007E-2</v>
      </c>
    </row>
    <row r="13" spans="1:89" ht="30.75" thickBot="1">
      <c r="A13" s="468">
        <v>6</v>
      </c>
      <c r="B13" s="1976">
        <v>0</v>
      </c>
      <c r="C13" s="2127" t="s">
        <v>795</v>
      </c>
      <c r="D13" s="1983">
        <f t="shared" si="0"/>
        <v>0</v>
      </c>
      <c r="E13" s="1984">
        <f t="shared" si="1"/>
        <v>0</v>
      </c>
      <c r="F13" s="1988">
        <v>0</v>
      </c>
      <c r="G13" s="1972">
        <f t="shared" si="18"/>
        <v>0</v>
      </c>
      <c r="H13" s="1888">
        <f t="shared" si="19"/>
        <v>0</v>
      </c>
      <c r="I13" s="2308">
        <f t="shared" si="2"/>
        <v>0</v>
      </c>
      <c r="J13" s="2308">
        <f t="shared" si="3"/>
        <v>0</v>
      </c>
      <c r="K13" s="2308">
        <f t="shared" si="4"/>
        <v>0</v>
      </c>
      <c r="L13" s="1986" t="e">
        <f t="shared" si="20"/>
        <v>#DIV/0!</v>
      </c>
      <c r="M13" s="1989">
        <f t="shared" si="21"/>
        <v>0</v>
      </c>
      <c r="N13" s="1978" t="s">
        <v>503</v>
      </c>
      <c r="O13" s="743">
        <f t="shared" si="5"/>
        <v>0</v>
      </c>
      <c r="P13" s="2000" t="s">
        <v>25</v>
      </c>
      <c r="Q13" s="2001">
        <f t="shared" si="6"/>
        <v>0</v>
      </c>
      <c r="R13" s="2005">
        <f t="shared" si="7"/>
        <v>0</v>
      </c>
      <c r="S13" s="2194">
        <v>0</v>
      </c>
      <c r="T13" s="1995" t="s">
        <v>160</v>
      </c>
      <c r="U13" s="2001">
        <f t="shared" si="8"/>
        <v>0</v>
      </c>
      <c r="V13" s="2375">
        <v>0</v>
      </c>
      <c r="W13" s="2005">
        <f t="shared" si="22"/>
        <v>0</v>
      </c>
      <c r="X13" s="2001">
        <f t="shared" si="23"/>
        <v>0</v>
      </c>
      <c r="Y13" s="2365">
        <f t="shared" si="9"/>
        <v>0</v>
      </c>
      <c r="Z13" s="2001">
        <f t="shared" si="10"/>
        <v>0</v>
      </c>
      <c r="AA13" s="1"/>
      <c r="AB13" s="1281">
        <f t="shared" si="11"/>
        <v>6</v>
      </c>
      <c r="AC13" s="1281" t="str">
        <f t="shared" si="12"/>
        <v>leer</v>
      </c>
      <c r="AD13" s="1329"/>
      <c r="AE13" s="1330" t="s">
        <v>795</v>
      </c>
      <c r="AF13" s="1424">
        <v>0</v>
      </c>
      <c r="AG13" s="1033">
        <f>VLOOKUP(AE13,Düngemittel!$B$6:$E$64,2,FALSE)*(VLOOKUP(AE13,Düngemittel!$B$6:$E$64,3,FALSE))/100*AF13</f>
        <v>0</v>
      </c>
      <c r="AH13" s="1033">
        <f>VLOOKUP(AE13,Düngemittel!$B$6:$E$64,2,FALSE)*AF13</f>
        <v>0</v>
      </c>
      <c r="AI13" s="1033">
        <f>VLOOKUP(AE13,Düngemittel!$B$6:$E$64,4,FALSE)*AF13</f>
        <v>0</v>
      </c>
      <c r="AJ13" s="2089"/>
      <c r="AK13" s="1329"/>
      <c r="AL13" s="1330" t="s">
        <v>795</v>
      </c>
      <c r="AM13" s="1424">
        <v>0</v>
      </c>
      <c r="AN13" s="1033">
        <f>VLOOKUP(AL13,Düngemittel!$B$6:$E$64,2,FALSE)*(VLOOKUP(AL13,Düngemittel!$B$6:$E$64,3,FALSE))/100*AM13</f>
        <v>0</v>
      </c>
      <c r="AO13" s="1033">
        <f>VLOOKUP(AL13,Düngemittel!$B$6:$E$64,2,FALSE)*AM13</f>
        <v>0</v>
      </c>
      <c r="AP13" s="1033">
        <f>VLOOKUP(AL13,Düngemittel!$B$6:$E$64,4,FALSE)*AM13</f>
        <v>0</v>
      </c>
      <c r="AQ13" s="2089"/>
      <c r="AR13" s="1329"/>
      <c r="AS13" s="1330" t="s">
        <v>795</v>
      </c>
      <c r="AT13" s="1424">
        <v>0</v>
      </c>
      <c r="AU13" s="1033">
        <f>VLOOKUP(AS13,Düngemittel!$B$6:$E$64,2,FALSE)*(VLOOKUP(AS13,Düngemittel!$B$6:$E$64,3,FALSE))/100*AT13</f>
        <v>0</v>
      </c>
      <c r="AV13" s="1033">
        <f>VLOOKUP(AS13,Düngemittel!$B$6:$E$64,2,FALSE)*AT13</f>
        <v>0</v>
      </c>
      <c r="AW13" s="1033">
        <f>VLOOKUP(AS13,Düngemittel!$B$6:$E$64,4,FALSE)*AT13</f>
        <v>0</v>
      </c>
      <c r="AX13" s="2089"/>
      <c r="AY13" s="1329"/>
      <c r="AZ13" s="1330" t="s">
        <v>795</v>
      </c>
      <c r="BA13" s="1424">
        <v>0</v>
      </c>
      <c r="BB13" s="1033">
        <f>VLOOKUP(AZ13,Düngemittel!$B$6:$E$64,2,FALSE)*(VLOOKUP(AZ13,Düngemittel!$B$6:$E$64,3,FALSE))/100*BA13</f>
        <v>0</v>
      </c>
      <c r="BC13" s="1033">
        <f>VLOOKUP(AZ13,Düngemittel!$B$6:$E$64,2,FALSE)*BA13</f>
        <v>0</v>
      </c>
      <c r="BD13" s="1033">
        <f>VLOOKUP(AZ13,Düngemittel!$B$6:$E$64,4,FALSE)*BA13</f>
        <v>0</v>
      </c>
      <c r="BE13" s="2089"/>
      <c r="BF13" s="1329"/>
      <c r="BG13" s="1330" t="s">
        <v>795</v>
      </c>
      <c r="BH13" s="1424">
        <v>0</v>
      </c>
      <c r="BI13" s="1033">
        <f>VLOOKUP(BG13,Düngemittel!$B$6:$E$64,2,FALSE)*(VLOOKUP(BG13,Düngemittel!$B$6:$E$64,3,FALSE))/100*BH13</f>
        <v>0</v>
      </c>
      <c r="BJ13" s="1033">
        <f>VLOOKUP(BG13,Düngemittel!$B$6:$E$64,2,FALSE)*BH13</f>
        <v>0</v>
      </c>
      <c r="BK13" s="1033">
        <f>VLOOKUP(BG13,Düngemittel!$B$6:$E$64,4,FALSE)*BH13</f>
        <v>0</v>
      </c>
      <c r="BL13" s="1185"/>
      <c r="BM13" s="1814">
        <f t="shared" si="13"/>
        <v>0</v>
      </c>
      <c r="BN13" s="1889">
        <f t="shared" si="14"/>
        <v>0</v>
      </c>
      <c r="BO13" s="1814">
        <f t="shared" si="15"/>
        <v>0</v>
      </c>
      <c r="BP13" s="1138">
        <f t="shared" si="16"/>
        <v>0</v>
      </c>
      <c r="BQ13" s="1889">
        <f t="shared" si="17"/>
        <v>0</v>
      </c>
      <c r="BR13" s="95"/>
      <c r="BS13" s="2023">
        <f t="shared" si="24"/>
        <v>0</v>
      </c>
      <c r="BT13" s="1973">
        <f t="shared" si="24"/>
        <v>0</v>
      </c>
      <c r="BU13" s="2023">
        <f t="shared" si="24"/>
        <v>0</v>
      </c>
      <c r="BV13" s="1934">
        <f t="shared" si="24"/>
        <v>0</v>
      </c>
      <c r="BW13" s="1973">
        <f t="shared" si="24"/>
        <v>0</v>
      </c>
      <c r="BX13" s="1878"/>
      <c r="CB13" s="1968" t="s">
        <v>1446</v>
      </c>
      <c r="CC13" s="1421">
        <v>720</v>
      </c>
      <c r="CD13" s="1421">
        <v>290</v>
      </c>
      <c r="CE13" s="1421">
        <v>10</v>
      </c>
      <c r="CF13" s="1421">
        <v>29</v>
      </c>
      <c r="CG13" s="1421">
        <v>29</v>
      </c>
      <c r="CH13" s="1421">
        <v>0</v>
      </c>
      <c r="CI13" s="1421">
        <v>0</v>
      </c>
      <c r="CJ13" s="2136">
        <v>60</v>
      </c>
      <c r="CK13" s="2132">
        <v>0.11</v>
      </c>
    </row>
    <row r="14" spans="1:89" ht="30.75" thickBot="1">
      <c r="A14" s="468">
        <v>7</v>
      </c>
      <c r="B14" s="1976">
        <v>0</v>
      </c>
      <c r="C14" s="2127" t="s">
        <v>795</v>
      </c>
      <c r="D14" s="1983">
        <f t="shared" si="0"/>
        <v>0</v>
      </c>
      <c r="E14" s="1984">
        <f t="shared" si="1"/>
        <v>0</v>
      </c>
      <c r="F14" s="1988">
        <v>0</v>
      </c>
      <c r="G14" s="1972">
        <f t="shared" si="18"/>
        <v>0</v>
      </c>
      <c r="H14" s="1888">
        <f t="shared" si="19"/>
        <v>0</v>
      </c>
      <c r="I14" s="2308">
        <f t="shared" si="2"/>
        <v>0</v>
      </c>
      <c r="J14" s="2308">
        <f t="shared" si="3"/>
        <v>0</v>
      </c>
      <c r="K14" s="2308">
        <f t="shared" si="4"/>
        <v>0</v>
      </c>
      <c r="L14" s="1986" t="e">
        <f t="shared" si="20"/>
        <v>#DIV/0!</v>
      </c>
      <c r="M14" s="1989">
        <f t="shared" si="21"/>
        <v>0</v>
      </c>
      <c r="N14" s="1978" t="s">
        <v>503</v>
      </c>
      <c r="O14" s="743">
        <f t="shared" si="5"/>
        <v>0</v>
      </c>
      <c r="P14" s="2000" t="s">
        <v>25</v>
      </c>
      <c r="Q14" s="2001">
        <f t="shared" si="6"/>
        <v>0</v>
      </c>
      <c r="R14" s="2005">
        <f t="shared" si="7"/>
        <v>0</v>
      </c>
      <c r="S14" s="2194">
        <v>0</v>
      </c>
      <c r="T14" s="1995" t="s">
        <v>160</v>
      </c>
      <c r="U14" s="2001">
        <f t="shared" si="8"/>
        <v>0</v>
      </c>
      <c r="V14" s="2375">
        <v>0</v>
      </c>
      <c r="W14" s="2005">
        <f t="shared" si="22"/>
        <v>0</v>
      </c>
      <c r="X14" s="2001">
        <f t="shared" si="23"/>
        <v>0</v>
      </c>
      <c r="Y14" s="2365">
        <f t="shared" si="9"/>
        <v>0</v>
      </c>
      <c r="Z14" s="2001">
        <f t="shared" si="10"/>
        <v>0</v>
      </c>
      <c r="AA14" s="1"/>
      <c r="AB14" s="1281">
        <f t="shared" si="11"/>
        <v>7</v>
      </c>
      <c r="AC14" s="1281" t="str">
        <f t="shared" si="12"/>
        <v>leer</v>
      </c>
      <c r="AD14" s="1329"/>
      <c r="AE14" s="1330" t="s">
        <v>795</v>
      </c>
      <c r="AF14" s="1424">
        <v>0</v>
      </c>
      <c r="AG14" s="1033">
        <f>VLOOKUP(AE14,Düngemittel!$B$6:$E$64,2,FALSE)*(VLOOKUP(AE14,Düngemittel!$B$6:$E$64,3,FALSE))/100*AF14</f>
        <v>0</v>
      </c>
      <c r="AH14" s="1033">
        <f>VLOOKUP(AE14,Düngemittel!$B$6:$E$64,2,FALSE)*AF14</f>
        <v>0</v>
      </c>
      <c r="AI14" s="1033">
        <f>VLOOKUP(AE14,Düngemittel!$B$6:$E$64,4,FALSE)*AF14</f>
        <v>0</v>
      </c>
      <c r="AJ14" s="2089"/>
      <c r="AK14" s="1329"/>
      <c r="AL14" s="1330" t="s">
        <v>795</v>
      </c>
      <c r="AM14" s="1424">
        <v>0</v>
      </c>
      <c r="AN14" s="1033">
        <f>VLOOKUP(AL14,Düngemittel!$B$6:$E$64,2,FALSE)*(VLOOKUP(AL14,Düngemittel!$B$6:$E$64,3,FALSE))/100*AM14</f>
        <v>0</v>
      </c>
      <c r="AO14" s="1033">
        <f>VLOOKUP(AL14,Düngemittel!$B$6:$E$64,2,FALSE)*AM14</f>
        <v>0</v>
      </c>
      <c r="AP14" s="1033">
        <f>VLOOKUP(AL14,Düngemittel!$B$6:$E$64,4,FALSE)*AM14</f>
        <v>0</v>
      </c>
      <c r="AQ14" s="2089"/>
      <c r="AR14" s="1329"/>
      <c r="AS14" s="1330" t="s">
        <v>795</v>
      </c>
      <c r="AT14" s="1424">
        <v>0</v>
      </c>
      <c r="AU14" s="1033">
        <f>VLOOKUP(AS14,Düngemittel!$B$6:$E$64,2,FALSE)*(VLOOKUP(AS14,Düngemittel!$B$6:$E$64,3,FALSE))/100*AT14</f>
        <v>0</v>
      </c>
      <c r="AV14" s="1033">
        <f>VLOOKUP(AS14,Düngemittel!$B$6:$E$64,2,FALSE)*AT14</f>
        <v>0</v>
      </c>
      <c r="AW14" s="1033">
        <f>VLOOKUP(AS14,Düngemittel!$B$6:$E$64,4,FALSE)*AT14</f>
        <v>0</v>
      </c>
      <c r="AX14" s="2089"/>
      <c r="AY14" s="1329"/>
      <c r="AZ14" s="1330" t="s">
        <v>795</v>
      </c>
      <c r="BA14" s="1424">
        <v>0</v>
      </c>
      <c r="BB14" s="1033">
        <f>VLOOKUP(AZ14,Düngemittel!$B$6:$E$64,2,FALSE)*(VLOOKUP(AZ14,Düngemittel!$B$6:$E$64,3,FALSE))/100*BA14</f>
        <v>0</v>
      </c>
      <c r="BC14" s="1033">
        <f>VLOOKUP(AZ14,Düngemittel!$B$6:$E$64,2,FALSE)*BA14</f>
        <v>0</v>
      </c>
      <c r="BD14" s="1033">
        <f>VLOOKUP(AZ14,Düngemittel!$B$6:$E$64,4,FALSE)*BA14</f>
        <v>0</v>
      </c>
      <c r="BE14" s="2089"/>
      <c r="BF14" s="1329"/>
      <c r="BG14" s="1330" t="s">
        <v>795</v>
      </c>
      <c r="BH14" s="1424">
        <v>0</v>
      </c>
      <c r="BI14" s="1033">
        <f>VLOOKUP(BG14,Düngemittel!$B$6:$E$64,2,FALSE)*(VLOOKUP(BG14,Düngemittel!$B$6:$E$64,3,FALSE))/100*BH14</f>
        <v>0</v>
      </c>
      <c r="BJ14" s="1033">
        <f>VLOOKUP(BG14,Düngemittel!$B$6:$E$64,2,FALSE)*BH14</f>
        <v>0</v>
      </c>
      <c r="BK14" s="1033">
        <f>VLOOKUP(BG14,Düngemittel!$B$6:$E$64,4,FALSE)*BH14</f>
        <v>0</v>
      </c>
      <c r="BL14" s="1185"/>
      <c r="BM14" s="1814">
        <f t="shared" si="13"/>
        <v>0</v>
      </c>
      <c r="BN14" s="1889">
        <f t="shared" si="14"/>
        <v>0</v>
      </c>
      <c r="BO14" s="1814">
        <f t="shared" si="15"/>
        <v>0</v>
      </c>
      <c r="BP14" s="1138">
        <f t="shared" si="16"/>
        <v>0</v>
      </c>
      <c r="BQ14" s="1889">
        <f t="shared" si="17"/>
        <v>0</v>
      </c>
      <c r="BR14" s="95"/>
      <c r="BS14" s="2023">
        <f t="shared" si="24"/>
        <v>0</v>
      </c>
      <c r="BT14" s="1973">
        <f t="shared" si="24"/>
        <v>0</v>
      </c>
      <c r="BU14" s="2023">
        <f t="shared" si="24"/>
        <v>0</v>
      </c>
      <c r="BV14" s="1934">
        <f t="shared" si="24"/>
        <v>0</v>
      </c>
      <c r="BW14" s="1973">
        <f t="shared" si="24"/>
        <v>0</v>
      </c>
      <c r="BX14" s="1878"/>
      <c r="CB14" s="1968" t="s">
        <v>1447</v>
      </c>
      <c r="CC14" s="1421">
        <v>300</v>
      </c>
      <c r="CD14" s="1421">
        <v>185</v>
      </c>
      <c r="CE14" s="1421">
        <v>10</v>
      </c>
      <c r="CF14" s="1421">
        <v>19</v>
      </c>
      <c r="CG14" s="1421">
        <v>19</v>
      </c>
      <c r="CH14" s="1421">
        <v>0</v>
      </c>
      <c r="CI14" s="1421">
        <v>0</v>
      </c>
      <c r="CJ14" s="2133">
        <v>60</v>
      </c>
      <c r="CK14" s="2134">
        <v>0.19</v>
      </c>
    </row>
    <row r="15" spans="1:89" ht="30.75" thickBot="1">
      <c r="A15" s="468">
        <v>8</v>
      </c>
      <c r="B15" s="1976">
        <v>0</v>
      </c>
      <c r="C15" s="2127" t="s">
        <v>795</v>
      </c>
      <c r="D15" s="1983">
        <f t="shared" si="0"/>
        <v>0</v>
      </c>
      <c r="E15" s="1984">
        <f t="shared" si="1"/>
        <v>0</v>
      </c>
      <c r="F15" s="1988">
        <v>0</v>
      </c>
      <c r="G15" s="1972">
        <f t="shared" si="18"/>
        <v>0</v>
      </c>
      <c r="H15" s="1888">
        <f t="shared" si="19"/>
        <v>0</v>
      </c>
      <c r="I15" s="2308">
        <f t="shared" si="2"/>
        <v>0</v>
      </c>
      <c r="J15" s="2308">
        <f t="shared" si="3"/>
        <v>0</v>
      </c>
      <c r="K15" s="2308">
        <f t="shared" si="4"/>
        <v>0</v>
      </c>
      <c r="L15" s="1986" t="e">
        <f t="shared" si="20"/>
        <v>#DIV/0!</v>
      </c>
      <c r="M15" s="1989">
        <f t="shared" si="21"/>
        <v>0</v>
      </c>
      <c r="N15" s="1978" t="s">
        <v>503</v>
      </c>
      <c r="O15" s="743">
        <f t="shared" si="5"/>
        <v>0</v>
      </c>
      <c r="P15" s="2000" t="s">
        <v>25</v>
      </c>
      <c r="Q15" s="2001">
        <f t="shared" si="6"/>
        <v>0</v>
      </c>
      <c r="R15" s="2005">
        <f t="shared" si="7"/>
        <v>0</v>
      </c>
      <c r="S15" s="2194">
        <v>0</v>
      </c>
      <c r="T15" s="1995" t="s">
        <v>160</v>
      </c>
      <c r="U15" s="2001">
        <f t="shared" si="8"/>
        <v>0</v>
      </c>
      <c r="V15" s="2375">
        <v>0</v>
      </c>
      <c r="W15" s="2005">
        <f t="shared" si="22"/>
        <v>0</v>
      </c>
      <c r="X15" s="2001">
        <f t="shared" si="23"/>
        <v>0</v>
      </c>
      <c r="Y15" s="2365">
        <f t="shared" si="9"/>
        <v>0</v>
      </c>
      <c r="Z15" s="2001">
        <f t="shared" si="10"/>
        <v>0</v>
      </c>
      <c r="AA15" s="1"/>
      <c r="AB15" s="1281">
        <f t="shared" si="11"/>
        <v>8</v>
      </c>
      <c r="AC15" s="1281" t="str">
        <f t="shared" si="12"/>
        <v>leer</v>
      </c>
      <c r="AD15" s="1329"/>
      <c r="AE15" s="1330" t="s">
        <v>795</v>
      </c>
      <c r="AF15" s="1424">
        <v>0</v>
      </c>
      <c r="AG15" s="1033">
        <f>VLOOKUP(AE15,Düngemittel!$B$6:$E$64,2,FALSE)*(VLOOKUP(AE15,Düngemittel!$B$6:$E$64,3,FALSE))/100*AF15</f>
        <v>0</v>
      </c>
      <c r="AH15" s="1033">
        <f>VLOOKUP(AE15,Düngemittel!$B$6:$E$64,2,FALSE)*AF15</f>
        <v>0</v>
      </c>
      <c r="AI15" s="1033">
        <f>VLOOKUP(AE15,Düngemittel!$B$6:$E$64,4,FALSE)*AF15</f>
        <v>0</v>
      </c>
      <c r="AJ15" s="2089"/>
      <c r="AK15" s="1329"/>
      <c r="AL15" s="1330" t="s">
        <v>795</v>
      </c>
      <c r="AM15" s="1424">
        <v>0</v>
      </c>
      <c r="AN15" s="1033">
        <f>VLOOKUP(AL15,Düngemittel!$B$6:$E$64,2,FALSE)*(VLOOKUP(AL15,Düngemittel!$B$6:$E$64,3,FALSE))/100*AM15</f>
        <v>0</v>
      </c>
      <c r="AO15" s="1033">
        <f>VLOOKUP(AL15,Düngemittel!$B$6:$E$64,2,FALSE)*AM15</f>
        <v>0</v>
      </c>
      <c r="AP15" s="1033">
        <f>VLOOKUP(AL15,Düngemittel!$B$6:$E$64,4,FALSE)*AM15</f>
        <v>0</v>
      </c>
      <c r="AQ15" s="2089"/>
      <c r="AR15" s="1329"/>
      <c r="AS15" s="1330" t="s">
        <v>795</v>
      </c>
      <c r="AT15" s="1424">
        <v>0</v>
      </c>
      <c r="AU15" s="1033">
        <f>VLOOKUP(AS15,Düngemittel!$B$6:$E$64,2,FALSE)*(VLOOKUP(AS15,Düngemittel!$B$6:$E$64,3,FALSE))/100*AT15</f>
        <v>0</v>
      </c>
      <c r="AV15" s="1033">
        <f>VLOOKUP(AS15,Düngemittel!$B$6:$E$64,2,FALSE)*AT15</f>
        <v>0</v>
      </c>
      <c r="AW15" s="1033">
        <f>VLOOKUP(AS15,Düngemittel!$B$6:$E$64,4,FALSE)*AT15</f>
        <v>0</v>
      </c>
      <c r="AX15" s="2089"/>
      <c r="AY15" s="1329"/>
      <c r="AZ15" s="1330" t="s">
        <v>795</v>
      </c>
      <c r="BA15" s="1424">
        <v>0</v>
      </c>
      <c r="BB15" s="1033">
        <f>VLOOKUP(AZ15,Düngemittel!$B$6:$E$64,2,FALSE)*(VLOOKUP(AZ15,Düngemittel!$B$6:$E$64,3,FALSE))/100*BA15</f>
        <v>0</v>
      </c>
      <c r="BC15" s="1033">
        <f>VLOOKUP(AZ15,Düngemittel!$B$6:$E$64,2,FALSE)*BA15</f>
        <v>0</v>
      </c>
      <c r="BD15" s="1033">
        <f>VLOOKUP(AZ15,Düngemittel!$B$6:$E$64,4,FALSE)*BA15</f>
        <v>0</v>
      </c>
      <c r="BE15" s="2089"/>
      <c r="BF15" s="1329"/>
      <c r="BG15" s="1330" t="s">
        <v>795</v>
      </c>
      <c r="BH15" s="1424">
        <v>0</v>
      </c>
      <c r="BI15" s="1033">
        <f>VLOOKUP(BG15,Düngemittel!$B$6:$E$64,2,FALSE)*(VLOOKUP(BG15,Düngemittel!$B$6:$E$64,3,FALSE))/100*BH15</f>
        <v>0</v>
      </c>
      <c r="BJ15" s="1033">
        <f>VLOOKUP(BG15,Düngemittel!$B$6:$E$64,2,FALSE)*BH15</f>
        <v>0</v>
      </c>
      <c r="BK15" s="1033">
        <f>VLOOKUP(BG15,Düngemittel!$B$6:$E$64,4,FALSE)*BH15</f>
        <v>0</v>
      </c>
      <c r="BL15" s="1185"/>
      <c r="BM15" s="1814">
        <f t="shared" si="13"/>
        <v>0</v>
      </c>
      <c r="BN15" s="1889">
        <f t="shared" si="14"/>
        <v>0</v>
      </c>
      <c r="BO15" s="1814">
        <f t="shared" si="15"/>
        <v>0</v>
      </c>
      <c r="BP15" s="1138">
        <f t="shared" si="16"/>
        <v>0</v>
      </c>
      <c r="BQ15" s="1889">
        <f t="shared" si="17"/>
        <v>0</v>
      </c>
      <c r="BR15" s="95"/>
      <c r="BS15" s="2023">
        <f t="shared" si="24"/>
        <v>0</v>
      </c>
      <c r="BT15" s="1973">
        <f t="shared" si="24"/>
        <v>0</v>
      </c>
      <c r="BU15" s="2023">
        <f t="shared" si="24"/>
        <v>0</v>
      </c>
      <c r="BV15" s="1934">
        <f t="shared" si="24"/>
        <v>0</v>
      </c>
      <c r="BW15" s="1973">
        <f t="shared" si="24"/>
        <v>0</v>
      </c>
      <c r="BX15" s="1878"/>
      <c r="CB15" s="1968" t="s">
        <v>1448</v>
      </c>
      <c r="CC15" s="1421">
        <v>13</v>
      </c>
      <c r="CD15" s="1421">
        <v>95</v>
      </c>
      <c r="CE15" s="1421">
        <v>10</v>
      </c>
      <c r="CF15" s="1421">
        <v>10</v>
      </c>
      <c r="CG15" s="1421">
        <v>10</v>
      </c>
      <c r="CH15" s="1421">
        <v>0</v>
      </c>
      <c r="CI15" s="1421">
        <v>0</v>
      </c>
      <c r="CJ15" s="2131">
        <v>30</v>
      </c>
      <c r="CK15" s="2134">
        <v>3.2015384615384614</v>
      </c>
    </row>
    <row r="16" spans="1:89" ht="30.75" thickBot="1">
      <c r="A16" s="468">
        <v>9</v>
      </c>
      <c r="B16" s="1976">
        <v>0</v>
      </c>
      <c r="C16" s="2127" t="s">
        <v>795</v>
      </c>
      <c r="D16" s="1983">
        <f t="shared" si="0"/>
        <v>0</v>
      </c>
      <c r="E16" s="1984">
        <f t="shared" si="1"/>
        <v>0</v>
      </c>
      <c r="F16" s="1988">
        <v>0</v>
      </c>
      <c r="G16" s="1972">
        <f t="shared" si="18"/>
        <v>0</v>
      </c>
      <c r="H16" s="1888">
        <f t="shared" si="19"/>
        <v>0</v>
      </c>
      <c r="I16" s="2308">
        <f t="shared" si="2"/>
        <v>0</v>
      </c>
      <c r="J16" s="2308">
        <f t="shared" si="3"/>
        <v>0</v>
      </c>
      <c r="K16" s="2308">
        <f t="shared" si="4"/>
        <v>0</v>
      </c>
      <c r="L16" s="1986" t="e">
        <f t="shared" si="20"/>
        <v>#DIV/0!</v>
      </c>
      <c r="M16" s="1989">
        <f t="shared" si="21"/>
        <v>0</v>
      </c>
      <c r="N16" s="1978" t="s">
        <v>503</v>
      </c>
      <c r="O16" s="743">
        <f t="shared" si="5"/>
        <v>0</v>
      </c>
      <c r="P16" s="2000" t="s">
        <v>25</v>
      </c>
      <c r="Q16" s="2001">
        <f t="shared" si="6"/>
        <v>0</v>
      </c>
      <c r="R16" s="2005">
        <f t="shared" si="7"/>
        <v>0</v>
      </c>
      <c r="S16" s="2194">
        <v>0</v>
      </c>
      <c r="T16" s="1995" t="s">
        <v>160</v>
      </c>
      <c r="U16" s="2001">
        <f t="shared" si="8"/>
        <v>0</v>
      </c>
      <c r="V16" s="2375">
        <v>0</v>
      </c>
      <c r="W16" s="2005">
        <f t="shared" si="22"/>
        <v>0</v>
      </c>
      <c r="X16" s="2001">
        <f t="shared" si="23"/>
        <v>0</v>
      </c>
      <c r="Y16" s="2365">
        <f t="shared" si="9"/>
        <v>0</v>
      </c>
      <c r="Z16" s="2001">
        <f t="shared" si="10"/>
        <v>0</v>
      </c>
      <c r="AA16" s="1"/>
      <c r="AB16" s="1281">
        <f t="shared" si="11"/>
        <v>9</v>
      </c>
      <c r="AC16" s="1281" t="str">
        <f t="shared" si="12"/>
        <v>leer</v>
      </c>
      <c r="AD16" s="1329"/>
      <c r="AE16" s="1330" t="s">
        <v>795</v>
      </c>
      <c r="AF16" s="1424">
        <v>0</v>
      </c>
      <c r="AG16" s="1033">
        <f>VLOOKUP(AE16,Düngemittel!$B$6:$E$64,2,FALSE)*(VLOOKUP(AE16,Düngemittel!$B$6:$E$64,3,FALSE))/100*AF16</f>
        <v>0</v>
      </c>
      <c r="AH16" s="1033">
        <f>VLOOKUP(AE16,Düngemittel!$B$6:$E$64,2,FALSE)*AF16</f>
        <v>0</v>
      </c>
      <c r="AI16" s="1033">
        <f>VLOOKUP(AE16,Düngemittel!$B$6:$E$64,4,FALSE)*AF16</f>
        <v>0</v>
      </c>
      <c r="AJ16" s="2089"/>
      <c r="AK16" s="1329"/>
      <c r="AL16" s="1330" t="s">
        <v>795</v>
      </c>
      <c r="AM16" s="1424">
        <v>0</v>
      </c>
      <c r="AN16" s="1033">
        <f>VLOOKUP(AL16,Düngemittel!$B$6:$E$64,2,FALSE)*(VLOOKUP(AL16,Düngemittel!$B$6:$E$64,3,FALSE))/100*AM16</f>
        <v>0</v>
      </c>
      <c r="AO16" s="1033">
        <f>VLOOKUP(AL16,Düngemittel!$B$6:$E$64,2,FALSE)*AM16</f>
        <v>0</v>
      </c>
      <c r="AP16" s="1033">
        <f>VLOOKUP(AL16,Düngemittel!$B$6:$E$64,4,FALSE)*AM16</f>
        <v>0</v>
      </c>
      <c r="AQ16" s="2089"/>
      <c r="AR16" s="1329"/>
      <c r="AS16" s="1330" t="s">
        <v>795</v>
      </c>
      <c r="AT16" s="1424">
        <v>0</v>
      </c>
      <c r="AU16" s="1033">
        <f>VLOOKUP(AS16,Düngemittel!$B$6:$E$64,2,FALSE)*(VLOOKUP(AS16,Düngemittel!$B$6:$E$64,3,FALSE))/100*AT16</f>
        <v>0</v>
      </c>
      <c r="AV16" s="1033">
        <f>VLOOKUP(AS16,Düngemittel!$B$6:$E$64,2,FALSE)*AT16</f>
        <v>0</v>
      </c>
      <c r="AW16" s="1033">
        <f>VLOOKUP(AS16,Düngemittel!$B$6:$E$64,4,FALSE)*AT16</f>
        <v>0</v>
      </c>
      <c r="AX16" s="2089"/>
      <c r="AY16" s="1329"/>
      <c r="AZ16" s="1330" t="s">
        <v>795</v>
      </c>
      <c r="BA16" s="1424">
        <v>0</v>
      </c>
      <c r="BB16" s="1033">
        <f>VLOOKUP(AZ16,Düngemittel!$B$6:$E$64,2,FALSE)*(VLOOKUP(AZ16,Düngemittel!$B$6:$E$64,3,FALSE))/100*BA16</f>
        <v>0</v>
      </c>
      <c r="BC16" s="1033">
        <f>VLOOKUP(AZ16,Düngemittel!$B$6:$E$64,2,FALSE)*BA16</f>
        <v>0</v>
      </c>
      <c r="BD16" s="1033">
        <f>VLOOKUP(AZ16,Düngemittel!$B$6:$E$64,4,FALSE)*BA16</f>
        <v>0</v>
      </c>
      <c r="BE16" s="2089"/>
      <c r="BF16" s="1329"/>
      <c r="BG16" s="1330" t="s">
        <v>795</v>
      </c>
      <c r="BH16" s="1424">
        <v>0</v>
      </c>
      <c r="BI16" s="1033">
        <f>VLOOKUP(BG16,Düngemittel!$B$6:$E$64,2,FALSE)*(VLOOKUP(BG16,Düngemittel!$B$6:$E$64,3,FALSE))/100*BH16</f>
        <v>0</v>
      </c>
      <c r="BJ16" s="1033">
        <f>VLOOKUP(BG16,Düngemittel!$B$6:$E$64,2,FALSE)*BH16</f>
        <v>0</v>
      </c>
      <c r="BK16" s="1033">
        <f>VLOOKUP(BG16,Düngemittel!$B$6:$E$64,4,FALSE)*BH16</f>
        <v>0</v>
      </c>
      <c r="BL16" s="1185"/>
      <c r="BM16" s="1814">
        <f t="shared" si="13"/>
        <v>0</v>
      </c>
      <c r="BN16" s="1889">
        <f t="shared" si="14"/>
        <v>0</v>
      </c>
      <c r="BO16" s="1814">
        <f t="shared" si="15"/>
        <v>0</v>
      </c>
      <c r="BP16" s="1138">
        <f t="shared" si="16"/>
        <v>0</v>
      </c>
      <c r="BQ16" s="1889">
        <f t="shared" si="17"/>
        <v>0</v>
      </c>
      <c r="BR16" s="95"/>
      <c r="BS16" s="2023">
        <f t="shared" si="24"/>
        <v>0</v>
      </c>
      <c r="BT16" s="1973">
        <f t="shared" si="24"/>
        <v>0</v>
      </c>
      <c r="BU16" s="2023">
        <f t="shared" si="24"/>
        <v>0</v>
      </c>
      <c r="BV16" s="1934">
        <f t="shared" si="24"/>
        <v>0</v>
      </c>
      <c r="BW16" s="1973">
        <f t="shared" si="24"/>
        <v>0</v>
      </c>
      <c r="BX16" s="1878"/>
      <c r="CB16" s="1968" t="s">
        <v>1449</v>
      </c>
      <c r="CC16" s="1421">
        <v>13</v>
      </c>
      <c r="CD16" s="1421">
        <v>95</v>
      </c>
      <c r="CE16" s="1421">
        <v>10</v>
      </c>
      <c r="CF16" s="1421">
        <v>10</v>
      </c>
      <c r="CG16" s="1421">
        <v>10</v>
      </c>
      <c r="CH16" s="1421">
        <v>0</v>
      </c>
      <c r="CI16" s="1421">
        <v>0</v>
      </c>
      <c r="CJ16" s="2131">
        <v>30</v>
      </c>
      <c r="CK16" s="2132">
        <v>1.1499999999999999</v>
      </c>
    </row>
    <row r="17" spans="1:89" ht="30.75" thickBot="1">
      <c r="A17" s="468">
        <v>10</v>
      </c>
      <c r="B17" s="1976">
        <v>0</v>
      </c>
      <c r="C17" s="2127" t="s">
        <v>795</v>
      </c>
      <c r="D17" s="1983">
        <f t="shared" si="0"/>
        <v>0</v>
      </c>
      <c r="E17" s="1984">
        <f t="shared" si="1"/>
        <v>0</v>
      </c>
      <c r="F17" s="1988">
        <v>0</v>
      </c>
      <c r="G17" s="1972">
        <f t="shared" si="18"/>
        <v>0</v>
      </c>
      <c r="H17" s="1888">
        <f t="shared" si="19"/>
        <v>0</v>
      </c>
      <c r="I17" s="2308">
        <f t="shared" si="2"/>
        <v>0</v>
      </c>
      <c r="J17" s="2308">
        <f t="shared" si="3"/>
        <v>0</v>
      </c>
      <c r="K17" s="2308">
        <f t="shared" si="4"/>
        <v>0</v>
      </c>
      <c r="L17" s="1986" t="e">
        <f t="shared" si="20"/>
        <v>#DIV/0!</v>
      </c>
      <c r="M17" s="1989">
        <f t="shared" si="21"/>
        <v>0</v>
      </c>
      <c r="N17" s="1978" t="s">
        <v>503</v>
      </c>
      <c r="O17" s="743">
        <f t="shared" si="5"/>
        <v>0</v>
      </c>
      <c r="P17" s="2000" t="s">
        <v>25</v>
      </c>
      <c r="Q17" s="2001">
        <f t="shared" si="6"/>
        <v>0</v>
      </c>
      <c r="R17" s="2005">
        <f t="shared" si="7"/>
        <v>0</v>
      </c>
      <c r="S17" s="2194">
        <v>0</v>
      </c>
      <c r="T17" s="1995" t="s">
        <v>160</v>
      </c>
      <c r="U17" s="2001">
        <f t="shared" si="8"/>
        <v>0</v>
      </c>
      <c r="V17" s="2375">
        <v>0</v>
      </c>
      <c r="W17" s="2005">
        <f t="shared" si="22"/>
        <v>0</v>
      </c>
      <c r="X17" s="2001">
        <f t="shared" si="23"/>
        <v>0</v>
      </c>
      <c r="Y17" s="2365">
        <f t="shared" si="9"/>
        <v>0</v>
      </c>
      <c r="Z17" s="2001">
        <f t="shared" si="10"/>
        <v>0</v>
      </c>
      <c r="AA17" s="1"/>
      <c r="AB17" s="1281">
        <f t="shared" si="11"/>
        <v>10</v>
      </c>
      <c r="AC17" s="1281" t="str">
        <f t="shared" si="12"/>
        <v>leer</v>
      </c>
      <c r="AD17" s="1329"/>
      <c r="AE17" s="1330" t="s">
        <v>795</v>
      </c>
      <c r="AF17" s="1424">
        <v>0</v>
      </c>
      <c r="AG17" s="1033">
        <f>VLOOKUP(AE17,Düngemittel!$B$6:$E$64,2,FALSE)*(VLOOKUP(AE17,Düngemittel!$B$6:$E$64,3,FALSE))/100*AF17</f>
        <v>0</v>
      </c>
      <c r="AH17" s="1033">
        <f>VLOOKUP(AE17,Düngemittel!$B$6:$E$64,2,FALSE)*AF17</f>
        <v>0</v>
      </c>
      <c r="AI17" s="1033">
        <f>VLOOKUP(AE17,Düngemittel!$B$6:$E$64,4,FALSE)*AF17</f>
        <v>0</v>
      </c>
      <c r="AJ17" s="2089"/>
      <c r="AK17" s="1329"/>
      <c r="AL17" s="1330" t="s">
        <v>795</v>
      </c>
      <c r="AM17" s="1424">
        <v>0</v>
      </c>
      <c r="AN17" s="1033">
        <f>VLOOKUP(AL17,Düngemittel!$B$6:$E$64,2,FALSE)*(VLOOKUP(AL17,Düngemittel!$B$6:$E$64,3,FALSE))/100*AM17</f>
        <v>0</v>
      </c>
      <c r="AO17" s="1033">
        <f>VLOOKUP(AL17,Düngemittel!$B$6:$E$64,2,FALSE)*AM17</f>
        <v>0</v>
      </c>
      <c r="AP17" s="1033">
        <f>VLOOKUP(AL17,Düngemittel!$B$6:$E$64,4,FALSE)*AM17</f>
        <v>0</v>
      </c>
      <c r="AQ17" s="2089"/>
      <c r="AR17" s="1329"/>
      <c r="AS17" s="1330" t="s">
        <v>795</v>
      </c>
      <c r="AT17" s="1424">
        <v>0</v>
      </c>
      <c r="AU17" s="1033">
        <f>VLOOKUP(AS17,Düngemittel!$B$6:$E$64,2,FALSE)*(VLOOKUP(AS17,Düngemittel!$B$6:$E$64,3,FALSE))/100*AT17</f>
        <v>0</v>
      </c>
      <c r="AV17" s="1033">
        <f>VLOOKUP(AS17,Düngemittel!$B$6:$E$64,2,FALSE)*AT17</f>
        <v>0</v>
      </c>
      <c r="AW17" s="1033">
        <f>VLOOKUP(AS17,Düngemittel!$B$6:$E$64,4,FALSE)*AT17</f>
        <v>0</v>
      </c>
      <c r="AX17" s="2089"/>
      <c r="AY17" s="1329"/>
      <c r="AZ17" s="1330" t="s">
        <v>795</v>
      </c>
      <c r="BA17" s="1424">
        <v>0</v>
      </c>
      <c r="BB17" s="1033">
        <f>VLOOKUP(AZ17,Düngemittel!$B$6:$E$64,2,FALSE)*(VLOOKUP(AZ17,Düngemittel!$B$6:$E$64,3,FALSE))/100*BA17</f>
        <v>0</v>
      </c>
      <c r="BC17" s="1033">
        <f>VLOOKUP(AZ17,Düngemittel!$B$6:$E$64,2,FALSE)*BA17</f>
        <v>0</v>
      </c>
      <c r="BD17" s="1033">
        <f>VLOOKUP(AZ17,Düngemittel!$B$6:$E$64,4,FALSE)*BA17</f>
        <v>0</v>
      </c>
      <c r="BE17" s="2089"/>
      <c r="BF17" s="1329"/>
      <c r="BG17" s="1330" t="s">
        <v>795</v>
      </c>
      <c r="BH17" s="1424">
        <v>0</v>
      </c>
      <c r="BI17" s="1033">
        <f>VLOOKUP(BG17,Düngemittel!$B$6:$E$64,2,FALSE)*(VLOOKUP(BG17,Düngemittel!$B$6:$E$64,3,FALSE))/100*BH17</f>
        <v>0</v>
      </c>
      <c r="BJ17" s="1033">
        <f>VLOOKUP(BG17,Düngemittel!$B$6:$E$64,2,FALSE)*BH17</f>
        <v>0</v>
      </c>
      <c r="BK17" s="1033">
        <f>VLOOKUP(BG17,Düngemittel!$B$6:$E$64,4,FALSE)*BH17</f>
        <v>0</v>
      </c>
      <c r="BL17" s="1185"/>
      <c r="BM17" s="1814">
        <f t="shared" si="13"/>
        <v>0</v>
      </c>
      <c r="BN17" s="1889">
        <f t="shared" si="14"/>
        <v>0</v>
      </c>
      <c r="BO17" s="1814">
        <f t="shared" si="15"/>
        <v>0</v>
      </c>
      <c r="BP17" s="1138">
        <f t="shared" si="16"/>
        <v>0</v>
      </c>
      <c r="BQ17" s="1889">
        <f t="shared" si="17"/>
        <v>0</v>
      </c>
      <c r="BR17" s="95"/>
      <c r="BS17" s="2023">
        <f t="shared" si="24"/>
        <v>0</v>
      </c>
      <c r="BT17" s="1973">
        <f t="shared" si="24"/>
        <v>0</v>
      </c>
      <c r="BU17" s="2023">
        <f t="shared" si="24"/>
        <v>0</v>
      </c>
      <c r="BV17" s="1934">
        <f t="shared" si="24"/>
        <v>0</v>
      </c>
      <c r="BW17" s="1973">
        <f t="shared" si="24"/>
        <v>0</v>
      </c>
      <c r="BX17" s="1878"/>
      <c r="CB17" s="1968" t="s">
        <v>1450</v>
      </c>
      <c r="CC17" s="1421">
        <v>150</v>
      </c>
      <c r="CD17" s="1421">
        <v>80</v>
      </c>
      <c r="CE17" s="1421">
        <v>10</v>
      </c>
      <c r="CF17" s="1421">
        <v>8</v>
      </c>
      <c r="CG17" s="1421">
        <v>8</v>
      </c>
      <c r="CH17" s="1421">
        <v>0</v>
      </c>
      <c r="CI17" s="1421">
        <v>0</v>
      </c>
      <c r="CJ17" s="2131">
        <v>60</v>
      </c>
      <c r="CK17" s="2132">
        <v>0.08</v>
      </c>
    </row>
    <row r="18" spans="1:89" ht="30.75" thickBot="1">
      <c r="A18" s="468">
        <v>11</v>
      </c>
      <c r="B18" s="1976">
        <v>0</v>
      </c>
      <c r="C18" s="2127" t="s">
        <v>795</v>
      </c>
      <c r="D18" s="1983">
        <f t="shared" si="0"/>
        <v>0</v>
      </c>
      <c r="E18" s="1984">
        <f t="shared" si="1"/>
        <v>0</v>
      </c>
      <c r="F18" s="1988">
        <v>0</v>
      </c>
      <c r="G18" s="1972">
        <f t="shared" si="18"/>
        <v>0</v>
      </c>
      <c r="H18" s="1888">
        <f t="shared" si="19"/>
        <v>0</v>
      </c>
      <c r="I18" s="2308">
        <f t="shared" si="2"/>
        <v>0</v>
      </c>
      <c r="J18" s="2308">
        <f t="shared" si="3"/>
        <v>0</v>
      </c>
      <c r="K18" s="2308">
        <f t="shared" si="4"/>
        <v>0</v>
      </c>
      <c r="L18" s="1986" t="e">
        <f t="shared" si="20"/>
        <v>#DIV/0!</v>
      </c>
      <c r="M18" s="1989">
        <f t="shared" si="21"/>
        <v>0</v>
      </c>
      <c r="N18" s="1978" t="s">
        <v>503</v>
      </c>
      <c r="O18" s="743">
        <f t="shared" si="5"/>
        <v>0</v>
      </c>
      <c r="P18" s="2000" t="s">
        <v>25</v>
      </c>
      <c r="Q18" s="2001">
        <f t="shared" si="6"/>
        <v>0</v>
      </c>
      <c r="R18" s="2005">
        <f t="shared" si="7"/>
        <v>0</v>
      </c>
      <c r="S18" s="2194">
        <v>0</v>
      </c>
      <c r="T18" s="1995" t="s">
        <v>160</v>
      </c>
      <c r="U18" s="2001">
        <f t="shared" si="8"/>
        <v>0</v>
      </c>
      <c r="V18" s="2375">
        <v>0</v>
      </c>
      <c r="W18" s="2005">
        <f t="shared" si="22"/>
        <v>0</v>
      </c>
      <c r="X18" s="2001">
        <f t="shared" si="23"/>
        <v>0</v>
      </c>
      <c r="Y18" s="2365">
        <f t="shared" si="9"/>
        <v>0</v>
      </c>
      <c r="Z18" s="2001">
        <f t="shared" si="10"/>
        <v>0</v>
      </c>
      <c r="AA18" s="1"/>
      <c r="AB18" s="1281">
        <f t="shared" si="11"/>
        <v>11</v>
      </c>
      <c r="AC18" s="1281" t="str">
        <f t="shared" si="12"/>
        <v>leer</v>
      </c>
      <c r="AD18" s="1329"/>
      <c r="AE18" s="1330" t="s">
        <v>795</v>
      </c>
      <c r="AF18" s="1424">
        <v>0</v>
      </c>
      <c r="AG18" s="1033">
        <f>VLOOKUP(AE18,Düngemittel!$B$6:$E$64,2,FALSE)*(VLOOKUP(AE18,Düngemittel!$B$6:$E$64,3,FALSE))/100*AF18</f>
        <v>0</v>
      </c>
      <c r="AH18" s="1033">
        <f>VLOOKUP(AE18,Düngemittel!$B$6:$E$64,2,FALSE)*AF18</f>
        <v>0</v>
      </c>
      <c r="AI18" s="1033">
        <f>VLOOKUP(AE18,Düngemittel!$B$6:$E$64,4,FALSE)*AF18</f>
        <v>0</v>
      </c>
      <c r="AJ18" s="2089"/>
      <c r="AK18" s="1329"/>
      <c r="AL18" s="1330" t="s">
        <v>795</v>
      </c>
      <c r="AM18" s="1424">
        <v>0</v>
      </c>
      <c r="AN18" s="1033">
        <f>VLOOKUP(AL18,Düngemittel!$B$6:$E$64,2,FALSE)*(VLOOKUP(AL18,Düngemittel!$B$6:$E$64,3,FALSE))/100*AM18</f>
        <v>0</v>
      </c>
      <c r="AO18" s="1033">
        <f>VLOOKUP(AL18,Düngemittel!$B$6:$E$64,2,FALSE)*AM18</f>
        <v>0</v>
      </c>
      <c r="AP18" s="1033">
        <f>VLOOKUP(AL18,Düngemittel!$B$6:$E$64,4,FALSE)*AM18</f>
        <v>0</v>
      </c>
      <c r="AQ18" s="2089"/>
      <c r="AR18" s="1329"/>
      <c r="AS18" s="1330" t="s">
        <v>795</v>
      </c>
      <c r="AT18" s="1424">
        <v>0</v>
      </c>
      <c r="AU18" s="1033">
        <f>VLOOKUP(AS18,Düngemittel!$B$6:$E$64,2,FALSE)*(VLOOKUP(AS18,Düngemittel!$B$6:$E$64,3,FALSE))/100*AT18</f>
        <v>0</v>
      </c>
      <c r="AV18" s="1033">
        <f>VLOOKUP(AS18,Düngemittel!$B$6:$E$64,2,FALSE)*AT18</f>
        <v>0</v>
      </c>
      <c r="AW18" s="1033">
        <f>VLOOKUP(AS18,Düngemittel!$B$6:$E$64,4,FALSE)*AT18</f>
        <v>0</v>
      </c>
      <c r="AX18" s="2089"/>
      <c r="AY18" s="1329"/>
      <c r="AZ18" s="1330" t="s">
        <v>795</v>
      </c>
      <c r="BA18" s="1424">
        <v>0</v>
      </c>
      <c r="BB18" s="1033">
        <f>VLOOKUP(AZ18,Düngemittel!$B$6:$E$64,2,FALSE)*(VLOOKUP(AZ18,Düngemittel!$B$6:$E$64,3,FALSE))/100*BA18</f>
        <v>0</v>
      </c>
      <c r="BC18" s="1033">
        <f>VLOOKUP(AZ18,Düngemittel!$B$6:$E$64,2,FALSE)*BA18</f>
        <v>0</v>
      </c>
      <c r="BD18" s="1033">
        <f>VLOOKUP(AZ18,Düngemittel!$B$6:$E$64,4,FALSE)*BA18</f>
        <v>0</v>
      </c>
      <c r="BE18" s="2089"/>
      <c r="BF18" s="1329"/>
      <c r="BG18" s="1330" t="s">
        <v>795</v>
      </c>
      <c r="BH18" s="1424">
        <v>0</v>
      </c>
      <c r="BI18" s="1033">
        <f>VLOOKUP(BG18,Düngemittel!$B$6:$E$64,2,FALSE)*(VLOOKUP(BG18,Düngemittel!$B$6:$E$64,3,FALSE))/100*BH18</f>
        <v>0</v>
      </c>
      <c r="BJ18" s="1033">
        <f>VLOOKUP(BG18,Düngemittel!$B$6:$E$64,2,FALSE)*BH18</f>
        <v>0</v>
      </c>
      <c r="BK18" s="1033">
        <f>VLOOKUP(BG18,Düngemittel!$B$6:$E$64,4,FALSE)*BH18</f>
        <v>0</v>
      </c>
      <c r="BL18" s="1185"/>
      <c r="BM18" s="1814">
        <f t="shared" si="13"/>
        <v>0</v>
      </c>
      <c r="BN18" s="1889">
        <f t="shared" si="14"/>
        <v>0</v>
      </c>
      <c r="BO18" s="1814">
        <f t="shared" si="15"/>
        <v>0</v>
      </c>
      <c r="BP18" s="1138">
        <f t="shared" si="16"/>
        <v>0</v>
      </c>
      <c r="BQ18" s="1889">
        <f t="shared" si="17"/>
        <v>0</v>
      </c>
      <c r="BR18" s="95"/>
      <c r="BS18" s="2023">
        <f t="shared" si="24"/>
        <v>0</v>
      </c>
      <c r="BT18" s="1973">
        <f t="shared" si="24"/>
        <v>0</v>
      </c>
      <c r="BU18" s="2023">
        <f t="shared" si="24"/>
        <v>0</v>
      </c>
      <c r="BV18" s="1934">
        <f t="shared" si="24"/>
        <v>0</v>
      </c>
      <c r="BW18" s="1973">
        <f t="shared" si="24"/>
        <v>0</v>
      </c>
      <c r="BX18" s="1878"/>
      <c r="CB18" s="1968" t="s">
        <v>1451</v>
      </c>
      <c r="CC18" s="1421">
        <v>25</v>
      </c>
      <c r="CD18" s="1421">
        <v>150</v>
      </c>
      <c r="CE18" s="1421">
        <v>10</v>
      </c>
      <c r="CF18" s="1421">
        <v>15</v>
      </c>
      <c r="CG18" s="1421">
        <v>15</v>
      </c>
      <c r="CH18" s="1421">
        <v>0</v>
      </c>
      <c r="CI18" s="1421">
        <v>0</v>
      </c>
      <c r="CJ18" s="2131">
        <v>60</v>
      </c>
      <c r="CK18" s="2134">
        <v>2.2200000000000002</v>
      </c>
    </row>
    <row r="19" spans="1:89" ht="30.75" thickBot="1">
      <c r="A19" s="468">
        <v>12</v>
      </c>
      <c r="B19" s="1976">
        <v>0</v>
      </c>
      <c r="C19" s="2127" t="s">
        <v>795</v>
      </c>
      <c r="D19" s="1983">
        <f t="shared" si="0"/>
        <v>0</v>
      </c>
      <c r="E19" s="1984">
        <f t="shared" si="1"/>
        <v>0</v>
      </c>
      <c r="F19" s="1988">
        <v>0</v>
      </c>
      <c r="G19" s="1972">
        <f t="shared" si="18"/>
        <v>0</v>
      </c>
      <c r="H19" s="1888">
        <f t="shared" si="19"/>
        <v>0</v>
      </c>
      <c r="I19" s="2308">
        <f t="shared" si="2"/>
        <v>0</v>
      </c>
      <c r="J19" s="2308">
        <f t="shared" si="3"/>
        <v>0</v>
      </c>
      <c r="K19" s="2308">
        <f t="shared" si="4"/>
        <v>0</v>
      </c>
      <c r="L19" s="1986" t="e">
        <f t="shared" si="20"/>
        <v>#DIV/0!</v>
      </c>
      <c r="M19" s="1989">
        <f t="shared" si="21"/>
        <v>0</v>
      </c>
      <c r="N19" s="1978" t="s">
        <v>503</v>
      </c>
      <c r="O19" s="743">
        <f t="shared" si="5"/>
        <v>0</v>
      </c>
      <c r="P19" s="2000" t="s">
        <v>25</v>
      </c>
      <c r="Q19" s="2001">
        <f t="shared" si="6"/>
        <v>0</v>
      </c>
      <c r="R19" s="2005">
        <f t="shared" si="7"/>
        <v>0</v>
      </c>
      <c r="S19" s="2194">
        <v>0</v>
      </c>
      <c r="T19" s="1995" t="s">
        <v>160</v>
      </c>
      <c r="U19" s="2001">
        <f t="shared" si="8"/>
        <v>0</v>
      </c>
      <c r="V19" s="2375">
        <v>0</v>
      </c>
      <c r="W19" s="2005">
        <f t="shared" si="22"/>
        <v>0</v>
      </c>
      <c r="X19" s="2001">
        <f t="shared" si="23"/>
        <v>0</v>
      </c>
      <c r="Y19" s="2365">
        <f t="shared" si="9"/>
        <v>0</v>
      </c>
      <c r="Z19" s="2001">
        <f t="shared" si="10"/>
        <v>0</v>
      </c>
      <c r="AA19" s="1"/>
      <c r="AB19" s="1281">
        <f t="shared" si="11"/>
        <v>12</v>
      </c>
      <c r="AC19" s="1281" t="str">
        <f t="shared" si="12"/>
        <v>leer</v>
      </c>
      <c r="AD19" s="1329"/>
      <c r="AE19" s="1330" t="s">
        <v>795</v>
      </c>
      <c r="AF19" s="1424">
        <v>0</v>
      </c>
      <c r="AG19" s="1033">
        <f>VLOOKUP(AE19,Düngemittel!$B$6:$E$64,2,FALSE)*(VLOOKUP(AE19,Düngemittel!$B$6:$E$64,3,FALSE))/100*AF19</f>
        <v>0</v>
      </c>
      <c r="AH19" s="1033">
        <f>VLOOKUP(AE19,Düngemittel!$B$6:$E$64,2,FALSE)*AF19</f>
        <v>0</v>
      </c>
      <c r="AI19" s="1033">
        <f>VLOOKUP(AE19,Düngemittel!$B$6:$E$64,4,FALSE)*AF19</f>
        <v>0</v>
      </c>
      <c r="AJ19" s="2089"/>
      <c r="AK19" s="1329"/>
      <c r="AL19" s="1330" t="s">
        <v>795</v>
      </c>
      <c r="AM19" s="1424">
        <v>0</v>
      </c>
      <c r="AN19" s="1033">
        <f>VLOOKUP(AL19,Düngemittel!$B$6:$E$64,2,FALSE)*(VLOOKUP(AL19,Düngemittel!$B$6:$E$64,3,FALSE))/100*AM19</f>
        <v>0</v>
      </c>
      <c r="AO19" s="1033">
        <f>VLOOKUP(AL19,Düngemittel!$B$6:$E$64,2,FALSE)*AM19</f>
        <v>0</v>
      </c>
      <c r="AP19" s="1033">
        <f>VLOOKUP(AL19,Düngemittel!$B$6:$E$64,4,FALSE)*AM19</f>
        <v>0</v>
      </c>
      <c r="AQ19" s="2089"/>
      <c r="AR19" s="1329"/>
      <c r="AS19" s="1330" t="s">
        <v>795</v>
      </c>
      <c r="AT19" s="1424">
        <v>0</v>
      </c>
      <c r="AU19" s="1033">
        <f>VLOOKUP(AS19,Düngemittel!$B$6:$E$64,2,FALSE)*(VLOOKUP(AS19,Düngemittel!$B$6:$E$64,3,FALSE))/100*AT19</f>
        <v>0</v>
      </c>
      <c r="AV19" s="1033">
        <f>VLOOKUP(AS19,Düngemittel!$B$6:$E$64,2,FALSE)*AT19</f>
        <v>0</v>
      </c>
      <c r="AW19" s="1033">
        <f>VLOOKUP(AS19,Düngemittel!$B$6:$E$64,4,FALSE)*AT19</f>
        <v>0</v>
      </c>
      <c r="AX19" s="2089"/>
      <c r="AY19" s="1329"/>
      <c r="AZ19" s="1330" t="s">
        <v>795</v>
      </c>
      <c r="BA19" s="1424">
        <v>0</v>
      </c>
      <c r="BB19" s="1033">
        <f>VLOOKUP(AZ19,Düngemittel!$B$6:$E$64,2,FALSE)*(VLOOKUP(AZ19,Düngemittel!$B$6:$E$64,3,FALSE))/100*BA19</f>
        <v>0</v>
      </c>
      <c r="BC19" s="1033">
        <f>VLOOKUP(AZ19,Düngemittel!$B$6:$E$64,2,FALSE)*BA19</f>
        <v>0</v>
      </c>
      <c r="BD19" s="1033">
        <f>VLOOKUP(AZ19,Düngemittel!$B$6:$E$64,4,FALSE)*BA19</f>
        <v>0</v>
      </c>
      <c r="BE19" s="2089"/>
      <c r="BF19" s="1329"/>
      <c r="BG19" s="1330" t="s">
        <v>795</v>
      </c>
      <c r="BH19" s="1424">
        <v>0</v>
      </c>
      <c r="BI19" s="1033">
        <f>VLOOKUP(BG19,Düngemittel!$B$6:$E$64,2,FALSE)*(VLOOKUP(BG19,Düngemittel!$B$6:$E$64,3,FALSE))/100*BH19</f>
        <v>0</v>
      </c>
      <c r="BJ19" s="1033">
        <f>VLOOKUP(BG19,Düngemittel!$B$6:$E$64,2,FALSE)*BH19</f>
        <v>0</v>
      </c>
      <c r="BK19" s="1033">
        <f>VLOOKUP(BG19,Düngemittel!$B$6:$E$64,4,FALSE)*BH19</f>
        <v>0</v>
      </c>
      <c r="BL19" s="1185"/>
      <c r="BM19" s="1814">
        <f t="shared" si="13"/>
        <v>0</v>
      </c>
      <c r="BN19" s="1889">
        <f t="shared" si="14"/>
        <v>0</v>
      </c>
      <c r="BO19" s="1814">
        <f t="shared" si="15"/>
        <v>0</v>
      </c>
      <c r="BP19" s="1138">
        <f t="shared" si="16"/>
        <v>0</v>
      </c>
      <c r="BQ19" s="1889">
        <f t="shared" si="17"/>
        <v>0</v>
      </c>
      <c r="BR19" s="95"/>
      <c r="BS19" s="2023">
        <f t="shared" si="24"/>
        <v>0</v>
      </c>
      <c r="BT19" s="1973">
        <f t="shared" si="24"/>
        <v>0</v>
      </c>
      <c r="BU19" s="2023">
        <f t="shared" si="24"/>
        <v>0</v>
      </c>
      <c r="BV19" s="1934">
        <f t="shared" si="24"/>
        <v>0</v>
      </c>
      <c r="BW19" s="1973">
        <f t="shared" si="24"/>
        <v>0</v>
      </c>
      <c r="BX19" s="1878"/>
      <c r="CB19" s="1968" t="s">
        <v>1452</v>
      </c>
      <c r="CC19" s="1421">
        <v>25</v>
      </c>
      <c r="CD19" s="1421">
        <v>150</v>
      </c>
      <c r="CE19" s="1421">
        <v>10</v>
      </c>
      <c r="CF19" s="1421">
        <v>15</v>
      </c>
      <c r="CG19" s="1421">
        <v>15</v>
      </c>
      <c r="CH19" s="1421">
        <v>0</v>
      </c>
      <c r="CI19" s="1421">
        <v>0</v>
      </c>
      <c r="CJ19" s="2131">
        <v>60</v>
      </c>
      <c r="CK19" s="2132">
        <v>1.26</v>
      </c>
    </row>
    <row r="20" spans="1:89" ht="30.75" thickBot="1">
      <c r="A20" s="468">
        <v>13</v>
      </c>
      <c r="B20" s="1976">
        <v>0</v>
      </c>
      <c r="C20" s="2127" t="s">
        <v>795</v>
      </c>
      <c r="D20" s="1983">
        <f t="shared" si="0"/>
        <v>0</v>
      </c>
      <c r="E20" s="1984">
        <f t="shared" si="1"/>
        <v>0</v>
      </c>
      <c r="F20" s="1988">
        <v>0</v>
      </c>
      <c r="G20" s="1972">
        <f t="shared" si="18"/>
        <v>0</v>
      </c>
      <c r="H20" s="1888">
        <f t="shared" si="19"/>
        <v>0</v>
      </c>
      <c r="I20" s="2308">
        <f t="shared" si="2"/>
        <v>0</v>
      </c>
      <c r="J20" s="2308">
        <f t="shared" si="3"/>
        <v>0</v>
      </c>
      <c r="K20" s="2308">
        <f t="shared" si="4"/>
        <v>0</v>
      </c>
      <c r="L20" s="1986" t="e">
        <f t="shared" si="20"/>
        <v>#DIV/0!</v>
      </c>
      <c r="M20" s="1989">
        <f t="shared" si="21"/>
        <v>0</v>
      </c>
      <c r="N20" s="1978" t="s">
        <v>503</v>
      </c>
      <c r="O20" s="743">
        <f t="shared" si="5"/>
        <v>0</v>
      </c>
      <c r="P20" s="2000" t="s">
        <v>25</v>
      </c>
      <c r="Q20" s="2001">
        <f t="shared" si="6"/>
        <v>0</v>
      </c>
      <c r="R20" s="2005">
        <f t="shared" si="7"/>
        <v>0</v>
      </c>
      <c r="S20" s="2194">
        <v>0</v>
      </c>
      <c r="T20" s="1995" t="s">
        <v>160</v>
      </c>
      <c r="U20" s="2001">
        <f t="shared" si="8"/>
        <v>0</v>
      </c>
      <c r="V20" s="2375">
        <v>0</v>
      </c>
      <c r="W20" s="2005">
        <f t="shared" si="22"/>
        <v>0</v>
      </c>
      <c r="X20" s="2001">
        <f t="shared" si="23"/>
        <v>0</v>
      </c>
      <c r="Y20" s="2365">
        <f t="shared" si="9"/>
        <v>0</v>
      </c>
      <c r="Z20" s="2001">
        <f t="shared" si="10"/>
        <v>0</v>
      </c>
      <c r="AA20" s="1"/>
      <c r="AB20" s="1281">
        <f t="shared" si="11"/>
        <v>13</v>
      </c>
      <c r="AC20" s="1281" t="str">
        <f t="shared" si="12"/>
        <v>leer</v>
      </c>
      <c r="AD20" s="1329"/>
      <c r="AE20" s="1330" t="s">
        <v>795</v>
      </c>
      <c r="AF20" s="1424">
        <v>0</v>
      </c>
      <c r="AG20" s="1033">
        <f>VLOOKUP(AE20,Düngemittel!$B$6:$E$64,2,FALSE)*(VLOOKUP(AE20,Düngemittel!$B$6:$E$64,3,FALSE))/100*AF20</f>
        <v>0</v>
      </c>
      <c r="AH20" s="1033">
        <f>VLOOKUP(AE20,Düngemittel!$B$6:$E$64,2,FALSE)*AF20</f>
        <v>0</v>
      </c>
      <c r="AI20" s="1033">
        <f>VLOOKUP(AE20,Düngemittel!$B$6:$E$64,4,FALSE)*AF20</f>
        <v>0</v>
      </c>
      <c r="AJ20" s="2089"/>
      <c r="AK20" s="1329"/>
      <c r="AL20" s="1330" t="s">
        <v>795</v>
      </c>
      <c r="AM20" s="1424">
        <v>0</v>
      </c>
      <c r="AN20" s="1033">
        <f>VLOOKUP(AL20,Düngemittel!$B$6:$E$64,2,FALSE)*(VLOOKUP(AL20,Düngemittel!$B$6:$E$64,3,FALSE))/100*AM20</f>
        <v>0</v>
      </c>
      <c r="AO20" s="1033">
        <f>VLOOKUP(AL20,Düngemittel!$B$6:$E$64,2,FALSE)*AM20</f>
        <v>0</v>
      </c>
      <c r="AP20" s="1033">
        <f>VLOOKUP(AL20,Düngemittel!$B$6:$E$64,4,FALSE)*AM20</f>
        <v>0</v>
      </c>
      <c r="AQ20" s="2089"/>
      <c r="AR20" s="1329"/>
      <c r="AS20" s="1330" t="s">
        <v>795</v>
      </c>
      <c r="AT20" s="1424">
        <v>0</v>
      </c>
      <c r="AU20" s="1033">
        <f>VLOOKUP(AS20,Düngemittel!$B$6:$E$64,2,FALSE)*(VLOOKUP(AS20,Düngemittel!$B$6:$E$64,3,FALSE))/100*AT20</f>
        <v>0</v>
      </c>
      <c r="AV20" s="1033">
        <f>VLOOKUP(AS20,Düngemittel!$B$6:$E$64,2,FALSE)*AT20</f>
        <v>0</v>
      </c>
      <c r="AW20" s="1033">
        <f>VLOOKUP(AS20,Düngemittel!$B$6:$E$64,4,FALSE)*AT20</f>
        <v>0</v>
      </c>
      <c r="AX20" s="2089"/>
      <c r="AY20" s="1329"/>
      <c r="AZ20" s="1330" t="s">
        <v>795</v>
      </c>
      <c r="BA20" s="1424">
        <v>0</v>
      </c>
      <c r="BB20" s="1033">
        <f>VLOOKUP(AZ20,Düngemittel!$B$6:$E$64,2,FALSE)*(VLOOKUP(AZ20,Düngemittel!$B$6:$E$64,3,FALSE))/100*BA20</f>
        <v>0</v>
      </c>
      <c r="BC20" s="1033">
        <f>VLOOKUP(AZ20,Düngemittel!$B$6:$E$64,2,FALSE)*BA20</f>
        <v>0</v>
      </c>
      <c r="BD20" s="1033">
        <f>VLOOKUP(AZ20,Düngemittel!$B$6:$E$64,4,FALSE)*BA20</f>
        <v>0</v>
      </c>
      <c r="BE20" s="2089"/>
      <c r="BF20" s="1329"/>
      <c r="BG20" s="1330" t="s">
        <v>795</v>
      </c>
      <c r="BH20" s="1424">
        <v>0</v>
      </c>
      <c r="BI20" s="1033">
        <f>VLOOKUP(BG20,Düngemittel!$B$6:$E$64,2,FALSE)*(VLOOKUP(BG20,Düngemittel!$B$6:$E$64,3,FALSE))/100*BH20</f>
        <v>0</v>
      </c>
      <c r="BJ20" s="1033">
        <f>VLOOKUP(BG20,Düngemittel!$B$6:$E$64,2,FALSE)*BH20</f>
        <v>0</v>
      </c>
      <c r="BK20" s="1033">
        <f>VLOOKUP(BG20,Düngemittel!$B$6:$E$64,4,FALSE)*BH20</f>
        <v>0</v>
      </c>
      <c r="BL20" s="1185"/>
      <c r="BM20" s="1814">
        <f t="shared" si="13"/>
        <v>0</v>
      </c>
      <c r="BN20" s="1889">
        <f t="shared" si="14"/>
        <v>0</v>
      </c>
      <c r="BO20" s="1814">
        <f t="shared" si="15"/>
        <v>0</v>
      </c>
      <c r="BP20" s="1138">
        <f t="shared" si="16"/>
        <v>0</v>
      </c>
      <c r="BQ20" s="1889">
        <f t="shared" si="17"/>
        <v>0</v>
      </c>
      <c r="BR20" s="95"/>
      <c r="BS20" s="2023">
        <f t="shared" si="24"/>
        <v>0</v>
      </c>
      <c r="BT20" s="1973">
        <f t="shared" si="24"/>
        <v>0</v>
      </c>
      <c r="BU20" s="2023">
        <f t="shared" si="24"/>
        <v>0</v>
      </c>
      <c r="BV20" s="1934">
        <f t="shared" si="24"/>
        <v>0</v>
      </c>
      <c r="BW20" s="1973">
        <f t="shared" si="24"/>
        <v>0</v>
      </c>
      <c r="BX20" s="1878"/>
      <c r="CB20" s="1968" t="s">
        <v>1453</v>
      </c>
      <c r="CC20" s="1421">
        <v>75</v>
      </c>
      <c r="CD20" s="1421">
        <v>80</v>
      </c>
      <c r="CE20" s="1421">
        <v>10</v>
      </c>
      <c r="CF20" s="1421">
        <v>8</v>
      </c>
      <c r="CG20" s="1421">
        <v>8</v>
      </c>
      <c r="CH20" s="1421">
        <v>0</v>
      </c>
      <c r="CI20" s="1421">
        <v>0</v>
      </c>
      <c r="CJ20" s="2131">
        <v>60</v>
      </c>
      <c r="CK20" s="2132">
        <v>0.41666666666666663</v>
      </c>
    </row>
    <row r="21" spans="1:89" ht="30.75" thickBot="1">
      <c r="A21" s="468">
        <v>14</v>
      </c>
      <c r="B21" s="1976">
        <v>0</v>
      </c>
      <c r="C21" s="2127" t="s">
        <v>795</v>
      </c>
      <c r="D21" s="1983">
        <f t="shared" si="0"/>
        <v>0</v>
      </c>
      <c r="E21" s="1984">
        <f t="shared" si="1"/>
        <v>0</v>
      </c>
      <c r="F21" s="1988">
        <v>0</v>
      </c>
      <c r="G21" s="1972">
        <f t="shared" si="18"/>
        <v>0</v>
      </c>
      <c r="H21" s="1888">
        <f t="shared" si="19"/>
        <v>0</v>
      </c>
      <c r="I21" s="2308">
        <f t="shared" si="2"/>
        <v>0</v>
      </c>
      <c r="J21" s="2308">
        <f t="shared" si="3"/>
        <v>0</v>
      </c>
      <c r="K21" s="2308">
        <f t="shared" si="4"/>
        <v>0</v>
      </c>
      <c r="L21" s="1986" t="e">
        <f t="shared" si="20"/>
        <v>#DIV/0!</v>
      </c>
      <c r="M21" s="1989">
        <f t="shared" si="21"/>
        <v>0</v>
      </c>
      <c r="N21" s="1978" t="s">
        <v>503</v>
      </c>
      <c r="O21" s="743">
        <f t="shared" si="5"/>
        <v>0</v>
      </c>
      <c r="P21" s="2000" t="s">
        <v>25</v>
      </c>
      <c r="Q21" s="2001">
        <f t="shared" si="6"/>
        <v>0</v>
      </c>
      <c r="R21" s="2005">
        <f t="shared" si="7"/>
        <v>0</v>
      </c>
      <c r="S21" s="2194">
        <v>0</v>
      </c>
      <c r="T21" s="1995" t="s">
        <v>160</v>
      </c>
      <c r="U21" s="2001">
        <f t="shared" si="8"/>
        <v>0</v>
      </c>
      <c r="V21" s="2375">
        <v>0</v>
      </c>
      <c r="W21" s="2005">
        <f t="shared" si="22"/>
        <v>0</v>
      </c>
      <c r="X21" s="2001">
        <f t="shared" si="23"/>
        <v>0</v>
      </c>
      <c r="Y21" s="2365">
        <f t="shared" si="9"/>
        <v>0</v>
      </c>
      <c r="Z21" s="2001">
        <f t="shared" si="10"/>
        <v>0</v>
      </c>
      <c r="AA21" s="1"/>
      <c r="AB21" s="1281">
        <f t="shared" si="11"/>
        <v>14</v>
      </c>
      <c r="AC21" s="1281" t="str">
        <f t="shared" si="12"/>
        <v>leer</v>
      </c>
      <c r="AD21" s="1329"/>
      <c r="AE21" s="1330" t="s">
        <v>795</v>
      </c>
      <c r="AF21" s="1424">
        <v>0</v>
      </c>
      <c r="AG21" s="1033">
        <f>VLOOKUP(AE21,Düngemittel!$B$6:$E$64,2,FALSE)*(VLOOKUP(AE21,Düngemittel!$B$6:$E$64,3,FALSE))/100*AF21</f>
        <v>0</v>
      </c>
      <c r="AH21" s="1033">
        <f>VLOOKUP(AE21,Düngemittel!$B$6:$E$64,2,FALSE)*AF21</f>
        <v>0</v>
      </c>
      <c r="AI21" s="1033">
        <f>VLOOKUP(AE21,Düngemittel!$B$6:$E$64,4,FALSE)*AF21</f>
        <v>0</v>
      </c>
      <c r="AJ21" s="2089"/>
      <c r="AK21" s="1329"/>
      <c r="AL21" s="1330" t="s">
        <v>795</v>
      </c>
      <c r="AM21" s="1424">
        <v>0</v>
      </c>
      <c r="AN21" s="1033">
        <f>VLOOKUP(AL21,Düngemittel!$B$6:$E$64,2,FALSE)*(VLOOKUP(AL21,Düngemittel!$B$6:$E$64,3,FALSE))/100*AM21</f>
        <v>0</v>
      </c>
      <c r="AO21" s="1033">
        <f>VLOOKUP(AL21,Düngemittel!$B$6:$E$64,2,FALSE)*AM21</f>
        <v>0</v>
      </c>
      <c r="AP21" s="1033">
        <f>VLOOKUP(AL21,Düngemittel!$B$6:$E$64,4,FALSE)*AM21</f>
        <v>0</v>
      </c>
      <c r="AQ21" s="2089"/>
      <c r="AR21" s="1329"/>
      <c r="AS21" s="1330" t="s">
        <v>795</v>
      </c>
      <c r="AT21" s="1424">
        <v>0</v>
      </c>
      <c r="AU21" s="1033">
        <f>VLOOKUP(AS21,Düngemittel!$B$6:$E$64,2,FALSE)*(VLOOKUP(AS21,Düngemittel!$B$6:$E$64,3,FALSE))/100*AT21</f>
        <v>0</v>
      </c>
      <c r="AV21" s="1033">
        <f>VLOOKUP(AS21,Düngemittel!$B$6:$E$64,2,FALSE)*AT21</f>
        <v>0</v>
      </c>
      <c r="AW21" s="1033">
        <f>VLOOKUP(AS21,Düngemittel!$B$6:$E$64,4,FALSE)*AT21</f>
        <v>0</v>
      </c>
      <c r="AX21" s="2089"/>
      <c r="AY21" s="1329"/>
      <c r="AZ21" s="1330" t="s">
        <v>795</v>
      </c>
      <c r="BA21" s="1424">
        <v>0</v>
      </c>
      <c r="BB21" s="1033">
        <f>VLOOKUP(AZ21,Düngemittel!$B$6:$E$64,2,FALSE)*(VLOOKUP(AZ21,Düngemittel!$B$6:$E$64,3,FALSE))/100*BA21</f>
        <v>0</v>
      </c>
      <c r="BC21" s="1033">
        <f>VLOOKUP(AZ21,Düngemittel!$B$6:$E$64,2,FALSE)*BA21</f>
        <v>0</v>
      </c>
      <c r="BD21" s="1033">
        <f>VLOOKUP(AZ21,Düngemittel!$B$6:$E$64,4,FALSE)*BA21</f>
        <v>0</v>
      </c>
      <c r="BE21" s="2089"/>
      <c r="BF21" s="1329"/>
      <c r="BG21" s="1330" t="s">
        <v>795</v>
      </c>
      <c r="BH21" s="1424">
        <v>0</v>
      </c>
      <c r="BI21" s="1033">
        <f>VLOOKUP(BG21,Düngemittel!$B$6:$E$64,2,FALSE)*(VLOOKUP(BG21,Düngemittel!$B$6:$E$64,3,FALSE))/100*BH21</f>
        <v>0</v>
      </c>
      <c r="BJ21" s="1033">
        <f>VLOOKUP(BG21,Düngemittel!$B$6:$E$64,2,FALSE)*BH21</f>
        <v>0</v>
      </c>
      <c r="BK21" s="1033">
        <f>VLOOKUP(BG21,Düngemittel!$B$6:$E$64,4,FALSE)*BH21</f>
        <v>0</v>
      </c>
      <c r="BL21" s="1185"/>
      <c r="BM21" s="1814">
        <f t="shared" si="13"/>
        <v>0</v>
      </c>
      <c r="BN21" s="1889">
        <f t="shared" si="14"/>
        <v>0</v>
      </c>
      <c r="BO21" s="1814">
        <f t="shared" si="15"/>
        <v>0</v>
      </c>
      <c r="BP21" s="1138">
        <f t="shared" si="16"/>
        <v>0</v>
      </c>
      <c r="BQ21" s="1889">
        <f t="shared" si="17"/>
        <v>0</v>
      </c>
      <c r="BR21" s="95"/>
      <c r="BS21" s="2023">
        <f t="shared" si="24"/>
        <v>0</v>
      </c>
      <c r="BT21" s="1973">
        <f t="shared" si="24"/>
        <v>0</v>
      </c>
      <c r="BU21" s="2023">
        <f t="shared" si="24"/>
        <v>0</v>
      </c>
      <c r="BV21" s="1934">
        <f t="shared" si="24"/>
        <v>0</v>
      </c>
      <c r="BW21" s="1973">
        <f t="shared" si="24"/>
        <v>0</v>
      </c>
      <c r="BX21" s="1878"/>
      <c r="CB21" s="1968" t="s">
        <v>1454</v>
      </c>
      <c r="CC21" s="1421">
        <v>75</v>
      </c>
      <c r="CD21" s="1421">
        <v>80</v>
      </c>
      <c r="CE21" s="1421">
        <v>10</v>
      </c>
      <c r="CF21" s="1421">
        <v>8</v>
      </c>
      <c r="CG21" s="1421">
        <v>8</v>
      </c>
      <c r="CH21" s="1421">
        <v>0</v>
      </c>
      <c r="CI21" s="1421">
        <v>0</v>
      </c>
      <c r="CJ21" s="2131">
        <v>60</v>
      </c>
      <c r="CK21" s="2132">
        <v>0.25</v>
      </c>
    </row>
    <row r="22" spans="1:89" ht="30.75" thickBot="1">
      <c r="A22" s="468">
        <v>15</v>
      </c>
      <c r="B22" s="1976">
        <v>0</v>
      </c>
      <c r="C22" s="2127" t="s">
        <v>795</v>
      </c>
      <c r="D22" s="1983">
        <f t="shared" si="0"/>
        <v>0</v>
      </c>
      <c r="E22" s="1984">
        <f t="shared" si="1"/>
        <v>0</v>
      </c>
      <c r="F22" s="1988">
        <v>0</v>
      </c>
      <c r="G22" s="1972">
        <f t="shared" si="18"/>
        <v>0</v>
      </c>
      <c r="H22" s="1888">
        <f t="shared" si="19"/>
        <v>0</v>
      </c>
      <c r="I22" s="2308">
        <f t="shared" si="2"/>
        <v>0</v>
      </c>
      <c r="J22" s="2308">
        <f t="shared" si="3"/>
        <v>0</v>
      </c>
      <c r="K22" s="2308">
        <f t="shared" si="4"/>
        <v>0</v>
      </c>
      <c r="L22" s="1986" t="e">
        <f t="shared" si="20"/>
        <v>#DIV/0!</v>
      </c>
      <c r="M22" s="1989">
        <f t="shared" si="21"/>
        <v>0</v>
      </c>
      <c r="N22" s="1978" t="s">
        <v>503</v>
      </c>
      <c r="O22" s="743">
        <f t="shared" si="5"/>
        <v>0</v>
      </c>
      <c r="P22" s="2000" t="s">
        <v>25</v>
      </c>
      <c r="Q22" s="2001">
        <f t="shared" si="6"/>
        <v>0</v>
      </c>
      <c r="R22" s="2005">
        <f t="shared" si="7"/>
        <v>0</v>
      </c>
      <c r="S22" s="2194">
        <v>0</v>
      </c>
      <c r="T22" s="1995" t="s">
        <v>160</v>
      </c>
      <c r="U22" s="2001">
        <f t="shared" si="8"/>
        <v>0</v>
      </c>
      <c r="V22" s="2375">
        <v>0</v>
      </c>
      <c r="W22" s="2005">
        <f t="shared" si="22"/>
        <v>0</v>
      </c>
      <c r="X22" s="2001">
        <f t="shared" si="23"/>
        <v>0</v>
      </c>
      <c r="Y22" s="2365">
        <f t="shared" si="9"/>
        <v>0</v>
      </c>
      <c r="Z22" s="2001">
        <f t="shared" si="10"/>
        <v>0</v>
      </c>
      <c r="AA22" s="1"/>
      <c r="AB22" s="1281">
        <f t="shared" si="11"/>
        <v>15</v>
      </c>
      <c r="AC22" s="1281" t="str">
        <f t="shared" si="12"/>
        <v>leer</v>
      </c>
      <c r="AD22" s="1329"/>
      <c r="AE22" s="1330" t="s">
        <v>795</v>
      </c>
      <c r="AF22" s="1424">
        <v>0</v>
      </c>
      <c r="AG22" s="1033">
        <f>VLOOKUP(AE22,Düngemittel!$B$6:$E$64,2,FALSE)*(VLOOKUP(AE22,Düngemittel!$B$6:$E$64,3,FALSE))/100*AF22</f>
        <v>0</v>
      </c>
      <c r="AH22" s="1033">
        <f>VLOOKUP(AE22,Düngemittel!$B$6:$E$64,2,FALSE)*AF22</f>
        <v>0</v>
      </c>
      <c r="AI22" s="1033">
        <f>VLOOKUP(AE22,Düngemittel!$B$6:$E$64,4,FALSE)*AF22</f>
        <v>0</v>
      </c>
      <c r="AJ22" s="2089"/>
      <c r="AK22" s="1329"/>
      <c r="AL22" s="1330" t="s">
        <v>795</v>
      </c>
      <c r="AM22" s="1424">
        <v>0</v>
      </c>
      <c r="AN22" s="1033">
        <f>VLOOKUP(AL22,Düngemittel!$B$6:$E$64,2,FALSE)*(VLOOKUP(AL22,Düngemittel!$B$6:$E$64,3,FALSE))/100*AM22</f>
        <v>0</v>
      </c>
      <c r="AO22" s="1033">
        <f>VLOOKUP(AL22,Düngemittel!$B$6:$E$64,2,FALSE)*AM22</f>
        <v>0</v>
      </c>
      <c r="AP22" s="1033">
        <f>VLOOKUP(AL22,Düngemittel!$B$6:$E$64,4,FALSE)*AM22</f>
        <v>0</v>
      </c>
      <c r="AQ22" s="2089"/>
      <c r="AR22" s="1329"/>
      <c r="AS22" s="1330" t="s">
        <v>795</v>
      </c>
      <c r="AT22" s="1424">
        <v>0</v>
      </c>
      <c r="AU22" s="1033">
        <f>VLOOKUP(AS22,Düngemittel!$B$6:$E$64,2,FALSE)*(VLOOKUP(AS22,Düngemittel!$B$6:$E$64,3,FALSE))/100*AT22</f>
        <v>0</v>
      </c>
      <c r="AV22" s="1033">
        <f>VLOOKUP(AS22,Düngemittel!$B$6:$E$64,2,FALSE)*AT22</f>
        <v>0</v>
      </c>
      <c r="AW22" s="1033">
        <f>VLOOKUP(AS22,Düngemittel!$B$6:$E$64,4,FALSE)*AT22</f>
        <v>0</v>
      </c>
      <c r="AX22" s="2089"/>
      <c r="AY22" s="1329"/>
      <c r="AZ22" s="1330" t="s">
        <v>795</v>
      </c>
      <c r="BA22" s="1424">
        <v>0</v>
      </c>
      <c r="BB22" s="1033">
        <f>VLOOKUP(AZ22,Düngemittel!$B$6:$E$64,2,FALSE)*(VLOOKUP(AZ22,Düngemittel!$B$6:$E$64,3,FALSE))/100*BA22</f>
        <v>0</v>
      </c>
      <c r="BC22" s="1033">
        <f>VLOOKUP(AZ22,Düngemittel!$B$6:$E$64,2,FALSE)*BA22</f>
        <v>0</v>
      </c>
      <c r="BD22" s="1033">
        <f>VLOOKUP(AZ22,Düngemittel!$B$6:$E$64,4,FALSE)*BA22</f>
        <v>0</v>
      </c>
      <c r="BE22" s="2089"/>
      <c r="BF22" s="1329"/>
      <c r="BG22" s="1330" t="s">
        <v>795</v>
      </c>
      <c r="BH22" s="1424">
        <v>0</v>
      </c>
      <c r="BI22" s="1033">
        <f>VLOOKUP(BG22,Düngemittel!$B$6:$E$64,2,FALSE)*(VLOOKUP(BG22,Düngemittel!$B$6:$E$64,3,FALSE))/100*BH22</f>
        <v>0</v>
      </c>
      <c r="BJ22" s="1033">
        <f>VLOOKUP(BG22,Düngemittel!$B$6:$E$64,2,FALSE)*BH22</f>
        <v>0</v>
      </c>
      <c r="BK22" s="1033">
        <f>VLOOKUP(BG22,Düngemittel!$B$6:$E$64,4,FALSE)*BH22</f>
        <v>0</v>
      </c>
      <c r="BL22" s="1185"/>
      <c r="BM22" s="1814">
        <f t="shared" si="13"/>
        <v>0</v>
      </c>
      <c r="BN22" s="1889">
        <f t="shared" si="14"/>
        <v>0</v>
      </c>
      <c r="BO22" s="1814">
        <f t="shared" si="15"/>
        <v>0</v>
      </c>
      <c r="BP22" s="1138">
        <f t="shared" si="16"/>
        <v>0</v>
      </c>
      <c r="BQ22" s="1889">
        <f t="shared" si="17"/>
        <v>0</v>
      </c>
      <c r="BR22" s="95"/>
      <c r="BS22" s="2023">
        <f t="shared" si="24"/>
        <v>0</v>
      </c>
      <c r="BT22" s="1973">
        <f t="shared" si="24"/>
        <v>0</v>
      </c>
      <c r="BU22" s="2023">
        <f t="shared" si="24"/>
        <v>0</v>
      </c>
      <c r="BV22" s="1934">
        <f t="shared" si="24"/>
        <v>0</v>
      </c>
      <c r="BW22" s="1973">
        <f t="shared" si="24"/>
        <v>0</v>
      </c>
      <c r="BX22" s="1878"/>
      <c r="CB22" s="1968" t="s">
        <v>1455</v>
      </c>
      <c r="CC22" s="1421">
        <v>20</v>
      </c>
      <c r="CD22" s="1421">
        <v>100</v>
      </c>
      <c r="CE22" s="1421">
        <v>10</v>
      </c>
      <c r="CF22" s="1421">
        <v>10</v>
      </c>
      <c r="CG22" s="1421">
        <v>10</v>
      </c>
      <c r="CH22" s="1421">
        <v>0</v>
      </c>
      <c r="CI22" s="1421">
        <v>0</v>
      </c>
      <c r="CJ22" s="2136">
        <v>30</v>
      </c>
      <c r="CK22" s="2132">
        <v>1.25</v>
      </c>
    </row>
    <row r="23" spans="1:89" ht="30.75" thickBot="1">
      <c r="A23" s="468">
        <v>16</v>
      </c>
      <c r="B23" s="1976">
        <v>0</v>
      </c>
      <c r="C23" s="2127" t="s">
        <v>795</v>
      </c>
      <c r="D23" s="1983">
        <f t="shared" si="0"/>
        <v>0</v>
      </c>
      <c r="E23" s="1984">
        <f t="shared" si="1"/>
        <v>0</v>
      </c>
      <c r="F23" s="1988">
        <v>0</v>
      </c>
      <c r="G23" s="1972">
        <f t="shared" si="18"/>
        <v>0</v>
      </c>
      <c r="H23" s="1888">
        <f t="shared" si="19"/>
        <v>0</v>
      </c>
      <c r="I23" s="2308">
        <f t="shared" si="2"/>
        <v>0</v>
      </c>
      <c r="J23" s="2308">
        <f t="shared" si="3"/>
        <v>0</v>
      </c>
      <c r="K23" s="2308">
        <f t="shared" si="4"/>
        <v>0</v>
      </c>
      <c r="L23" s="1986" t="e">
        <f t="shared" si="20"/>
        <v>#DIV/0!</v>
      </c>
      <c r="M23" s="1989">
        <f t="shared" si="21"/>
        <v>0</v>
      </c>
      <c r="N23" s="1978" t="s">
        <v>503</v>
      </c>
      <c r="O23" s="743">
        <f t="shared" si="5"/>
        <v>0</v>
      </c>
      <c r="P23" s="2000" t="s">
        <v>25</v>
      </c>
      <c r="Q23" s="2001">
        <f t="shared" si="6"/>
        <v>0</v>
      </c>
      <c r="R23" s="2005">
        <f t="shared" si="7"/>
        <v>0</v>
      </c>
      <c r="S23" s="2194">
        <v>0</v>
      </c>
      <c r="T23" s="1995" t="s">
        <v>160</v>
      </c>
      <c r="U23" s="2001">
        <f t="shared" si="8"/>
        <v>0</v>
      </c>
      <c r="V23" s="2375">
        <v>0</v>
      </c>
      <c r="W23" s="2005">
        <f t="shared" si="22"/>
        <v>0</v>
      </c>
      <c r="X23" s="2001">
        <f t="shared" si="23"/>
        <v>0</v>
      </c>
      <c r="Y23" s="2365">
        <f t="shared" si="9"/>
        <v>0</v>
      </c>
      <c r="Z23" s="2001">
        <f t="shared" si="10"/>
        <v>0</v>
      </c>
      <c r="AA23" s="1"/>
      <c r="AB23" s="1281">
        <f t="shared" si="11"/>
        <v>16</v>
      </c>
      <c r="AC23" s="1281" t="str">
        <f t="shared" si="12"/>
        <v>leer</v>
      </c>
      <c r="AD23" s="1329"/>
      <c r="AE23" s="1330" t="s">
        <v>795</v>
      </c>
      <c r="AF23" s="1424">
        <v>0</v>
      </c>
      <c r="AG23" s="1033">
        <f>VLOOKUP(AE23,Düngemittel!$B$6:$E$64,2,FALSE)*(VLOOKUP(AE23,Düngemittel!$B$6:$E$64,3,FALSE))/100*AF23</f>
        <v>0</v>
      </c>
      <c r="AH23" s="1033">
        <f>VLOOKUP(AE23,Düngemittel!$B$6:$E$64,2,FALSE)*AF23</f>
        <v>0</v>
      </c>
      <c r="AI23" s="1033">
        <f>VLOOKUP(AE23,Düngemittel!$B$6:$E$64,4,FALSE)*AF23</f>
        <v>0</v>
      </c>
      <c r="AJ23" s="2089"/>
      <c r="AK23" s="1329"/>
      <c r="AL23" s="1330" t="s">
        <v>795</v>
      </c>
      <c r="AM23" s="1424">
        <v>0</v>
      </c>
      <c r="AN23" s="1033">
        <f>VLOOKUP(AL23,Düngemittel!$B$6:$E$64,2,FALSE)*(VLOOKUP(AL23,Düngemittel!$B$6:$E$64,3,FALSE))/100*AM23</f>
        <v>0</v>
      </c>
      <c r="AO23" s="1033">
        <f>VLOOKUP(AL23,Düngemittel!$B$6:$E$64,2,FALSE)*AM23</f>
        <v>0</v>
      </c>
      <c r="AP23" s="1033">
        <f>VLOOKUP(AL23,Düngemittel!$B$6:$E$64,4,FALSE)*AM23</f>
        <v>0</v>
      </c>
      <c r="AQ23" s="2089"/>
      <c r="AR23" s="1329"/>
      <c r="AS23" s="1330" t="s">
        <v>795</v>
      </c>
      <c r="AT23" s="1424">
        <v>0</v>
      </c>
      <c r="AU23" s="1033">
        <f>VLOOKUP(AS23,Düngemittel!$B$6:$E$64,2,FALSE)*(VLOOKUP(AS23,Düngemittel!$B$6:$E$64,3,FALSE))/100*AT23</f>
        <v>0</v>
      </c>
      <c r="AV23" s="1033">
        <f>VLOOKUP(AS23,Düngemittel!$B$6:$E$64,2,FALSE)*AT23</f>
        <v>0</v>
      </c>
      <c r="AW23" s="1033">
        <f>VLOOKUP(AS23,Düngemittel!$B$6:$E$64,4,FALSE)*AT23</f>
        <v>0</v>
      </c>
      <c r="AX23" s="2089"/>
      <c r="AY23" s="1329"/>
      <c r="AZ23" s="1330" t="s">
        <v>795</v>
      </c>
      <c r="BA23" s="1424">
        <v>0</v>
      </c>
      <c r="BB23" s="1033">
        <f>VLOOKUP(AZ23,Düngemittel!$B$6:$E$64,2,FALSE)*(VLOOKUP(AZ23,Düngemittel!$B$6:$E$64,3,FALSE))/100*BA23</f>
        <v>0</v>
      </c>
      <c r="BC23" s="1033">
        <f>VLOOKUP(AZ23,Düngemittel!$B$6:$E$64,2,FALSE)*BA23</f>
        <v>0</v>
      </c>
      <c r="BD23" s="1033">
        <f>VLOOKUP(AZ23,Düngemittel!$B$6:$E$64,4,FALSE)*BA23</f>
        <v>0</v>
      </c>
      <c r="BE23" s="2089"/>
      <c r="BF23" s="1329"/>
      <c r="BG23" s="1330" t="s">
        <v>795</v>
      </c>
      <c r="BH23" s="1424">
        <v>0</v>
      </c>
      <c r="BI23" s="1033">
        <f>VLOOKUP(BG23,Düngemittel!$B$6:$E$64,2,FALSE)*(VLOOKUP(BG23,Düngemittel!$B$6:$E$64,3,FALSE))/100*BH23</f>
        <v>0</v>
      </c>
      <c r="BJ23" s="1033">
        <f>VLOOKUP(BG23,Düngemittel!$B$6:$E$64,2,FALSE)*BH23</f>
        <v>0</v>
      </c>
      <c r="BK23" s="1033">
        <f>VLOOKUP(BG23,Düngemittel!$B$6:$E$64,4,FALSE)*BH23</f>
        <v>0</v>
      </c>
      <c r="BL23" s="1185"/>
      <c r="BM23" s="1814">
        <f t="shared" si="13"/>
        <v>0</v>
      </c>
      <c r="BN23" s="1889">
        <f t="shared" si="14"/>
        <v>0</v>
      </c>
      <c r="BO23" s="1814">
        <f t="shared" si="15"/>
        <v>0</v>
      </c>
      <c r="BP23" s="1138">
        <f t="shared" si="16"/>
        <v>0</v>
      </c>
      <c r="BQ23" s="1889">
        <f t="shared" si="17"/>
        <v>0</v>
      </c>
      <c r="BR23" s="95"/>
      <c r="BS23" s="2023">
        <f t="shared" si="24"/>
        <v>0</v>
      </c>
      <c r="BT23" s="1973">
        <f t="shared" si="24"/>
        <v>0</v>
      </c>
      <c r="BU23" s="2023">
        <f t="shared" si="24"/>
        <v>0</v>
      </c>
      <c r="BV23" s="1934">
        <f t="shared" si="24"/>
        <v>0</v>
      </c>
      <c r="BW23" s="1973">
        <f t="shared" si="24"/>
        <v>0</v>
      </c>
      <c r="BX23" s="1878"/>
      <c r="CB23" s="1968" t="s">
        <v>1456</v>
      </c>
      <c r="CC23" s="1421">
        <v>20</v>
      </c>
      <c r="CD23" s="1421">
        <v>100</v>
      </c>
      <c r="CE23" s="1421">
        <v>10</v>
      </c>
      <c r="CF23" s="1421">
        <v>10</v>
      </c>
      <c r="CG23" s="1421">
        <v>10</v>
      </c>
      <c r="CH23" s="1421">
        <v>0</v>
      </c>
      <c r="CI23" s="1421">
        <v>0</v>
      </c>
      <c r="CJ23" s="2136">
        <v>30</v>
      </c>
      <c r="CK23" s="2132">
        <v>0.25</v>
      </c>
    </row>
    <row r="24" spans="1:89" ht="30.75" thickBot="1">
      <c r="A24" s="468">
        <v>17</v>
      </c>
      <c r="B24" s="1976">
        <v>0</v>
      </c>
      <c r="C24" s="2127" t="s">
        <v>795</v>
      </c>
      <c r="D24" s="1983">
        <f t="shared" si="0"/>
        <v>0</v>
      </c>
      <c r="E24" s="1984">
        <f t="shared" si="1"/>
        <v>0</v>
      </c>
      <c r="F24" s="1988">
        <v>0</v>
      </c>
      <c r="G24" s="1972">
        <f t="shared" si="18"/>
        <v>0</v>
      </c>
      <c r="H24" s="1888">
        <f t="shared" si="19"/>
        <v>0</v>
      </c>
      <c r="I24" s="2308">
        <f t="shared" si="2"/>
        <v>0</v>
      </c>
      <c r="J24" s="2308">
        <f t="shared" si="3"/>
        <v>0</v>
      </c>
      <c r="K24" s="2308">
        <f t="shared" si="4"/>
        <v>0</v>
      </c>
      <c r="L24" s="1986" t="e">
        <f t="shared" si="20"/>
        <v>#DIV/0!</v>
      </c>
      <c r="M24" s="1989">
        <f t="shared" si="21"/>
        <v>0</v>
      </c>
      <c r="N24" s="1978" t="s">
        <v>503</v>
      </c>
      <c r="O24" s="743">
        <f t="shared" si="5"/>
        <v>0</v>
      </c>
      <c r="P24" s="2000" t="s">
        <v>25</v>
      </c>
      <c r="Q24" s="2001">
        <f t="shared" si="6"/>
        <v>0</v>
      </c>
      <c r="R24" s="2005">
        <f t="shared" si="7"/>
        <v>0</v>
      </c>
      <c r="S24" s="2194">
        <v>0</v>
      </c>
      <c r="T24" s="1995" t="s">
        <v>160</v>
      </c>
      <c r="U24" s="2001">
        <f t="shared" si="8"/>
        <v>0</v>
      </c>
      <c r="V24" s="2375">
        <v>0</v>
      </c>
      <c r="W24" s="2005">
        <f t="shared" si="22"/>
        <v>0</v>
      </c>
      <c r="X24" s="2001">
        <f t="shared" si="23"/>
        <v>0</v>
      </c>
      <c r="Y24" s="2365">
        <f t="shared" si="9"/>
        <v>0</v>
      </c>
      <c r="Z24" s="2001">
        <f t="shared" si="10"/>
        <v>0</v>
      </c>
      <c r="AA24" s="1"/>
      <c r="AB24" s="1281">
        <f t="shared" si="11"/>
        <v>17</v>
      </c>
      <c r="AC24" s="1281" t="str">
        <f t="shared" si="12"/>
        <v>leer</v>
      </c>
      <c r="AD24" s="1329"/>
      <c r="AE24" s="1330" t="s">
        <v>795</v>
      </c>
      <c r="AF24" s="1424">
        <v>0</v>
      </c>
      <c r="AG24" s="1033">
        <f>VLOOKUP(AE24,Düngemittel!$B$6:$E$64,2,FALSE)*(VLOOKUP(AE24,Düngemittel!$B$6:$E$64,3,FALSE))/100*AF24</f>
        <v>0</v>
      </c>
      <c r="AH24" s="1033">
        <f>VLOOKUP(AE24,Düngemittel!$B$6:$E$64,2,FALSE)*AF24</f>
        <v>0</v>
      </c>
      <c r="AI24" s="1033">
        <f>VLOOKUP(AE24,Düngemittel!$B$6:$E$64,4,FALSE)*AF24</f>
        <v>0</v>
      </c>
      <c r="AJ24" s="2089"/>
      <c r="AK24" s="1329"/>
      <c r="AL24" s="1330" t="s">
        <v>795</v>
      </c>
      <c r="AM24" s="1424">
        <v>0</v>
      </c>
      <c r="AN24" s="1033">
        <f>VLOOKUP(AL24,Düngemittel!$B$6:$E$64,2,FALSE)*(VLOOKUP(AL24,Düngemittel!$B$6:$E$64,3,FALSE))/100*AM24</f>
        <v>0</v>
      </c>
      <c r="AO24" s="1033">
        <f>VLOOKUP(AL24,Düngemittel!$B$6:$E$64,2,FALSE)*AM24</f>
        <v>0</v>
      </c>
      <c r="AP24" s="1033">
        <f>VLOOKUP(AL24,Düngemittel!$B$6:$E$64,4,FALSE)*AM24</f>
        <v>0</v>
      </c>
      <c r="AQ24" s="2089"/>
      <c r="AR24" s="1329"/>
      <c r="AS24" s="1330" t="s">
        <v>795</v>
      </c>
      <c r="AT24" s="1424">
        <v>0</v>
      </c>
      <c r="AU24" s="1033">
        <f>VLOOKUP(AS24,Düngemittel!$B$6:$E$64,2,FALSE)*(VLOOKUP(AS24,Düngemittel!$B$6:$E$64,3,FALSE))/100*AT24</f>
        <v>0</v>
      </c>
      <c r="AV24" s="1033">
        <f>VLOOKUP(AS24,Düngemittel!$B$6:$E$64,2,FALSE)*AT24</f>
        <v>0</v>
      </c>
      <c r="AW24" s="1033">
        <f>VLOOKUP(AS24,Düngemittel!$B$6:$E$64,4,FALSE)*AT24</f>
        <v>0</v>
      </c>
      <c r="AX24" s="2089"/>
      <c r="AY24" s="1329"/>
      <c r="AZ24" s="1330" t="s">
        <v>795</v>
      </c>
      <c r="BA24" s="1424">
        <v>0</v>
      </c>
      <c r="BB24" s="1033">
        <f>VLOOKUP(AZ24,Düngemittel!$B$6:$E$64,2,FALSE)*(VLOOKUP(AZ24,Düngemittel!$B$6:$E$64,3,FALSE))/100*BA24</f>
        <v>0</v>
      </c>
      <c r="BC24" s="1033">
        <f>VLOOKUP(AZ24,Düngemittel!$B$6:$E$64,2,FALSE)*BA24</f>
        <v>0</v>
      </c>
      <c r="BD24" s="1033">
        <f>VLOOKUP(AZ24,Düngemittel!$B$6:$E$64,4,FALSE)*BA24</f>
        <v>0</v>
      </c>
      <c r="BE24" s="2089"/>
      <c r="BF24" s="1329"/>
      <c r="BG24" s="1330" t="s">
        <v>795</v>
      </c>
      <c r="BH24" s="1424">
        <v>0</v>
      </c>
      <c r="BI24" s="1033">
        <f>VLOOKUP(BG24,Düngemittel!$B$6:$E$64,2,FALSE)*(VLOOKUP(BG24,Düngemittel!$B$6:$E$64,3,FALSE))/100*BH24</f>
        <v>0</v>
      </c>
      <c r="BJ24" s="1033">
        <f>VLOOKUP(BG24,Düngemittel!$B$6:$E$64,2,FALSE)*BH24</f>
        <v>0</v>
      </c>
      <c r="BK24" s="1033">
        <f>VLOOKUP(BG24,Düngemittel!$B$6:$E$64,4,FALSE)*BH24</f>
        <v>0</v>
      </c>
      <c r="BL24" s="1185"/>
      <c r="BM24" s="1814">
        <f t="shared" si="13"/>
        <v>0</v>
      </c>
      <c r="BN24" s="1889">
        <f t="shared" si="14"/>
        <v>0</v>
      </c>
      <c r="BO24" s="1814">
        <f t="shared" si="15"/>
        <v>0</v>
      </c>
      <c r="BP24" s="1138">
        <f t="shared" si="16"/>
        <v>0</v>
      </c>
      <c r="BQ24" s="1889">
        <f t="shared" si="17"/>
        <v>0</v>
      </c>
      <c r="BR24" s="95"/>
      <c r="BS24" s="2023">
        <f t="shared" si="24"/>
        <v>0</v>
      </c>
      <c r="BT24" s="1973">
        <f t="shared" si="24"/>
        <v>0</v>
      </c>
      <c r="BU24" s="2023">
        <f t="shared" si="24"/>
        <v>0</v>
      </c>
      <c r="BV24" s="1934">
        <f t="shared" si="24"/>
        <v>0</v>
      </c>
      <c r="BW24" s="1973">
        <f t="shared" si="24"/>
        <v>0</v>
      </c>
      <c r="BX24" s="1878"/>
      <c r="CB24" s="1968" t="s">
        <v>1457</v>
      </c>
      <c r="CC24" s="1421">
        <v>150</v>
      </c>
      <c r="CD24" s="1421">
        <v>120</v>
      </c>
      <c r="CE24" s="1421">
        <v>10</v>
      </c>
      <c r="CF24" s="1421">
        <v>12</v>
      </c>
      <c r="CG24" s="1421">
        <v>12</v>
      </c>
      <c r="CH24" s="1421">
        <v>0</v>
      </c>
      <c r="CI24" s="1421">
        <v>0</v>
      </c>
      <c r="CJ24" s="2131">
        <v>30</v>
      </c>
      <c r="CK24" s="2132">
        <v>0.32333333333333336</v>
      </c>
    </row>
    <row r="25" spans="1:89" ht="30.75" thickBot="1">
      <c r="A25" s="468">
        <v>18</v>
      </c>
      <c r="B25" s="1976">
        <v>0</v>
      </c>
      <c r="C25" s="2127" t="s">
        <v>795</v>
      </c>
      <c r="D25" s="1983">
        <f t="shared" si="0"/>
        <v>0</v>
      </c>
      <c r="E25" s="1984">
        <f t="shared" si="1"/>
        <v>0</v>
      </c>
      <c r="F25" s="1988">
        <v>0</v>
      </c>
      <c r="G25" s="1972">
        <f t="shared" si="18"/>
        <v>0</v>
      </c>
      <c r="H25" s="1888">
        <f t="shared" si="19"/>
        <v>0</v>
      </c>
      <c r="I25" s="2308">
        <f t="shared" si="2"/>
        <v>0</v>
      </c>
      <c r="J25" s="2308">
        <f t="shared" si="3"/>
        <v>0</v>
      </c>
      <c r="K25" s="2308">
        <f t="shared" si="4"/>
        <v>0</v>
      </c>
      <c r="L25" s="1986" t="e">
        <f t="shared" si="20"/>
        <v>#DIV/0!</v>
      </c>
      <c r="M25" s="1989">
        <f t="shared" si="21"/>
        <v>0</v>
      </c>
      <c r="N25" s="1978" t="s">
        <v>503</v>
      </c>
      <c r="O25" s="743">
        <f t="shared" si="5"/>
        <v>0</v>
      </c>
      <c r="P25" s="2000" t="s">
        <v>25</v>
      </c>
      <c r="Q25" s="2001">
        <f t="shared" si="6"/>
        <v>0</v>
      </c>
      <c r="R25" s="2005">
        <f t="shared" si="7"/>
        <v>0</v>
      </c>
      <c r="S25" s="2194">
        <v>0</v>
      </c>
      <c r="T25" s="1995" t="s">
        <v>160</v>
      </c>
      <c r="U25" s="2001">
        <f t="shared" si="8"/>
        <v>0</v>
      </c>
      <c r="V25" s="2375">
        <v>0</v>
      </c>
      <c r="W25" s="2005">
        <f t="shared" si="22"/>
        <v>0</v>
      </c>
      <c r="X25" s="2001">
        <f t="shared" si="23"/>
        <v>0</v>
      </c>
      <c r="Y25" s="2365">
        <f t="shared" si="9"/>
        <v>0</v>
      </c>
      <c r="Z25" s="2001">
        <f t="shared" si="10"/>
        <v>0</v>
      </c>
      <c r="AA25" s="1"/>
      <c r="AB25" s="1281">
        <f t="shared" si="11"/>
        <v>18</v>
      </c>
      <c r="AC25" s="1281" t="str">
        <f t="shared" si="12"/>
        <v>leer</v>
      </c>
      <c r="AD25" s="1329"/>
      <c r="AE25" s="1330" t="s">
        <v>795</v>
      </c>
      <c r="AF25" s="1424">
        <v>0</v>
      </c>
      <c r="AG25" s="1033">
        <f>VLOOKUP(AE25,Düngemittel!$B$6:$E$64,2,FALSE)*(VLOOKUP(AE25,Düngemittel!$B$6:$E$64,3,FALSE))/100*AF25</f>
        <v>0</v>
      </c>
      <c r="AH25" s="1033">
        <f>VLOOKUP(AE25,Düngemittel!$B$6:$E$64,2,FALSE)*AF25</f>
        <v>0</v>
      </c>
      <c r="AI25" s="1033">
        <f>VLOOKUP(AE25,Düngemittel!$B$6:$E$64,4,FALSE)*AF25</f>
        <v>0</v>
      </c>
      <c r="AJ25" s="2089"/>
      <c r="AK25" s="1329"/>
      <c r="AL25" s="1330" t="s">
        <v>795</v>
      </c>
      <c r="AM25" s="1424">
        <v>0</v>
      </c>
      <c r="AN25" s="1033">
        <f>VLOOKUP(AL25,Düngemittel!$B$6:$E$64,2,FALSE)*(VLOOKUP(AL25,Düngemittel!$B$6:$E$64,3,FALSE))/100*AM25</f>
        <v>0</v>
      </c>
      <c r="AO25" s="1033">
        <f>VLOOKUP(AL25,Düngemittel!$B$6:$E$64,2,FALSE)*AM25</f>
        <v>0</v>
      </c>
      <c r="AP25" s="1033">
        <f>VLOOKUP(AL25,Düngemittel!$B$6:$E$64,4,FALSE)*AM25</f>
        <v>0</v>
      </c>
      <c r="AQ25" s="2089"/>
      <c r="AR25" s="1329"/>
      <c r="AS25" s="1330" t="s">
        <v>795</v>
      </c>
      <c r="AT25" s="1424">
        <v>0</v>
      </c>
      <c r="AU25" s="1033">
        <f>VLOOKUP(AS25,Düngemittel!$B$6:$E$64,2,FALSE)*(VLOOKUP(AS25,Düngemittel!$B$6:$E$64,3,FALSE))/100*AT25</f>
        <v>0</v>
      </c>
      <c r="AV25" s="1033">
        <f>VLOOKUP(AS25,Düngemittel!$B$6:$E$64,2,FALSE)*AT25</f>
        <v>0</v>
      </c>
      <c r="AW25" s="1033">
        <f>VLOOKUP(AS25,Düngemittel!$B$6:$E$64,4,FALSE)*AT25</f>
        <v>0</v>
      </c>
      <c r="AX25" s="2089"/>
      <c r="AY25" s="1329"/>
      <c r="AZ25" s="1330" t="s">
        <v>795</v>
      </c>
      <c r="BA25" s="1424">
        <v>0</v>
      </c>
      <c r="BB25" s="1033">
        <f>VLOOKUP(AZ25,Düngemittel!$B$6:$E$64,2,FALSE)*(VLOOKUP(AZ25,Düngemittel!$B$6:$E$64,3,FALSE))/100*BA25</f>
        <v>0</v>
      </c>
      <c r="BC25" s="1033">
        <f>VLOOKUP(AZ25,Düngemittel!$B$6:$E$64,2,FALSE)*BA25</f>
        <v>0</v>
      </c>
      <c r="BD25" s="1033">
        <f>VLOOKUP(AZ25,Düngemittel!$B$6:$E$64,4,FALSE)*BA25</f>
        <v>0</v>
      </c>
      <c r="BE25" s="2089"/>
      <c r="BF25" s="1329"/>
      <c r="BG25" s="1330" t="s">
        <v>795</v>
      </c>
      <c r="BH25" s="1424">
        <v>0</v>
      </c>
      <c r="BI25" s="1033">
        <f>VLOOKUP(BG25,Düngemittel!$B$6:$E$64,2,FALSE)*(VLOOKUP(BG25,Düngemittel!$B$6:$E$64,3,FALSE))/100*BH25</f>
        <v>0</v>
      </c>
      <c r="BJ25" s="1033">
        <f>VLOOKUP(BG25,Düngemittel!$B$6:$E$64,2,FALSE)*BH25</f>
        <v>0</v>
      </c>
      <c r="BK25" s="1033">
        <f>VLOOKUP(BG25,Düngemittel!$B$6:$E$64,4,FALSE)*BH25</f>
        <v>0</v>
      </c>
      <c r="BL25" s="1185"/>
      <c r="BM25" s="1814">
        <f t="shared" si="13"/>
        <v>0</v>
      </c>
      <c r="BN25" s="1889">
        <f t="shared" si="14"/>
        <v>0</v>
      </c>
      <c r="BO25" s="1814">
        <f t="shared" si="15"/>
        <v>0</v>
      </c>
      <c r="BP25" s="1138">
        <f t="shared" si="16"/>
        <v>0</v>
      </c>
      <c r="BQ25" s="1889">
        <f t="shared" si="17"/>
        <v>0</v>
      </c>
      <c r="BR25" s="95"/>
      <c r="BS25" s="2023">
        <f t="shared" si="24"/>
        <v>0</v>
      </c>
      <c r="BT25" s="1973">
        <f t="shared" si="24"/>
        <v>0</v>
      </c>
      <c r="BU25" s="2023">
        <f t="shared" si="24"/>
        <v>0</v>
      </c>
      <c r="BV25" s="1934">
        <f t="shared" si="24"/>
        <v>0</v>
      </c>
      <c r="BW25" s="1973">
        <f t="shared" si="24"/>
        <v>0</v>
      </c>
      <c r="BX25" s="1878"/>
      <c r="CB25" s="1968" t="s">
        <v>1458</v>
      </c>
      <c r="CC25" s="1421">
        <v>150</v>
      </c>
      <c r="CD25" s="1421">
        <v>120</v>
      </c>
      <c r="CE25" s="1421">
        <v>10</v>
      </c>
      <c r="CF25" s="1421">
        <v>12</v>
      </c>
      <c r="CG25" s="1421">
        <v>12</v>
      </c>
      <c r="CH25" s="1421">
        <v>0</v>
      </c>
      <c r="CI25" s="1421">
        <v>0</v>
      </c>
      <c r="CJ25" s="2131">
        <v>30</v>
      </c>
      <c r="CK25" s="2132">
        <v>0.19</v>
      </c>
    </row>
    <row r="26" spans="1:89" ht="30.75" thickBot="1">
      <c r="A26" s="468">
        <v>19</v>
      </c>
      <c r="B26" s="1976">
        <v>0</v>
      </c>
      <c r="C26" s="2127" t="s">
        <v>795</v>
      </c>
      <c r="D26" s="1983">
        <f t="shared" si="0"/>
        <v>0</v>
      </c>
      <c r="E26" s="1984">
        <f t="shared" si="1"/>
        <v>0</v>
      </c>
      <c r="F26" s="1988">
        <v>0</v>
      </c>
      <c r="G26" s="1972">
        <f t="shared" si="18"/>
        <v>0</v>
      </c>
      <c r="H26" s="1888">
        <f t="shared" si="19"/>
        <v>0</v>
      </c>
      <c r="I26" s="2308">
        <f t="shared" si="2"/>
        <v>0</v>
      </c>
      <c r="J26" s="2308">
        <f t="shared" si="3"/>
        <v>0</v>
      </c>
      <c r="K26" s="2308">
        <f t="shared" si="4"/>
        <v>0</v>
      </c>
      <c r="L26" s="1986" t="e">
        <f t="shared" si="20"/>
        <v>#DIV/0!</v>
      </c>
      <c r="M26" s="1989">
        <f t="shared" si="21"/>
        <v>0</v>
      </c>
      <c r="N26" s="1978" t="s">
        <v>503</v>
      </c>
      <c r="O26" s="743">
        <f t="shared" si="5"/>
        <v>0</v>
      </c>
      <c r="P26" s="2000" t="s">
        <v>25</v>
      </c>
      <c r="Q26" s="2001">
        <f t="shared" si="6"/>
        <v>0</v>
      </c>
      <c r="R26" s="2005">
        <f t="shared" si="7"/>
        <v>0</v>
      </c>
      <c r="S26" s="2194">
        <v>0</v>
      </c>
      <c r="T26" s="1995" t="s">
        <v>160</v>
      </c>
      <c r="U26" s="2001">
        <f t="shared" si="8"/>
        <v>0</v>
      </c>
      <c r="V26" s="2375">
        <v>0</v>
      </c>
      <c r="W26" s="2005">
        <f t="shared" si="22"/>
        <v>0</v>
      </c>
      <c r="X26" s="2001">
        <f t="shared" si="23"/>
        <v>0</v>
      </c>
      <c r="Y26" s="2365">
        <f t="shared" si="9"/>
        <v>0</v>
      </c>
      <c r="Z26" s="2001">
        <f t="shared" si="10"/>
        <v>0</v>
      </c>
      <c r="AA26" s="1"/>
      <c r="AB26" s="1281">
        <f t="shared" si="11"/>
        <v>19</v>
      </c>
      <c r="AC26" s="1281" t="str">
        <f t="shared" si="12"/>
        <v>leer</v>
      </c>
      <c r="AD26" s="1329"/>
      <c r="AE26" s="1330" t="s">
        <v>795</v>
      </c>
      <c r="AF26" s="1424">
        <v>0</v>
      </c>
      <c r="AG26" s="1033">
        <f>VLOOKUP(AE26,Düngemittel!$B$6:$E$64,2,FALSE)*(VLOOKUP(AE26,Düngemittel!$B$6:$E$64,3,FALSE))/100*AF26</f>
        <v>0</v>
      </c>
      <c r="AH26" s="1033">
        <f>VLOOKUP(AE26,Düngemittel!$B$6:$E$64,2,FALSE)*AF26</f>
        <v>0</v>
      </c>
      <c r="AI26" s="1033">
        <f>VLOOKUP(AE26,Düngemittel!$B$6:$E$64,4,FALSE)*AF26</f>
        <v>0</v>
      </c>
      <c r="AJ26" s="2089"/>
      <c r="AK26" s="1329"/>
      <c r="AL26" s="1330" t="s">
        <v>795</v>
      </c>
      <c r="AM26" s="1424">
        <v>0</v>
      </c>
      <c r="AN26" s="1033">
        <f>VLOOKUP(AL26,Düngemittel!$B$6:$E$64,2,FALSE)*(VLOOKUP(AL26,Düngemittel!$B$6:$E$64,3,FALSE))/100*AM26</f>
        <v>0</v>
      </c>
      <c r="AO26" s="1033">
        <f>VLOOKUP(AL26,Düngemittel!$B$6:$E$64,2,FALSE)*AM26</f>
        <v>0</v>
      </c>
      <c r="AP26" s="1033">
        <f>VLOOKUP(AL26,Düngemittel!$B$6:$E$64,4,FALSE)*AM26</f>
        <v>0</v>
      </c>
      <c r="AQ26" s="2089"/>
      <c r="AR26" s="1329"/>
      <c r="AS26" s="1330" t="s">
        <v>795</v>
      </c>
      <c r="AT26" s="1424">
        <v>0</v>
      </c>
      <c r="AU26" s="1033">
        <f>VLOOKUP(AS26,Düngemittel!$B$6:$E$64,2,FALSE)*(VLOOKUP(AS26,Düngemittel!$B$6:$E$64,3,FALSE))/100*AT26</f>
        <v>0</v>
      </c>
      <c r="AV26" s="1033">
        <f>VLOOKUP(AS26,Düngemittel!$B$6:$E$64,2,FALSE)*AT26</f>
        <v>0</v>
      </c>
      <c r="AW26" s="1033">
        <f>VLOOKUP(AS26,Düngemittel!$B$6:$E$64,4,FALSE)*AT26</f>
        <v>0</v>
      </c>
      <c r="AX26" s="2089"/>
      <c r="AY26" s="1329"/>
      <c r="AZ26" s="1330" t="s">
        <v>795</v>
      </c>
      <c r="BA26" s="1424">
        <v>0</v>
      </c>
      <c r="BB26" s="1033">
        <f>VLOOKUP(AZ26,Düngemittel!$B$6:$E$64,2,FALSE)*(VLOOKUP(AZ26,Düngemittel!$B$6:$E$64,3,FALSE))/100*BA26</f>
        <v>0</v>
      </c>
      <c r="BC26" s="1033">
        <f>VLOOKUP(AZ26,Düngemittel!$B$6:$E$64,2,FALSE)*BA26</f>
        <v>0</v>
      </c>
      <c r="BD26" s="1033">
        <f>VLOOKUP(AZ26,Düngemittel!$B$6:$E$64,4,FALSE)*BA26</f>
        <v>0</v>
      </c>
      <c r="BE26" s="2089"/>
      <c r="BF26" s="1329"/>
      <c r="BG26" s="1330" t="s">
        <v>795</v>
      </c>
      <c r="BH26" s="1424">
        <v>0</v>
      </c>
      <c r="BI26" s="1033">
        <f>VLOOKUP(BG26,Düngemittel!$B$6:$E$64,2,FALSE)*(VLOOKUP(BG26,Düngemittel!$B$6:$E$64,3,FALSE))/100*BH26</f>
        <v>0</v>
      </c>
      <c r="BJ26" s="1033">
        <f>VLOOKUP(BG26,Düngemittel!$B$6:$E$64,2,FALSE)*BH26</f>
        <v>0</v>
      </c>
      <c r="BK26" s="1033">
        <f>VLOOKUP(BG26,Düngemittel!$B$6:$E$64,4,FALSE)*BH26</f>
        <v>0</v>
      </c>
      <c r="BL26" s="1185"/>
      <c r="BM26" s="1814">
        <f t="shared" si="13"/>
        <v>0</v>
      </c>
      <c r="BN26" s="1889">
        <f t="shared" si="14"/>
        <v>0</v>
      </c>
      <c r="BO26" s="1814">
        <f t="shared" si="15"/>
        <v>0</v>
      </c>
      <c r="BP26" s="1138">
        <f t="shared" si="16"/>
        <v>0</v>
      </c>
      <c r="BQ26" s="1889">
        <f t="shared" si="17"/>
        <v>0</v>
      </c>
      <c r="BR26" s="95"/>
      <c r="BS26" s="2023">
        <f t="shared" si="24"/>
        <v>0</v>
      </c>
      <c r="BT26" s="1973">
        <f t="shared" si="24"/>
        <v>0</v>
      </c>
      <c r="BU26" s="2023">
        <f t="shared" si="24"/>
        <v>0</v>
      </c>
      <c r="BV26" s="1934">
        <f t="shared" si="24"/>
        <v>0</v>
      </c>
      <c r="BW26" s="1973">
        <f t="shared" si="24"/>
        <v>0</v>
      </c>
      <c r="BX26" s="1878"/>
      <c r="CB26" s="1968" t="s">
        <v>1459</v>
      </c>
      <c r="CC26" s="1421">
        <v>185</v>
      </c>
      <c r="CD26" s="1421">
        <v>150</v>
      </c>
      <c r="CE26" s="1421">
        <v>10</v>
      </c>
      <c r="CF26" s="1421">
        <v>15</v>
      </c>
      <c r="CG26" s="1421">
        <v>15</v>
      </c>
      <c r="CH26" s="1421">
        <v>0</v>
      </c>
      <c r="CI26" s="1421">
        <v>0</v>
      </c>
      <c r="CJ26" s="2133">
        <v>30</v>
      </c>
      <c r="CK26" s="2134">
        <v>0.26</v>
      </c>
    </row>
    <row r="27" spans="1:89" ht="30.75" thickBot="1">
      <c r="A27" s="468">
        <v>20</v>
      </c>
      <c r="B27" s="1976">
        <v>0</v>
      </c>
      <c r="C27" s="2127" t="s">
        <v>795</v>
      </c>
      <c r="D27" s="1983">
        <f t="shared" si="0"/>
        <v>0</v>
      </c>
      <c r="E27" s="1984">
        <f t="shared" si="1"/>
        <v>0</v>
      </c>
      <c r="F27" s="1988">
        <v>0</v>
      </c>
      <c r="G27" s="1972">
        <f t="shared" si="18"/>
        <v>0</v>
      </c>
      <c r="H27" s="1888">
        <f t="shared" si="19"/>
        <v>0</v>
      </c>
      <c r="I27" s="2308">
        <f t="shared" si="2"/>
        <v>0</v>
      </c>
      <c r="J27" s="2308">
        <f t="shared" si="3"/>
        <v>0</v>
      </c>
      <c r="K27" s="2308">
        <f t="shared" si="4"/>
        <v>0</v>
      </c>
      <c r="L27" s="1986" t="e">
        <f t="shared" si="20"/>
        <v>#DIV/0!</v>
      </c>
      <c r="M27" s="1989">
        <f t="shared" si="21"/>
        <v>0</v>
      </c>
      <c r="N27" s="1978" t="s">
        <v>503</v>
      </c>
      <c r="O27" s="743">
        <f t="shared" si="5"/>
        <v>0</v>
      </c>
      <c r="P27" s="2000" t="s">
        <v>25</v>
      </c>
      <c r="Q27" s="2001">
        <f t="shared" si="6"/>
        <v>0</v>
      </c>
      <c r="R27" s="2005">
        <f t="shared" si="7"/>
        <v>0</v>
      </c>
      <c r="S27" s="2194">
        <v>0</v>
      </c>
      <c r="T27" s="1995" t="s">
        <v>160</v>
      </c>
      <c r="U27" s="2001">
        <f t="shared" si="8"/>
        <v>0</v>
      </c>
      <c r="V27" s="2375">
        <v>0</v>
      </c>
      <c r="W27" s="2005">
        <f t="shared" si="22"/>
        <v>0</v>
      </c>
      <c r="X27" s="2001">
        <f t="shared" si="23"/>
        <v>0</v>
      </c>
      <c r="Y27" s="2365">
        <f t="shared" si="9"/>
        <v>0</v>
      </c>
      <c r="Z27" s="2001">
        <f t="shared" si="10"/>
        <v>0</v>
      </c>
      <c r="AA27" s="1"/>
      <c r="AB27" s="1281">
        <f t="shared" si="11"/>
        <v>20</v>
      </c>
      <c r="AC27" s="1281" t="str">
        <f t="shared" si="12"/>
        <v>leer</v>
      </c>
      <c r="AD27" s="1329"/>
      <c r="AE27" s="1330" t="s">
        <v>795</v>
      </c>
      <c r="AF27" s="1424">
        <v>0</v>
      </c>
      <c r="AG27" s="1033">
        <f>VLOOKUP(AE27,Düngemittel!$B$6:$E$64,2,FALSE)*(VLOOKUP(AE27,Düngemittel!$B$6:$E$64,3,FALSE))/100*AF27</f>
        <v>0</v>
      </c>
      <c r="AH27" s="1033">
        <f>VLOOKUP(AE27,Düngemittel!$B$6:$E$64,2,FALSE)*AF27</f>
        <v>0</v>
      </c>
      <c r="AI27" s="1033">
        <f>VLOOKUP(AE27,Düngemittel!$B$6:$E$64,4,FALSE)*AF27</f>
        <v>0</v>
      </c>
      <c r="AJ27" s="2089"/>
      <c r="AK27" s="1329"/>
      <c r="AL27" s="1330" t="s">
        <v>795</v>
      </c>
      <c r="AM27" s="1424">
        <v>0</v>
      </c>
      <c r="AN27" s="1033">
        <f>VLOOKUP(AL27,Düngemittel!$B$6:$E$64,2,FALSE)*(VLOOKUP(AL27,Düngemittel!$B$6:$E$64,3,FALSE))/100*AM27</f>
        <v>0</v>
      </c>
      <c r="AO27" s="1033">
        <f>VLOOKUP(AL27,Düngemittel!$B$6:$E$64,2,FALSE)*AM27</f>
        <v>0</v>
      </c>
      <c r="AP27" s="1033">
        <f>VLOOKUP(AL27,Düngemittel!$B$6:$E$64,4,FALSE)*AM27</f>
        <v>0</v>
      </c>
      <c r="AQ27" s="2089"/>
      <c r="AR27" s="1329"/>
      <c r="AS27" s="1330" t="s">
        <v>795</v>
      </c>
      <c r="AT27" s="1424">
        <v>0</v>
      </c>
      <c r="AU27" s="1033">
        <f>VLOOKUP(AS27,Düngemittel!$B$6:$E$64,2,FALSE)*(VLOOKUP(AS27,Düngemittel!$B$6:$E$64,3,FALSE))/100*AT27</f>
        <v>0</v>
      </c>
      <c r="AV27" s="1033">
        <f>VLOOKUP(AS27,Düngemittel!$B$6:$E$64,2,FALSE)*AT27</f>
        <v>0</v>
      </c>
      <c r="AW27" s="1033">
        <f>VLOOKUP(AS27,Düngemittel!$B$6:$E$64,4,FALSE)*AT27</f>
        <v>0</v>
      </c>
      <c r="AX27" s="2089"/>
      <c r="AY27" s="1329"/>
      <c r="AZ27" s="1330" t="s">
        <v>795</v>
      </c>
      <c r="BA27" s="1424">
        <v>0</v>
      </c>
      <c r="BB27" s="1033">
        <f>VLOOKUP(AZ27,Düngemittel!$B$6:$E$64,2,FALSE)*(VLOOKUP(AZ27,Düngemittel!$B$6:$E$64,3,FALSE))/100*BA27</f>
        <v>0</v>
      </c>
      <c r="BC27" s="1033">
        <f>VLOOKUP(AZ27,Düngemittel!$B$6:$E$64,2,FALSE)*BA27</f>
        <v>0</v>
      </c>
      <c r="BD27" s="1033">
        <f>VLOOKUP(AZ27,Düngemittel!$B$6:$E$64,4,FALSE)*BA27</f>
        <v>0</v>
      </c>
      <c r="BE27" s="2089"/>
      <c r="BF27" s="1329"/>
      <c r="BG27" s="1330" t="s">
        <v>795</v>
      </c>
      <c r="BH27" s="1424">
        <v>0</v>
      </c>
      <c r="BI27" s="1033">
        <f>VLOOKUP(BG27,Düngemittel!$B$6:$E$64,2,FALSE)*(VLOOKUP(BG27,Düngemittel!$B$6:$E$64,3,FALSE))/100*BH27</f>
        <v>0</v>
      </c>
      <c r="BJ27" s="1033">
        <f>VLOOKUP(BG27,Düngemittel!$B$6:$E$64,2,FALSE)*BH27</f>
        <v>0</v>
      </c>
      <c r="BK27" s="1033">
        <f>VLOOKUP(BG27,Düngemittel!$B$6:$E$64,4,FALSE)*BH27</f>
        <v>0</v>
      </c>
      <c r="BL27" s="1185"/>
      <c r="BM27" s="1814">
        <f t="shared" si="13"/>
        <v>0</v>
      </c>
      <c r="BN27" s="1889">
        <f t="shared" si="14"/>
        <v>0</v>
      </c>
      <c r="BO27" s="1814">
        <f t="shared" si="15"/>
        <v>0</v>
      </c>
      <c r="BP27" s="1138">
        <f t="shared" si="16"/>
        <v>0</v>
      </c>
      <c r="BQ27" s="1889">
        <f t="shared" si="17"/>
        <v>0</v>
      </c>
      <c r="BR27" s="183"/>
      <c r="BS27" s="2023">
        <f t="shared" si="24"/>
        <v>0</v>
      </c>
      <c r="BT27" s="1973">
        <f t="shared" si="24"/>
        <v>0</v>
      </c>
      <c r="BU27" s="2023">
        <f t="shared" si="24"/>
        <v>0</v>
      </c>
      <c r="BV27" s="1934">
        <f t="shared" si="24"/>
        <v>0</v>
      </c>
      <c r="BW27" s="1973">
        <f t="shared" si="24"/>
        <v>0</v>
      </c>
      <c r="BX27" s="1878"/>
      <c r="CB27" s="1968" t="s">
        <v>1460</v>
      </c>
      <c r="CC27" s="1421">
        <v>20</v>
      </c>
      <c r="CD27" s="1421">
        <v>10</v>
      </c>
      <c r="CE27" s="1421">
        <v>10</v>
      </c>
      <c r="CF27" s="1421">
        <v>1</v>
      </c>
      <c r="CG27" s="1421">
        <v>1</v>
      </c>
      <c r="CH27" s="1421">
        <v>0</v>
      </c>
      <c r="CI27" s="1421">
        <v>0</v>
      </c>
      <c r="CJ27" s="2131">
        <v>30</v>
      </c>
      <c r="CK27" s="2132">
        <v>0.75</v>
      </c>
    </row>
    <row r="28" spans="1:89" ht="30.75" thickBot="1">
      <c r="A28" s="468">
        <v>21</v>
      </c>
      <c r="B28" s="1976">
        <v>0</v>
      </c>
      <c r="C28" s="2127" t="s">
        <v>795</v>
      </c>
      <c r="D28" s="1983">
        <f t="shared" si="0"/>
        <v>0</v>
      </c>
      <c r="E28" s="1984">
        <f t="shared" si="1"/>
        <v>0</v>
      </c>
      <c r="F28" s="1988">
        <v>1</v>
      </c>
      <c r="G28" s="1972">
        <f t="shared" si="18"/>
        <v>1</v>
      </c>
      <c r="H28" s="1888">
        <f t="shared" si="19"/>
        <v>0</v>
      </c>
      <c r="I28" s="2308">
        <f t="shared" si="2"/>
        <v>0</v>
      </c>
      <c r="J28" s="2308">
        <f t="shared" si="3"/>
        <v>0</v>
      </c>
      <c r="K28" s="2308">
        <f t="shared" si="4"/>
        <v>0</v>
      </c>
      <c r="L28" s="1986" t="e">
        <f t="shared" si="20"/>
        <v>#DIV/0!</v>
      </c>
      <c r="M28" s="1989">
        <f t="shared" si="21"/>
        <v>0</v>
      </c>
      <c r="N28" s="1978" t="s">
        <v>503</v>
      </c>
      <c r="O28" s="743">
        <f t="shared" si="5"/>
        <v>0</v>
      </c>
      <c r="P28" s="2000" t="s">
        <v>25</v>
      </c>
      <c r="Q28" s="2001">
        <f t="shared" si="6"/>
        <v>0</v>
      </c>
      <c r="R28" s="2005">
        <f t="shared" si="7"/>
        <v>0</v>
      </c>
      <c r="S28" s="2194">
        <v>0</v>
      </c>
      <c r="T28" s="1995" t="s">
        <v>160</v>
      </c>
      <c r="U28" s="2001">
        <f t="shared" si="8"/>
        <v>0</v>
      </c>
      <c r="V28" s="2375">
        <v>0</v>
      </c>
      <c r="W28" s="2005">
        <f t="shared" si="22"/>
        <v>0</v>
      </c>
      <c r="X28" s="2001">
        <f t="shared" si="23"/>
        <v>0</v>
      </c>
      <c r="Y28" s="2365">
        <f t="shared" si="9"/>
        <v>0</v>
      </c>
      <c r="Z28" s="2001">
        <f t="shared" si="10"/>
        <v>0</v>
      </c>
      <c r="AA28" s="1"/>
      <c r="AB28" s="1281">
        <f t="shared" si="11"/>
        <v>21</v>
      </c>
      <c r="AC28" s="1281" t="str">
        <f t="shared" si="12"/>
        <v>leer</v>
      </c>
      <c r="AD28" s="1329"/>
      <c r="AE28" s="1330" t="s">
        <v>795</v>
      </c>
      <c r="AF28" s="1424">
        <v>0</v>
      </c>
      <c r="AG28" s="1033">
        <f>VLOOKUP(AE28,Düngemittel!$B$6:$E$64,2,FALSE)*(VLOOKUP(AE28,Düngemittel!$B$6:$E$64,3,FALSE))/100*AF28</f>
        <v>0</v>
      </c>
      <c r="AH28" s="1033">
        <f>VLOOKUP(AE28,Düngemittel!$B$6:$E$64,2,FALSE)*AF28</f>
        <v>0</v>
      </c>
      <c r="AI28" s="1033">
        <f>VLOOKUP(AE28,Düngemittel!$B$6:$E$64,4,FALSE)*AF28</f>
        <v>0</v>
      </c>
      <c r="AJ28" s="142"/>
      <c r="AK28" s="1329"/>
      <c r="AL28" s="1330" t="s">
        <v>795</v>
      </c>
      <c r="AM28" s="1424">
        <v>0</v>
      </c>
      <c r="AN28" s="1033">
        <f>VLOOKUP(AL28,Düngemittel!$B$6:$E$64,2,FALSE)*(VLOOKUP(AL28,Düngemittel!$B$6:$E$64,3,FALSE))/100*AM28</f>
        <v>0</v>
      </c>
      <c r="AO28" s="1033">
        <f>VLOOKUP(AL28,Düngemittel!$B$6:$E$64,2,FALSE)*AM28</f>
        <v>0</v>
      </c>
      <c r="AP28" s="1033">
        <f>VLOOKUP(AL28,Düngemittel!$B$6:$E$64,4,FALSE)*AM28</f>
        <v>0</v>
      </c>
      <c r="AQ28" s="142"/>
      <c r="AR28" s="1329"/>
      <c r="AS28" s="1330" t="s">
        <v>795</v>
      </c>
      <c r="AT28" s="1424">
        <v>0</v>
      </c>
      <c r="AU28" s="1033">
        <f>VLOOKUP(AS28,Düngemittel!$B$6:$E$64,2,FALSE)*(VLOOKUP(AS28,Düngemittel!$B$6:$E$64,3,FALSE))/100*AT28</f>
        <v>0</v>
      </c>
      <c r="AV28" s="1033">
        <f>VLOOKUP(AS28,Düngemittel!$B$6:$E$64,2,FALSE)*AT28</f>
        <v>0</v>
      </c>
      <c r="AW28" s="1033">
        <f>VLOOKUP(AS28,Düngemittel!$B$6:$E$64,4,FALSE)*AT28</f>
        <v>0</v>
      </c>
      <c r="AX28" s="142"/>
      <c r="AY28" s="1329"/>
      <c r="AZ28" s="1330" t="s">
        <v>795</v>
      </c>
      <c r="BA28" s="1424">
        <v>0</v>
      </c>
      <c r="BB28" s="1033">
        <f>VLOOKUP(AZ28,Düngemittel!$B$6:$E$64,2,FALSE)*(VLOOKUP(AZ28,Düngemittel!$B$6:$E$64,3,FALSE))/100*BA28</f>
        <v>0</v>
      </c>
      <c r="BC28" s="1033">
        <f>VLOOKUP(AZ28,Düngemittel!$B$6:$E$64,2,FALSE)*BA28</f>
        <v>0</v>
      </c>
      <c r="BD28" s="1033">
        <f>VLOOKUP(AZ28,Düngemittel!$B$6:$E$64,4,FALSE)*BA28</f>
        <v>0</v>
      </c>
      <c r="BE28" s="142"/>
      <c r="BF28" s="1329"/>
      <c r="BG28" s="1330" t="s">
        <v>795</v>
      </c>
      <c r="BH28" s="1424">
        <v>0</v>
      </c>
      <c r="BI28" s="1033">
        <f>VLOOKUP(BG28,Düngemittel!$B$6:$E$64,2,FALSE)*(VLOOKUP(BG28,Düngemittel!$B$6:$E$64,3,FALSE))/100*BH28</f>
        <v>0</v>
      </c>
      <c r="BJ28" s="1033">
        <f>VLOOKUP(BG28,Düngemittel!$B$6:$E$64,2,FALSE)*BH28</f>
        <v>0</v>
      </c>
      <c r="BK28" s="1033">
        <f>VLOOKUP(BG28,Düngemittel!$B$6:$E$64,4,FALSE)*BH28</f>
        <v>0</v>
      </c>
      <c r="BL28" s="1185"/>
      <c r="BM28" s="1814">
        <f t="shared" ref="BM28:BM31" si="25">IF(AG28&lt;AH28,0,AG28)+IF(AN28&lt;AO28,0,AN28)+IF(AU28&lt;AV28,0,AU28)+IF(BB28&lt;BC28,0,BB28)+IF(BI28&lt;BJ28,0,BI28)</f>
        <v>0</v>
      </c>
      <c r="BN28" s="1889">
        <f t="shared" ref="BN28:BO31" si="26">(AG28+AN28+AU28+BB28+BI28)</f>
        <v>0</v>
      </c>
      <c r="BO28" s="1814">
        <f t="shared" si="26"/>
        <v>0</v>
      </c>
      <c r="BP28" s="1138">
        <f t="shared" ref="BP28:BP31" si="27">IF(AG28&lt;AH28,AH28,0)+IF(AN28&lt;AO28,AO28,0)+IF(AU28&lt;AV28,AV28,0)+IF(BB28&lt;BC28,BC28,0)+IF(BI28&lt;BJ28,BJ28,0)</f>
        <v>0</v>
      </c>
      <c r="BQ28" s="1889">
        <f t="shared" ref="BQ28:BQ31" si="28">(AI28+AP28+AW28+BD28+BK28)</f>
        <v>0</v>
      </c>
      <c r="BR28" s="183"/>
      <c r="BS28" s="2023">
        <f t="shared" si="24"/>
        <v>0</v>
      </c>
      <c r="BT28" s="1973">
        <f t="shared" si="24"/>
        <v>0</v>
      </c>
      <c r="BU28" s="2023">
        <f t="shared" si="24"/>
        <v>0</v>
      </c>
      <c r="BV28" s="1934">
        <f t="shared" si="24"/>
        <v>0</v>
      </c>
      <c r="BW28" s="1973">
        <f t="shared" si="24"/>
        <v>0</v>
      </c>
      <c r="CB28" s="1968" t="s">
        <v>1461</v>
      </c>
      <c r="CC28" s="1421">
        <v>25</v>
      </c>
      <c r="CD28" s="1421">
        <v>85</v>
      </c>
      <c r="CE28" s="1421">
        <v>10</v>
      </c>
      <c r="CF28" s="1421">
        <v>8.5</v>
      </c>
      <c r="CG28" s="1421">
        <v>8.5</v>
      </c>
      <c r="CH28" s="1421">
        <v>0</v>
      </c>
      <c r="CI28" s="1421">
        <v>0</v>
      </c>
      <c r="CJ28" s="2133">
        <v>30</v>
      </c>
      <c r="CK28" s="2134">
        <v>0.43</v>
      </c>
    </row>
    <row r="29" spans="1:89" ht="30.75" thickBot="1">
      <c r="A29" s="468">
        <v>22</v>
      </c>
      <c r="B29" s="1976">
        <v>0</v>
      </c>
      <c r="C29" s="2127" t="s">
        <v>795</v>
      </c>
      <c r="D29" s="1983">
        <f t="shared" si="0"/>
        <v>0</v>
      </c>
      <c r="E29" s="1984">
        <f t="shared" si="1"/>
        <v>0</v>
      </c>
      <c r="F29" s="1988">
        <v>2</v>
      </c>
      <c r="G29" s="1972">
        <f t="shared" si="18"/>
        <v>2</v>
      </c>
      <c r="H29" s="1888">
        <f t="shared" si="19"/>
        <v>0</v>
      </c>
      <c r="I29" s="2308">
        <f t="shared" si="2"/>
        <v>0</v>
      </c>
      <c r="J29" s="2308">
        <f t="shared" si="3"/>
        <v>0</v>
      </c>
      <c r="K29" s="2308">
        <f t="shared" si="4"/>
        <v>0</v>
      </c>
      <c r="L29" s="1986" t="e">
        <f t="shared" si="20"/>
        <v>#DIV/0!</v>
      </c>
      <c r="M29" s="1989">
        <f t="shared" si="21"/>
        <v>0</v>
      </c>
      <c r="N29" s="1978" t="s">
        <v>503</v>
      </c>
      <c r="O29" s="743">
        <f t="shared" si="5"/>
        <v>0</v>
      </c>
      <c r="P29" s="2000" t="s">
        <v>25</v>
      </c>
      <c r="Q29" s="2001">
        <f t="shared" si="6"/>
        <v>0</v>
      </c>
      <c r="R29" s="2005">
        <f t="shared" si="7"/>
        <v>0</v>
      </c>
      <c r="S29" s="2194">
        <v>0</v>
      </c>
      <c r="T29" s="1995" t="s">
        <v>160</v>
      </c>
      <c r="U29" s="2001">
        <f t="shared" si="8"/>
        <v>0</v>
      </c>
      <c r="V29" s="2375">
        <v>0</v>
      </c>
      <c r="W29" s="2005">
        <f t="shared" si="22"/>
        <v>0</v>
      </c>
      <c r="X29" s="2001">
        <f t="shared" si="23"/>
        <v>0</v>
      </c>
      <c r="Y29" s="2365">
        <f t="shared" si="9"/>
        <v>0</v>
      </c>
      <c r="Z29" s="2001">
        <f t="shared" si="10"/>
        <v>0</v>
      </c>
      <c r="AA29" s="1"/>
      <c r="AB29" s="1281">
        <f t="shared" si="11"/>
        <v>22</v>
      </c>
      <c r="AC29" s="1281" t="str">
        <f t="shared" si="12"/>
        <v>leer</v>
      </c>
      <c r="AD29" s="1329"/>
      <c r="AE29" s="1330" t="s">
        <v>795</v>
      </c>
      <c r="AF29" s="1424">
        <v>0</v>
      </c>
      <c r="AG29" s="1033">
        <f>VLOOKUP(AE29,Düngemittel!$B$6:$E$64,2,FALSE)*(VLOOKUP(AE29,Düngemittel!$B$6:$E$64,3,FALSE))/100*AF29</f>
        <v>0</v>
      </c>
      <c r="AH29" s="1033">
        <f>VLOOKUP(AE29,Düngemittel!$B$6:$E$64,2,FALSE)*AF29</f>
        <v>0</v>
      </c>
      <c r="AI29" s="1033">
        <f>VLOOKUP(AE29,Düngemittel!$B$6:$E$64,4,FALSE)*AF29</f>
        <v>0</v>
      </c>
      <c r="AJ29" s="2089"/>
      <c r="AK29" s="1329"/>
      <c r="AL29" s="1330" t="s">
        <v>795</v>
      </c>
      <c r="AM29" s="1424">
        <v>0</v>
      </c>
      <c r="AN29" s="1033">
        <f>VLOOKUP(AL29,Düngemittel!$B$6:$E$64,2,FALSE)*(VLOOKUP(AL29,Düngemittel!$B$6:$E$64,3,FALSE))/100*AM29</f>
        <v>0</v>
      </c>
      <c r="AO29" s="1033">
        <f>VLOOKUP(AL29,Düngemittel!$B$6:$E$64,2,FALSE)*AM29</f>
        <v>0</v>
      </c>
      <c r="AP29" s="1033">
        <f>VLOOKUP(AL29,Düngemittel!$B$6:$E$64,4,FALSE)*AM29</f>
        <v>0</v>
      </c>
      <c r="AQ29" s="2089"/>
      <c r="AR29" s="1329"/>
      <c r="AS29" s="1330" t="s">
        <v>795</v>
      </c>
      <c r="AT29" s="1424">
        <v>0</v>
      </c>
      <c r="AU29" s="1033">
        <f>VLOOKUP(AS29,Düngemittel!$B$6:$E$64,2,FALSE)*(VLOOKUP(AS29,Düngemittel!$B$6:$E$64,3,FALSE))/100*AT29</f>
        <v>0</v>
      </c>
      <c r="AV29" s="1033">
        <f>VLOOKUP(AS29,Düngemittel!$B$6:$E$64,2,FALSE)*AT29</f>
        <v>0</v>
      </c>
      <c r="AW29" s="1033">
        <f>VLOOKUP(AS29,Düngemittel!$B$6:$E$64,4,FALSE)*AT29</f>
        <v>0</v>
      </c>
      <c r="AX29" s="2089"/>
      <c r="AY29" s="1329"/>
      <c r="AZ29" s="1330" t="s">
        <v>795</v>
      </c>
      <c r="BA29" s="1424">
        <v>0</v>
      </c>
      <c r="BB29" s="1033">
        <f>VLOOKUP(AZ29,Düngemittel!$B$6:$E$64,2,FALSE)*(VLOOKUP(AZ29,Düngemittel!$B$6:$E$64,3,FALSE))/100*BA29</f>
        <v>0</v>
      </c>
      <c r="BC29" s="1033">
        <f>VLOOKUP(AZ29,Düngemittel!$B$6:$E$64,2,FALSE)*BA29</f>
        <v>0</v>
      </c>
      <c r="BD29" s="1033">
        <f>VLOOKUP(AZ29,Düngemittel!$B$6:$E$64,4,FALSE)*BA29</f>
        <v>0</v>
      </c>
      <c r="BE29" s="2089"/>
      <c r="BF29" s="1329"/>
      <c r="BG29" s="1330" t="s">
        <v>795</v>
      </c>
      <c r="BH29" s="1424">
        <v>0</v>
      </c>
      <c r="BI29" s="1033">
        <f>VLOOKUP(BG29,Düngemittel!$B$6:$E$64,2,FALSE)*(VLOOKUP(BG29,Düngemittel!$B$6:$E$64,3,FALSE))/100*BH29</f>
        <v>0</v>
      </c>
      <c r="BJ29" s="1033">
        <f>VLOOKUP(BG29,Düngemittel!$B$6:$E$64,2,FALSE)*BH29</f>
        <v>0</v>
      </c>
      <c r="BK29" s="1033">
        <f>VLOOKUP(BG29,Düngemittel!$B$6:$E$64,4,FALSE)*BH29</f>
        <v>0</v>
      </c>
      <c r="BL29" s="1185"/>
      <c r="BM29" s="1814">
        <f t="shared" si="25"/>
        <v>0</v>
      </c>
      <c r="BN29" s="1889">
        <f t="shared" si="26"/>
        <v>0</v>
      </c>
      <c r="BO29" s="1814">
        <f t="shared" si="26"/>
        <v>0</v>
      </c>
      <c r="BP29" s="1138">
        <f t="shared" si="27"/>
        <v>0</v>
      </c>
      <c r="BQ29" s="1889">
        <f t="shared" si="28"/>
        <v>0</v>
      </c>
      <c r="BR29" s="183"/>
      <c r="BS29" s="2023">
        <f t="shared" si="24"/>
        <v>0</v>
      </c>
      <c r="BT29" s="1973">
        <f t="shared" si="24"/>
        <v>0</v>
      </c>
      <c r="BU29" s="2023">
        <f t="shared" si="24"/>
        <v>0</v>
      </c>
      <c r="BV29" s="1934">
        <f t="shared" si="24"/>
        <v>0</v>
      </c>
      <c r="BW29" s="1973">
        <f t="shared" si="24"/>
        <v>0</v>
      </c>
      <c r="CB29" s="1968" t="s">
        <v>1462</v>
      </c>
      <c r="CC29" s="1421">
        <v>25</v>
      </c>
      <c r="CD29" s="1421">
        <v>85</v>
      </c>
      <c r="CE29" s="1421">
        <v>10</v>
      </c>
      <c r="CF29" s="1421">
        <v>8.5</v>
      </c>
      <c r="CG29" s="1421">
        <v>8.5</v>
      </c>
      <c r="CH29" s="1421">
        <v>0</v>
      </c>
      <c r="CI29" s="1421">
        <v>0</v>
      </c>
      <c r="CJ29" s="2133">
        <v>30</v>
      </c>
      <c r="CK29" s="2134">
        <v>0.35</v>
      </c>
    </row>
    <row r="30" spans="1:89" ht="30.75" thickBot="1">
      <c r="A30" s="468">
        <v>23</v>
      </c>
      <c r="B30" s="1976">
        <v>0</v>
      </c>
      <c r="C30" s="2127" t="s">
        <v>795</v>
      </c>
      <c r="D30" s="1983">
        <f t="shared" si="0"/>
        <v>0</v>
      </c>
      <c r="E30" s="1984">
        <f t="shared" si="1"/>
        <v>0</v>
      </c>
      <c r="F30" s="1988">
        <v>3</v>
      </c>
      <c r="G30" s="1972">
        <f t="shared" si="18"/>
        <v>3</v>
      </c>
      <c r="H30" s="1888">
        <f t="shared" si="19"/>
        <v>0</v>
      </c>
      <c r="I30" s="2308">
        <f t="shared" si="2"/>
        <v>0</v>
      </c>
      <c r="J30" s="2308">
        <f t="shared" si="3"/>
        <v>0</v>
      </c>
      <c r="K30" s="2308">
        <f t="shared" si="4"/>
        <v>0</v>
      </c>
      <c r="L30" s="1986" t="e">
        <f t="shared" si="20"/>
        <v>#DIV/0!</v>
      </c>
      <c r="M30" s="1989">
        <f t="shared" si="21"/>
        <v>0</v>
      </c>
      <c r="N30" s="1978" t="s">
        <v>503</v>
      </c>
      <c r="O30" s="743">
        <f t="shared" si="5"/>
        <v>0</v>
      </c>
      <c r="P30" s="2000" t="s">
        <v>25</v>
      </c>
      <c r="Q30" s="2001">
        <f t="shared" si="6"/>
        <v>0</v>
      </c>
      <c r="R30" s="2005">
        <f t="shared" si="7"/>
        <v>0</v>
      </c>
      <c r="S30" s="2194">
        <v>0</v>
      </c>
      <c r="T30" s="1995" t="s">
        <v>160</v>
      </c>
      <c r="U30" s="2001">
        <f t="shared" si="8"/>
        <v>0</v>
      </c>
      <c r="V30" s="2375">
        <v>0</v>
      </c>
      <c r="W30" s="2005">
        <f t="shared" si="22"/>
        <v>0</v>
      </c>
      <c r="X30" s="2001">
        <f t="shared" si="23"/>
        <v>0</v>
      </c>
      <c r="Y30" s="2365">
        <f t="shared" si="9"/>
        <v>0</v>
      </c>
      <c r="Z30" s="2001">
        <f t="shared" si="10"/>
        <v>0</v>
      </c>
      <c r="AA30" s="1"/>
      <c r="AB30" s="1281">
        <f t="shared" si="11"/>
        <v>23</v>
      </c>
      <c r="AC30" s="1281" t="str">
        <f t="shared" si="12"/>
        <v>leer</v>
      </c>
      <c r="AD30" s="1329"/>
      <c r="AE30" s="1330" t="s">
        <v>795</v>
      </c>
      <c r="AF30" s="1424">
        <v>0</v>
      </c>
      <c r="AG30" s="1033">
        <f>VLOOKUP(AE30,Düngemittel!$B$6:$E$64,2,FALSE)*(VLOOKUP(AE30,Düngemittel!$B$6:$E$64,3,FALSE))/100*AF30</f>
        <v>0</v>
      </c>
      <c r="AH30" s="1033">
        <f>VLOOKUP(AE30,Düngemittel!$B$6:$E$64,2,FALSE)*AF30</f>
        <v>0</v>
      </c>
      <c r="AI30" s="1033">
        <f>VLOOKUP(AE30,Düngemittel!$B$6:$E$64,4,FALSE)*AF30</f>
        <v>0</v>
      </c>
      <c r="AJ30" s="2089"/>
      <c r="AK30" s="1329"/>
      <c r="AL30" s="1330" t="s">
        <v>795</v>
      </c>
      <c r="AM30" s="1424">
        <v>0</v>
      </c>
      <c r="AN30" s="1033">
        <f>VLOOKUP(AL30,Düngemittel!$B$6:$E$64,2,FALSE)*(VLOOKUP(AL30,Düngemittel!$B$6:$E$64,3,FALSE))/100*AM30</f>
        <v>0</v>
      </c>
      <c r="AO30" s="1033">
        <f>VLOOKUP(AL30,Düngemittel!$B$6:$E$64,2,FALSE)*AM30</f>
        <v>0</v>
      </c>
      <c r="AP30" s="1033">
        <f>VLOOKUP(AL30,Düngemittel!$B$6:$E$64,4,FALSE)*AM30</f>
        <v>0</v>
      </c>
      <c r="AQ30" s="2089"/>
      <c r="AR30" s="1329"/>
      <c r="AS30" s="1330" t="s">
        <v>795</v>
      </c>
      <c r="AT30" s="1424">
        <v>0</v>
      </c>
      <c r="AU30" s="1033">
        <f>VLOOKUP(AS30,Düngemittel!$B$6:$E$64,2,FALSE)*(VLOOKUP(AS30,Düngemittel!$B$6:$E$64,3,FALSE))/100*AT30</f>
        <v>0</v>
      </c>
      <c r="AV30" s="1033">
        <f>VLOOKUP(AS30,Düngemittel!$B$6:$E$64,2,FALSE)*AT30</f>
        <v>0</v>
      </c>
      <c r="AW30" s="1033">
        <f>VLOOKUP(AS30,Düngemittel!$B$6:$E$64,4,FALSE)*AT30</f>
        <v>0</v>
      </c>
      <c r="AX30" s="2089"/>
      <c r="AY30" s="1329"/>
      <c r="AZ30" s="1330" t="s">
        <v>795</v>
      </c>
      <c r="BA30" s="1424">
        <v>0</v>
      </c>
      <c r="BB30" s="1033">
        <f>VLOOKUP(AZ30,Düngemittel!$B$6:$E$64,2,FALSE)*(VLOOKUP(AZ30,Düngemittel!$B$6:$E$64,3,FALSE))/100*BA30</f>
        <v>0</v>
      </c>
      <c r="BC30" s="1033">
        <f>VLOOKUP(AZ30,Düngemittel!$B$6:$E$64,2,FALSE)*BA30</f>
        <v>0</v>
      </c>
      <c r="BD30" s="1033">
        <f>VLOOKUP(AZ30,Düngemittel!$B$6:$E$64,4,FALSE)*BA30</f>
        <v>0</v>
      </c>
      <c r="BE30" s="2089"/>
      <c r="BF30" s="1329"/>
      <c r="BG30" s="1330" t="s">
        <v>795</v>
      </c>
      <c r="BH30" s="1424">
        <v>0</v>
      </c>
      <c r="BI30" s="1033">
        <f>VLOOKUP(BG30,Düngemittel!$B$6:$E$64,2,FALSE)*(VLOOKUP(BG30,Düngemittel!$B$6:$E$64,3,FALSE))/100*BH30</f>
        <v>0</v>
      </c>
      <c r="BJ30" s="1033">
        <f>VLOOKUP(BG30,Düngemittel!$B$6:$E$64,2,FALSE)*BH30</f>
        <v>0</v>
      </c>
      <c r="BK30" s="1033">
        <f>VLOOKUP(BG30,Düngemittel!$B$6:$E$64,4,FALSE)*BH30</f>
        <v>0</v>
      </c>
      <c r="BL30" s="1974"/>
      <c r="BM30" s="1814">
        <f t="shared" si="25"/>
        <v>0</v>
      </c>
      <c r="BN30" s="1889">
        <f t="shared" si="26"/>
        <v>0</v>
      </c>
      <c r="BO30" s="1814">
        <f t="shared" si="26"/>
        <v>0</v>
      </c>
      <c r="BP30" s="1138">
        <f t="shared" si="27"/>
        <v>0</v>
      </c>
      <c r="BQ30" s="1889">
        <f t="shared" si="28"/>
        <v>0</v>
      </c>
      <c r="BR30" s="183"/>
      <c r="BS30" s="2023">
        <f t="shared" si="24"/>
        <v>0</v>
      </c>
      <c r="BT30" s="1973">
        <f t="shared" si="24"/>
        <v>0</v>
      </c>
      <c r="BU30" s="2023">
        <f t="shared" si="24"/>
        <v>0</v>
      </c>
      <c r="BV30" s="1934">
        <f t="shared" si="24"/>
        <v>0</v>
      </c>
      <c r="BW30" s="1973">
        <f t="shared" si="24"/>
        <v>0</v>
      </c>
      <c r="CB30" s="1968" t="s">
        <v>1463</v>
      </c>
      <c r="CC30" s="1421">
        <v>150</v>
      </c>
      <c r="CD30" s="1421">
        <v>120</v>
      </c>
      <c r="CE30" s="1421">
        <v>10</v>
      </c>
      <c r="CF30" s="1421">
        <v>12</v>
      </c>
      <c r="CG30" s="1421">
        <v>12</v>
      </c>
      <c r="CH30" s="1421">
        <v>0</v>
      </c>
      <c r="CI30" s="1421">
        <v>0</v>
      </c>
      <c r="CJ30" s="2131">
        <v>30</v>
      </c>
      <c r="CK30" s="2134">
        <v>0.08</v>
      </c>
    </row>
    <row r="31" spans="1:89" ht="30.75" thickBot="1">
      <c r="A31" s="515">
        <v>24</v>
      </c>
      <c r="B31" s="1977">
        <v>0</v>
      </c>
      <c r="C31" s="2128" t="s">
        <v>795</v>
      </c>
      <c r="D31" s="1983">
        <f t="shared" si="0"/>
        <v>0</v>
      </c>
      <c r="E31" s="1984">
        <f t="shared" si="1"/>
        <v>0</v>
      </c>
      <c r="F31" s="1990">
        <v>4</v>
      </c>
      <c r="G31" s="1991">
        <f t="shared" si="18"/>
        <v>4</v>
      </c>
      <c r="H31" s="1992">
        <f t="shared" si="19"/>
        <v>0</v>
      </c>
      <c r="I31" s="2308">
        <f t="shared" si="2"/>
        <v>0</v>
      </c>
      <c r="J31" s="2308">
        <f t="shared" si="3"/>
        <v>0</v>
      </c>
      <c r="K31" s="2308">
        <f t="shared" si="4"/>
        <v>0</v>
      </c>
      <c r="L31" s="1986" t="e">
        <f t="shared" si="20"/>
        <v>#DIV/0!</v>
      </c>
      <c r="M31" s="1993">
        <f t="shared" si="21"/>
        <v>0</v>
      </c>
      <c r="N31" s="2020" t="s">
        <v>503</v>
      </c>
      <c r="O31" s="1997">
        <f t="shared" si="5"/>
        <v>0</v>
      </c>
      <c r="P31" s="2002" t="s">
        <v>25</v>
      </c>
      <c r="Q31" s="2003">
        <f t="shared" si="6"/>
        <v>0</v>
      </c>
      <c r="R31" s="2005">
        <f t="shared" si="7"/>
        <v>0</v>
      </c>
      <c r="S31" s="2195">
        <v>0</v>
      </c>
      <c r="T31" s="1996" t="s">
        <v>160</v>
      </c>
      <c r="U31" s="2003">
        <f t="shared" si="8"/>
        <v>0</v>
      </c>
      <c r="V31" s="2376">
        <v>0</v>
      </c>
      <c r="W31" s="2006">
        <f t="shared" si="22"/>
        <v>0</v>
      </c>
      <c r="X31" s="2003">
        <f t="shared" si="23"/>
        <v>0</v>
      </c>
      <c r="Y31" s="2365">
        <f t="shared" si="9"/>
        <v>0</v>
      </c>
      <c r="Z31" s="2003">
        <f t="shared" si="10"/>
        <v>0</v>
      </c>
      <c r="AA31" s="1"/>
      <c r="AB31" s="1281">
        <f t="shared" si="11"/>
        <v>24</v>
      </c>
      <c r="AC31" s="1281" t="str">
        <f t="shared" si="12"/>
        <v>leer</v>
      </c>
      <c r="AD31" s="1329"/>
      <c r="AE31" s="1330" t="s">
        <v>795</v>
      </c>
      <c r="AF31" s="1424">
        <v>0</v>
      </c>
      <c r="AG31" s="1033">
        <f>VLOOKUP(AE31,Düngemittel!$B$6:$E$64,2,FALSE)*(VLOOKUP(AE31,Düngemittel!$B$6:$E$64,3,FALSE))/100*AF31</f>
        <v>0</v>
      </c>
      <c r="AH31" s="1033">
        <f>VLOOKUP(AE31,Düngemittel!$B$6:$E$64,2,FALSE)*AF31</f>
        <v>0</v>
      </c>
      <c r="AI31" s="1033">
        <f>VLOOKUP(AE31,Düngemittel!$B$6:$E$64,4,FALSE)*AF31</f>
        <v>0</v>
      </c>
      <c r="AJ31" s="2089"/>
      <c r="AK31" s="1329"/>
      <c r="AL31" s="1330" t="s">
        <v>795</v>
      </c>
      <c r="AM31" s="1424">
        <v>0</v>
      </c>
      <c r="AN31" s="1033">
        <f>VLOOKUP(AL31,Düngemittel!$B$6:$E$64,2,FALSE)*(VLOOKUP(AL31,Düngemittel!$B$6:$E$64,3,FALSE))/100*AM31</f>
        <v>0</v>
      </c>
      <c r="AO31" s="1033">
        <f>VLOOKUP(AL31,Düngemittel!$B$6:$E$64,2,FALSE)*AM31</f>
        <v>0</v>
      </c>
      <c r="AP31" s="1033">
        <f>VLOOKUP(AL31,Düngemittel!$B$6:$E$64,4,FALSE)*AM31</f>
        <v>0</v>
      </c>
      <c r="AQ31" s="2089"/>
      <c r="AR31" s="1329"/>
      <c r="AS31" s="1330" t="s">
        <v>795</v>
      </c>
      <c r="AT31" s="1424">
        <v>0</v>
      </c>
      <c r="AU31" s="1033">
        <f>VLOOKUP(AS31,Düngemittel!$B$6:$E$64,2,FALSE)*(VLOOKUP(AS31,Düngemittel!$B$6:$E$64,3,FALSE))/100*AT31</f>
        <v>0</v>
      </c>
      <c r="AV31" s="1033">
        <f>VLOOKUP(AS31,Düngemittel!$B$6:$E$64,2,FALSE)*AT31</f>
        <v>0</v>
      </c>
      <c r="AW31" s="1033">
        <f>VLOOKUP(AS31,Düngemittel!$B$6:$E$64,4,FALSE)*AT31</f>
        <v>0</v>
      </c>
      <c r="AX31" s="2089"/>
      <c r="AY31" s="1329"/>
      <c r="AZ31" s="1330" t="s">
        <v>795</v>
      </c>
      <c r="BA31" s="1424">
        <v>0</v>
      </c>
      <c r="BB31" s="1033">
        <f>VLOOKUP(AZ31,Düngemittel!$B$6:$E$64,2,FALSE)*(VLOOKUP(AZ31,Düngemittel!$B$6:$E$64,3,FALSE))/100*BA31</f>
        <v>0</v>
      </c>
      <c r="BC31" s="1033">
        <f>VLOOKUP(AZ31,Düngemittel!$B$6:$E$64,2,FALSE)*BA31</f>
        <v>0</v>
      </c>
      <c r="BD31" s="1033">
        <f>VLOOKUP(AZ31,Düngemittel!$B$6:$E$64,4,FALSE)*BA31</f>
        <v>0</v>
      </c>
      <c r="BE31" s="2089"/>
      <c r="BF31" s="1329"/>
      <c r="BG31" s="1330" t="s">
        <v>795</v>
      </c>
      <c r="BH31" s="1424">
        <v>0</v>
      </c>
      <c r="BI31" s="1033">
        <f>VLOOKUP(BG31,Düngemittel!$B$6:$E$64,2,FALSE)*(VLOOKUP(BG31,Düngemittel!$B$6:$E$64,3,FALSE))/100*BH31</f>
        <v>0</v>
      </c>
      <c r="BJ31" s="1033">
        <f>VLOOKUP(BG31,Düngemittel!$B$6:$E$64,2,FALSE)*BH31</f>
        <v>0</v>
      </c>
      <c r="BK31" s="1033">
        <f>VLOOKUP(BG31,Düngemittel!$B$6:$E$64,4,FALSE)*BH31</f>
        <v>0</v>
      </c>
      <c r="BL31" s="1185"/>
      <c r="BM31" s="1814">
        <f t="shared" si="25"/>
        <v>0</v>
      </c>
      <c r="BN31" s="1889">
        <f t="shared" si="26"/>
        <v>0</v>
      </c>
      <c r="BO31" s="1814">
        <f t="shared" si="26"/>
        <v>0</v>
      </c>
      <c r="BP31" s="1138">
        <f t="shared" si="27"/>
        <v>0</v>
      </c>
      <c r="BQ31" s="1889">
        <f t="shared" si="28"/>
        <v>0</v>
      </c>
      <c r="BR31" s="183"/>
      <c r="BS31" s="2023">
        <f t="shared" si="24"/>
        <v>0</v>
      </c>
      <c r="BT31" s="1973">
        <f t="shared" si="24"/>
        <v>0</v>
      </c>
      <c r="BU31" s="2023">
        <f t="shared" si="24"/>
        <v>0</v>
      </c>
      <c r="BV31" s="1934">
        <f t="shared" si="24"/>
        <v>0</v>
      </c>
      <c r="BW31" s="1973">
        <f t="shared" si="24"/>
        <v>0</v>
      </c>
      <c r="CB31" s="1968" t="s">
        <v>1464</v>
      </c>
      <c r="CC31" s="1421">
        <v>110</v>
      </c>
      <c r="CD31" s="1421">
        <v>120</v>
      </c>
      <c r="CE31" s="1421">
        <v>10</v>
      </c>
      <c r="CF31" s="1421">
        <v>12</v>
      </c>
      <c r="CG31" s="1421">
        <v>12</v>
      </c>
      <c r="CH31" s="1421">
        <v>0</v>
      </c>
      <c r="CI31" s="1421">
        <v>0</v>
      </c>
      <c r="CJ31" s="2133">
        <v>60</v>
      </c>
      <c r="CK31" s="2134">
        <v>0.39727272727272728</v>
      </c>
    </row>
    <row r="32" spans="1:89" ht="30" customHeight="1" thickBot="1">
      <c r="A32" s="1"/>
      <c r="B32" s="2016">
        <f>SUM(B8:B31)</f>
        <v>0</v>
      </c>
      <c r="C32" s="2014" t="s">
        <v>1764</v>
      </c>
      <c r="D32" s="2013"/>
      <c r="E32" s="2014"/>
      <c r="F32" s="2021"/>
      <c r="G32" s="2021"/>
      <c r="H32" s="2021"/>
      <c r="I32" s="2021"/>
      <c r="J32" s="2021"/>
      <c r="K32" s="2021"/>
      <c r="L32" s="2021"/>
      <c r="M32" s="2021"/>
      <c r="N32" s="2014"/>
      <c r="O32" s="2015"/>
      <c r="P32" s="2014"/>
      <c r="Q32" s="2014"/>
      <c r="R32" s="2014"/>
      <c r="S32" s="2014"/>
      <c r="T32" s="2014"/>
      <c r="U32" s="2014"/>
      <c r="V32" s="2014"/>
      <c r="W32" s="2380"/>
      <c r="X32" s="2381">
        <f>SUM(X8:X31)</f>
        <v>0</v>
      </c>
      <c r="Y32" s="1"/>
      <c r="Z32" s="2017">
        <f>SUM(Z8:Z31)</f>
        <v>0</v>
      </c>
      <c r="AA32" s="1"/>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185"/>
      <c r="BM32" s="2022"/>
      <c r="BN32" s="1"/>
      <c r="BO32" s="2022"/>
      <c r="BP32" s="1"/>
      <c r="BQ32" s="1"/>
      <c r="BR32" s="1"/>
      <c r="BS32" s="1811">
        <f>SUM(BS8:BS26)</f>
        <v>0</v>
      </c>
      <c r="BT32" s="1890">
        <f>SUM(BT8:BT26)</f>
        <v>0</v>
      </c>
      <c r="BU32" s="1811">
        <f>SUM(BU8:BU26)</f>
        <v>0</v>
      </c>
      <c r="BV32" s="1808">
        <f>SUM(BV8:BV26)</f>
        <v>0</v>
      </c>
      <c r="BW32" s="1890">
        <f>SUM(BW8:BW26)</f>
        <v>0</v>
      </c>
      <c r="BX32" s="1143" t="s">
        <v>1081</v>
      </c>
      <c r="CB32" s="1968" t="s">
        <v>1465</v>
      </c>
      <c r="CC32" s="1421">
        <v>110</v>
      </c>
      <c r="CD32" s="1421">
        <v>120</v>
      </c>
      <c r="CE32" s="1421">
        <v>10</v>
      </c>
      <c r="CF32" s="1421">
        <v>12</v>
      </c>
      <c r="CG32" s="1421">
        <v>12</v>
      </c>
      <c r="CH32" s="1421">
        <v>0</v>
      </c>
      <c r="CI32" s="1421">
        <v>0</v>
      </c>
      <c r="CJ32" s="2133">
        <v>60</v>
      </c>
      <c r="CK32" s="2134">
        <v>0.23</v>
      </c>
    </row>
    <row r="33" spans="1:89" ht="81" customHeight="1" thickBot="1">
      <c r="A33" s="1"/>
      <c r="B33" s="1"/>
      <c r="C33" s="1"/>
      <c r="D33" s="1"/>
      <c r="E33" s="1"/>
      <c r="F33" s="1"/>
      <c r="G33" s="1"/>
      <c r="H33" s="1"/>
      <c r="I33" s="1"/>
      <c r="J33" s="1"/>
      <c r="K33" s="1"/>
      <c r="L33" s="1"/>
      <c r="M33" s="1"/>
      <c r="N33" s="1"/>
      <c r="O33" s="1970"/>
      <c r="P33" s="1"/>
      <c r="Q33" s="1"/>
      <c r="R33" s="1"/>
      <c r="S33" s="1"/>
      <c r="T33" s="1"/>
      <c r="U33" s="1"/>
      <c r="V33" s="1"/>
      <c r="W33" s="216"/>
      <c r="X33" s="2379" t="s">
        <v>1100</v>
      </c>
      <c r="Y33" s="1185"/>
      <c r="Z33" s="2018" t="s">
        <v>1341</v>
      </c>
      <c r="AA33" s="1"/>
      <c r="AB33" s="1975"/>
      <c r="AC33" s="1975"/>
      <c r="AD33" s="1975"/>
      <c r="AE33" s="1975"/>
      <c r="AF33" s="1975"/>
      <c r="AG33" s="1975"/>
      <c r="AH33" s="1975"/>
      <c r="AI33" s="1975"/>
      <c r="AJ33" s="1975"/>
      <c r="AK33" s="1975"/>
      <c r="AL33" s="1975"/>
      <c r="AM33" s="1975"/>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185"/>
      <c r="BM33" s="1814" t="e">
        <f t="shared" ref="BM33:BP33" si="29">BS33</f>
        <v>#DIV/0!</v>
      </c>
      <c r="BN33" s="622" t="e">
        <f t="shared" si="29"/>
        <v>#DIV/0!</v>
      </c>
      <c r="BO33" s="1814" t="e">
        <f t="shared" si="29"/>
        <v>#DIV/0!</v>
      </c>
      <c r="BP33" s="1138" t="e">
        <f t="shared" si="29"/>
        <v>#DIV/0!</v>
      </c>
      <c r="BQ33" s="1889" t="e">
        <f>BW33</f>
        <v>#DIV/0!</v>
      </c>
      <c r="BR33" s="183"/>
      <c r="BS33" s="2024" t="e">
        <f>BS32/$B32</f>
        <v>#DIV/0!</v>
      </c>
      <c r="BT33" s="1140" t="e">
        <f t="shared" ref="BT33:BW33" si="30">BT32/$B32</f>
        <v>#DIV/0!</v>
      </c>
      <c r="BU33" s="1814" t="e">
        <f t="shared" si="30"/>
        <v>#DIV/0!</v>
      </c>
      <c r="BV33" s="1140" t="e">
        <f t="shared" si="30"/>
        <v>#DIV/0!</v>
      </c>
      <c r="BW33" s="1140" t="e">
        <f t="shared" si="30"/>
        <v>#DIV/0!</v>
      </c>
      <c r="BX33" s="1143" t="s">
        <v>1060</v>
      </c>
      <c r="CB33" s="1968" t="s">
        <v>1466</v>
      </c>
      <c r="CC33" s="1421">
        <v>40</v>
      </c>
      <c r="CD33" s="1421">
        <v>70</v>
      </c>
      <c r="CE33" s="1421">
        <v>10</v>
      </c>
      <c r="CF33" s="1421">
        <v>7</v>
      </c>
      <c r="CG33" s="1421">
        <v>7</v>
      </c>
      <c r="CH33" s="1421">
        <v>0</v>
      </c>
      <c r="CI33" s="1421">
        <v>0</v>
      </c>
      <c r="CJ33" s="2136">
        <v>60</v>
      </c>
      <c r="CK33" s="2132">
        <v>0.16</v>
      </c>
    </row>
    <row r="34" spans="1:89" ht="60.75" customHeight="1">
      <c r="A34" s="1"/>
      <c r="B34" s="1"/>
      <c r="C34" s="1"/>
      <c r="D34" s="1"/>
      <c r="E34" s="1"/>
      <c r="F34" s="1"/>
      <c r="G34" s="1"/>
      <c r="H34" s="1"/>
      <c r="I34" s="1"/>
      <c r="J34" s="1"/>
      <c r="K34" s="1"/>
      <c r="L34" s="1"/>
      <c r="M34" s="1"/>
      <c r="N34" s="1"/>
      <c r="O34" s="1970"/>
      <c r="P34" s="1"/>
      <c r="Q34" s="1"/>
      <c r="R34" s="1"/>
      <c r="S34" s="1"/>
      <c r="T34" s="1"/>
      <c r="U34" s="1"/>
      <c r="V34" s="1"/>
      <c r="W34" s="1"/>
      <c r="X34" s="1"/>
      <c r="Y34" s="1"/>
      <c r="Z34" s="1"/>
      <c r="AA34" s="1"/>
      <c r="AB34" s="1161"/>
      <c r="AC34" s="1161"/>
      <c r="AD34" s="1891"/>
      <c r="AE34" s="189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216"/>
      <c r="BM34" s="1809" t="s">
        <v>1080</v>
      </c>
      <c r="BN34" s="1879" t="s">
        <v>1066</v>
      </c>
      <c r="BO34" s="1307" t="s">
        <v>1309</v>
      </c>
      <c r="BP34" s="906" t="s">
        <v>1241</v>
      </c>
      <c r="BQ34" s="1879" t="s">
        <v>284</v>
      </c>
      <c r="BR34" s="1161"/>
      <c r="BS34" s="1809" t="s">
        <v>1080</v>
      </c>
      <c r="BT34" s="1879" t="s">
        <v>1066</v>
      </c>
      <c r="BU34" s="1307" t="s">
        <v>1309</v>
      </c>
      <c r="BV34" s="906" t="s">
        <v>1241</v>
      </c>
      <c r="BW34" s="1879" t="s">
        <v>284</v>
      </c>
      <c r="CB34" s="1968" t="s">
        <v>1467</v>
      </c>
      <c r="CC34" s="1421">
        <v>40</v>
      </c>
      <c r="CD34" s="1421">
        <v>70</v>
      </c>
      <c r="CE34" s="1421">
        <v>10</v>
      </c>
      <c r="CF34" s="1421">
        <v>7</v>
      </c>
      <c r="CG34" s="1421">
        <v>7</v>
      </c>
      <c r="CH34" s="1421">
        <v>0</v>
      </c>
      <c r="CI34" s="1421">
        <v>0</v>
      </c>
      <c r="CJ34" s="2136">
        <v>60</v>
      </c>
      <c r="CK34" s="2134">
        <v>0.44000000000000006</v>
      </c>
    </row>
    <row r="35" spans="1:89">
      <c r="A35" s="2459" t="s">
        <v>1068</v>
      </c>
      <c r="B35" s="2460"/>
      <c r="C35" s="2667" t="s">
        <v>1069</v>
      </c>
      <c r="D35" s="2668"/>
      <c r="E35" s="2668"/>
      <c r="F35" s="2668"/>
      <c r="G35" s="2668"/>
      <c r="H35" s="2668"/>
      <c r="I35" s="2668"/>
      <c r="J35" s="2668"/>
      <c r="K35" s="2668"/>
      <c r="L35" s="2668"/>
      <c r="M35" s="2668"/>
      <c r="N35" s="2668"/>
      <c r="O35" s="2668"/>
      <c r="P35" s="2668"/>
      <c r="Q35" s="2668"/>
      <c r="R35" s="2668"/>
      <c r="S35" s="2668"/>
      <c r="T35" s="2668"/>
      <c r="U35" s="2668"/>
      <c r="V35" s="2668"/>
      <c r="W35" s="2668"/>
      <c r="X35" s="2800"/>
      <c r="Y35" s="2800"/>
      <c r="Z35" s="2800"/>
      <c r="AA35" s="2800"/>
      <c r="AB35" s="2800"/>
      <c r="AC35" s="2800"/>
      <c r="AD35" s="2800"/>
      <c r="AE35" s="2800"/>
      <c r="AF35" s="2801"/>
      <c r="AG35" s="2802"/>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185"/>
      <c r="BM35" s="1"/>
      <c r="BN35" s="1"/>
      <c r="BO35" s="1"/>
      <c r="BP35" s="1"/>
      <c r="BQ35" s="1"/>
      <c r="BR35" s="1"/>
      <c r="BS35" s="1"/>
      <c r="BT35" s="1"/>
      <c r="BU35" s="1"/>
      <c r="BV35" s="1"/>
      <c r="BW35" s="1"/>
      <c r="CB35" s="1968" t="s">
        <v>1468</v>
      </c>
      <c r="CC35" s="1421">
        <v>60</v>
      </c>
      <c r="CD35" s="1421">
        <v>70</v>
      </c>
      <c r="CE35" s="1421">
        <v>10</v>
      </c>
      <c r="CF35" s="1421">
        <v>7</v>
      </c>
      <c r="CG35" s="1421">
        <v>7</v>
      </c>
      <c r="CH35" s="1421">
        <v>0</v>
      </c>
      <c r="CI35" s="1421">
        <v>0</v>
      </c>
      <c r="CJ35" s="2136">
        <v>60</v>
      </c>
      <c r="CK35" s="2134">
        <v>0.48666666666666669</v>
      </c>
    </row>
    <row r="36" spans="1:89">
      <c r="A36" s="2461"/>
      <c r="B36" s="2462"/>
      <c r="C36" s="2669"/>
      <c r="D36" s="2670"/>
      <c r="E36" s="2670"/>
      <c r="F36" s="2670"/>
      <c r="G36" s="2670"/>
      <c r="H36" s="2670"/>
      <c r="I36" s="2670"/>
      <c r="J36" s="2670"/>
      <c r="K36" s="2670"/>
      <c r="L36" s="2670"/>
      <c r="M36" s="2670"/>
      <c r="N36" s="2670"/>
      <c r="O36" s="2670"/>
      <c r="P36" s="2670"/>
      <c r="Q36" s="2670"/>
      <c r="R36" s="2670"/>
      <c r="S36" s="2670"/>
      <c r="T36" s="2670"/>
      <c r="U36" s="2670"/>
      <c r="V36" s="2670"/>
      <c r="W36" s="2670"/>
      <c r="X36" s="2803"/>
      <c r="Y36" s="2803"/>
      <c r="Z36" s="2803"/>
      <c r="AA36" s="2803"/>
      <c r="AB36" s="2803"/>
      <c r="AC36" s="2803"/>
      <c r="AD36" s="2803"/>
      <c r="AE36" s="2803"/>
      <c r="AF36" s="2804"/>
      <c r="AG36" s="2805"/>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161"/>
      <c r="BM36" s="1"/>
      <c r="BN36" s="1"/>
      <c r="BO36" s="1"/>
      <c r="BP36" s="1"/>
      <c r="BQ36" s="1"/>
      <c r="BR36" s="1"/>
      <c r="BS36" s="1"/>
      <c r="BT36" s="1"/>
      <c r="BU36" s="1"/>
      <c r="BV36" s="1"/>
      <c r="BW36" s="1"/>
      <c r="CB36" s="1968" t="s">
        <v>1469</v>
      </c>
      <c r="CC36" s="1421">
        <v>60</v>
      </c>
      <c r="CD36" s="1421">
        <v>70</v>
      </c>
      <c r="CE36" s="1421">
        <v>10</v>
      </c>
      <c r="CF36" s="1421">
        <v>7</v>
      </c>
      <c r="CG36" s="1421">
        <v>7</v>
      </c>
      <c r="CH36" s="1421">
        <v>0</v>
      </c>
      <c r="CI36" s="1421">
        <v>0</v>
      </c>
      <c r="CJ36" s="2136">
        <v>60</v>
      </c>
      <c r="CK36" s="2132">
        <v>0.3</v>
      </c>
    </row>
    <row r="37" spans="1:89">
      <c r="A37" s="2463"/>
      <c r="B37" s="2464"/>
      <c r="C37" s="2806"/>
      <c r="D37" s="2803"/>
      <c r="E37" s="2803"/>
      <c r="F37" s="2803"/>
      <c r="G37" s="2803"/>
      <c r="H37" s="2803"/>
      <c r="I37" s="2803"/>
      <c r="J37" s="2803"/>
      <c r="K37" s="2803"/>
      <c r="L37" s="2803"/>
      <c r="M37" s="2803"/>
      <c r="N37" s="2803"/>
      <c r="O37" s="2803"/>
      <c r="P37" s="2803"/>
      <c r="Q37" s="2803"/>
      <c r="R37" s="2803"/>
      <c r="S37" s="2803"/>
      <c r="T37" s="2803"/>
      <c r="U37" s="2803"/>
      <c r="V37" s="2803"/>
      <c r="W37" s="2803"/>
      <c r="X37" s="2803"/>
      <c r="Y37" s="2803"/>
      <c r="Z37" s="2803"/>
      <c r="AA37" s="2803"/>
      <c r="AB37" s="2803"/>
      <c r="AC37" s="2803"/>
      <c r="AD37" s="2803"/>
      <c r="AE37" s="2803"/>
      <c r="AF37" s="2804"/>
      <c r="AG37" s="2805"/>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CB37" s="1968" t="s">
        <v>1470</v>
      </c>
      <c r="CC37" s="1421">
        <v>135</v>
      </c>
      <c r="CD37" s="1421">
        <v>130</v>
      </c>
      <c r="CE37" s="1421">
        <v>10</v>
      </c>
      <c r="CF37" s="1421">
        <v>13</v>
      </c>
      <c r="CG37" s="1421">
        <v>13</v>
      </c>
      <c r="CH37" s="1421">
        <v>0</v>
      </c>
      <c r="CI37" s="1421">
        <v>0</v>
      </c>
      <c r="CJ37" s="2131">
        <v>60</v>
      </c>
      <c r="CK37" s="2132">
        <v>0.16</v>
      </c>
    </row>
    <row r="38" spans="1:89">
      <c r="A38" s="2463"/>
      <c r="B38" s="2464"/>
      <c r="C38" s="2806"/>
      <c r="D38" s="2803"/>
      <c r="E38" s="2803"/>
      <c r="F38" s="2803"/>
      <c r="G38" s="2803"/>
      <c r="H38" s="2803"/>
      <c r="I38" s="2803"/>
      <c r="J38" s="2803"/>
      <c r="K38" s="2803"/>
      <c r="L38" s="2803"/>
      <c r="M38" s="2803"/>
      <c r="N38" s="2803"/>
      <c r="O38" s="2803"/>
      <c r="P38" s="2803"/>
      <c r="Q38" s="2803"/>
      <c r="R38" s="2803"/>
      <c r="S38" s="2803"/>
      <c r="T38" s="2803"/>
      <c r="U38" s="2803"/>
      <c r="V38" s="2803"/>
      <c r="W38" s="2803"/>
      <c r="X38" s="2803"/>
      <c r="Y38" s="2803"/>
      <c r="Z38" s="2803"/>
      <c r="AA38" s="2803"/>
      <c r="AB38" s="2803"/>
      <c r="AC38" s="2803"/>
      <c r="AD38" s="2803"/>
      <c r="AE38" s="2803"/>
      <c r="AF38" s="2804"/>
      <c r="AG38" s="2805"/>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CB38" s="1968" t="s">
        <v>1471</v>
      </c>
      <c r="CC38" s="1421">
        <v>50</v>
      </c>
      <c r="CD38" s="1421">
        <v>60</v>
      </c>
      <c r="CE38" s="1421">
        <v>10</v>
      </c>
      <c r="CF38" s="1421">
        <v>6</v>
      </c>
      <c r="CG38" s="1421">
        <v>6</v>
      </c>
      <c r="CH38" s="1421">
        <v>0</v>
      </c>
      <c r="CI38" s="1421">
        <v>0</v>
      </c>
      <c r="CJ38" s="2133">
        <v>30</v>
      </c>
      <c r="CK38" s="2134">
        <v>0.38</v>
      </c>
    </row>
    <row r="39" spans="1:89">
      <c r="A39" s="2465"/>
      <c r="B39" s="2466"/>
      <c r="C39" s="2807"/>
      <c r="D39" s="2808"/>
      <c r="E39" s="2808"/>
      <c r="F39" s="2808"/>
      <c r="G39" s="2808"/>
      <c r="H39" s="2808"/>
      <c r="I39" s="2808"/>
      <c r="J39" s="2808"/>
      <c r="K39" s="2808"/>
      <c r="L39" s="2808"/>
      <c r="M39" s="2808"/>
      <c r="N39" s="2808"/>
      <c r="O39" s="2808"/>
      <c r="P39" s="2808"/>
      <c r="Q39" s="2808"/>
      <c r="R39" s="2808"/>
      <c r="S39" s="2808"/>
      <c r="T39" s="2808"/>
      <c r="U39" s="2808"/>
      <c r="V39" s="2808"/>
      <c r="W39" s="2808"/>
      <c r="X39" s="2808"/>
      <c r="Y39" s="2808"/>
      <c r="Z39" s="2808"/>
      <c r="AA39" s="2808"/>
      <c r="AB39" s="2808"/>
      <c r="AC39" s="2808"/>
      <c r="AD39" s="2808"/>
      <c r="AE39" s="2808"/>
      <c r="AF39" s="2809"/>
      <c r="AG39" s="2810"/>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CB39" s="1968" t="s">
        <v>1472</v>
      </c>
      <c r="CC39" s="1421">
        <v>50</v>
      </c>
      <c r="CD39" s="1421">
        <v>60</v>
      </c>
      <c r="CE39" s="1421">
        <v>10</v>
      </c>
      <c r="CF39" s="1421">
        <v>6</v>
      </c>
      <c r="CG39" s="1421">
        <v>6</v>
      </c>
      <c r="CH39" s="1421">
        <v>0</v>
      </c>
      <c r="CI39" s="1421">
        <v>0</v>
      </c>
      <c r="CJ39" s="2133">
        <v>30</v>
      </c>
      <c r="CK39" s="2134">
        <v>0.17</v>
      </c>
    </row>
    <row r="40" spans="1:89">
      <c r="A40" s="175"/>
      <c r="B40" s="1421"/>
      <c r="C40" s="1421"/>
      <c r="D40" s="175"/>
      <c r="E40" s="1421"/>
      <c r="F40" s="1421"/>
      <c r="G40" s="1421"/>
      <c r="H40" s="1421"/>
      <c r="I40" s="1421"/>
      <c r="J40" s="1421"/>
      <c r="K40" s="1421"/>
      <c r="L40" s="1421"/>
      <c r="M40" s="1421"/>
      <c r="N40" s="1421"/>
      <c r="O40" s="1421"/>
      <c r="P40" s="1421"/>
      <c r="Q40" s="1421"/>
      <c r="R40" s="1421"/>
      <c r="S40" s="1421"/>
      <c r="T40" s="1421"/>
      <c r="U40" s="1421"/>
      <c r="V40" s="1421"/>
      <c r="W40" s="1421"/>
      <c r="X40" s="1421"/>
      <c r="Y40" s="1421"/>
      <c r="Z40" s="1421"/>
      <c r="AA40" s="1421"/>
      <c r="AB40" s="1421"/>
      <c r="AC40" s="1421"/>
      <c r="AD40" s="175"/>
      <c r="AE40" s="282"/>
      <c r="AF40" s="638"/>
      <c r="AG40" s="92"/>
      <c r="CB40" s="1968" t="s">
        <v>1473</v>
      </c>
      <c r="CC40" s="1421">
        <v>250</v>
      </c>
      <c r="CD40" s="1421">
        <v>190</v>
      </c>
      <c r="CE40" s="1421">
        <v>10</v>
      </c>
      <c r="CF40" s="1421">
        <v>19</v>
      </c>
      <c r="CG40" s="1421">
        <v>19</v>
      </c>
      <c r="CH40" s="1421">
        <v>0</v>
      </c>
      <c r="CI40" s="1421">
        <v>0</v>
      </c>
      <c r="CJ40" s="2131">
        <v>60</v>
      </c>
      <c r="CK40" s="2132">
        <v>0.15</v>
      </c>
    </row>
    <row r="41" spans="1:89">
      <c r="A41" s="2481" t="s">
        <v>609</v>
      </c>
      <c r="B41" s="2482"/>
      <c r="C41" s="2787" t="s">
        <v>1273</v>
      </c>
      <c r="D41" s="2517"/>
      <c r="E41" s="2517"/>
      <c r="F41" s="2517"/>
      <c r="G41" s="2517"/>
      <c r="H41" s="2517"/>
      <c r="I41" s="2517"/>
      <c r="J41" s="2517"/>
      <c r="K41" s="2517"/>
      <c r="L41" s="2517"/>
      <c r="M41" s="2517"/>
      <c r="N41" s="2517"/>
      <c r="O41" s="2517"/>
      <c r="P41" s="2517"/>
      <c r="Q41" s="2517"/>
      <c r="R41" s="2517"/>
      <c r="S41" s="2517"/>
      <c r="T41" s="2517"/>
      <c r="U41" s="2517"/>
      <c r="V41" s="2517"/>
      <c r="W41" s="2517"/>
      <c r="X41" s="2517"/>
      <c r="Y41" s="2517"/>
      <c r="Z41" s="2517"/>
      <c r="AA41" s="2517"/>
      <c r="AB41" s="2517"/>
      <c r="AC41" s="2517"/>
      <c r="AD41" s="2788"/>
      <c r="AE41" s="2788"/>
      <c r="AF41" s="2788"/>
      <c r="AG41" s="2788"/>
      <c r="CB41" s="1968" t="s">
        <v>1474</v>
      </c>
      <c r="CC41" s="1421">
        <v>70</v>
      </c>
      <c r="CD41" s="1421">
        <v>155</v>
      </c>
      <c r="CE41" s="1421">
        <v>10</v>
      </c>
      <c r="CF41" s="1421">
        <v>15.5</v>
      </c>
      <c r="CG41" s="1421">
        <v>15.5</v>
      </c>
      <c r="CH41" s="1421">
        <v>0</v>
      </c>
      <c r="CI41" s="1421">
        <v>0</v>
      </c>
      <c r="CJ41" s="2131">
        <v>60</v>
      </c>
      <c r="CK41" s="2132">
        <v>0.92</v>
      </c>
    </row>
    <row r="42" spans="1:89">
      <c r="A42" s="2483"/>
      <c r="B42" s="2484"/>
      <c r="C42" s="2517"/>
      <c r="D42" s="2517"/>
      <c r="E42" s="2517"/>
      <c r="F42" s="2517"/>
      <c r="G42" s="2517"/>
      <c r="H42" s="2517"/>
      <c r="I42" s="2517"/>
      <c r="J42" s="2517"/>
      <c r="K42" s="2517"/>
      <c r="L42" s="2517"/>
      <c r="M42" s="2517"/>
      <c r="N42" s="2517"/>
      <c r="O42" s="2517"/>
      <c r="P42" s="2517"/>
      <c r="Q42" s="2517"/>
      <c r="R42" s="2517"/>
      <c r="S42" s="2517"/>
      <c r="T42" s="2517"/>
      <c r="U42" s="2517"/>
      <c r="V42" s="2517"/>
      <c r="W42" s="2517"/>
      <c r="X42" s="2517"/>
      <c r="Y42" s="2517"/>
      <c r="Z42" s="2517"/>
      <c r="AA42" s="2517"/>
      <c r="AB42" s="2517"/>
      <c r="AC42" s="2517"/>
      <c r="AD42" s="2788"/>
      <c r="AE42" s="2788"/>
      <c r="AF42" s="2788"/>
      <c r="AG42" s="2788"/>
      <c r="CB42" s="1968" t="s">
        <v>1475</v>
      </c>
      <c r="CC42" s="1421">
        <v>70</v>
      </c>
      <c r="CD42" s="1421">
        <v>155</v>
      </c>
      <c r="CE42" s="1421">
        <v>10</v>
      </c>
      <c r="CF42" s="1421">
        <v>15.5</v>
      </c>
      <c r="CG42" s="1421">
        <v>15.5</v>
      </c>
      <c r="CH42" s="1421">
        <v>0</v>
      </c>
      <c r="CI42" s="1421">
        <v>0</v>
      </c>
      <c r="CJ42" s="2131">
        <v>60</v>
      </c>
      <c r="CK42" s="2132">
        <v>0.17</v>
      </c>
    </row>
    <row r="43" spans="1:89">
      <c r="A43" s="2485"/>
      <c r="B43" s="2486"/>
      <c r="C43" s="2517"/>
      <c r="D43" s="2517"/>
      <c r="E43" s="2517"/>
      <c r="F43" s="2517"/>
      <c r="G43" s="2517"/>
      <c r="H43" s="2517"/>
      <c r="I43" s="2517"/>
      <c r="J43" s="2517"/>
      <c r="K43" s="2517"/>
      <c r="L43" s="2517"/>
      <c r="M43" s="2517"/>
      <c r="N43" s="2517"/>
      <c r="O43" s="2517"/>
      <c r="P43" s="2517"/>
      <c r="Q43" s="2517"/>
      <c r="R43" s="2517"/>
      <c r="S43" s="2517"/>
      <c r="T43" s="2517"/>
      <c r="U43" s="2517"/>
      <c r="V43" s="2517"/>
      <c r="W43" s="2517"/>
      <c r="X43" s="2517"/>
      <c r="Y43" s="2517"/>
      <c r="Z43" s="2517"/>
      <c r="AA43" s="2517"/>
      <c r="AB43" s="2517"/>
      <c r="AC43" s="2517"/>
      <c r="AD43" s="2788"/>
      <c r="AE43" s="2788"/>
      <c r="AF43" s="2788"/>
      <c r="AG43" s="2788"/>
      <c r="CB43" s="1968" t="s">
        <v>1476</v>
      </c>
      <c r="CC43" s="1421">
        <v>5</v>
      </c>
      <c r="CD43" s="1421">
        <v>55</v>
      </c>
      <c r="CE43" s="1421">
        <v>10</v>
      </c>
      <c r="CF43" s="1421">
        <v>3</v>
      </c>
      <c r="CG43" s="1421">
        <v>3</v>
      </c>
      <c r="CH43" s="1421">
        <v>0</v>
      </c>
      <c r="CI43" s="1421">
        <v>0</v>
      </c>
      <c r="CJ43" s="2131">
        <v>60</v>
      </c>
      <c r="CK43" s="2132">
        <v>3.08</v>
      </c>
    </row>
    <row r="44" spans="1:89">
      <c r="A44" s="2487"/>
      <c r="B44" s="2488"/>
      <c r="C44" s="2787" t="s">
        <v>588</v>
      </c>
      <c r="D44" s="2517"/>
      <c r="E44" s="2517"/>
      <c r="F44" s="2517"/>
      <c r="G44" s="2517"/>
      <c r="H44" s="2517"/>
      <c r="I44" s="2517"/>
      <c r="J44" s="2517"/>
      <c r="K44" s="2517"/>
      <c r="L44" s="2517"/>
      <c r="M44" s="2517"/>
      <c r="N44" s="2517"/>
      <c r="O44" s="2517"/>
      <c r="P44" s="2517"/>
      <c r="Q44" s="2517"/>
      <c r="R44" s="2517"/>
      <c r="S44" s="2517"/>
      <c r="T44" s="2517"/>
      <c r="U44" s="2517"/>
      <c r="V44" s="2517"/>
      <c r="W44" s="2517"/>
      <c r="X44" s="2788"/>
      <c r="Y44" s="2788"/>
      <c r="Z44" s="2788"/>
      <c r="AA44" s="2788"/>
      <c r="AB44" s="2788"/>
      <c r="AC44" s="2788"/>
      <c r="AD44" s="2788"/>
      <c r="AE44" s="2788"/>
      <c r="AF44" s="2788"/>
      <c r="AG44" s="2788"/>
      <c r="CB44" s="1968" t="s">
        <v>1477</v>
      </c>
      <c r="CC44" s="1421">
        <v>5</v>
      </c>
      <c r="CD44" s="1421">
        <v>55</v>
      </c>
      <c r="CE44" s="1421">
        <v>10</v>
      </c>
      <c r="CF44" s="1421">
        <v>3</v>
      </c>
      <c r="CG44" s="1421">
        <v>3</v>
      </c>
      <c r="CH44" s="1421">
        <v>0</v>
      </c>
      <c r="CI44" s="1421">
        <v>0</v>
      </c>
      <c r="CJ44" s="2131">
        <v>60</v>
      </c>
      <c r="CK44" s="2132">
        <v>1.4</v>
      </c>
    </row>
    <row r="45" spans="1:89">
      <c r="CB45" s="1968" t="s">
        <v>1478</v>
      </c>
      <c r="CC45" s="1421">
        <v>450</v>
      </c>
      <c r="CD45" s="1421">
        <v>185</v>
      </c>
      <c r="CE45" s="1421">
        <v>10</v>
      </c>
      <c r="CF45" s="1421">
        <v>18.5</v>
      </c>
      <c r="CG45" s="1421">
        <v>18.5</v>
      </c>
      <c r="CH45" s="1421">
        <v>0</v>
      </c>
      <c r="CI45" s="1421">
        <v>0</v>
      </c>
      <c r="CJ45" s="2131">
        <v>30</v>
      </c>
      <c r="CK45" s="2132">
        <v>0.12</v>
      </c>
    </row>
    <row r="46" spans="1:89">
      <c r="CB46" s="1968" t="s">
        <v>1479</v>
      </c>
      <c r="CC46" s="1421">
        <v>300</v>
      </c>
      <c r="CD46" s="1421">
        <v>110</v>
      </c>
      <c r="CE46" s="1421">
        <v>10</v>
      </c>
      <c r="CF46" s="1421">
        <v>6</v>
      </c>
      <c r="CG46" s="1421">
        <v>6</v>
      </c>
      <c r="CH46" s="1421">
        <v>0</v>
      </c>
      <c r="CI46" s="1421">
        <v>0</v>
      </c>
      <c r="CJ46" s="2131">
        <v>60</v>
      </c>
      <c r="CK46" s="2132">
        <v>0.05</v>
      </c>
    </row>
    <row r="47" spans="1:89">
      <c r="CB47" s="1968" t="s">
        <v>1480</v>
      </c>
      <c r="CC47" s="1421">
        <v>300</v>
      </c>
      <c r="CD47" s="1421">
        <v>140</v>
      </c>
      <c r="CE47" s="1421">
        <v>10</v>
      </c>
      <c r="CF47" s="1421">
        <v>14</v>
      </c>
      <c r="CG47" s="1421">
        <v>14</v>
      </c>
      <c r="CH47" s="1421">
        <v>0</v>
      </c>
      <c r="CI47" s="1421">
        <v>0</v>
      </c>
      <c r="CJ47" s="2131">
        <v>60</v>
      </c>
      <c r="CK47" s="2132">
        <v>0.17</v>
      </c>
    </row>
    <row r="48" spans="1:89">
      <c r="CB48" s="1968" t="s">
        <v>1481</v>
      </c>
      <c r="CC48" s="1421">
        <v>180</v>
      </c>
      <c r="CD48" s="1421">
        <v>195</v>
      </c>
      <c r="CE48" s="1421">
        <v>10</v>
      </c>
      <c r="CF48" s="1421">
        <v>19.5</v>
      </c>
      <c r="CG48" s="1421">
        <v>19.5</v>
      </c>
      <c r="CH48" s="1421">
        <v>0</v>
      </c>
      <c r="CI48" s="1421">
        <v>0</v>
      </c>
      <c r="CJ48" s="2131">
        <v>60</v>
      </c>
      <c r="CK48" s="2134">
        <v>0.26</v>
      </c>
    </row>
    <row r="49" spans="80:89">
      <c r="CB49" s="1968" t="s">
        <v>1482</v>
      </c>
      <c r="CC49" s="1421">
        <v>80</v>
      </c>
      <c r="CD49" s="1421">
        <v>195</v>
      </c>
      <c r="CE49" s="1421">
        <v>10</v>
      </c>
      <c r="CF49" s="1421">
        <v>19.5</v>
      </c>
      <c r="CG49" s="1421">
        <v>19.5</v>
      </c>
      <c r="CH49" s="1421">
        <v>0</v>
      </c>
      <c r="CI49" s="1421">
        <v>0</v>
      </c>
      <c r="CJ49" s="2131">
        <v>60</v>
      </c>
      <c r="CK49" s="2134">
        <v>0.34888888888888892</v>
      </c>
    </row>
    <row r="50" spans="80:89">
      <c r="CB50" s="1968" t="s">
        <v>1483</v>
      </c>
      <c r="CC50" s="1421">
        <v>80</v>
      </c>
      <c r="CD50" s="1421">
        <v>195</v>
      </c>
      <c r="CE50" s="1421">
        <v>10</v>
      </c>
      <c r="CF50" s="1421">
        <v>19.5</v>
      </c>
      <c r="CG50" s="1421">
        <v>19.5</v>
      </c>
      <c r="CH50" s="1421">
        <v>0</v>
      </c>
      <c r="CI50" s="1421">
        <v>0</v>
      </c>
      <c r="CJ50" s="2131">
        <v>60</v>
      </c>
      <c r="CK50" s="2132">
        <v>0.2</v>
      </c>
    </row>
    <row r="51" spans="80:89">
      <c r="CB51" s="1968" t="s">
        <v>1484</v>
      </c>
      <c r="CC51" s="1421">
        <v>120</v>
      </c>
      <c r="CD51" s="1421">
        <v>125</v>
      </c>
      <c r="CE51" s="1421">
        <v>10</v>
      </c>
      <c r="CF51" s="1421">
        <v>12.5</v>
      </c>
      <c r="CG51" s="1421">
        <v>12.5</v>
      </c>
      <c r="CH51" s="1421">
        <v>0</v>
      </c>
      <c r="CI51" s="1421">
        <v>0</v>
      </c>
      <c r="CJ51" s="2131">
        <v>30</v>
      </c>
      <c r="CK51" s="2132">
        <v>0.15</v>
      </c>
    </row>
    <row r="52" spans="80:89">
      <c r="CB52" s="1968" t="s">
        <v>1485</v>
      </c>
      <c r="CC52" s="1421">
        <v>150</v>
      </c>
      <c r="CD52" s="1421">
        <v>65</v>
      </c>
      <c r="CE52" s="1421">
        <v>10</v>
      </c>
      <c r="CF52" s="1421">
        <v>6.5</v>
      </c>
      <c r="CG52" s="1421">
        <v>6.5</v>
      </c>
      <c r="CH52" s="1421">
        <v>0</v>
      </c>
      <c r="CI52" s="1421">
        <v>0</v>
      </c>
      <c r="CJ52" s="2131">
        <v>30</v>
      </c>
      <c r="CK52" s="2132">
        <v>9.1999999999999998E-2</v>
      </c>
    </row>
    <row r="53" spans="80:89">
      <c r="CB53" s="1968" t="s">
        <v>1486</v>
      </c>
      <c r="CC53" s="1421">
        <v>250</v>
      </c>
      <c r="CD53" s="1421">
        <v>105</v>
      </c>
      <c r="CE53" s="1421">
        <v>10</v>
      </c>
      <c r="CF53" s="1421">
        <v>10.5</v>
      </c>
      <c r="CG53" s="1421">
        <v>10.5</v>
      </c>
      <c r="CH53" s="1421">
        <v>0</v>
      </c>
      <c r="CI53" s="1421">
        <v>0</v>
      </c>
      <c r="CJ53" s="2131">
        <v>30</v>
      </c>
      <c r="CK53" s="2132">
        <v>9.1999999999999998E-2</v>
      </c>
    </row>
    <row r="54" spans="80:89">
      <c r="CB54" s="1968" t="s">
        <v>1487</v>
      </c>
      <c r="CC54" s="1421">
        <v>50</v>
      </c>
      <c r="CD54" s="1421">
        <v>85</v>
      </c>
      <c r="CE54" s="1421">
        <v>10</v>
      </c>
      <c r="CF54" s="1421">
        <v>4</v>
      </c>
      <c r="CG54" s="1421">
        <v>4</v>
      </c>
      <c r="CH54" s="1421">
        <v>0</v>
      </c>
      <c r="CI54" s="1421">
        <v>0</v>
      </c>
      <c r="CJ54" s="2133">
        <v>30</v>
      </c>
      <c r="CK54" s="2134">
        <v>0.17</v>
      </c>
    </row>
    <row r="55" spans="80:89">
      <c r="CB55" s="1968" t="s">
        <v>1488</v>
      </c>
      <c r="CC55" s="1421">
        <v>20</v>
      </c>
      <c r="CD55" s="1421">
        <v>100</v>
      </c>
      <c r="CE55" s="1421">
        <v>10</v>
      </c>
      <c r="CF55" s="1421">
        <v>10</v>
      </c>
      <c r="CG55" s="1421">
        <v>10</v>
      </c>
      <c r="CH55" s="1421">
        <v>0</v>
      </c>
      <c r="CI55" s="1421">
        <v>0</v>
      </c>
      <c r="CJ55" s="2133">
        <v>60</v>
      </c>
      <c r="CK55" s="2134">
        <v>2.15</v>
      </c>
    </row>
    <row r="56" spans="80:89">
      <c r="CB56" s="1968" t="s">
        <v>1489</v>
      </c>
      <c r="CC56" s="1421">
        <v>20</v>
      </c>
      <c r="CD56" s="1421">
        <v>100</v>
      </c>
      <c r="CE56" s="1421">
        <v>10</v>
      </c>
      <c r="CF56" s="1421">
        <v>10</v>
      </c>
      <c r="CG56" s="1421">
        <v>10</v>
      </c>
      <c r="CH56" s="1421">
        <v>0</v>
      </c>
      <c r="CI56" s="1421">
        <v>0</v>
      </c>
      <c r="CJ56" s="2133">
        <v>60</v>
      </c>
      <c r="CK56" s="2134">
        <v>1.6</v>
      </c>
    </row>
    <row r="57" spans="80:89">
      <c r="CB57" s="1968" t="s">
        <v>1490</v>
      </c>
      <c r="CC57" s="1421">
        <v>500</v>
      </c>
      <c r="CD57" s="1421">
        <v>175</v>
      </c>
      <c r="CE57" s="1421">
        <v>10</v>
      </c>
      <c r="CF57" s="1421">
        <v>18</v>
      </c>
      <c r="CG57" s="1421">
        <v>18</v>
      </c>
      <c r="CH57" s="1421">
        <v>0</v>
      </c>
      <c r="CI57" s="1421">
        <v>0</v>
      </c>
      <c r="CJ57" s="2131">
        <v>60</v>
      </c>
      <c r="CK57" s="2132">
        <v>0.11</v>
      </c>
    </row>
    <row r="58" spans="80:89">
      <c r="CB58" s="1968" t="s">
        <v>1491</v>
      </c>
      <c r="CC58" s="1421">
        <v>100</v>
      </c>
      <c r="CD58" s="1421">
        <v>60</v>
      </c>
      <c r="CE58" s="1421">
        <v>10</v>
      </c>
      <c r="CF58" s="1421">
        <v>6</v>
      </c>
      <c r="CG58" s="1421">
        <v>6</v>
      </c>
      <c r="CH58" s="1421">
        <v>0</v>
      </c>
      <c r="CI58" s="1421">
        <v>0</v>
      </c>
      <c r="CJ58" s="2133">
        <v>60</v>
      </c>
      <c r="CK58" s="2134">
        <v>0.12</v>
      </c>
    </row>
    <row r="59" spans="80:89">
      <c r="CB59" s="1968" t="s">
        <v>1492</v>
      </c>
      <c r="CC59" s="1421">
        <v>150</v>
      </c>
      <c r="CD59" s="1421">
        <v>141</v>
      </c>
      <c r="CE59" s="1421">
        <v>10</v>
      </c>
      <c r="CF59" s="1421">
        <v>14</v>
      </c>
      <c r="CG59" s="1421">
        <v>14</v>
      </c>
      <c r="CH59" s="1421">
        <v>0</v>
      </c>
      <c r="CI59" s="1421">
        <v>0</v>
      </c>
      <c r="CJ59" s="2131">
        <v>60</v>
      </c>
      <c r="CK59" s="2132">
        <v>0.34666666666666668</v>
      </c>
    </row>
    <row r="60" spans="80:89">
      <c r="CB60" s="1968" t="s">
        <v>1493</v>
      </c>
      <c r="CC60" s="1421">
        <v>150</v>
      </c>
      <c r="CD60" s="1421">
        <v>140</v>
      </c>
      <c r="CE60" s="1421">
        <v>10</v>
      </c>
      <c r="CF60" s="1421">
        <v>14</v>
      </c>
      <c r="CG60" s="1421">
        <v>14</v>
      </c>
      <c r="CH60" s="1421">
        <v>0</v>
      </c>
      <c r="CI60" s="1421">
        <v>0</v>
      </c>
      <c r="CJ60" s="2131">
        <v>60</v>
      </c>
      <c r="CK60" s="2132">
        <v>0.3</v>
      </c>
    </row>
    <row r="61" spans="80:89">
      <c r="CB61" s="1968" t="s">
        <v>1494</v>
      </c>
      <c r="CC61" s="1421">
        <v>230</v>
      </c>
      <c r="CD61" s="1421">
        <v>155</v>
      </c>
      <c r="CE61" s="1421">
        <v>10</v>
      </c>
      <c r="CF61" s="1421">
        <v>15.5</v>
      </c>
      <c r="CG61" s="1421">
        <v>15.5</v>
      </c>
      <c r="CH61" s="1421">
        <v>0</v>
      </c>
      <c r="CI61" s="1421">
        <v>0</v>
      </c>
      <c r="CJ61" s="2131">
        <v>60</v>
      </c>
      <c r="CK61" s="2132">
        <v>0.14000000000000001</v>
      </c>
    </row>
    <row r="62" spans="80:89">
      <c r="CB62" s="1968" t="s">
        <v>1495</v>
      </c>
      <c r="CC62" s="1421">
        <v>200</v>
      </c>
      <c r="CD62" s="1421">
        <v>140</v>
      </c>
      <c r="CE62" s="1421">
        <v>10</v>
      </c>
      <c r="CF62" s="1421">
        <v>14</v>
      </c>
      <c r="CG62" s="1421">
        <v>14</v>
      </c>
      <c r="CH62" s="1421">
        <v>0</v>
      </c>
      <c r="CI62" s="1421">
        <v>0</v>
      </c>
      <c r="CJ62" s="2131">
        <v>60</v>
      </c>
      <c r="CK62" s="2132">
        <v>0.37</v>
      </c>
    </row>
    <row r="63" spans="80:89">
      <c r="CB63" s="1968" t="s">
        <v>1496</v>
      </c>
      <c r="CC63" s="1421">
        <v>200</v>
      </c>
      <c r="CD63" s="1421">
        <v>140</v>
      </c>
      <c r="CE63" s="1421">
        <v>10</v>
      </c>
      <c r="CF63" s="1421">
        <v>14</v>
      </c>
      <c r="CG63" s="1421">
        <v>14</v>
      </c>
      <c r="CH63" s="1421">
        <v>0</v>
      </c>
      <c r="CI63" s="1421">
        <v>0</v>
      </c>
      <c r="CJ63" s="2131">
        <v>60</v>
      </c>
      <c r="CK63" s="2132">
        <v>0.23</v>
      </c>
    </row>
    <row r="64" spans="80:89">
      <c r="CB64" s="1968" t="s">
        <v>1497</v>
      </c>
      <c r="CC64" s="1421">
        <v>200</v>
      </c>
      <c r="CD64" s="1421">
        <v>190</v>
      </c>
      <c r="CE64" s="1421">
        <v>10</v>
      </c>
      <c r="CF64" s="1421">
        <v>19</v>
      </c>
      <c r="CG64" s="1421">
        <v>19</v>
      </c>
      <c r="CH64" s="1421">
        <v>0</v>
      </c>
      <c r="CI64" s="1421">
        <v>0</v>
      </c>
      <c r="CJ64" s="2131">
        <v>60</v>
      </c>
      <c r="CK64" s="2132">
        <v>0.41000000000000003</v>
      </c>
    </row>
    <row r="65" spans="80:89">
      <c r="CB65" s="1968" t="s">
        <v>1498</v>
      </c>
      <c r="CC65" s="1421">
        <v>200</v>
      </c>
      <c r="CD65" s="1421">
        <v>190</v>
      </c>
      <c r="CE65" s="1421">
        <v>10</v>
      </c>
      <c r="CF65" s="1421">
        <v>16</v>
      </c>
      <c r="CG65" s="1421">
        <v>16</v>
      </c>
      <c r="CH65" s="1421">
        <v>0</v>
      </c>
      <c r="CI65" s="1421">
        <v>0</v>
      </c>
      <c r="CJ65" s="2131">
        <v>60</v>
      </c>
      <c r="CK65" s="2132">
        <v>0.25</v>
      </c>
    </row>
    <row r="66" spans="80:89">
      <c r="CB66" s="1968" t="s">
        <v>1499</v>
      </c>
      <c r="CC66" s="1421">
        <v>20</v>
      </c>
      <c r="CD66" s="1421">
        <v>45</v>
      </c>
      <c r="CE66" s="1421">
        <v>10</v>
      </c>
      <c r="CF66" s="1421">
        <v>2</v>
      </c>
      <c r="CG66" s="1421">
        <v>2</v>
      </c>
      <c r="CH66" s="1421">
        <v>0</v>
      </c>
      <c r="CI66" s="1421">
        <v>0</v>
      </c>
      <c r="CJ66" s="2133">
        <v>30</v>
      </c>
      <c r="CK66" s="2134">
        <v>0.2</v>
      </c>
    </row>
    <row r="67" spans="80:89">
      <c r="CB67" s="1968" t="s">
        <v>1500</v>
      </c>
      <c r="CC67" s="1421">
        <v>300</v>
      </c>
      <c r="CD67" s="1421">
        <v>130</v>
      </c>
      <c r="CE67" s="1421">
        <v>10</v>
      </c>
      <c r="CF67" s="1421">
        <v>13</v>
      </c>
      <c r="CG67" s="1421">
        <v>13</v>
      </c>
      <c r="CH67" s="1421">
        <v>0</v>
      </c>
      <c r="CI67" s="1421">
        <v>0</v>
      </c>
      <c r="CJ67" s="2136">
        <v>30</v>
      </c>
      <c r="CK67" s="2132">
        <v>0.2</v>
      </c>
    </row>
    <row r="68" spans="80:89">
      <c r="CB68" s="1968" t="s">
        <v>1501</v>
      </c>
      <c r="CC68" s="1421">
        <v>150</v>
      </c>
      <c r="CD68" s="1421">
        <v>125</v>
      </c>
      <c r="CE68" s="1421">
        <v>10</v>
      </c>
      <c r="CF68" s="1421">
        <v>12.5</v>
      </c>
      <c r="CG68" s="1421">
        <v>12.5</v>
      </c>
      <c r="CH68" s="1421">
        <v>0</v>
      </c>
      <c r="CI68" s="1421">
        <v>0</v>
      </c>
      <c r="CJ68" s="2131">
        <v>30</v>
      </c>
      <c r="CK68" s="2132">
        <v>0.16</v>
      </c>
    </row>
    <row r="69" spans="80:89">
      <c r="CB69" s="1968" t="s">
        <v>1502</v>
      </c>
      <c r="CC69" s="1421">
        <v>40</v>
      </c>
      <c r="CD69" s="1421">
        <v>120</v>
      </c>
      <c r="CE69" s="1421">
        <v>10</v>
      </c>
      <c r="CF69" s="1421">
        <v>12</v>
      </c>
      <c r="CG69" s="1421">
        <v>12</v>
      </c>
      <c r="CH69" s="1421">
        <v>0</v>
      </c>
      <c r="CI69" s="1421">
        <v>0</v>
      </c>
      <c r="CJ69" s="2131">
        <v>60</v>
      </c>
      <c r="CK69" s="2134">
        <v>1.22</v>
      </c>
    </row>
    <row r="70" spans="80:89">
      <c r="CB70" s="1968" t="s">
        <v>1503</v>
      </c>
      <c r="CC70" s="1421">
        <v>40</v>
      </c>
      <c r="CD70" s="1421">
        <v>120</v>
      </c>
      <c r="CE70" s="1421">
        <v>10</v>
      </c>
      <c r="CF70" s="1421">
        <v>12</v>
      </c>
      <c r="CG70" s="1421">
        <v>12</v>
      </c>
      <c r="CH70" s="1421">
        <v>0</v>
      </c>
      <c r="CI70" s="1421">
        <v>0</v>
      </c>
      <c r="CJ70" s="2131">
        <v>60</v>
      </c>
      <c r="CK70" s="2134">
        <v>0.83</v>
      </c>
    </row>
    <row r="71" spans="80:89">
      <c r="CB71" s="1968" t="s">
        <v>1504</v>
      </c>
      <c r="CC71" s="1421">
        <v>150</v>
      </c>
      <c r="CD71" s="1421">
        <v>190</v>
      </c>
      <c r="CE71" s="1421">
        <v>10</v>
      </c>
      <c r="CF71" s="1421">
        <v>19</v>
      </c>
      <c r="CG71" s="1421">
        <v>19</v>
      </c>
      <c r="CH71" s="1421">
        <v>0</v>
      </c>
      <c r="CI71" s="1421">
        <v>0</v>
      </c>
      <c r="CJ71" s="2133">
        <v>60</v>
      </c>
      <c r="CK71" s="2134">
        <v>0.23</v>
      </c>
    </row>
    <row r="72" spans="80:89">
      <c r="CB72" s="1968" t="s">
        <v>1505</v>
      </c>
      <c r="CC72" s="1421">
        <v>220</v>
      </c>
      <c r="CD72" s="1421">
        <v>135</v>
      </c>
      <c r="CE72" s="1421">
        <v>10</v>
      </c>
      <c r="CF72" s="1421">
        <v>13.5</v>
      </c>
      <c r="CG72" s="1421">
        <v>13.5</v>
      </c>
      <c r="CH72" s="1421">
        <v>0</v>
      </c>
      <c r="CI72" s="1421">
        <v>0</v>
      </c>
      <c r="CJ72" s="2135">
        <v>60</v>
      </c>
      <c r="CK72" s="2132">
        <v>0.08</v>
      </c>
    </row>
    <row r="73" spans="80:89">
      <c r="CB73" s="1968" t="s">
        <v>1506</v>
      </c>
      <c r="CC73" s="1421">
        <v>480</v>
      </c>
      <c r="CD73" s="1421">
        <v>195</v>
      </c>
      <c r="CE73" s="1421">
        <v>10</v>
      </c>
      <c r="CF73" s="1421">
        <v>19.5</v>
      </c>
      <c r="CG73" s="1421">
        <v>19.5</v>
      </c>
      <c r="CH73" s="1421">
        <v>0</v>
      </c>
      <c r="CI73" s="1421">
        <v>0</v>
      </c>
      <c r="CJ73" s="2135">
        <v>60</v>
      </c>
      <c r="CK73" s="2132">
        <v>0.05</v>
      </c>
    </row>
    <row r="74" spans="80:89">
      <c r="CB74" s="1968" t="s">
        <v>1507</v>
      </c>
      <c r="CC74" s="1421">
        <v>300</v>
      </c>
      <c r="CD74" s="1421">
        <v>155</v>
      </c>
      <c r="CE74" s="1421">
        <v>10</v>
      </c>
      <c r="CF74" s="1421">
        <v>15.5</v>
      </c>
      <c r="CG74" s="1421">
        <v>15.5</v>
      </c>
      <c r="CH74" s="1421">
        <v>0</v>
      </c>
      <c r="CI74" s="1421">
        <v>0</v>
      </c>
      <c r="CJ74" s="2131">
        <v>30</v>
      </c>
      <c r="CK74" s="2132">
        <v>0.14000000000000001</v>
      </c>
    </row>
    <row r="75" spans="80:89">
      <c r="CB75" s="1968" t="s">
        <v>1508</v>
      </c>
      <c r="CC75" s="1421">
        <v>300</v>
      </c>
      <c r="CD75" s="1421">
        <v>150</v>
      </c>
      <c r="CE75" s="1421">
        <v>10</v>
      </c>
      <c r="CF75" s="1421">
        <v>15</v>
      </c>
      <c r="CG75" s="1421">
        <v>15</v>
      </c>
      <c r="CH75" s="1421">
        <v>0</v>
      </c>
      <c r="CI75" s="1421">
        <v>0</v>
      </c>
      <c r="CJ75" s="2131">
        <v>60</v>
      </c>
      <c r="CK75" s="2134">
        <v>0.17</v>
      </c>
    </row>
    <row r="76" spans="80:89">
      <c r="CB76" s="1968" t="s">
        <v>1509</v>
      </c>
      <c r="CC76" s="1421">
        <v>150</v>
      </c>
      <c r="CD76" s="1421">
        <v>120</v>
      </c>
      <c r="CE76" s="1421">
        <v>10</v>
      </c>
      <c r="CF76" s="1421">
        <v>12</v>
      </c>
      <c r="CG76" s="1421">
        <v>12</v>
      </c>
      <c r="CH76" s="1421">
        <v>0</v>
      </c>
      <c r="CI76" s="1421">
        <v>0</v>
      </c>
      <c r="CJ76" s="2131">
        <v>30</v>
      </c>
      <c r="CK76" s="2134">
        <v>0.26</v>
      </c>
    </row>
    <row r="77" spans="80:89">
      <c r="CB77" s="1968" t="s">
        <v>1510</v>
      </c>
      <c r="CC77" s="1421">
        <v>55</v>
      </c>
      <c r="CD77" s="1421">
        <v>75</v>
      </c>
      <c r="CE77" s="1421">
        <v>10</v>
      </c>
      <c r="CF77" s="1421">
        <v>4</v>
      </c>
      <c r="CG77" s="1421">
        <v>4</v>
      </c>
      <c r="CH77" s="1421">
        <v>0</v>
      </c>
      <c r="CI77" s="1421">
        <v>0</v>
      </c>
      <c r="CJ77" s="2133">
        <v>60</v>
      </c>
      <c r="CK77" s="2134">
        <v>0.2</v>
      </c>
    </row>
    <row r="78" spans="80:89">
      <c r="CB78" s="1968" t="s">
        <v>1511</v>
      </c>
      <c r="CC78" s="1421">
        <v>6</v>
      </c>
      <c r="CD78" s="1421">
        <v>25</v>
      </c>
      <c r="CE78" s="1421">
        <v>10</v>
      </c>
      <c r="CF78" s="1421">
        <v>1</v>
      </c>
      <c r="CG78" s="1421">
        <v>1</v>
      </c>
      <c r="CH78" s="1421">
        <v>0</v>
      </c>
      <c r="CI78" s="1421">
        <v>0</v>
      </c>
      <c r="CJ78" s="2133">
        <v>30</v>
      </c>
      <c r="CK78" s="2134">
        <v>0.24</v>
      </c>
    </row>
    <row r="79" spans="80:89">
      <c r="CB79" s="1968" t="s">
        <v>1512</v>
      </c>
      <c r="CC79" s="1421">
        <v>210</v>
      </c>
      <c r="CD79" s="1421">
        <v>165</v>
      </c>
      <c r="CE79" s="1421">
        <v>10</v>
      </c>
      <c r="CF79" s="1421">
        <v>16.5</v>
      </c>
      <c r="CG79" s="1421">
        <v>16.5</v>
      </c>
      <c r="CH79" s="1421">
        <v>0</v>
      </c>
      <c r="CI79" s="1421">
        <v>0</v>
      </c>
      <c r="CJ79" s="2131">
        <v>60</v>
      </c>
      <c r="CK79" s="2132">
        <v>0.21</v>
      </c>
    </row>
    <row r="80" spans="80:89">
      <c r="CB80" s="1968" t="s">
        <v>1513</v>
      </c>
      <c r="CC80" s="1421">
        <v>115</v>
      </c>
      <c r="CD80" s="1421">
        <v>110</v>
      </c>
      <c r="CE80" s="1421">
        <v>10</v>
      </c>
      <c r="CF80" s="1421">
        <v>6</v>
      </c>
      <c r="CG80" s="1421">
        <v>6</v>
      </c>
      <c r="CH80" s="1421">
        <v>0</v>
      </c>
      <c r="CI80" s="1421">
        <v>0</v>
      </c>
      <c r="CJ80" s="2133">
        <v>60</v>
      </c>
      <c r="CK80" s="2134">
        <v>0.22</v>
      </c>
    </row>
    <row r="81" spans="80:89">
      <c r="CB81" s="1968" t="s">
        <v>1514</v>
      </c>
      <c r="CC81" s="1421">
        <v>420</v>
      </c>
      <c r="CD81" s="1421">
        <v>200</v>
      </c>
      <c r="CE81" s="1421">
        <v>10</v>
      </c>
      <c r="CF81" s="1421">
        <v>20</v>
      </c>
      <c r="CG81" s="1421">
        <v>20</v>
      </c>
      <c r="CH81" s="1421">
        <v>0</v>
      </c>
      <c r="CI81" s="1421">
        <v>0</v>
      </c>
      <c r="CJ81" s="2133">
        <v>60</v>
      </c>
      <c r="CK81" s="2134">
        <v>7.0000000000000007E-2</v>
      </c>
    </row>
    <row r="82" spans="80:89">
      <c r="CB82" s="1968" t="s">
        <v>1515</v>
      </c>
      <c r="CC82" s="1421">
        <v>200</v>
      </c>
      <c r="CD82" s="1421">
        <v>145</v>
      </c>
      <c r="CE82" s="1421">
        <v>10</v>
      </c>
      <c r="CF82" s="1421">
        <v>15</v>
      </c>
      <c r="CG82" s="1421">
        <v>15</v>
      </c>
      <c r="CH82" s="1421">
        <v>0</v>
      </c>
      <c r="CI82" s="1421">
        <v>0</v>
      </c>
      <c r="CJ82" s="2131">
        <v>60</v>
      </c>
      <c r="CK82" s="2132">
        <v>0.2</v>
      </c>
    </row>
    <row r="83" spans="80:89">
      <c r="CB83" s="1968" t="s">
        <v>1516</v>
      </c>
      <c r="CC83" s="1421">
        <v>45</v>
      </c>
      <c r="CD83" s="1421">
        <v>75</v>
      </c>
      <c r="CE83" s="1421">
        <v>10</v>
      </c>
      <c r="CF83" s="1421">
        <v>4</v>
      </c>
      <c r="CG83" s="1421">
        <v>4</v>
      </c>
      <c r="CH83" s="1421">
        <v>0</v>
      </c>
      <c r="CI83" s="1421">
        <v>0</v>
      </c>
      <c r="CJ83" s="2136">
        <v>60</v>
      </c>
      <c r="CK83" s="2134">
        <v>0.32999999999999996</v>
      </c>
    </row>
    <row r="84" spans="80:89">
      <c r="CB84" s="1968" t="s">
        <v>1517</v>
      </c>
      <c r="CC84" s="1421">
        <v>45</v>
      </c>
      <c r="CD84" s="1421">
        <v>75</v>
      </c>
      <c r="CE84" s="1421">
        <v>10</v>
      </c>
      <c r="CF84" s="1421">
        <v>4</v>
      </c>
      <c r="CG84" s="1421">
        <v>4</v>
      </c>
      <c r="CH84" s="1421">
        <v>0</v>
      </c>
      <c r="CI84" s="1421">
        <v>0</v>
      </c>
      <c r="CJ84" s="2136">
        <v>60</v>
      </c>
      <c r="CK84" s="2134">
        <v>0.21</v>
      </c>
    </row>
    <row r="85" spans="80:89">
      <c r="CB85" s="1968" t="s">
        <v>1518</v>
      </c>
      <c r="CC85" s="1421">
        <v>20</v>
      </c>
      <c r="CD85" s="1421">
        <v>65</v>
      </c>
      <c r="CE85" s="1421">
        <v>10</v>
      </c>
      <c r="CF85" s="1421">
        <v>3</v>
      </c>
      <c r="CG85" s="1421">
        <v>3</v>
      </c>
      <c r="CH85" s="1421">
        <v>0</v>
      </c>
      <c r="CI85" s="1421">
        <v>0</v>
      </c>
      <c r="CJ85" s="2136">
        <v>60</v>
      </c>
      <c r="CK85" s="2134">
        <v>0.48</v>
      </c>
    </row>
    <row r="86" spans="80:89">
      <c r="CB86" s="1968" t="s">
        <v>1519</v>
      </c>
      <c r="CC86" s="1421">
        <v>20</v>
      </c>
      <c r="CD86" s="1421">
        <v>65</v>
      </c>
      <c r="CE86" s="1421">
        <v>10</v>
      </c>
      <c r="CF86" s="1421">
        <v>3</v>
      </c>
      <c r="CG86" s="1421">
        <v>3</v>
      </c>
      <c r="CH86" s="1421">
        <v>0</v>
      </c>
      <c r="CI86" s="1421">
        <v>0</v>
      </c>
      <c r="CJ86" s="2136">
        <v>60</v>
      </c>
      <c r="CK86" s="2132">
        <v>0.21</v>
      </c>
    </row>
    <row r="87" spans="80:89">
      <c r="CB87" s="1968" t="s">
        <v>1520</v>
      </c>
      <c r="CC87" s="1421">
        <v>185</v>
      </c>
      <c r="CD87" s="1421">
        <v>135</v>
      </c>
      <c r="CE87" s="1421">
        <v>10</v>
      </c>
      <c r="CF87" s="1421">
        <v>13.5</v>
      </c>
      <c r="CG87" s="1421">
        <v>13.5</v>
      </c>
      <c r="CH87" s="1421">
        <v>0</v>
      </c>
      <c r="CI87" s="1421">
        <v>0</v>
      </c>
      <c r="CJ87" s="2131">
        <v>30</v>
      </c>
      <c r="CK87" s="2134">
        <v>0.16</v>
      </c>
    </row>
    <row r="88" spans="80:89">
      <c r="CB88" s="1968" t="s">
        <v>1521</v>
      </c>
      <c r="CC88" s="1421">
        <v>200</v>
      </c>
      <c r="CD88" s="1421">
        <v>185</v>
      </c>
      <c r="CE88" s="1421">
        <v>10</v>
      </c>
      <c r="CF88" s="1421">
        <v>18.5</v>
      </c>
      <c r="CG88" s="1421">
        <v>18.5</v>
      </c>
      <c r="CH88" s="1421">
        <v>0</v>
      </c>
      <c r="CI88" s="1421">
        <v>0</v>
      </c>
      <c r="CJ88" s="2133">
        <v>60</v>
      </c>
      <c r="CK88" s="2134">
        <v>0.14000000000000001</v>
      </c>
    </row>
    <row r="89" spans="80:89">
      <c r="CB89" s="1968" t="s">
        <v>1522</v>
      </c>
      <c r="CC89" s="1421">
        <v>190</v>
      </c>
      <c r="CD89" s="1421">
        <v>120</v>
      </c>
      <c r="CE89" s="1421">
        <v>10</v>
      </c>
      <c r="CF89" s="1421">
        <v>12</v>
      </c>
      <c r="CG89" s="1421">
        <v>12</v>
      </c>
      <c r="CH89" s="1421">
        <v>0</v>
      </c>
      <c r="CI89" s="1421">
        <v>0</v>
      </c>
      <c r="CJ89" s="2131">
        <v>30</v>
      </c>
      <c r="CK89" s="2132">
        <v>0.1</v>
      </c>
    </row>
    <row r="90" spans="80:89">
      <c r="CB90" s="1968" t="s">
        <v>1523</v>
      </c>
      <c r="CC90" s="1421">
        <v>80</v>
      </c>
      <c r="CD90" s="1421">
        <v>85</v>
      </c>
      <c r="CE90" s="1421">
        <v>10</v>
      </c>
      <c r="CF90" s="1421">
        <v>8.5</v>
      </c>
      <c r="CG90" s="1421">
        <v>8.5</v>
      </c>
      <c r="CH90" s="1421">
        <v>0</v>
      </c>
      <c r="CI90" s="1421">
        <v>0</v>
      </c>
      <c r="CJ90" s="2131">
        <v>30</v>
      </c>
      <c r="CK90" s="2134">
        <v>0.28250000000000003</v>
      </c>
    </row>
    <row r="91" spans="80:89">
      <c r="CB91" s="1968" t="s">
        <v>1524</v>
      </c>
      <c r="CC91" s="1421">
        <v>80</v>
      </c>
      <c r="CD91" s="1421">
        <v>85</v>
      </c>
      <c r="CE91" s="1421">
        <v>10</v>
      </c>
      <c r="CF91" s="1421">
        <v>8.5</v>
      </c>
      <c r="CG91" s="1421">
        <v>8.5</v>
      </c>
      <c r="CH91" s="1421">
        <v>0</v>
      </c>
      <c r="CI91" s="1421">
        <v>0</v>
      </c>
      <c r="CJ91" s="2131">
        <v>30</v>
      </c>
      <c r="CK91" s="2134">
        <v>0.17</v>
      </c>
    </row>
    <row r="92" spans="80:89">
      <c r="CB92" s="1968" t="s">
        <v>1525</v>
      </c>
      <c r="CC92" s="1421">
        <v>120</v>
      </c>
      <c r="CD92" s="1421">
        <v>100</v>
      </c>
      <c r="CE92" s="1421">
        <v>10</v>
      </c>
      <c r="CF92" s="1421">
        <v>5</v>
      </c>
      <c r="CG92" s="1421">
        <v>5</v>
      </c>
      <c r="CH92" s="1421">
        <v>0</v>
      </c>
      <c r="CI92" s="1421">
        <v>0</v>
      </c>
      <c r="CJ92" s="2131">
        <v>30</v>
      </c>
      <c r="CK92" s="2134">
        <v>0.14000000000000001</v>
      </c>
    </row>
    <row r="93" spans="80:89">
      <c r="CB93" s="1968" t="s">
        <v>1526</v>
      </c>
      <c r="CC93" s="1421">
        <v>20</v>
      </c>
      <c r="CD93" s="1421">
        <v>80</v>
      </c>
      <c r="CE93" s="1421">
        <v>10</v>
      </c>
      <c r="CF93" s="1421">
        <v>8</v>
      </c>
      <c r="CG93" s="1421">
        <v>8</v>
      </c>
      <c r="CH93" s="1421">
        <v>0</v>
      </c>
      <c r="CI93" s="1421">
        <v>0</v>
      </c>
      <c r="CJ93" s="2136">
        <v>60</v>
      </c>
      <c r="CK93" s="2134">
        <v>2.15</v>
      </c>
    </row>
    <row r="94" spans="80:89">
      <c r="CB94" s="1968" t="s">
        <v>1527</v>
      </c>
      <c r="CC94" s="1421">
        <v>20</v>
      </c>
      <c r="CD94" s="1421">
        <v>80</v>
      </c>
      <c r="CE94" s="1421">
        <v>10</v>
      </c>
      <c r="CF94" s="1421">
        <v>8</v>
      </c>
      <c r="CG94" s="1421">
        <v>8</v>
      </c>
      <c r="CH94" s="1421">
        <v>0</v>
      </c>
      <c r="CI94" s="1421">
        <v>0</v>
      </c>
      <c r="CJ94" s="2136">
        <v>60</v>
      </c>
      <c r="CK94" s="2132">
        <v>1.1000000000000001</v>
      </c>
    </row>
    <row r="95" spans="80:89">
      <c r="CB95" s="1968" t="s">
        <v>1528</v>
      </c>
      <c r="CC95" s="1421">
        <v>200</v>
      </c>
      <c r="CD95" s="1421">
        <v>115</v>
      </c>
      <c r="CE95" s="1421">
        <v>10</v>
      </c>
      <c r="CF95" s="1421">
        <v>11.5</v>
      </c>
      <c r="CG95" s="1421">
        <v>11.5</v>
      </c>
      <c r="CH95" s="1421">
        <v>0</v>
      </c>
      <c r="CI95" s="1421">
        <v>0</v>
      </c>
      <c r="CJ95" s="2131">
        <v>30</v>
      </c>
      <c r="CK95" s="2132">
        <v>0.1</v>
      </c>
    </row>
    <row r="96" spans="80:89">
      <c r="CB96" s="1968" t="s">
        <v>1529</v>
      </c>
      <c r="CC96" s="1421">
        <v>70</v>
      </c>
      <c r="CD96" s="1421">
        <v>160</v>
      </c>
      <c r="CE96" s="1421">
        <v>10</v>
      </c>
      <c r="CF96" s="1421">
        <v>16</v>
      </c>
      <c r="CG96" s="1421">
        <v>16</v>
      </c>
      <c r="CH96" s="1421">
        <v>0</v>
      </c>
      <c r="CI96" s="1421">
        <v>0</v>
      </c>
      <c r="CJ96" s="2131">
        <v>30</v>
      </c>
      <c r="CK96" s="2134">
        <v>0.32</v>
      </c>
    </row>
    <row r="97" spans="80:89">
      <c r="CB97" s="1968" t="s">
        <v>1530</v>
      </c>
      <c r="CC97" s="1421">
        <v>70</v>
      </c>
      <c r="CD97" s="1421">
        <v>160</v>
      </c>
      <c r="CE97" s="1421">
        <v>10</v>
      </c>
      <c r="CF97" s="1421">
        <v>16</v>
      </c>
      <c r="CG97" s="1421">
        <v>16</v>
      </c>
      <c r="CH97" s="1421">
        <v>0</v>
      </c>
      <c r="CI97" s="1421">
        <v>0</v>
      </c>
      <c r="CJ97" s="2131">
        <v>30</v>
      </c>
      <c r="CK97" s="2132">
        <v>0.19</v>
      </c>
    </row>
    <row r="98" spans="80:89">
      <c r="CB98" s="1968" t="s">
        <v>1531</v>
      </c>
      <c r="CC98" s="1421">
        <v>95</v>
      </c>
      <c r="CD98" s="1421">
        <v>40</v>
      </c>
      <c r="CE98" s="1421">
        <v>9.5</v>
      </c>
      <c r="CF98" s="1421">
        <v>2</v>
      </c>
      <c r="CG98" s="1421">
        <v>2</v>
      </c>
      <c r="CH98" s="1421">
        <v>0</v>
      </c>
      <c r="CI98" s="1421">
        <v>0</v>
      </c>
      <c r="CJ98" s="2133">
        <v>30</v>
      </c>
      <c r="CK98" s="2134">
        <v>0.12</v>
      </c>
    </row>
    <row r="99" spans="80:89">
      <c r="CB99" s="1968" t="s">
        <v>1532</v>
      </c>
      <c r="CC99" s="1421">
        <v>25</v>
      </c>
      <c r="CD99" s="1421">
        <v>30</v>
      </c>
      <c r="CE99" s="1421">
        <v>10</v>
      </c>
      <c r="CF99" s="1421">
        <v>2</v>
      </c>
      <c r="CG99" s="1421">
        <v>2</v>
      </c>
      <c r="CH99" s="1421">
        <v>0</v>
      </c>
      <c r="CI99" s="1421">
        <v>0</v>
      </c>
      <c r="CJ99" s="2133">
        <v>30</v>
      </c>
      <c r="CK99" s="2134">
        <v>0.22</v>
      </c>
    </row>
    <row r="100" spans="80:89">
      <c r="CB100" s="1968" t="s">
        <v>1533</v>
      </c>
      <c r="CC100" s="1421">
        <v>20</v>
      </c>
      <c r="CD100" s="1421">
        <v>110</v>
      </c>
      <c r="CE100" s="1421">
        <v>10</v>
      </c>
      <c r="CF100" s="1421">
        <v>11</v>
      </c>
      <c r="CG100" s="1421">
        <v>11</v>
      </c>
      <c r="CH100" s="1421">
        <v>0</v>
      </c>
      <c r="CI100" s="1421">
        <v>0</v>
      </c>
      <c r="CJ100" s="2136">
        <v>60</v>
      </c>
      <c r="CK100" s="2134">
        <v>2.7249999999999996</v>
      </c>
    </row>
    <row r="101" spans="80:89">
      <c r="CB101" s="1968" t="s">
        <v>1534</v>
      </c>
      <c r="CC101" s="1421">
        <v>20</v>
      </c>
      <c r="CD101" s="1421">
        <v>110</v>
      </c>
      <c r="CE101" s="1421">
        <v>10</v>
      </c>
      <c r="CF101" s="1421">
        <v>11</v>
      </c>
      <c r="CG101" s="1421">
        <v>11</v>
      </c>
      <c r="CH101" s="1421">
        <v>0</v>
      </c>
      <c r="CI101" s="1421">
        <v>0</v>
      </c>
      <c r="CJ101" s="2136">
        <v>60</v>
      </c>
      <c r="CK101" s="2134">
        <v>1.1499999999999999</v>
      </c>
    </row>
    <row r="102" spans="80:89">
      <c r="CB102" s="1968" t="s">
        <v>1535</v>
      </c>
      <c r="CC102" s="1421">
        <v>23</v>
      </c>
      <c r="CD102" s="1421">
        <v>120</v>
      </c>
      <c r="CE102" s="1421">
        <v>10</v>
      </c>
      <c r="CF102" s="1421">
        <v>12</v>
      </c>
      <c r="CG102" s="1421">
        <v>12</v>
      </c>
      <c r="CH102" s="1421">
        <v>0</v>
      </c>
      <c r="CI102" s="1421">
        <v>0</v>
      </c>
      <c r="CJ102" s="2131">
        <v>60</v>
      </c>
      <c r="CK102" s="2134">
        <v>2.7021739130434779</v>
      </c>
    </row>
    <row r="103" spans="80:89">
      <c r="CB103" s="1968" t="s">
        <v>1536</v>
      </c>
      <c r="CC103" s="1421">
        <v>23</v>
      </c>
      <c r="CD103" s="1421">
        <v>120</v>
      </c>
      <c r="CE103" s="1421">
        <v>10</v>
      </c>
      <c r="CF103" s="1421">
        <v>12</v>
      </c>
      <c r="CG103" s="1421">
        <v>12</v>
      </c>
      <c r="CH103" s="1421">
        <v>0</v>
      </c>
      <c r="CI103" s="1421">
        <v>0</v>
      </c>
      <c r="CJ103" s="2131">
        <v>60</v>
      </c>
      <c r="CK103" s="2132">
        <v>1.1499999999999999</v>
      </c>
    </row>
    <row r="104" spans="80:89">
      <c r="CB104" s="1968" t="s">
        <v>1537</v>
      </c>
      <c r="CC104" s="1421">
        <v>0</v>
      </c>
      <c r="CD104" s="1421">
        <v>20</v>
      </c>
      <c r="CE104" s="1421">
        <v>10</v>
      </c>
      <c r="CF104" s="1421">
        <v>1</v>
      </c>
      <c r="CG104" s="1421">
        <v>1</v>
      </c>
      <c r="CH104" s="1421">
        <v>0</v>
      </c>
      <c r="CI104" s="1421">
        <v>0</v>
      </c>
      <c r="CJ104" s="2133">
        <v>60</v>
      </c>
      <c r="CK104" s="2134">
        <v>1.1499999999999999</v>
      </c>
    </row>
    <row r="105" spans="80:89">
      <c r="CB105" s="1968" t="s">
        <v>1538</v>
      </c>
      <c r="CC105" s="1421">
        <v>25</v>
      </c>
      <c r="CD105" s="1421">
        <v>90</v>
      </c>
      <c r="CE105" s="1421">
        <v>10</v>
      </c>
      <c r="CF105" s="1421">
        <v>9</v>
      </c>
      <c r="CG105" s="1421">
        <v>9</v>
      </c>
      <c r="CH105" s="1421">
        <v>0</v>
      </c>
      <c r="CI105" s="1421">
        <v>0</v>
      </c>
      <c r="CJ105" s="2136">
        <v>60</v>
      </c>
      <c r="CK105" s="2132">
        <v>0.13</v>
      </c>
    </row>
    <row r="106" spans="80:89">
      <c r="CB106" s="1968" t="s">
        <v>1539</v>
      </c>
      <c r="CC106" s="1421">
        <v>550</v>
      </c>
      <c r="CD106" s="1421">
        <v>245</v>
      </c>
      <c r="CE106" s="1421">
        <v>10</v>
      </c>
      <c r="CF106" s="1421">
        <v>25</v>
      </c>
      <c r="CG106" s="1421">
        <v>25</v>
      </c>
      <c r="CH106" s="1421">
        <v>0</v>
      </c>
      <c r="CI106" s="1421">
        <v>0</v>
      </c>
      <c r="CJ106" s="2131">
        <v>60</v>
      </c>
      <c r="CK106" s="2132">
        <v>0.11</v>
      </c>
    </row>
    <row r="107" spans="80:89">
      <c r="CB107" s="1968" t="s">
        <v>1540</v>
      </c>
      <c r="CC107" s="1421">
        <v>550</v>
      </c>
      <c r="CD107" s="1421">
        <v>245</v>
      </c>
      <c r="CE107" s="1421">
        <v>10</v>
      </c>
      <c r="CF107" s="1421">
        <v>25</v>
      </c>
      <c r="CG107" s="1421">
        <v>25</v>
      </c>
      <c r="CH107" s="1421">
        <v>0</v>
      </c>
      <c r="CI107" s="1421">
        <v>0</v>
      </c>
      <c r="CJ107" s="2131">
        <v>60</v>
      </c>
      <c r="CK107" s="2132">
        <v>0.65416666666666667</v>
      </c>
    </row>
    <row r="108" spans="80:89">
      <c r="CB108" s="1421" t="s">
        <v>1541</v>
      </c>
      <c r="CC108" s="1421">
        <v>120</v>
      </c>
      <c r="CD108" s="1421">
        <v>245</v>
      </c>
      <c r="CE108" s="1421">
        <v>10</v>
      </c>
      <c r="CF108" s="1421">
        <v>25</v>
      </c>
      <c r="CG108" s="1421">
        <v>25</v>
      </c>
      <c r="CH108" s="1421">
        <v>0</v>
      </c>
      <c r="CI108" s="1421">
        <v>0</v>
      </c>
      <c r="CJ108" s="2131">
        <v>60</v>
      </c>
      <c r="CK108" s="2132">
        <v>0.15</v>
      </c>
    </row>
    <row r="109" spans="80:89">
      <c r="CB109" s="1421" t="s">
        <v>1542</v>
      </c>
      <c r="CC109" s="1421">
        <v>30</v>
      </c>
      <c r="CD109" s="1421">
        <v>100</v>
      </c>
      <c r="CE109" s="1421">
        <v>10</v>
      </c>
      <c r="CF109" s="1421">
        <v>5</v>
      </c>
      <c r="CG109" s="1421">
        <v>5</v>
      </c>
      <c r="CH109" s="1421">
        <v>0</v>
      </c>
      <c r="CI109" s="1421">
        <v>0</v>
      </c>
      <c r="CJ109" s="2135">
        <v>30</v>
      </c>
      <c r="CK109" s="2132">
        <v>0.21</v>
      </c>
    </row>
    <row r="110" spans="80:89">
      <c r="CB110" s="1421" t="s">
        <v>1543</v>
      </c>
      <c r="CC110" s="1421">
        <v>275</v>
      </c>
      <c r="CD110" s="2137">
        <v>135</v>
      </c>
      <c r="CE110" s="1421">
        <v>10</v>
      </c>
      <c r="CF110" s="1421">
        <v>14</v>
      </c>
      <c r="CG110" s="1421">
        <v>14</v>
      </c>
      <c r="CH110" s="1421">
        <v>0</v>
      </c>
      <c r="CI110" s="1421">
        <v>0</v>
      </c>
      <c r="CJ110" s="2136">
        <v>60</v>
      </c>
      <c r="CK110" s="2132">
        <v>0.11</v>
      </c>
    </row>
    <row r="111" spans="80:89">
      <c r="CB111" s="1421" t="s">
        <v>1544</v>
      </c>
      <c r="CC111" s="1421">
        <v>100</v>
      </c>
      <c r="CD111" s="2137">
        <v>70</v>
      </c>
      <c r="CE111" s="1421">
        <v>10</v>
      </c>
      <c r="CF111" s="1421">
        <v>7</v>
      </c>
      <c r="CG111" s="1421">
        <v>7</v>
      </c>
      <c r="CH111" s="1421">
        <v>0</v>
      </c>
      <c r="CI111" s="1421">
        <v>0</v>
      </c>
      <c r="CJ111" s="2131">
        <v>60</v>
      </c>
      <c r="CK111" s="2132">
        <v>0.2</v>
      </c>
    </row>
    <row r="112" spans="80:89">
      <c r="CB112" s="1421" t="s">
        <v>1545</v>
      </c>
      <c r="CC112" s="1421">
        <v>200</v>
      </c>
      <c r="CD112" s="2137">
        <v>135</v>
      </c>
      <c r="CE112" s="1421">
        <v>10</v>
      </c>
      <c r="CF112" s="1421">
        <v>14</v>
      </c>
      <c r="CG112" s="1421">
        <v>14</v>
      </c>
      <c r="CH112" s="1421">
        <v>0</v>
      </c>
      <c r="CI112" s="1421">
        <v>0</v>
      </c>
      <c r="CJ112" s="2131">
        <v>30</v>
      </c>
      <c r="CK112" s="2132">
        <v>0.14000000000000001</v>
      </c>
    </row>
    <row r="113" spans="80:89">
      <c r="CB113" s="1421" t="s">
        <v>1546</v>
      </c>
      <c r="CC113" s="1421">
        <v>500</v>
      </c>
      <c r="CD113" s="1967">
        <v>215</v>
      </c>
      <c r="CE113" s="1421">
        <v>10</v>
      </c>
      <c r="CF113" s="1421">
        <v>21.5</v>
      </c>
      <c r="CG113" s="1421">
        <v>21.5</v>
      </c>
      <c r="CH113" s="1421">
        <v>0</v>
      </c>
      <c r="CI113" s="1421">
        <v>0</v>
      </c>
      <c r="CJ113" s="2131">
        <v>60</v>
      </c>
      <c r="CK113" s="2132">
        <v>0.16</v>
      </c>
    </row>
    <row r="114" spans="80:89">
      <c r="CB114" s="1421" t="s">
        <v>1547</v>
      </c>
      <c r="CC114" s="1421">
        <v>100</v>
      </c>
      <c r="CD114" s="1967">
        <v>235</v>
      </c>
      <c r="CE114" s="1421">
        <v>10</v>
      </c>
      <c r="CF114" s="1421">
        <v>23.5</v>
      </c>
      <c r="CG114" s="1421">
        <v>23.5</v>
      </c>
      <c r="CH114" s="1421">
        <v>0</v>
      </c>
      <c r="CI114" s="1421">
        <v>0</v>
      </c>
      <c r="CJ114" s="2131">
        <v>60</v>
      </c>
      <c r="CK114" s="2132">
        <v>0.88</v>
      </c>
    </row>
    <row r="115" spans="80:89">
      <c r="CB115" s="1421" t="s">
        <v>1548</v>
      </c>
      <c r="CC115" s="1421">
        <v>100</v>
      </c>
      <c r="CD115" s="1967">
        <v>235</v>
      </c>
      <c r="CE115" s="1421">
        <v>10</v>
      </c>
      <c r="CF115" s="1421">
        <v>23.5</v>
      </c>
      <c r="CG115" s="1421">
        <v>23.5</v>
      </c>
      <c r="CH115" s="1421">
        <v>0</v>
      </c>
      <c r="CI115" s="1421">
        <v>0</v>
      </c>
      <c r="CJ115" s="2131">
        <v>60</v>
      </c>
      <c r="CK115" s="2132">
        <v>0.16</v>
      </c>
    </row>
    <row r="116" spans="80:89">
      <c r="CB116" s="1421" t="s">
        <v>1549</v>
      </c>
      <c r="CC116" s="1421">
        <v>280</v>
      </c>
      <c r="CD116" s="1967">
        <v>105</v>
      </c>
      <c r="CE116" s="1421">
        <v>10</v>
      </c>
      <c r="CF116" s="1421">
        <v>5</v>
      </c>
      <c r="CG116" s="1421">
        <v>5</v>
      </c>
      <c r="CH116" s="1421">
        <v>0</v>
      </c>
      <c r="CI116" s="1421">
        <v>0</v>
      </c>
      <c r="CJ116" s="2133">
        <v>60</v>
      </c>
      <c r="CK116" s="2134">
        <v>0.12</v>
      </c>
    </row>
    <row r="117" spans="80:89">
      <c r="CB117" s="1421" t="s">
        <v>1550</v>
      </c>
      <c r="CC117" s="1421">
        <v>15</v>
      </c>
      <c r="CD117" s="1967">
        <v>100</v>
      </c>
      <c r="CE117" s="1421">
        <v>10</v>
      </c>
      <c r="CF117" s="1421">
        <v>10</v>
      </c>
      <c r="CG117" s="1421">
        <v>10</v>
      </c>
      <c r="CH117" s="1421">
        <v>0</v>
      </c>
      <c r="CI117" s="1421">
        <v>0</v>
      </c>
      <c r="CJ117" s="2133">
        <v>60</v>
      </c>
      <c r="CK117" s="2132">
        <v>3.2666666666666666</v>
      </c>
    </row>
    <row r="118" spans="80:89">
      <c r="CB118" s="1421" t="s">
        <v>1551</v>
      </c>
      <c r="CC118" s="1421">
        <v>15</v>
      </c>
      <c r="CD118" s="1967">
        <v>100</v>
      </c>
      <c r="CE118" s="1421">
        <v>10</v>
      </c>
      <c r="CF118" s="1421">
        <v>10</v>
      </c>
      <c r="CG118" s="1421">
        <v>10</v>
      </c>
      <c r="CH118" s="1421">
        <v>0</v>
      </c>
      <c r="CI118" s="1421">
        <v>0</v>
      </c>
      <c r="CJ118" s="2133">
        <v>60</v>
      </c>
      <c r="CK118" s="2132">
        <v>1.1200000000000001</v>
      </c>
    </row>
    <row r="119" spans="80:89">
      <c r="CB119" s="1421" t="s">
        <v>1552</v>
      </c>
      <c r="CC119" s="1421">
        <v>200</v>
      </c>
      <c r="CD119" s="1967">
        <v>255</v>
      </c>
      <c r="CE119" s="1421">
        <v>10</v>
      </c>
      <c r="CF119" s="1421">
        <v>26</v>
      </c>
      <c r="CG119" s="1421">
        <v>26</v>
      </c>
      <c r="CH119" s="1421">
        <v>0</v>
      </c>
      <c r="CI119" s="1421">
        <v>0</v>
      </c>
      <c r="CJ119" s="2131">
        <v>60</v>
      </c>
      <c r="CK119" s="2132">
        <v>0.34499999999999997</v>
      </c>
    </row>
    <row r="120" spans="80:89">
      <c r="CB120" s="1421" t="s">
        <v>1553</v>
      </c>
      <c r="CC120" s="1421">
        <v>200</v>
      </c>
      <c r="CD120" s="1967">
        <v>255</v>
      </c>
      <c r="CE120" s="1421">
        <v>10</v>
      </c>
      <c r="CF120" s="1421">
        <v>26</v>
      </c>
      <c r="CG120" s="1421">
        <v>26</v>
      </c>
      <c r="CH120" s="1421">
        <v>0</v>
      </c>
      <c r="CI120" s="1421">
        <v>0</v>
      </c>
      <c r="CJ120" s="2131">
        <v>60</v>
      </c>
      <c r="CK120" s="2132">
        <v>0.22</v>
      </c>
    </row>
    <row r="121" spans="80:89">
      <c r="CB121" s="1421" t="s">
        <v>1554</v>
      </c>
      <c r="CC121" s="1421">
        <v>35</v>
      </c>
      <c r="CD121" s="1967">
        <v>40</v>
      </c>
      <c r="CE121" s="1421">
        <v>10</v>
      </c>
      <c r="CF121" s="1421">
        <v>2</v>
      </c>
      <c r="CG121" s="1421">
        <v>2</v>
      </c>
      <c r="CH121" s="1421">
        <v>0</v>
      </c>
      <c r="CI121" s="1421">
        <v>0</v>
      </c>
      <c r="CJ121" s="2133">
        <v>30</v>
      </c>
      <c r="CK121" s="2134">
        <v>0.45428571428571429</v>
      </c>
    </row>
    <row r="122" spans="80:89">
      <c r="CB122" s="1421" t="s">
        <v>1555</v>
      </c>
      <c r="CC122" s="1421">
        <v>35</v>
      </c>
      <c r="CD122" s="1967">
        <v>40</v>
      </c>
      <c r="CE122" s="1421">
        <v>10</v>
      </c>
      <c r="CF122" s="1421">
        <v>2</v>
      </c>
      <c r="CG122" s="1421">
        <v>2</v>
      </c>
      <c r="CH122" s="1421">
        <v>0</v>
      </c>
      <c r="CI122" s="1421">
        <v>0</v>
      </c>
      <c r="CJ122" s="2133">
        <v>30</v>
      </c>
      <c r="CK122" s="2134">
        <v>0.28000000000000003</v>
      </c>
    </row>
    <row r="123" spans="80:89">
      <c r="CB123" s="1421" t="s">
        <v>1556</v>
      </c>
      <c r="CC123" s="1421">
        <v>150</v>
      </c>
      <c r="CD123" s="1967">
        <v>90</v>
      </c>
      <c r="CE123" s="1421">
        <v>10</v>
      </c>
      <c r="CF123" s="1421">
        <v>5</v>
      </c>
      <c r="CG123" s="1421">
        <v>5</v>
      </c>
      <c r="CH123" s="1421">
        <v>0</v>
      </c>
      <c r="CI123" s="1421">
        <v>0</v>
      </c>
      <c r="CJ123" s="2131">
        <v>30</v>
      </c>
      <c r="CK123" s="2132">
        <v>0.11</v>
      </c>
    </row>
    <row r="124" spans="80:89">
      <c r="CB124" s="1421" t="s">
        <v>1557</v>
      </c>
      <c r="CC124" s="1421">
        <v>25</v>
      </c>
      <c r="CD124" s="1967">
        <v>80</v>
      </c>
      <c r="CE124" s="1421">
        <v>10</v>
      </c>
      <c r="CF124" s="1421">
        <v>8</v>
      </c>
      <c r="CG124" s="1421">
        <v>8</v>
      </c>
      <c r="CH124" s="1421">
        <v>0</v>
      </c>
      <c r="CI124" s="1421">
        <v>0</v>
      </c>
      <c r="CJ124" s="2131">
        <v>60</v>
      </c>
      <c r="CK124" s="2134">
        <v>1.9019999999999999</v>
      </c>
    </row>
    <row r="125" spans="80:89">
      <c r="CB125" s="1421" t="s">
        <v>1558</v>
      </c>
      <c r="CC125" s="1421">
        <v>25</v>
      </c>
      <c r="CD125" s="1967">
        <v>80</v>
      </c>
      <c r="CE125" s="1421">
        <v>10</v>
      </c>
      <c r="CF125" s="1421">
        <v>8</v>
      </c>
      <c r="CG125" s="1421">
        <v>8</v>
      </c>
      <c r="CH125" s="1421">
        <v>0</v>
      </c>
      <c r="CI125" s="1421">
        <v>0</v>
      </c>
      <c r="CJ125" s="2131">
        <v>60</v>
      </c>
      <c r="CK125" s="2132">
        <v>0.95</v>
      </c>
    </row>
    <row r="126" spans="80:89">
      <c r="CB126" s="1421" t="s">
        <v>1559</v>
      </c>
      <c r="CC126" s="1421">
        <v>300</v>
      </c>
      <c r="CD126" s="1967">
        <v>165</v>
      </c>
      <c r="CE126" s="1421">
        <v>10</v>
      </c>
      <c r="CF126" s="1421">
        <v>17</v>
      </c>
      <c r="CG126" s="1421">
        <v>17</v>
      </c>
      <c r="CH126" s="1421">
        <v>0</v>
      </c>
      <c r="CI126" s="1421">
        <v>0</v>
      </c>
      <c r="CJ126" s="2131">
        <v>60</v>
      </c>
      <c r="CK126" s="2134">
        <v>0.16</v>
      </c>
    </row>
    <row r="127" spans="80:89">
      <c r="CB127" s="1421" t="s">
        <v>1560</v>
      </c>
      <c r="CC127" s="1421">
        <v>120</v>
      </c>
      <c r="CD127" s="1967">
        <v>95</v>
      </c>
      <c r="CE127" s="1421">
        <v>10</v>
      </c>
      <c r="CF127" s="1421">
        <v>5</v>
      </c>
      <c r="CG127" s="1421">
        <v>5</v>
      </c>
      <c r="CH127" s="1421">
        <v>0</v>
      </c>
      <c r="CI127" s="1421">
        <v>0</v>
      </c>
      <c r="CJ127" s="2131">
        <v>60</v>
      </c>
      <c r="CK127" s="2132">
        <v>0.16</v>
      </c>
    </row>
    <row r="128" spans="80:89">
      <c r="CB128" s="1421" t="s">
        <v>1561</v>
      </c>
      <c r="CC128" s="1421">
        <v>250</v>
      </c>
      <c r="CD128" s="1967">
        <v>170</v>
      </c>
      <c r="CE128" s="1421">
        <v>10</v>
      </c>
      <c r="CF128" s="1421">
        <v>17</v>
      </c>
      <c r="CG128" s="1421">
        <v>17</v>
      </c>
      <c r="CH128" s="1421">
        <v>0</v>
      </c>
      <c r="CI128" s="1421">
        <v>0</v>
      </c>
      <c r="CJ128" s="2131">
        <v>60</v>
      </c>
      <c r="CK128" s="2132">
        <v>0.14000000000000001</v>
      </c>
    </row>
    <row r="129" spans="80:89">
      <c r="CB129" s="1421" t="s">
        <v>1562</v>
      </c>
      <c r="CC129" s="1421">
        <v>15</v>
      </c>
      <c r="CD129" s="1967">
        <v>100</v>
      </c>
      <c r="CE129" s="1421">
        <v>10</v>
      </c>
      <c r="CF129" s="1421">
        <v>10</v>
      </c>
      <c r="CG129" s="1421">
        <v>10</v>
      </c>
      <c r="CH129" s="1421">
        <v>0</v>
      </c>
      <c r="CI129" s="1421">
        <v>0</v>
      </c>
      <c r="CJ129" s="2131">
        <v>60</v>
      </c>
      <c r="CK129" s="2134">
        <v>2.4266666666666672</v>
      </c>
    </row>
    <row r="130" spans="80:89">
      <c r="CB130" s="1421" t="s">
        <v>1563</v>
      </c>
      <c r="CC130" s="1421">
        <v>15</v>
      </c>
      <c r="CD130" s="1967">
        <v>100</v>
      </c>
      <c r="CE130" s="1421">
        <v>10</v>
      </c>
      <c r="CF130" s="1421">
        <v>10</v>
      </c>
      <c r="CG130" s="1421">
        <v>10</v>
      </c>
      <c r="CH130" s="1421">
        <v>0</v>
      </c>
      <c r="CI130" s="1421">
        <v>0</v>
      </c>
      <c r="CJ130" s="2131">
        <v>60</v>
      </c>
      <c r="CK130" s="2132">
        <v>1.1200000000000001</v>
      </c>
    </row>
    <row r="131" spans="80:89">
      <c r="CB131" s="1421" t="s">
        <v>1564</v>
      </c>
      <c r="CC131" s="1421">
        <v>150</v>
      </c>
      <c r="CD131" s="1967">
        <v>115</v>
      </c>
      <c r="CE131" s="1421">
        <v>10</v>
      </c>
      <c r="CF131" s="1421">
        <v>12</v>
      </c>
      <c r="CG131" s="1421">
        <v>12</v>
      </c>
      <c r="CH131" s="1421">
        <v>0</v>
      </c>
      <c r="CI131" s="1421">
        <v>0</v>
      </c>
      <c r="CJ131" s="2133">
        <v>30</v>
      </c>
      <c r="CK131" s="2134">
        <v>0.29333333333333333</v>
      </c>
    </row>
    <row r="132" spans="80:89">
      <c r="CB132" s="1421" t="s">
        <v>1565</v>
      </c>
      <c r="CC132" s="1421">
        <v>150</v>
      </c>
      <c r="CD132" s="1967">
        <v>115</v>
      </c>
      <c r="CE132" s="1421">
        <v>10</v>
      </c>
      <c r="CF132" s="1421">
        <v>12</v>
      </c>
      <c r="CG132" s="1421">
        <v>12</v>
      </c>
      <c r="CH132" s="1421">
        <v>0</v>
      </c>
      <c r="CI132" s="1421">
        <v>0</v>
      </c>
      <c r="CJ132" s="2133">
        <v>30</v>
      </c>
      <c r="CK132" s="2134">
        <v>0.18</v>
      </c>
    </row>
    <row r="133" spans="80:89">
      <c r="CB133" s="1421" t="s">
        <v>1566</v>
      </c>
      <c r="CC133" s="1421">
        <v>160</v>
      </c>
      <c r="CD133" s="1967">
        <v>100</v>
      </c>
      <c r="CE133" s="1421">
        <v>10</v>
      </c>
      <c r="CF133" s="1421">
        <v>10</v>
      </c>
      <c r="CG133" s="1421">
        <v>10</v>
      </c>
      <c r="CH133" s="1421">
        <v>0</v>
      </c>
      <c r="CI133" s="1421">
        <v>0</v>
      </c>
      <c r="CJ133" s="2133">
        <v>60</v>
      </c>
      <c r="CK133" s="2134">
        <v>0.15</v>
      </c>
    </row>
    <row r="134" spans="80:89">
      <c r="CB134" s="1421" t="s">
        <v>1567</v>
      </c>
      <c r="CC134" s="1421">
        <v>120</v>
      </c>
      <c r="CD134" s="1967">
        <v>100</v>
      </c>
      <c r="CE134" s="1421">
        <v>10</v>
      </c>
      <c r="CF134" s="1421">
        <v>5</v>
      </c>
      <c r="CG134" s="1421">
        <v>5</v>
      </c>
      <c r="CH134" s="1421">
        <v>0</v>
      </c>
      <c r="CI134" s="1421">
        <v>0</v>
      </c>
      <c r="CJ134" s="2131">
        <v>30</v>
      </c>
      <c r="CK134" s="2132">
        <v>0.14000000000000001</v>
      </c>
    </row>
    <row r="135" spans="80:89">
      <c r="CB135" s="1421" t="s">
        <v>1568</v>
      </c>
      <c r="CC135" s="1421">
        <v>50</v>
      </c>
      <c r="CD135" s="1967">
        <v>115</v>
      </c>
      <c r="CE135" s="1421">
        <v>10</v>
      </c>
      <c r="CF135" s="1421">
        <v>12</v>
      </c>
      <c r="CG135" s="1421">
        <v>12</v>
      </c>
      <c r="CH135" s="1421">
        <v>0</v>
      </c>
      <c r="CI135" s="1421">
        <v>0</v>
      </c>
      <c r="CJ135" s="2133">
        <v>60</v>
      </c>
      <c r="CK135" s="2134">
        <v>0.15</v>
      </c>
    </row>
    <row r="136" spans="80:89">
      <c r="CB136" s="1421" t="s">
        <v>1569</v>
      </c>
      <c r="CC136" s="1421">
        <v>130</v>
      </c>
      <c r="CD136" s="1967">
        <v>115</v>
      </c>
      <c r="CE136" s="1421">
        <v>10</v>
      </c>
      <c r="CF136" s="1421">
        <v>12</v>
      </c>
      <c r="CG136" s="1421">
        <v>12</v>
      </c>
      <c r="CH136" s="1421">
        <v>0</v>
      </c>
      <c r="CI136" s="1421">
        <v>0</v>
      </c>
      <c r="CJ136" s="2133">
        <v>60</v>
      </c>
      <c r="CK136" s="2138">
        <v>0.2076923076923077</v>
      </c>
    </row>
    <row r="137" spans="80:89">
      <c r="CB137" s="1421" t="s">
        <v>1570</v>
      </c>
      <c r="CC137" s="1421">
        <v>130</v>
      </c>
      <c r="CD137" s="1967">
        <v>115</v>
      </c>
      <c r="CE137" s="1421">
        <v>10</v>
      </c>
      <c r="CF137" s="1421">
        <v>12</v>
      </c>
      <c r="CG137" s="1421">
        <v>12</v>
      </c>
      <c r="CH137" s="1421">
        <v>0</v>
      </c>
      <c r="CI137" s="1421">
        <v>0</v>
      </c>
      <c r="CJ137" s="2133">
        <v>60</v>
      </c>
      <c r="CK137" s="2138">
        <v>0.15</v>
      </c>
    </row>
    <row r="138" spans="80:89">
      <c r="CB138" s="1421" t="s">
        <v>1571</v>
      </c>
      <c r="CC138" s="1421">
        <v>240</v>
      </c>
      <c r="CD138" s="1967">
        <v>160</v>
      </c>
      <c r="CE138" s="1421">
        <v>10</v>
      </c>
      <c r="CF138" s="1421">
        <v>16</v>
      </c>
      <c r="CG138" s="1421">
        <v>16</v>
      </c>
      <c r="CH138" s="1421">
        <v>0</v>
      </c>
      <c r="CI138" s="1421">
        <v>0</v>
      </c>
      <c r="CJ138" s="2131">
        <v>60</v>
      </c>
      <c r="CK138" s="2132">
        <v>0.12</v>
      </c>
    </row>
    <row r="139" spans="80:89">
      <c r="CB139" s="1421" t="s">
        <v>1572</v>
      </c>
      <c r="CC139" s="1421">
        <v>160</v>
      </c>
      <c r="CD139" s="1967">
        <v>100</v>
      </c>
      <c r="CE139" s="1421">
        <v>10</v>
      </c>
      <c r="CF139" s="1421">
        <v>5</v>
      </c>
      <c r="CG139" s="1421">
        <v>5</v>
      </c>
      <c r="CH139" s="1421">
        <v>0</v>
      </c>
      <c r="CI139" s="1421">
        <v>0</v>
      </c>
      <c r="CJ139" s="2131">
        <v>60</v>
      </c>
      <c r="CK139" s="2132">
        <v>0.12</v>
      </c>
    </row>
    <row r="140" spans="80:89">
      <c r="CB140" s="1421" t="s">
        <v>1573</v>
      </c>
      <c r="CC140" s="1421">
        <v>500</v>
      </c>
      <c r="CD140" s="1967">
        <v>285</v>
      </c>
      <c r="CE140" s="1421">
        <v>10</v>
      </c>
      <c r="CF140" s="1421">
        <v>29</v>
      </c>
      <c r="CG140" s="1421">
        <v>14</v>
      </c>
      <c r="CH140" s="1421">
        <v>0</v>
      </c>
      <c r="CI140" s="1421">
        <v>0</v>
      </c>
      <c r="CJ140" s="2133">
        <v>60</v>
      </c>
      <c r="CK140" s="2134">
        <v>0.13</v>
      </c>
    </row>
    <row r="141" spans="80:89">
      <c r="CB141" s="1421" t="s">
        <v>1574</v>
      </c>
      <c r="CC141" s="1421">
        <v>400</v>
      </c>
      <c r="CD141" s="1967">
        <v>210</v>
      </c>
      <c r="CE141" s="1421">
        <v>10</v>
      </c>
      <c r="CF141" s="1421">
        <v>21</v>
      </c>
      <c r="CG141" s="1421">
        <v>21</v>
      </c>
      <c r="CH141" s="1421">
        <v>0</v>
      </c>
      <c r="CI141" s="1421">
        <v>0</v>
      </c>
      <c r="CJ141" s="2131">
        <v>30</v>
      </c>
      <c r="CK141" s="2132">
        <v>0.11</v>
      </c>
    </row>
    <row r="142" spans="80:89">
      <c r="CB142" s="1421" t="s">
        <v>1575</v>
      </c>
      <c r="CC142" s="1421">
        <v>600</v>
      </c>
      <c r="CD142" s="1967">
        <v>215</v>
      </c>
      <c r="CE142" s="1421">
        <v>10</v>
      </c>
      <c r="CF142" s="1421">
        <v>22</v>
      </c>
      <c r="CG142" s="1421">
        <v>22</v>
      </c>
      <c r="CH142" s="1421">
        <v>0</v>
      </c>
      <c r="CI142" s="1421">
        <v>0</v>
      </c>
      <c r="CJ142" s="2135">
        <v>60</v>
      </c>
      <c r="CK142" s="2132">
        <v>7.0000000000000007E-2</v>
      </c>
    </row>
    <row r="143" spans="80:89">
      <c r="CB143" s="1421" t="s">
        <v>1576</v>
      </c>
      <c r="CC143" s="1421">
        <v>50</v>
      </c>
      <c r="CD143" s="1421">
        <v>185</v>
      </c>
      <c r="CE143" s="1421">
        <v>10</v>
      </c>
      <c r="CF143" s="1421">
        <v>19</v>
      </c>
      <c r="CG143" s="1421">
        <v>19</v>
      </c>
      <c r="CH143" s="1421">
        <v>0</v>
      </c>
      <c r="CI143" s="1421">
        <v>0</v>
      </c>
      <c r="CJ143" s="2131">
        <v>60</v>
      </c>
      <c r="CK143" s="2132">
        <v>0.75000000000000011</v>
      </c>
    </row>
    <row r="144" spans="80:89">
      <c r="CB144" s="1421" t="s">
        <v>1577</v>
      </c>
      <c r="CC144" s="1421">
        <v>50</v>
      </c>
      <c r="CD144" s="1421">
        <v>185</v>
      </c>
      <c r="CE144" s="1421">
        <v>10</v>
      </c>
      <c r="CF144" s="1421">
        <v>19</v>
      </c>
      <c r="CG144" s="1421">
        <v>19</v>
      </c>
      <c r="CH144" s="1421">
        <v>0</v>
      </c>
      <c r="CI144" s="1421">
        <v>0</v>
      </c>
      <c r="CJ144" s="2131">
        <v>60</v>
      </c>
      <c r="CK144" s="2132">
        <v>0.12</v>
      </c>
    </row>
    <row r="145" spans="80:89">
      <c r="CB145" s="1421" t="s">
        <v>1578</v>
      </c>
      <c r="CC145" s="1421">
        <v>50</v>
      </c>
      <c r="CD145" s="1421">
        <v>50</v>
      </c>
      <c r="CE145" s="1421">
        <v>10</v>
      </c>
      <c r="CF145" s="1421">
        <v>3</v>
      </c>
      <c r="CG145" s="1421">
        <v>3</v>
      </c>
      <c r="CH145" s="1421">
        <v>0</v>
      </c>
      <c r="CI145" s="1421">
        <v>0</v>
      </c>
      <c r="CJ145" s="2133">
        <v>60</v>
      </c>
      <c r="CK145" s="2134">
        <v>0.15</v>
      </c>
    </row>
    <row r="146" spans="80:89">
      <c r="CB146" s="1421" t="s">
        <v>1579</v>
      </c>
      <c r="CC146" s="1421">
        <v>80</v>
      </c>
      <c r="CD146" s="1421">
        <v>65</v>
      </c>
      <c r="CE146" s="1421">
        <v>10</v>
      </c>
      <c r="CF146" s="1421">
        <v>7</v>
      </c>
      <c r="CG146" s="1421">
        <v>7</v>
      </c>
      <c r="CH146" s="1421">
        <v>0</v>
      </c>
      <c r="CI146" s="1421">
        <v>0</v>
      </c>
      <c r="CJ146" s="2131">
        <v>30</v>
      </c>
      <c r="CK146" s="2132">
        <v>0.09</v>
      </c>
    </row>
    <row r="147" spans="80:89">
      <c r="CB147" s="1421" t="s">
        <v>1580</v>
      </c>
      <c r="CC147" s="1421">
        <v>200</v>
      </c>
      <c r="CD147" s="1421">
        <v>175</v>
      </c>
      <c r="CE147" s="1421">
        <v>10</v>
      </c>
      <c r="CF147" s="1421">
        <v>18</v>
      </c>
      <c r="CG147" s="1421">
        <v>18</v>
      </c>
      <c r="CH147" s="1421">
        <v>0</v>
      </c>
      <c r="CI147" s="1421">
        <v>0</v>
      </c>
      <c r="CJ147" s="2131">
        <v>60</v>
      </c>
      <c r="CK147" s="2132">
        <v>0.28400000000000003</v>
      </c>
    </row>
    <row r="148" spans="80:89">
      <c r="CB148" s="1421" t="s">
        <v>1581</v>
      </c>
      <c r="CC148" s="1421">
        <v>200</v>
      </c>
      <c r="CD148" s="1421">
        <v>175</v>
      </c>
      <c r="CE148" s="1421">
        <v>10</v>
      </c>
      <c r="CF148" s="1421">
        <v>18</v>
      </c>
      <c r="CG148" s="1421">
        <v>18</v>
      </c>
      <c r="CH148" s="1421">
        <v>0</v>
      </c>
      <c r="CI148" s="1421">
        <v>0</v>
      </c>
      <c r="CJ148" s="2131">
        <v>60</v>
      </c>
      <c r="CK148" s="2132">
        <v>0.13</v>
      </c>
    </row>
    <row r="149" spans="80:89">
      <c r="CB149" s="1421" t="s">
        <v>1582</v>
      </c>
      <c r="CC149" s="1421">
        <v>350</v>
      </c>
      <c r="CD149" s="1421">
        <v>210</v>
      </c>
      <c r="CE149" s="1421">
        <v>10</v>
      </c>
      <c r="CF149" s="1421">
        <v>21</v>
      </c>
      <c r="CG149" s="1421">
        <v>21</v>
      </c>
      <c r="CH149" s="1421">
        <v>0</v>
      </c>
      <c r="CI149" s="1421">
        <v>0</v>
      </c>
      <c r="CJ149" s="2131">
        <v>60</v>
      </c>
      <c r="CK149" s="2132">
        <v>0.11</v>
      </c>
    </row>
    <row r="150" spans="80:89">
      <c r="CB150" s="1421" t="s">
        <v>1583</v>
      </c>
      <c r="CC150" s="1421">
        <v>80</v>
      </c>
      <c r="CD150" s="1421">
        <v>110</v>
      </c>
      <c r="CE150" s="1421">
        <v>10</v>
      </c>
      <c r="CF150" s="1421">
        <v>11</v>
      </c>
      <c r="CG150" s="1421">
        <v>11</v>
      </c>
      <c r="CH150" s="1421">
        <v>0</v>
      </c>
      <c r="CI150" s="1421">
        <v>0</v>
      </c>
      <c r="CJ150" s="2131">
        <v>30</v>
      </c>
      <c r="CK150" s="2132">
        <v>0.38</v>
      </c>
    </row>
    <row r="151" spans="80:89">
      <c r="CB151" s="1421" t="s">
        <v>1584</v>
      </c>
      <c r="CC151" s="1421">
        <v>80</v>
      </c>
      <c r="CD151" s="1421">
        <v>110</v>
      </c>
      <c r="CE151" s="1421">
        <v>10</v>
      </c>
      <c r="CF151" s="1421">
        <v>11</v>
      </c>
      <c r="CG151" s="1421">
        <v>11</v>
      </c>
      <c r="CH151" s="1421">
        <v>0</v>
      </c>
      <c r="CI151" s="1421">
        <v>0</v>
      </c>
      <c r="CJ151" s="2131">
        <v>30</v>
      </c>
      <c r="CK151" s="2132">
        <v>0.23</v>
      </c>
    </row>
    <row r="152" spans="80:89">
      <c r="CB152" s="1421" t="s">
        <v>1585</v>
      </c>
      <c r="CC152" s="1421">
        <v>100</v>
      </c>
      <c r="CD152" s="1421">
        <v>100</v>
      </c>
      <c r="CE152" s="1421">
        <v>10</v>
      </c>
      <c r="CF152" s="1421">
        <v>10</v>
      </c>
      <c r="CG152" s="1421">
        <v>10</v>
      </c>
      <c r="CH152" s="1421">
        <v>0</v>
      </c>
      <c r="CI152" s="1421">
        <v>0</v>
      </c>
      <c r="CJ152" s="2135">
        <v>60</v>
      </c>
      <c r="CK152" s="2132">
        <v>0.28000000000000003</v>
      </c>
    </row>
    <row r="153" spans="80:89">
      <c r="CB153" s="1421" t="s">
        <v>1586</v>
      </c>
      <c r="CC153" s="1421">
        <v>100</v>
      </c>
      <c r="CD153" s="1421">
        <v>100</v>
      </c>
      <c r="CE153" s="1421">
        <v>10</v>
      </c>
      <c r="CF153" s="1421">
        <v>10</v>
      </c>
      <c r="CG153" s="1421">
        <v>10</v>
      </c>
      <c r="CH153" s="1421">
        <v>0</v>
      </c>
      <c r="CI153" s="1421">
        <v>0</v>
      </c>
      <c r="CJ153" s="2131">
        <v>60</v>
      </c>
      <c r="CK153" s="2132">
        <v>0.21</v>
      </c>
    </row>
    <row r="154" spans="80:89">
      <c r="CB154" s="1421" t="s">
        <v>1587</v>
      </c>
      <c r="CC154" s="1421">
        <v>300</v>
      </c>
      <c r="CD154" s="1421">
        <v>130</v>
      </c>
      <c r="CE154" s="1421">
        <v>10</v>
      </c>
      <c r="CF154" s="1421">
        <v>13</v>
      </c>
      <c r="CG154" s="1421">
        <v>13</v>
      </c>
      <c r="CH154" s="1421">
        <v>0</v>
      </c>
      <c r="CI154" s="1421">
        <v>0</v>
      </c>
      <c r="CJ154" s="2131">
        <v>60</v>
      </c>
      <c r="CK154" s="2132">
        <v>0.08</v>
      </c>
    </row>
    <row r="155" spans="80:89">
      <c r="CB155" s="1421" t="s">
        <v>1588</v>
      </c>
      <c r="CC155" s="1421">
        <v>350</v>
      </c>
      <c r="CD155" s="1421">
        <v>180</v>
      </c>
      <c r="CE155" s="1421">
        <v>10</v>
      </c>
      <c r="CF155" s="1421">
        <v>18</v>
      </c>
      <c r="CG155" s="1421">
        <v>18</v>
      </c>
      <c r="CH155" s="1421">
        <v>0</v>
      </c>
      <c r="CI155" s="1421">
        <v>0</v>
      </c>
      <c r="CJ155" s="2131">
        <v>60</v>
      </c>
      <c r="CK155" s="2132">
        <v>0.16</v>
      </c>
    </row>
    <row r="156" spans="80:89">
      <c r="CB156" s="1421" t="s">
        <v>1589</v>
      </c>
      <c r="CC156" s="1421">
        <v>150</v>
      </c>
      <c r="CD156" s="1421">
        <v>95</v>
      </c>
      <c r="CE156" s="1421">
        <v>10</v>
      </c>
      <c r="CF156" s="1421">
        <v>5</v>
      </c>
      <c r="CG156" s="1421">
        <v>5</v>
      </c>
      <c r="CH156" s="1421">
        <v>0</v>
      </c>
      <c r="CI156" s="1421">
        <v>0</v>
      </c>
      <c r="CJ156" s="2133">
        <v>60</v>
      </c>
      <c r="CK156" s="2134">
        <v>0.09</v>
      </c>
    </row>
    <row r="157" spans="80:89">
      <c r="CB157" s="1421" t="s">
        <v>1590</v>
      </c>
      <c r="CC157" s="1421">
        <v>25</v>
      </c>
      <c r="CD157" s="1421">
        <v>95</v>
      </c>
      <c r="CE157" s="1421">
        <v>10</v>
      </c>
      <c r="CF157" s="1421">
        <v>5</v>
      </c>
      <c r="CG157" s="1421">
        <v>5</v>
      </c>
      <c r="CH157" s="1421">
        <v>0</v>
      </c>
      <c r="CI157" s="1421">
        <v>0</v>
      </c>
      <c r="CJ157" s="2133">
        <v>60</v>
      </c>
      <c r="CK157" s="2134">
        <v>0.51</v>
      </c>
    </row>
    <row r="158" spans="80:89">
      <c r="CB158" s="1421" t="s">
        <v>1591</v>
      </c>
      <c r="CC158" s="1421">
        <v>25</v>
      </c>
      <c r="CD158" s="1421">
        <v>95</v>
      </c>
      <c r="CE158" s="1421">
        <v>10</v>
      </c>
      <c r="CF158" s="1421">
        <v>5</v>
      </c>
      <c r="CG158" s="1421">
        <v>5</v>
      </c>
      <c r="CH158" s="1421">
        <v>0</v>
      </c>
      <c r="CI158" s="1421">
        <v>0</v>
      </c>
      <c r="CJ158" s="2133">
        <v>60</v>
      </c>
      <c r="CK158" s="2134">
        <v>0.12</v>
      </c>
    </row>
    <row r="159" spans="80:89">
      <c r="CB159" s="1421" t="s">
        <v>1592</v>
      </c>
      <c r="CC159" s="1421">
        <v>120</v>
      </c>
      <c r="CD159" s="1421">
        <v>105</v>
      </c>
      <c r="CE159" s="1421">
        <v>10</v>
      </c>
      <c r="CF159" s="1421">
        <v>11</v>
      </c>
      <c r="CG159" s="1421">
        <v>11</v>
      </c>
      <c r="CH159" s="1421">
        <v>0</v>
      </c>
      <c r="CI159" s="1421">
        <v>0</v>
      </c>
      <c r="CJ159" s="2131">
        <v>30</v>
      </c>
      <c r="CK159" s="2132">
        <v>0.15</v>
      </c>
    </row>
    <row r="160" spans="80:89">
      <c r="CB160" s="1421" t="s">
        <v>1593</v>
      </c>
      <c r="CC160" s="1421">
        <v>120</v>
      </c>
      <c r="CD160" s="1421">
        <v>105</v>
      </c>
      <c r="CE160" s="1421">
        <v>10</v>
      </c>
      <c r="CF160" s="1421">
        <v>10</v>
      </c>
      <c r="CG160" s="1421">
        <v>10</v>
      </c>
      <c r="CH160" s="1421">
        <v>0</v>
      </c>
      <c r="CI160" s="1421">
        <v>0</v>
      </c>
      <c r="CJ160" s="2131">
        <v>30</v>
      </c>
      <c r="CK160" s="2132">
        <v>0.28541666666666665</v>
      </c>
    </row>
    <row r="161" spans="80:89">
      <c r="CB161" s="1421" t="s">
        <v>1594</v>
      </c>
      <c r="CC161" s="1421">
        <v>200</v>
      </c>
      <c r="CD161" s="1421">
        <v>145</v>
      </c>
      <c r="CE161" s="1421">
        <v>10</v>
      </c>
      <c r="CF161" s="1421">
        <v>7</v>
      </c>
      <c r="CG161" s="1421">
        <v>7</v>
      </c>
      <c r="CH161" s="1421">
        <v>0</v>
      </c>
      <c r="CI161" s="1421">
        <v>0</v>
      </c>
      <c r="CJ161" s="2135">
        <v>60</v>
      </c>
      <c r="CK161" s="2134">
        <v>0.09</v>
      </c>
    </row>
    <row r="162" spans="80:89">
      <c r="CB162" s="1421" t="s">
        <v>1595</v>
      </c>
      <c r="CC162" s="1421">
        <v>300</v>
      </c>
      <c r="CD162" s="1421">
        <v>210</v>
      </c>
      <c r="CE162" s="1421">
        <v>10</v>
      </c>
      <c r="CF162" s="1421">
        <v>21</v>
      </c>
      <c r="CG162" s="1421">
        <v>21</v>
      </c>
      <c r="CH162" s="1421">
        <v>0</v>
      </c>
      <c r="CI162" s="1421">
        <v>0</v>
      </c>
      <c r="CJ162" s="2131">
        <v>60</v>
      </c>
      <c r="CK162" s="2132">
        <v>0.13700000000000001</v>
      </c>
    </row>
    <row r="163" spans="80:89">
      <c r="CB163" s="1421" t="s">
        <v>1596</v>
      </c>
      <c r="CC163" s="1421">
        <v>200</v>
      </c>
      <c r="CD163" s="1421">
        <v>180</v>
      </c>
      <c r="CE163" s="1421">
        <v>10</v>
      </c>
      <c r="CF163" s="1421">
        <v>18</v>
      </c>
      <c r="CG163" s="1421">
        <v>9</v>
      </c>
      <c r="CH163" s="1421">
        <v>0</v>
      </c>
      <c r="CI163" s="1421">
        <v>0</v>
      </c>
      <c r="CJ163" s="2131">
        <v>60</v>
      </c>
      <c r="CK163" s="2132">
        <v>0.13700000000000001</v>
      </c>
    </row>
    <row r="164" spans="80:89">
      <c r="CB164" s="1421" t="s">
        <v>1597</v>
      </c>
      <c r="CC164" s="1421">
        <v>500</v>
      </c>
      <c r="CD164" s="1421">
        <v>310</v>
      </c>
      <c r="CE164" s="1421">
        <v>10</v>
      </c>
      <c r="CF164" s="1421">
        <v>31</v>
      </c>
      <c r="CG164" s="1421">
        <v>31</v>
      </c>
      <c r="CH164" s="1421">
        <v>0</v>
      </c>
      <c r="CI164" s="1421">
        <v>0</v>
      </c>
      <c r="CJ164" s="2136">
        <v>60</v>
      </c>
      <c r="CK164" s="2134">
        <v>0.13700000000000001</v>
      </c>
    </row>
    <row r="165" spans="80:89">
      <c r="CB165" s="1421" t="s">
        <v>1598</v>
      </c>
      <c r="CC165" s="1421">
        <v>280</v>
      </c>
      <c r="CD165" s="1421">
        <v>240</v>
      </c>
      <c r="CE165" s="1421">
        <v>10</v>
      </c>
      <c r="CF165" s="1421">
        <v>24</v>
      </c>
      <c r="CG165" s="1421">
        <v>12</v>
      </c>
      <c r="CH165" s="1421">
        <v>0</v>
      </c>
      <c r="CI165" s="1421">
        <v>0</v>
      </c>
      <c r="CJ165" s="2131">
        <v>60</v>
      </c>
      <c r="CK165" s="2132">
        <v>0.13700000000000001</v>
      </c>
    </row>
    <row r="166" spans="80:89">
      <c r="CB166" s="1421" t="s">
        <v>1599</v>
      </c>
      <c r="CC166" s="1421">
        <v>300</v>
      </c>
      <c r="CD166" s="1421">
        <v>160</v>
      </c>
      <c r="CE166" s="1421">
        <v>10</v>
      </c>
      <c r="CF166" s="1421">
        <v>16</v>
      </c>
      <c r="CG166" s="1421">
        <v>16</v>
      </c>
      <c r="CH166" s="1421">
        <v>0</v>
      </c>
      <c r="CI166" s="1421">
        <v>0</v>
      </c>
      <c r="CJ166" s="2131">
        <v>60</v>
      </c>
      <c r="CK166" s="2132">
        <v>0.11</v>
      </c>
    </row>
    <row r="167" spans="80:89">
      <c r="CB167" s="1421" t="s">
        <v>1600</v>
      </c>
      <c r="CC167" s="1421">
        <v>15</v>
      </c>
      <c r="CD167" s="1421">
        <v>105</v>
      </c>
      <c r="CE167" s="1421">
        <v>10</v>
      </c>
      <c r="CF167" s="1421">
        <v>5</v>
      </c>
      <c r="CG167" s="1421">
        <v>5</v>
      </c>
      <c r="CH167" s="1421">
        <v>0</v>
      </c>
      <c r="CI167" s="1421">
        <v>0</v>
      </c>
      <c r="CJ167" s="2131">
        <v>60</v>
      </c>
      <c r="CK167" s="2132">
        <v>2</v>
      </c>
    </row>
    <row r="168" spans="80:89">
      <c r="CB168" s="1421" t="s">
        <v>1601</v>
      </c>
      <c r="CC168" s="1421">
        <v>15</v>
      </c>
      <c r="CD168" s="1421">
        <v>105</v>
      </c>
      <c r="CE168" s="1421">
        <v>10</v>
      </c>
      <c r="CF168" s="1421">
        <v>5</v>
      </c>
      <c r="CG168" s="1421">
        <v>5</v>
      </c>
      <c r="CH168" s="1421">
        <v>0</v>
      </c>
      <c r="CI168" s="1421">
        <v>0</v>
      </c>
      <c r="CJ168" s="2131">
        <v>60</v>
      </c>
      <c r="CK168" s="2132">
        <v>1.71</v>
      </c>
    </row>
    <row r="169" spans="80:89">
      <c r="CB169" s="1421" t="s">
        <v>1602</v>
      </c>
      <c r="CC169" s="1421">
        <v>50</v>
      </c>
      <c r="CD169" s="1421">
        <v>50</v>
      </c>
      <c r="CE169" s="1421">
        <v>10</v>
      </c>
      <c r="CF169" s="1421">
        <v>3</v>
      </c>
      <c r="CG169" s="1421">
        <v>3</v>
      </c>
      <c r="CH169" s="1421">
        <v>0</v>
      </c>
      <c r="CI169" s="1421">
        <v>0</v>
      </c>
      <c r="CJ169" s="2133">
        <v>60</v>
      </c>
      <c r="CK169" s="2134">
        <v>0.08</v>
      </c>
    </row>
    <row r="170" spans="80:89">
      <c r="CB170" s="1421" t="s">
        <v>1603</v>
      </c>
      <c r="CC170" s="1421">
        <v>50</v>
      </c>
      <c r="CD170" s="1421">
        <v>50</v>
      </c>
      <c r="CE170" s="1421">
        <v>10</v>
      </c>
      <c r="CF170" s="1421">
        <v>3</v>
      </c>
      <c r="CG170" s="1421">
        <v>3</v>
      </c>
      <c r="CH170" s="1421">
        <v>0</v>
      </c>
      <c r="CI170" s="1421">
        <v>0</v>
      </c>
      <c r="CJ170" s="2133">
        <v>60</v>
      </c>
      <c r="CK170" s="2134">
        <v>0.09</v>
      </c>
    </row>
    <row r="171" spans="80:89">
      <c r="CB171" s="1421" t="s">
        <v>1604</v>
      </c>
      <c r="CC171" s="1421">
        <v>550</v>
      </c>
      <c r="CD171" s="1421">
        <v>245</v>
      </c>
      <c r="CE171" s="1421">
        <v>10</v>
      </c>
      <c r="CF171" s="1421">
        <v>25</v>
      </c>
      <c r="CG171" s="1421">
        <v>25</v>
      </c>
      <c r="CH171" s="1421">
        <v>0</v>
      </c>
      <c r="CI171" s="1421">
        <v>0</v>
      </c>
      <c r="CJ171" s="2135">
        <v>60</v>
      </c>
      <c r="CK171" s="2132">
        <v>0.11</v>
      </c>
    </row>
    <row r="172" spans="80:89">
      <c r="CB172" s="1421" t="s">
        <v>1605</v>
      </c>
      <c r="CC172" s="1421">
        <v>9</v>
      </c>
      <c r="CD172" s="1421">
        <v>65</v>
      </c>
      <c r="CE172" s="1421">
        <v>10</v>
      </c>
      <c r="CF172" s="1421">
        <v>7</v>
      </c>
      <c r="CG172" s="1421">
        <v>7</v>
      </c>
      <c r="CH172" s="1421">
        <v>0</v>
      </c>
      <c r="CI172" s="1421">
        <v>0</v>
      </c>
      <c r="CJ172" s="2131">
        <v>60</v>
      </c>
      <c r="CK172" s="2134">
        <v>2.0644444444444443</v>
      </c>
    </row>
    <row r="173" spans="80:89">
      <c r="CB173" s="1421" t="s">
        <v>1606</v>
      </c>
      <c r="CC173" s="1421">
        <v>9</v>
      </c>
      <c r="CD173" s="1421">
        <v>65</v>
      </c>
      <c r="CE173" s="1421">
        <v>10</v>
      </c>
      <c r="CF173" s="1421">
        <v>7</v>
      </c>
      <c r="CG173" s="1421">
        <v>7</v>
      </c>
      <c r="CH173" s="1421">
        <v>0</v>
      </c>
      <c r="CI173" s="1421">
        <v>0</v>
      </c>
      <c r="CJ173" s="2131">
        <v>60</v>
      </c>
      <c r="CK173" s="2134">
        <v>1.53</v>
      </c>
    </row>
    <row r="174" spans="80:89">
      <c r="CB174" s="1421" t="s">
        <v>1607</v>
      </c>
      <c r="CC174" s="1421">
        <v>15</v>
      </c>
      <c r="CD174" s="1421">
        <v>135</v>
      </c>
      <c r="CE174" s="1421">
        <v>10</v>
      </c>
      <c r="CF174" s="1421">
        <v>14</v>
      </c>
      <c r="CG174" s="1421">
        <v>14</v>
      </c>
      <c r="CH174" s="1421">
        <v>0</v>
      </c>
      <c r="CI174" s="1421">
        <v>0</v>
      </c>
      <c r="CJ174" s="2131">
        <v>60</v>
      </c>
      <c r="CK174" s="2134">
        <v>3.3699999999999997</v>
      </c>
    </row>
    <row r="175" spans="80:89">
      <c r="CB175" s="1421" t="s">
        <v>1608</v>
      </c>
      <c r="CC175" s="1421">
        <v>15</v>
      </c>
      <c r="CD175" s="1421">
        <v>135</v>
      </c>
      <c r="CE175" s="1421">
        <v>10</v>
      </c>
      <c r="CF175" s="1421">
        <v>14</v>
      </c>
      <c r="CG175" s="1421">
        <v>14</v>
      </c>
      <c r="CH175" s="1421">
        <v>0</v>
      </c>
      <c r="CI175" s="1421">
        <v>0</v>
      </c>
      <c r="CJ175" s="2131">
        <v>60</v>
      </c>
      <c r="CK175" s="2132">
        <v>1.77</v>
      </c>
    </row>
    <row r="176" spans="80:89">
      <c r="CB176" s="1421" t="s">
        <v>1609</v>
      </c>
      <c r="CC176" s="1421">
        <v>12</v>
      </c>
      <c r="CD176" s="1421">
        <v>80</v>
      </c>
      <c r="CE176" s="1421">
        <v>10</v>
      </c>
      <c r="CF176" s="1421">
        <v>8</v>
      </c>
      <c r="CG176" s="1421">
        <v>8</v>
      </c>
      <c r="CH176" s="1421">
        <v>0</v>
      </c>
      <c r="CI176" s="1421">
        <v>0</v>
      </c>
      <c r="CJ176" s="2133">
        <v>60</v>
      </c>
      <c r="CK176" s="2134">
        <v>2.7099999999999995</v>
      </c>
    </row>
    <row r="177" spans="80:89">
      <c r="CB177" s="1421" t="s">
        <v>1610</v>
      </c>
      <c r="CC177" s="1421">
        <v>12</v>
      </c>
      <c r="CD177" s="1421">
        <v>80</v>
      </c>
      <c r="CE177" s="1421">
        <v>10</v>
      </c>
      <c r="CF177" s="1421">
        <v>8</v>
      </c>
      <c r="CG177" s="1421">
        <v>8</v>
      </c>
      <c r="CH177" s="1421">
        <v>0</v>
      </c>
      <c r="CI177" s="1421">
        <v>0</v>
      </c>
      <c r="CJ177" s="2133">
        <v>60</v>
      </c>
      <c r="CK177" s="2134">
        <v>1.81</v>
      </c>
    </row>
    <row r="178" spans="80:89">
      <c r="CB178" s="1421" t="s">
        <v>1611</v>
      </c>
      <c r="CC178" s="1421">
        <v>500</v>
      </c>
      <c r="CD178" s="1421">
        <v>150</v>
      </c>
      <c r="CE178" s="1421">
        <v>10</v>
      </c>
      <c r="CF178" s="1421">
        <v>15</v>
      </c>
      <c r="CG178" s="1421">
        <v>15</v>
      </c>
      <c r="CH178" s="1421">
        <v>0</v>
      </c>
      <c r="CI178" s="1421">
        <v>0</v>
      </c>
      <c r="CJ178" s="2131">
        <v>60</v>
      </c>
      <c r="CK178" s="2132">
        <v>0.1</v>
      </c>
    </row>
    <row r="179" spans="80:89">
      <c r="CB179" s="1421" t="s">
        <v>1612</v>
      </c>
      <c r="CC179" s="1421">
        <v>50</v>
      </c>
      <c r="CD179" s="1421">
        <v>75</v>
      </c>
      <c r="CE179" s="1421">
        <v>10</v>
      </c>
      <c r="CF179" s="1421">
        <v>4</v>
      </c>
      <c r="CG179" s="1421">
        <v>4</v>
      </c>
      <c r="CH179" s="1421">
        <v>0</v>
      </c>
      <c r="CI179" s="1421">
        <v>0</v>
      </c>
      <c r="CJ179" s="2131">
        <v>60</v>
      </c>
      <c r="CK179" s="2132">
        <v>0.12</v>
      </c>
    </row>
    <row r="180" spans="80:89">
      <c r="CB180" s="1421" t="s">
        <v>1613</v>
      </c>
      <c r="CC180" s="1421">
        <v>20</v>
      </c>
      <c r="CD180" s="1421">
        <v>75</v>
      </c>
      <c r="CE180" s="1421">
        <v>10</v>
      </c>
      <c r="CF180" s="1421">
        <v>4</v>
      </c>
      <c r="CG180" s="1421">
        <v>4</v>
      </c>
      <c r="CH180" s="1421">
        <v>0</v>
      </c>
      <c r="CI180" s="1421">
        <v>0</v>
      </c>
      <c r="CJ180" s="2131">
        <v>60</v>
      </c>
      <c r="CK180" s="2134">
        <v>0.5</v>
      </c>
    </row>
    <row r="181" spans="80:89">
      <c r="CB181" s="1421" t="s">
        <v>1614</v>
      </c>
      <c r="CC181" s="1421">
        <v>20</v>
      </c>
      <c r="CD181" s="1421">
        <v>75</v>
      </c>
      <c r="CE181" s="1421">
        <v>10</v>
      </c>
      <c r="CF181" s="1421">
        <v>4</v>
      </c>
      <c r="CG181" s="1421">
        <v>4</v>
      </c>
      <c r="CH181" s="1421">
        <v>0</v>
      </c>
      <c r="CI181" s="1421">
        <v>0</v>
      </c>
      <c r="CJ181" s="2131">
        <v>60</v>
      </c>
      <c r="CK181" s="2132">
        <v>0.2</v>
      </c>
    </row>
    <row r="182" spans="80:89">
      <c r="CB182" s="1421" t="s">
        <v>1615</v>
      </c>
      <c r="CC182" s="1421">
        <v>7</v>
      </c>
      <c r="CD182" s="1421">
        <v>75</v>
      </c>
      <c r="CE182" s="1421">
        <v>10</v>
      </c>
      <c r="CF182" s="1421">
        <v>4</v>
      </c>
      <c r="CG182" s="1421">
        <v>4</v>
      </c>
      <c r="CH182" s="1421">
        <v>0</v>
      </c>
      <c r="CI182" s="1421">
        <v>0</v>
      </c>
      <c r="CJ182" s="2131">
        <v>60</v>
      </c>
      <c r="CK182" s="2134">
        <v>1.0571428571428572</v>
      </c>
    </row>
    <row r="183" spans="80:89">
      <c r="CB183" s="1421" t="s">
        <v>1616</v>
      </c>
      <c r="CC183" s="1421">
        <v>7</v>
      </c>
      <c r="CD183" s="1421">
        <v>75</v>
      </c>
      <c r="CE183" s="1421">
        <v>10</v>
      </c>
      <c r="CF183" s="1421">
        <v>4</v>
      </c>
      <c r="CG183" s="1421">
        <v>4</v>
      </c>
      <c r="CH183" s="1421">
        <v>0</v>
      </c>
      <c r="CI183" s="1421">
        <v>0</v>
      </c>
      <c r="CJ183" s="2131">
        <v>60</v>
      </c>
      <c r="CK183" s="2132">
        <v>0.2</v>
      </c>
    </row>
    <row r="184" spans="80:89">
      <c r="CB184" s="1421" t="s">
        <v>1617</v>
      </c>
      <c r="CC184" s="1421">
        <v>300</v>
      </c>
      <c r="CD184" s="1421">
        <v>180</v>
      </c>
      <c r="CE184" s="1421">
        <v>10</v>
      </c>
      <c r="CF184" s="1421">
        <v>18</v>
      </c>
      <c r="CG184" s="1421">
        <v>18</v>
      </c>
      <c r="CH184" s="1421">
        <v>0</v>
      </c>
      <c r="CI184" s="1421">
        <v>0</v>
      </c>
      <c r="CJ184" s="2131">
        <v>60</v>
      </c>
      <c r="CK184" s="2132">
        <v>0.1</v>
      </c>
    </row>
    <row r="185" spans="80:89">
      <c r="CB185" s="1421" t="s">
        <v>1618</v>
      </c>
      <c r="CC185" s="1421">
        <v>150</v>
      </c>
      <c r="CD185" s="1421">
        <v>180</v>
      </c>
      <c r="CE185" s="1421">
        <v>10</v>
      </c>
      <c r="CF185" s="1421">
        <v>18</v>
      </c>
      <c r="CG185" s="1421">
        <v>18</v>
      </c>
      <c r="CH185" s="1421">
        <v>0</v>
      </c>
      <c r="CI185" s="1421">
        <v>0</v>
      </c>
      <c r="CJ185" s="2131">
        <v>60</v>
      </c>
      <c r="CK185" s="2134">
        <v>0.34</v>
      </c>
    </row>
    <row r="186" spans="80:89">
      <c r="CB186" s="1421" t="s">
        <v>1619</v>
      </c>
      <c r="CC186" s="1421">
        <v>150</v>
      </c>
      <c r="CD186" s="1421">
        <v>180</v>
      </c>
      <c r="CE186" s="1421">
        <v>10</v>
      </c>
      <c r="CF186" s="1421">
        <v>18</v>
      </c>
      <c r="CG186" s="1421">
        <v>18</v>
      </c>
      <c r="CH186" s="1421">
        <v>0</v>
      </c>
      <c r="CI186" s="1421">
        <v>0</v>
      </c>
      <c r="CJ186" s="2131">
        <v>60</v>
      </c>
      <c r="CK186" s="2132">
        <v>0.14000000000000001</v>
      </c>
    </row>
    <row r="187" spans="80:89">
      <c r="CB187" s="1421" t="s">
        <v>1620</v>
      </c>
      <c r="CC187" s="1421">
        <v>50</v>
      </c>
      <c r="CD187" s="1421">
        <v>180</v>
      </c>
      <c r="CE187" s="1421">
        <v>10</v>
      </c>
      <c r="CF187" s="1421">
        <v>18</v>
      </c>
      <c r="CG187" s="1421">
        <v>18</v>
      </c>
      <c r="CH187" s="1421">
        <v>0</v>
      </c>
      <c r="CI187" s="1421">
        <v>0</v>
      </c>
      <c r="CJ187" s="2131">
        <v>60</v>
      </c>
      <c r="CK187" s="2134">
        <v>0.74</v>
      </c>
    </row>
    <row r="188" spans="80:89">
      <c r="CB188" s="1421" t="s">
        <v>1621</v>
      </c>
      <c r="CC188" s="1421">
        <v>50</v>
      </c>
      <c r="CD188" s="1421">
        <v>180</v>
      </c>
      <c r="CE188" s="1421">
        <v>10</v>
      </c>
      <c r="CF188" s="1421">
        <v>18</v>
      </c>
      <c r="CG188" s="1421">
        <v>18</v>
      </c>
      <c r="CH188" s="1421">
        <v>0</v>
      </c>
      <c r="CI188" s="1421">
        <v>0</v>
      </c>
      <c r="CJ188" s="2131">
        <v>60</v>
      </c>
      <c r="CK188" s="2132">
        <v>0.14000000000000001</v>
      </c>
    </row>
    <row r="189" spans="80:89">
      <c r="CB189" s="1421" t="s">
        <v>1622</v>
      </c>
      <c r="CC189" s="1421">
        <v>300</v>
      </c>
      <c r="CD189" s="1421">
        <v>215</v>
      </c>
      <c r="CE189" s="1421">
        <v>10</v>
      </c>
      <c r="CF189" s="1421">
        <v>22</v>
      </c>
      <c r="CG189" s="1421">
        <v>22</v>
      </c>
      <c r="CH189" s="1421">
        <v>0</v>
      </c>
      <c r="CI189" s="1421">
        <v>0</v>
      </c>
      <c r="CJ189" s="2131">
        <v>60</v>
      </c>
      <c r="CK189" s="2132">
        <v>0.13</v>
      </c>
    </row>
    <row r="190" spans="80:89">
      <c r="CB190" s="1421" t="s">
        <v>1623</v>
      </c>
      <c r="CC190" s="1421">
        <v>150</v>
      </c>
      <c r="CD190" s="1421">
        <v>215</v>
      </c>
      <c r="CE190" s="1421">
        <v>10</v>
      </c>
      <c r="CF190" s="1421">
        <v>22</v>
      </c>
      <c r="CG190" s="1421">
        <v>22</v>
      </c>
      <c r="CH190" s="1421">
        <v>0</v>
      </c>
      <c r="CI190" s="1421">
        <v>0</v>
      </c>
      <c r="CJ190" s="2131">
        <v>60</v>
      </c>
      <c r="CK190" s="2134">
        <v>0.4</v>
      </c>
    </row>
    <row r="191" spans="80:89">
      <c r="CB191" s="1421" t="s">
        <v>1624</v>
      </c>
      <c r="CC191" s="1421">
        <v>150</v>
      </c>
      <c r="CD191" s="1421">
        <v>215</v>
      </c>
      <c r="CE191" s="1421">
        <v>10</v>
      </c>
      <c r="CF191" s="1421">
        <v>22</v>
      </c>
      <c r="CG191" s="1421">
        <v>22</v>
      </c>
      <c r="CH191" s="1421">
        <v>0</v>
      </c>
      <c r="CI191" s="1421">
        <v>0</v>
      </c>
      <c r="CJ191" s="2131">
        <v>60</v>
      </c>
      <c r="CK191" s="2132">
        <v>0.14000000000000001</v>
      </c>
    </row>
    <row r="192" spans="80:89">
      <c r="CB192" s="1421" t="s">
        <v>1625</v>
      </c>
      <c r="CC192" s="1421">
        <v>50</v>
      </c>
      <c r="CD192" s="1421">
        <v>215</v>
      </c>
      <c r="CE192" s="1421">
        <v>10</v>
      </c>
      <c r="CF192" s="1421">
        <v>22</v>
      </c>
      <c r="CG192" s="1421">
        <v>22</v>
      </c>
      <c r="CH192" s="1421">
        <v>0</v>
      </c>
      <c r="CI192" s="1421">
        <v>0</v>
      </c>
      <c r="CJ192" s="2131">
        <v>60</v>
      </c>
      <c r="CK192" s="2134">
        <v>0.92</v>
      </c>
    </row>
    <row r="193" spans="80:89">
      <c r="CB193" s="1421" t="s">
        <v>1626</v>
      </c>
      <c r="CC193" s="1421">
        <v>50</v>
      </c>
      <c r="CD193" s="1421">
        <v>215</v>
      </c>
      <c r="CE193" s="1421">
        <v>10</v>
      </c>
      <c r="CF193" s="1421">
        <v>22</v>
      </c>
      <c r="CG193" s="1421">
        <v>22</v>
      </c>
      <c r="CH193" s="1421">
        <v>0</v>
      </c>
      <c r="CI193" s="1421">
        <v>0</v>
      </c>
      <c r="CJ193" s="2131">
        <v>60</v>
      </c>
      <c r="CK193" s="2132">
        <v>0.14000000000000001</v>
      </c>
    </row>
    <row r="194" spans="80:89">
      <c r="CB194" s="1421" t="s">
        <v>1627</v>
      </c>
      <c r="CC194" s="1421">
        <v>350</v>
      </c>
      <c r="CD194" s="1421">
        <v>185</v>
      </c>
      <c r="CE194" s="1421">
        <v>10</v>
      </c>
      <c r="CF194" s="1421">
        <v>19</v>
      </c>
      <c r="CG194" s="1421">
        <v>19</v>
      </c>
      <c r="CH194" s="1421">
        <v>0</v>
      </c>
      <c r="CI194" s="1421">
        <v>0</v>
      </c>
      <c r="CJ194" s="2131">
        <v>60</v>
      </c>
      <c r="CK194" s="2134">
        <v>0.12</v>
      </c>
    </row>
    <row r="195" spans="80:89">
      <c r="CB195" s="1421" t="s">
        <v>1628</v>
      </c>
      <c r="CC195" s="1421">
        <v>350</v>
      </c>
      <c r="CD195" s="1421">
        <v>225</v>
      </c>
      <c r="CE195" s="1421">
        <v>10</v>
      </c>
      <c r="CF195" s="1421">
        <v>23</v>
      </c>
      <c r="CG195" s="1421">
        <v>23</v>
      </c>
      <c r="CH195" s="1421">
        <v>0</v>
      </c>
      <c r="CI195" s="1421">
        <v>0</v>
      </c>
      <c r="CJ195" s="2136">
        <v>30</v>
      </c>
      <c r="CK195" s="2132">
        <v>0.14000000000000001</v>
      </c>
    </row>
    <row r="196" spans="80:89">
      <c r="CB196" s="1421" t="s">
        <v>1629</v>
      </c>
      <c r="CC196" s="1421">
        <v>350</v>
      </c>
      <c r="CD196" s="1421">
        <v>225</v>
      </c>
      <c r="CE196" s="1421">
        <v>10</v>
      </c>
      <c r="CF196" s="1421">
        <v>23</v>
      </c>
      <c r="CG196" s="1421">
        <v>23</v>
      </c>
      <c r="CH196" s="1421">
        <v>0</v>
      </c>
      <c r="CI196" s="1421">
        <v>0</v>
      </c>
      <c r="CJ196" s="2136">
        <v>30</v>
      </c>
      <c r="CK196" s="2134">
        <v>0.14000000000000001</v>
      </c>
    </row>
    <row r="197" spans="80:89">
      <c r="CB197" s="1421" t="s">
        <v>1630</v>
      </c>
      <c r="CC197" s="1421">
        <v>80</v>
      </c>
      <c r="CD197" s="1421">
        <v>45</v>
      </c>
      <c r="CE197" s="1421">
        <v>10</v>
      </c>
      <c r="CF197" s="1421">
        <v>2</v>
      </c>
      <c r="CG197" s="1421">
        <v>2</v>
      </c>
      <c r="CH197" s="1421">
        <v>0</v>
      </c>
      <c r="CI197" s="1421">
        <v>0</v>
      </c>
      <c r="CJ197" s="2133">
        <v>30</v>
      </c>
      <c r="CK197" s="2134">
        <v>0.09</v>
      </c>
    </row>
    <row r="198" spans="80:89">
      <c r="CB198" s="1421" t="s">
        <v>1631</v>
      </c>
      <c r="CC198" s="1421">
        <v>150</v>
      </c>
      <c r="CD198" s="1421">
        <v>100</v>
      </c>
      <c r="CE198" s="1421">
        <v>10</v>
      </c>
      <c r="CF198" s="1421">
        <v>5</v>
      </c>
      <c r="CG198" s="1421">
        <v>5</v>
      </c>
      <c r="CH198" s="1421">
        <v>0</v>
      </c>
      <c r="CI198" s="1421">
        <v>0</v>
      </c>
      <c r="CJ198" s="2131">
        <v>60</v>
      </c>
      <c r="CK198" s="2132">
        <v>0.12</v>
      </c>
    </row>
    <row r="199" spans="80:89">
      <c r="CB199" s="1421" t="s">
        <v>1632</v>
      </c>
      <c r="CC199" s="1421">
        <v>120</v>
      </c>
      <c r="CD199" s="1421">
        <v>130</v>
      </c>
      <c r="CE199" s="1421">
        <v>10</v>
      </c>
      <c r="CF199" s="1421">
        <v>13</v>
      </c>
      <c r="CG199" s="1421">
        <v>13</v>
      </c>
      <c r="CH199" s="1421">
        <v>0</v>
      </c>
      <c r="CI199" s="1421">
        <v>0</v>
      </c>
      <c r="CJ199" s="2131">
        <v>60</v>
      </c>
      <c r="CK199" s="2132">
        <v>0.46</v>
      </c>
    </row>
    <row r="200" spans="80:89">
      <c r="CB200" s="1421" t="s">
        <v>1633</v>
      </c>
      <c r="CC200" s="1421">
        <v>40</v>
      </c>
      <c r="CD200" s="1421">
        <v>150</v>
      </c>
      <c r="CE200" s="1421">
        <v>10</v>
      </c>
      <c r="CF200" s="1421">
        <v>15</v>
      </c>
      <c r="CG200" s="1421">
        <v>15</v>
      </c>
      <c r="CH200" s="1421">
        <v>0</v>
      </c>
      <c r="CI200" s="1421">
        <v>0</v>
      </c>
      <c r="CJ200" s="2131">
        <v>60</v>
      </c>
      <c r="CK200" s="2132">
        <v>1.2</v>
      </c>
    </row>
    <row r="201" spans="80:89">
      <c r="CB201" s="1421" t="s">
        <v>1634</v>
      </c>
      <c r="CC201" s="1421">
        <v>40</v>
      </c>
      <c r="CD201" s="1421">
        <v>150</v>
      </c>
      <c r="CE201" s="1421">
        <v>10</v>
      </c>
      <c r="CF201" s="1421">
        <v>15</v>
      </c>
      <c r="CG201" s="1421">
        <v>15</v>
      </c>
      <c r="CH201" s="1421">
        <v>0</v>
      </c>
      <c r="CI201" s="1421">
        <v>0</v>
      </c>
      <c r="CJ201" s="2131">
        <v>60</v>
      </c>
      <c r="CK201" s="2132">
        <v>0.25</v>
      </c>
    </row>
    <row r="202" spans="80:89">
      <c r="CB202" s="1421" t="s">
        <v>1635</v>
      </c>
      <c r="CC202" s="1421">
        <v>300</v>
      </c>
      <c r="CD202" s="1421">
        <v>135</v>
      </c>
      <c r="CE202" s="1421">
        <v>10</v>
      </c>
      <c r="CF202" s="1421">
        <v>14</v>
      </c>
      <c r="CG202" s="1421">
        <v>14</v>
      </c>
      <c r="CH202" s="1421">
        <v>0</v>
      </c>
      <c r="CI202" s="1421">
        <v>0</v>
      </c>
      <c r="CJ202" s="2131">
        <v>60</v>
      </c>
      <c r="CK202" s="2132">
        <v>0.17</v>
      </c>
    </row>
    <row r="203" spans="80:89">
      <c r="CB203" s="1421" t="s">
        <v>1636</v>
      </c>
      <c r="CC203" s="1421">
        <v>100</v>
      </c>
      <c r="CD203" s="1421">
        <v>80</v>
      </c>
      <c r="CE203" s="1421">
        <v>10</v>
      </c>
      <c r="CF203" s="1421">
        <v>4</v>
      </c>
      <c r="CG203" s="1421">
        <v>4</v>
      </c>
      <c r="CH203" s="1421">
        <v>0</v>
      </c>
      <c r="CI203" s="1421">
        <v>0</v>
      </c>
      <c r="CJ203" s="2131">
        <v>30</v>
      </c>
      <c r="CK203" s="2139">
        <v>0.1</v>
      </c>
    </row>
    <row r="204" spans="80:89">
      <c r="CB204" s="1421" t="s">
        <v>1637</v>
      </c>
      <c r="CC204" s="1421">
        <v>800</v>
      </c>
      <c r="CD204" s="1421">
        <v>440</v>
      </c>
      <c r="CE204" s="1421">
        <v>10</v>
      </c>
      <c r="CF204" s="1421">
        <v>44</v>
      </c>
      <c r="CG204" s="1421">
        <v>44</v>
      </c>
      <c r="CH204" s="1421">
        <v>0</v>
      </c>
      <c r="CI204" s="1421">
        <v>0</v>
      </c>
      <c r="CJ204" s="2136">
        <v>60</v>
      </c>
      <c r="CK204" s="2132">
        <v>0.13700000000000001</v>
      </c>
    </row>
    <row r="205" spans="80:89">
      <c r="CB205" s="1421" t="s">
        <v>1638</v>
      </c>
      <c r="CC205" s="1421">
        <v>150</v>
      </c>
      <c r="CD205" s="1421">
        <v>105</v>
      </c>
      <c r="CE205" s="1421">
        <v>10</v>
      </c>
      <c r="CF205" s="1421">
        <v>5</v>
      </c>
      <c r="CG205" s="1421">
        <v>5</v>
      </c>
      <c r="CH205" s="1421">
        <v>0</v>
      </c>
      <c r="CI205" s="1421">
        <v>0</v>
      </c>
      <c r="CJ205" s="2133">
        <v>60</v>
      </c>
      <c r="CK205" s="2132">
        <v>0.1</v>
      </c>
    </row>
    <row r="206" spans="80:89">
      <c r="CB206" s="1421" t="s">
        <v>1639</v>
      </c>
      <c r="CC206" s="1421">
        <v>300</v>
      </c>
      <c r="CD206" s="1421">
        <v>185</v>
      </c>
      <c r="CE206" s="1421">
        <v>10</v>
      </c>
      <c r="CF206" s="1421">
        <v>19</v>
      </c>
      <c r="CG206" s="1421">
        <v>19</v>
      </c>
      <c r="CH206" s="1421">
        <v>0</v>
      </c>
      <c r="CI206" s="1421">
        <v>0</v>
      </c>
      <c r="CJ206" s="2135">
        <v>60</v>
      </c>
      <c r="CK206" s="2132">
        <v>0.14000000000000001</v>
      </c>
    </row>
    <row r="207" spans="80:89">
      <c r="CB207" s="1421" t="s">
        <v>1640</v>
      </c>
      <c r="CC207" s="1421">
        <v>265</v>
      </c>
      <c r="CD207" s="1421">
        <v>155</v>
      </c>
      <c r="CE207" s="1421">
        <v>10</v>
      </c>
      <c r="CF207" s="1421">
        <v>16</v>
      </c>
      <c r="CG207" s="1421">
        <v>16</v>
      </c>
      <c r="CH207" s="1421">
        <v>0</v>
      </c>
      <c r="CI207" s="1421">
        <v>0</v>
      </c>
      <c r="CJ207" s="2135">
        <v>60</v>
      </c>
      <c r="CK207" s="2132">
        <v>0.14000000000000001</v>
      </c>
    </row>
    <row r="210" spans="80:81">
      <c r="CB210" s="2130" t="s">
        <v>6</v>
      </c>
      <c r="CC210" s="2137"/>
    </row>
    <row r="211" spans="80:81" ht="15.75">
      <c r="CB211" s="525" t="s">
        <v>503</v>
      </c>
      <c r="CC211" s="749">
        <v>0</v>
      </c>
    </row>
    <row r="212" spans="80:81" ht="15.75">
      <c r="CB212" s="525" t="s">
        <v>22</v>
      </c>
      <c r="CC212" s="749">
        <v>10</v>
      </c>
    </row>
    <row r="213" spans="80:81" ht="15.75">
      <c r="CB213" s="525" t="s">
        <v>528</v>
      </c>
      <c r="CC213" s="749">
        <v>10</v>
      </c>
    </row>
    <row r="214" spans="80:81" ht="15.75">
      <c r="CB214" s="525" t="s">
        <v>7</v>
      </c>
      <c r="CC214" s="749">
        <v>10</v>
      </c>
    </row>
    <row r="215" spans="80:81" ht="15.75">
      <c r="CB215" s="525" t="s">
        <v>17</v>
      </c>
      <c r="CC215" s="808">
        <v>20</v>
      </c>
    </row>
    <row r="216" spans="80:81" ht="15.75">
      <c r="CB216" s="525" t="s">
        <v>23</v>
      </c>
      <c r="CC216" s="808">
        <v>0</v>
      </c>
    </row>
    <row r="217" spans="80:81" ht="15.75">
      <c r="CB217" s="525" t="s">
        <v>20</v>
      </c>
      <c r="CC217" s="808">
        <v>20</v>
      </c>
    </row>
    <row r="218" spans="80:81" ht="15.75">
      <c r="CB218" s="525" t="s">
        <v>19</v>
      </c>
      <c r="CC218" s="808">
        <v>10</v>
      </c>
    </row>
    <row r="219" spans="80:81" ht="15.75">
      <c r="CB219" s="525" t="s">
        <v>529</v>
      </c>
      <c r="CC219" s="808">
        <v>0</v>
      </c>
    </row>
    <row r="220" spans="80:81" ht="15.75">
      <c r="CB220" s="525" t="s">
        <v>21</v>
      </c>
      <c r="CC220" s="808">
        <v>10</v>
      </c>
    </row>
    <row r="221" spans="80:81" ht="15.75">
      <c r="CB221" s="525" t="s">
        <v>18</v>
      </c>
      <c r="CC221" s="808">
        <v>20</v>
      </c>
    </row>
    <row r="222" spans="80:81" ht="15.75">
      <c r="CB222" s="525"/>
      <c r="CC222" s="808"/>
    </row>
    <row r="223" spans="80:81" ht="15.75">
      <c r="CB223" s="2130" t="s">
        <v>8</v>
      </c>
      <c r="CC223" s="808"/>
    </row>
    <row r="224" spans="80:81" ht="15.75">
      <c r="CB224" s="525" t="s">
        <v>25</v>
      </c>
      <c r="CC224" s="808">
        <v>0</v>
      </c>
    </row>
    <row r="225" spans="80:81" ht="15.75">
      <c r="CB225" s="525" t="s">
        <v>531</v>
      </c>
      <c r="CC225" s="808">
        <v>0</v>
      </c>
    </row>
    <row r="226" spans="80:81" ht="15.75">
      <c r="CB226" s="525" t="s">
        <v>530</v>
      </c>
      <c r="CC226" s="808">
        <v>20</v>
      </c>
    </row>
    <row r="227" spans="80:81" ht="15.75">
      <c r="CB227" s="525" t="s">
        <v>28</v>
      </c>
      <c r="CC227" s="808">
        <v>10</v>
      </c>
    </row>
    <row r="228" spans="80:81" ht="15.75">
      <c r="CB228" s="525" t="s">
        <v>533</v>
      </c>
      <c r="CC228" s="808">
        <v>10</v>
      </c>
    </row>
    <row r="229" spans="80:81" ht="15.75">
      <c r="CB229" s="525" t="s">
        <v>671</v>
      </c>
      <c r="CC229" s="808">
        <v>30</v>
      </c>
    </row>
    <row r="230" spans="80:81" ht="15.75">
      <c r="CB230" s="525" t="s">
        <v>532</v>
      </c>
      <c r="CC230" s="808">
        <v>40</v>
      </c>
    </row>
    <row r="231" spans="80:81" ht="15.75">
      <c r="CB231" s="525" t="s">
        <v>9</v>
      </c>
      <c r="CC231" s="808">
        <v>0</v>
      </c>
    </row>
    <row r="232" spans="80:81" ht="15.75">
      <c r="CB232" s="525" t="s">
        <v>10</v>
      </c>
      <c r="CC232" s="808">
        <v>10</v>
      </c>
    </row>
    <row r="233" spans="80:81" ht="15.75">
      <c r="CB233" s="525" t="s">
        <v>31</v>
      </c>
      <c r="CC233" s="808">
        <v>0</v>
      </c>
    </row>
    <row r="234" spans="80:81" ht="15.75">
      <c r="CB234" s="525"/>
      <c r="CC234" s="808"/>
    </row>
    <row r="235" spans="80:81" ht="15.75">
      <c r="CB235" s="2130" t="s">
        <v>159</v>
      </c>
      <c r="CC235" s="808"/>
    </row>
    <row r="236" spans="80:81" ht="15.75">
      <c r="CB236" s="525" t="s">
        <v>224</v>
      </c>
      <c r="CC236" s="808">
        <v>20</v>
      </c>
    </row>
    <row r="237" spans="80:81" ht="15.75">
      <c r="CB237" s="525" t="s">
        <v>160</v>
      </c>
      <c r="CC237" s="808">
        <v>0</v>
      </c>
    </row>
    <row r="238" spans="80:81">
      <c r="CB238" s="525"/>
      <c r="CC238" s="1967"/>
    </row>
    <row r="239" spans="80:81">
      <c r="CB239" s="525" t="s">
        <v>1328</v>
      </c>
      <c r="CC239" s="1967"/>
    </row>
    <row r="240" spans="80:81">
      <c r="CB240" s="525" t="s">
        <v>1329</v>
      </c>
      <c r="CC240" s="1967" t="s">
        <v>1330</v>
      </c>
    </row>
    <row r="241" spans="80:81">
      <c r="CB241" s="525" t="s">
        <v>1331</v>
      </c>
      <c r="CC241" s="1967">
        <v>20</v>
      </c>
    </row>
    <row r="242" spans="80:81">
      <c r="CB242" s="525" t="s">
        <v>1327</v>
      </c>
      <c r="CC242" s="1967">
        <v>0</v>
      </c>
    </row>
  </sheetData>
  <sheetProtection sheet="1" objects="1" scenarios="1"/>
  <mergeCells count="50">
    <mergeCell ref="CJ3:CJ5"/>
    <mergeCell ref="CK3:CK5"/>
    <mergeCell ref="CE3:CE5"/>
    <mergeCell ref="CF3:CF5"/>
    <mergeCell ref="CG3:CG5"/>
    <mergeCell ref="CH3:CH5"/>
    <mergeCell ref="CI3:CI5"/>
    <mergeCell ref="AB4:BK4"/>
    <mergeCell ref="AB5:BK5"/>
    <mergeCell ref="BM1:BW5"/>
    <mergeCell ref="AB1:AC3"/>
    <mergeCell ref="AD1:BK3"/>
    <mergeCell ref="CC3:CC5"/>
    <mergeCell ref="CD3:CD5"/>
    <mergeCell ref="AB6:AB7"/>
    <mergeCell ref="AC6:AC7"/>
    <mergeCell ref="D6:E6"/>
    <mergeCell ref="N6:N7"/>
    <mergeCell ref="O6:O7"/>
    <mergeCell ref="P6:P7"/>
    <mergeCell ref="Q6:Q7"/>
    <mergeCell ref="F6:M6"/>
    <mergeCell ref="BS6:BW6"/>
    <mergeCell ref="R6:R7"/>
    <mergeCell ref="AR6:AW6"/>
    <mergeCell ref="AY6:BD6"/>
    <mergeCell ref="BF6:BK6"/>
    <mergeCell ref="BM6:BQ6"/>
    <mergeCell ref="AD6:AI6"/>
    <mergeCell ref="AK6:AP6"/>
    <mergeCell ref="S6:S7"/>
    <mergeCell ref="T6:T7"/>
    <mergeCell ref="U6:U7"/>
    <mergeCell ref="V6:V7"/>
    <mergeCell ref="W6:X6"/>
    <mergeCell ref="Y6:Z6"/>
    <mergeCell ref="A5:Z5"/>
    <mergeCell ref="A4:Z4"/>
    <mergeCell ref="B1:D1"/>
    <mergeCell ref="S1:T1"/>
    <mergeCell ref="B2:D2"/>
    <mergeCell ref="S2:T2"/>
    <mergeCell ref="B3:D3"/>
    <mergeCell ref="A1:A3"/>
    <mergeCell ref="X1:Y3"/>
    <mergeCell ref="A35:B39"/>
    <mergeCell ref="C35:AG39"/>
    <mergeCell ref="A41:B44"/>
    <mergeCell ref="C41:AG43"/>
    <mergeCell ref="C44:AG44"/>
  </mergeCells>
  <dataValidations count="4">
    <dataValidation type="list" allowBlank="1" showInputMessage="1" showErrorMessage="1" sqref="T8:T31">
      <formula1>"bis 4 %, ab 4 %"</formula1>
    </dataValidation>
    <dataValidation type="list" allowBlank="1" showInputMessage="1" showErrorMessage="1" sqref="P8:P31">
      <formula1>$CB$124:$CB$133</formula1>
    </dataValidation>
    <dataValidation type="list" allowBlank="1" showInputMessage="1" showErrorMessage="1" sqref="N8:N31">
      <formula1>$CB$111:$CB$121</formula1>
    </dataValidation>
    <dataValidation type="list" allowBlank="1" showInputMessage="1" showErrorMessage="1" sqref="C8:C31">
      <formula1>$CB$6:$CB$207</formula1>
    </dataValidation>
  </dataValidations>
  <pageMargins left="0.7" right="0.7" top="0.78740157499999996" bottom="0.78740157499999996" header="0.3" footer="0.3"/>
  <pageSetup paperSize="9" scale="29" orientation="portrait" r:id="rId1"/>
  <colBreaks count="1" manualBreakCount="1">
    <brk id="26" max="30"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AE8:AE31 AL8:AL31 AS8:AS31 AZ8:AZ31 BG8:BG31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B1A777"/>
  </sheetPr>
  <dimension ref="A1:T77"/>
  <sheetViews>
    <sheetView zoomScale="90" zoomScaleNormal="90" workbookViewId="0">
      <selection activeCell="A7" sqref="A7"/>
    </sheetView>
  </sheetViews>
  <sheetFormatPr baseColWidth="10" defaultRowHeight="15"/>
  <cols>
    <col min="1" max="1" width="29.140625" style="357" customWidth="1"/>
    <col min="2" max="2" width="45.140625" style="357" customWidth="1"/>
    <col min="3" max="3" width="16.7109375" style="357" customWidth="1"/>
    <col min="4" max="6" width="11" style="357" customWidth="1"/>
    <col min="7" max="7" width="16" style="357" bestFit="1" customWidth="1"/>
    <col min="8" max="8" width="10.140625" style="357" customWidth="1"/>
    <col min="9" max="10" width="9.140625" style="357" customWidth="1"/>
    <col min="11" max="11" width="12.28515625" style="357" customWidth="1"/>
    <col min="12" max="16384" width="11.42578125" style="357"/>
  </cols>
  <sheetData>
    <row r="1" spans="1:20" ht="13.5" customHeight="1">
      <c r="H1" s="1489"/>
      <c r="I1" s="1489"/>
      <c r="J1" s="1489"/>
      <c r="K1" s="1489"/>
    </row>
    <row r="2" spans="1:20" ht="61.5" customHeight="1">
      <c r="A2" s="2909" t="s">
        <v>1439</v>
      </c>
      <c r="B2" s="2909"/>
      <c r="C2" s="2909"/>
      <c r="D2" s="2910" t="s">
        <v>1189</v>
      </c>
      <c r="E2" s="2911"/>
      <c r="F2" s="2911"/>
      <c r="G2" s="2911"/>
      <c r="H2" s="2911"/>
      <c r="I2" s="2911"/>
      <c r="J2" s="2911"/>
      <c r="K2" s="2911"/>
    </row>
    <row r="3" spans="1:20" ht="61.5" customHeight="1">
      <c r="A3" s="2909"/>
      <c r="B3" s="2909"/>
      <c r="C3" s="2909"/>
      <c r="D3" s="2911"/>
      <c r="E3" s="2911"/>
      <c r="F3" s="2911"/>
      <c r="G3" s="2911"/>
      <c r="H3" s="2911"/>
      <c r="I3" s="2911"/>
      <c r="J3" s="2911"/>
      <c r="K3" s="2911"/>
    </row>
    <row r="4" spans="1:20" s="1543" customFormat="1" ht="46.5" customHeight="1">
      <c r="A4" s="2757" t="s">
        <v>1219</v>
      </c>
      <c r="B4" s="2514"/>
      <c r="C4" s="2514"/>
      <c r="D4" s="357"/>
      <c r="E4" s="357"/>
      <c r="F4" s="357"/>
      <c r="G4" s="1542"/>
      <c r="H4" s="1489"/>
      <c r="I4" s="1489"/>
      <c r="J4" s="1489"/>
      <c r="K4" s="1489"/>
    </row>
    <row r="5" spans="1:20" s="546" customFormat="1" ht="36" customHeight="1">
      <c r="A5" s="986"/>
      <c r="B5" s="986"/>
      <c r="C5" s="986"/>
      <c r="D5" s="2907" t="s">
        <v>1012</v>
      </c>
      <c r="E5" s="2907"/>
      <c r="F5" s="2907"/>
      <c r="G5" s="1492" t="s">
        <v>1240</v>
      </c>
      <c r="H5" s="2908" t="s">
        <v>1225</v>
      </c>
      <c r="I5" s="2908"/>
      <c r="J5" s="2908"/>
      <c r="K5" s="2588"/>
      <c r="L5" s="1543"/>
      <c r="N5" s="1491"/>
      <c r="O5" s="1491"/>
      <c r="P5" s="1491"/>
      <c r="Q5" s="1491"/>
      <c r="R5" s="1491"/>
      <c r="S5" s="1491"/>
      <c r="T5" s="1491"/>
    </row>
    <row r="6" spans="1:20" s="1543" customFormat="1" ht="49.5" customHeight="1">
      <c r="A6" s="1478" t="s">
        <v>1119</v>
      </c>
      <c r="B6" s="1490" t="s">
        <v>1193</v>
      </c>
      <c r="C6" s="1479" t="s">
        <v>1014</v>
      </c>
      <c r="D6" s="1492" t="s">
        <v>177</v>
      </c>
      <c r="E6" s="1492" t="s">
        <v>1005</v>
      </c>
      <c r="F6" s="1492" t="s">
        <v>1006</v>
      </c>
      <c r="G6" s="1480" t="s">
        <v>1015</v>
      </c>
      <c r="H6" s="1492" t="s">
        <v>177</v>
      </c>
      <c r="I6" s="1492" t="s">
        <v>1005</v>
      </c>
      <c r="J6" s="1492" t="s">
        <v>1006</v>
      </c>
      <c r="K6" s="1481" t="s">
        <v>1118</v>
      </c>
      <c r="N6" s="1491"/>
      <c r="O6" s="1491"/>
      <c r="P6" s="1491"/>
      <c r="Q6" s="1491"/>
      <c r="R6" s="1491"/>
      <c r="S6" s="1491"/>
      <c r="T6" s="1491"/>
    </row>
    <row r="7" spans="1:20" s="1543" customFormat="1" ht="15" customHeight="1">
      <c r="A7" s="902"/>
      <c r="B7" s="888" t="s">
        <v>795</v>
      </c>
      <c r="C7" s="903">
        <v>0</v>
      </c>
      <c r="D7" s="1544">
        <f>VLOOKUP($B7,Düngemittel!$B$6:$E$64,2,FALSE)</f>
        <v>0</v>
      </c>
      <c r="E7" s="1544">
        <f>VLOOKUP($B7,Düngemittel!$B$6:$E$64,4,FALSE)</f>
        <v>0</v>
      </c>
      <c r="F7" s="1544">
        <f>VLOOKUP($B7,Düngemittel!$B$6:$F$64,5,FALSE)</f>
        <v>0</v>
      </c>
      <c r="G7" s="1545">
        <f>C7*D7</f>
        <v>0</v>
      </c>
      <c r="H7" s="1545">
        <f>D7*C7*K7/100</f>
        <v>0</v>
      </c>
      <c r="I7" s="1545">
        <f>C7*E7</f>
        <v>0</v>
      </c>
      <c r="J7" s="1545">
        <f>C7*F7</f>
        <v>0</v>
      </c>
      <c r="K7" s="1546">
        <f>VLOOKUP(B7,Düngemittel!$B$6:$E$64,3,FALSE)</f>
        <v>0</v>
      </c>
      <c r="N7" s="1491"/>
      <c r="O7" s="1491"/>
      <c r="P7" s="1491"/>
      <c r="Q7" s="1491"/>
      <c r="R7" s="1491"/>
      <c r="S7" s="1491"/>
      <c r="T7" s="1491"/>
    </row>
    <row r="8" spans="1:20" s="1543" customFormat="1" ht="15" customHeight="1">
      <c r="A8" s="902"/>
      <c r="B8" s="888" t="s">
        <v>795</v>
      </c>
      <c r="C8" s="903">
        <v>0</v>
      </c>
      <c r="D8" s="1544">
        <f>VLOOKUP($B8,Düngemittel!$B$6:$E$64,2,FALSE)</f>
        <v>0</v>
      </c>
      <c r="E8" s="1544">
        <f>VLOOKUP($B8,Düngemittel!$B$6:$E$64,4,FALSE)</f>
        <v>0</v>
      </c>
      <c r="F8" s="1544">
        <f>VLOOKUP($B8,Düngemittel!$B$6:$F$64,5,FALSE)</f>
        <v>0</v>
      </c>
      <c r="G8" s="1545">
        <f t="shared" ref="G8:G26" si="0">C8*D8</f>
        <v>0</v>
      </c>
      <c r="H8" s="1545">
        <f>D8*C8*K8/100</f>
        <v>0</v>
      </c>
      <c r="I8" s="1545">
        <f t="shared" ref="I8:I26" si="1">C8*E8</f>
        <v>0</v>
      </c>
      <c r="J8" s="1545">
        <f t="shared" ref="J8:J26" si="2">C8*F8</f>
        <v>0</v>
      </c>
      <c r="K8" s="1546">
        <f>VLOOKUP(B8,Düngemittel!$B$6:$E$64,3,FALSE)</f>
        <v>0</v>
      </c>
      <c r="N8" s="1491"/>
      <c r="O8" s="1491"/>
      <c r="P8" s="1491"/>
      <c r="Q8" s="1491"/>
      <c r="R8" s="1491"/>
      <c r="S8" s="1491"/>
      <c r="T8" s="1491"/>
    </row>
    <row r="9" spans="1:20" s="1543" customFormat="1" ht="15" customHeight="1">
      <c r="A9" s="902"/>
      <c r="B9" s="888" t="s">
        <v>795</v>
      </c>
      <c r="C9" s="903">
        <v>0</v>
      </c>
      <c r="D9" s="1544">
        <f>VLOOKUP($B9,Düngemittel!$B$6:$E$64,2,FALSE)</f>
        <v>0</v>
      </c>
      <c r="E9" s="1544">
        <f>VLOOKUP($B9,Düngemittel!$B$6:$E$64,4,FALSE)</f>
        <v>0</v>
      </c>
      <c r="F9" s="1544">
        <f>VLOOKUP($B9,Düngemittel!$B$6:$F$64,5,FALSE)</f>
        <v>0</v>
      </c>
      <c r="G9" s="1545">
        <f t="shared" si="0"/>
        <v>0</v>
      </c>
      <c r="H9" s="1545">
        <f>D9*C9*K9/100</f>
        <v>0</v>
      </c>
      <c r="I9" s="1545">
        <f t="shared" si="1"/>
        <v>0</v>
      </c>
      <c r="J9" s="1545">
        <f t="shared" si="2"/>
        <v>0</v>
      </c>
      <c r="K9" s="1546">
        <f>VLOOKUP(B9,Düngemittel!$B$6:$E$64,3,FALSE)</f>
        <v>0</v>
      </c>
      <c r="N9" s="1491"/>
      <c r="O9" s="1491"/>
      <c r="P9" s="1491"/>
      <c r="Q9" s="1491"/>
      <c r="R9" s="1491"/>
      <c r="S9" s="1491"/>
      <c r="T9" s="1491"/>
    </row>
    <row r="10" spans="1:20" s="1543" customFormat="1">
      <c r="A10" s="902"/>
      <c r="B10" s="888" t="s">
        <v>795</v>
      </c>
      <c r="C10" s="903">
        <v>0</v>
      </c>
      <c r="D10" s="1544">
        <f>VLOOKUP($B10,Düngemittel!$B$6:$E$64,2,FALSE)</f>
        <v>0</v>
      </c>
      <c r="E10" s="1544">
        <f>VLOOKUP($B10,Düngemittel!$B$6:$E$64,4,FALSE)</f>
        <v>0</v>
      </c>
      <c r="F10" s="1544">
        <f>VLOOKUP($B10,Düngemittel!$B$6:$F$64,5,FALSE)</f>
        <v>0</v>
      </c>
      <c r="G10" s="1545">
        <f t="shared" si="0"/>
        <v>0</v>
      </c>
      <c r="H10" s="1545">
        <f t="shared" ref="H10:H26" si="3">D10*C10*K10/100</f>
        <v>0</v>
      </c>
      <c r="I10" s="1545">
        <f t="shared" si="1"/>
        <v>0</v>
      </c>
      <c r="J10" s="1545">
        <f t="shared" si="2"/>
        <v>0</v>
      </c>
      <c r="K10" s="1546">
        <f>VLOOKUP(B10,Düngemittel!$B$6:$E$64,3,FALSE)</f>
        <v>0</v>
      </c>
    </row>
    <row r="11" spans="1:20" s="1543" customFormat="1">
      <c r="A11" s="902"/>
      <c r="B11" s="888" t="s">
        <v>795</v>
      </c>
      <c r="C11" s="903">
        <v>0</v>
      </c>
      <c r="D11" s="1544">
        <f>VLOOKUP($B11,Düngemittel!$B$6:$E$64,2,FALSE)</f>
        <v>0</v>
      </c>
      <c r="E11" s="1544">
        <f>VLOOKUP($B11,Düngemittel!$B$6:$E$64,4,FALSE)</f>
        <v>0</v>
      </c>
      <c r="F11" s="1544">
        <f>VLOOKUP($B11,Düngemittel!$B$6:$F$64,5,FALSE)</f>
        <v>0</v>
      </c>
      <c r="G11" s="1545">
        <f t="shared" si="0"/>
        <v>0</v>
      </c>
      <c r="H11" s="1545">
        <f t="shared" si="3"/>
        <v>0</v>
      </c>
      <c r="I11" s="1545">
        <f t="shared" si="1"/>
        <v>0</v>
      </c>
      <c r="J11" s="1545">
        <f t="shared" si="2"/>
        <v>0</v>
      </c>
      <c r="K11" s="1546">
        <f>VLOOKUP(B11,Düngemittel!$B$6:$E$64,3,FALSE)</f>
        <v>0</v>
      </c>
    </row>
    <row r="12" spans="1:20" s="1543" customFormat="1">
      <c r="A12" s="902"/>
      <c r="B12" s="888" t="s">
        <v>795</v>
      </c>
      <c r="C12" s="903">
        <v>0</v>
      </c>
      <c r="D12" s="1544">
        <f>VLOOKUP($B12,Düngemittel!$B$6:$E$64,2,FALSE)</f>
        <v>0</v>
      </c>
      <c r="E12" s="1544">
        <f>VLOOKUP($B12,Düngemittel!$B$6:$E$64,4,FALSE)</f>
        <v>0</v>
      </c>
      <c r="F12" s="1544">
        <f>VLOOKUP($B12,Düngemittel!$B$6:$F$64,5,FALSE)</f>
        <v>0</v>
      </c>
      <c r="G12" s="1545">
        <f t="shared" si="0"/>
        <v>0</v>
      </c>
      <c r="H12" s="1545">
        <f t="shared" si="3"/>
        <v>0</v>
      </c>
      <c r="I12" s="1545">
        <f t="shared" si="1"/>
        <v>0</v>
      </c>
      <c r="J12" s="1545">
        <f t="shared" si="2"/>
        <v>0</v>
      </c>
      <c r="K12" s="1546">
        <f>VLOOKUP(B12,Düngemittel!$B$6:$E$64,3,FALSE)</f>
        <v>0</v>
      </c>
    </row>
    <row r="13" spans="1:20" s="1543" customFormat="1">
      <c r="A13" s="902"/>
      <c r="B13" s="888" t="s">
        <v>795</v>
      </c>
      <c r="C13" s="903">
        <v>0</v>
      </c>
      <c r="D13" s="1544">
        <f>VLOOKUP($B13,Düngemittel!$B$6:$E$64,2,FALSE)</f>
        <v>0</v>
      </c>
      <c r="E13" s="1544">
        <f>VLOOKUP($B13,Düngemittel!$B$6:$E$64,4,FALSE)</f>
        <v>0</v>
      </c>
      <c r="F13" s="1544">
        <f>VLOOKUP($B13,Düngemittel!$B$6:$F$64,5,FALSE)</f>
        <v>0</v>
      </c>
      <c r="G13" s="1545">
        <f t="shared" si="0"/>
        <v>0</v>
      </c>
      <c r="H13" s="1545">
        <f t="shared" si="3"/>
        <v>0</v>
      </c>
      <c r="I13" s="1545">
        <f t="shared" si="1"/>
        <v>0</v>
      </c>
      <c r="J13" s="1545">
        <f t="shared" si="2"/>
        <v>0</v>
      </c>
      <c r="K13" s="1546">
        <f>VLOOKUP(B13,Düngemittel!$B$6:$E$64,3,FALSE)</f>
        <v>0</v>
      </c>
    </row>
    <row r="14" spans="1:20" s="1543" customFormat="1">
      <c r="A14" s="902"/>
      <c r="B14" s="888" t="s">
        <v>795</v>
      </c>
      <c r="C14" s="903">
        <v>0</v>
      </c>
      <c r="D14" s="1544">
        <f>VLOOKUP($B14,Düngemittel!$B$6:$E$64,2,FALSE)</f>
        <v>0</v>
      </c>
      <c r="E14" s="1544">
        <f>VLOOKUP($B14,Düngemittel!$B$6:$E$64,4,FALSE)</f>
        <v>0</v>
      </c>
      <c r="F14" s="1544">
        <f>VLOOKUP($B14,Düngemittel!$B$6:$F$64,5,FALSE)</f>
        <v>0</v>
      </c>
      <c r="G14" s="1545">
        <f t="shared" si="0"/>
        <v>0</v>
      </c>
      <c r="H14" s="1545">
        <f t="shared" si="3"/>
        <v>0</v>
      </c>
      <c r="I14" s="1545">
        <f t="shared" si="1"/>
        <v>0</v>
      </c>
      <c r="J14" s="1545">
        <f t="shared" si="2"/>
        <v>0</v>
      </c>
      <c r="K14" s="1546">
        <f>VLOOKUP(B14,Düngemittel!$B$6:$E$64,3,FALSE)</f>
        <v>0</v>
      </c>
    </row>
    <row r="15" spans="1:20" s="1543" customFormat="1">
      <c r="A15" s="902"/>
      <c r="B15" s="888" t="s">
        <v>795</v>
      </c>
      <c r="C15" s="903">
        <v>0</v>
      </c>
      <c r="D15" s="1544">
        <f>VLOOKUP($B15,Düngemittel!$B$6:$E$64,2,FALSE)</f>
        <v>0</v>
      </c>
      <c r="E15" s="1544">
        <f>VLOOKUP($B15,Düngemittel!$B$6:$E$64,4,FALSE)</f>
        <v>0</v>
      </c>
      <c r="F15" s="1544">
        <f>VLOOKUP($B15,Düngemittel!$B$6:$F$64,5,FALSE)</f>
        <v>0</v>
      </c>
      <c r="G15" s="1545">
        <f t="shared" si="0"/>
        <v>0</v>
      </c>
      <c r="H15" s="1545">
        <f t="shared" si="3"/>
        <v>0</v>
      </c>
      <c r="I15" s="1545">
        <f t="shared" si="1"/>
        <v>0</v>
      </c>
      <c r="J15" s="1545">
        <f t="shared" si="2"/>
        <v>0</v>
      </c>
      <c r="K15" s="1546">
        <f>VLOOKUP(B15,Düngemittel!$B$6:$E$64,3,FALSE)</f>
        <v>0</v>
      </c>
    </row>
    <row r="16" spans="1:20" s="1543" customFormat="1">
      <c r="A16" s="902"/>
      <c r="B16" s="888" t="s">
        <v>795</v>
      </c>
      <c r="C16" s="903">
        <v>0</v>
      </c>
      <c r="D16" s="1544">
        <f>VLOOKUP($B16,Düngemittel!$B$6:$E$64,2,FALSE)</f>
        <v>0</v>
      </c>
      <c r="E16" s="1544">
        <f>VLOOKUP($B16,Düngemittel!$B$6:$E$64,4,FALSE)</f>
        <v>0</v>
      </c>
      <c r="F16" s="1544">
        <f>VLOOKUP($B16,Düngemittel!$B$6:$F$64,5,FALSE)</f>
        <v>0</v>
      </c>
      <c r="G16" s="1545">
        <f t="shared" si="0"/>
        <v>0</v>
      </c>
      <c r="H16" s="1545">
        <f t="shared" si="3"/>
        <v>0</v>
      </c>
      <c r="I16" s="1545">
        <f t="shared" si="1"/>
        <v>0</v>
      </c>
      <c r="J16" s="1545">
        <f t="shared" si="2"/>
        <v>0</v>
      </c>
      <c r="K16" s="1546">
        <f>VLOOKUP(B16,Düngemittel!$B$6:$E$64,3,FALSE)</f>
        <v>0</v>
      </c>
    </row>
    <row r="17" spans="1:11" s="1543" customFormat="1">
      <c r="A17" s="902"/>
      <c r="B17" s="888" t="s">
        <v>795</v>
      </c>
      <c r="C17" s="903">
        <v>0</v>
      </c>
      <c r="D17" s="1544">
        <f>VLOOKUP($B17,Düngemittel!$B$6:$E$64,2,FALSE)</f>
        <v>0</v>
      </c>
      <c r="E17" s="1544">
        <f>VLOOKUP($B17,Düngemittel!$B$6:$E$64,4,FALSE)</f>
        <v>0</v>
      </c>
      <c r="F17" s="1544">
        <f>VLOOKUP($B17,Düngemittel!$B$6:$F$64,5,FALSE)</f>
        <v>0</v>
      </c>
      <c r="G17" s="1545">
        <f t="shared" si="0"/>
        <v>0</v>
      </c>
      <c r="H17" s="1545">
        <f t="shared" si="3"/>
        <v>0</v>
      </c>
      <c r="I17" s="1545">
        <f t="shared" si="1"/>
        <v>0</v>
      </c>
      <c r="J17" s="1545">
        <f t="shared" si="2"/>
        <v>0</v>
      </c>
      <c r="K17" s="1546">
        <f>VLOOKUP(B17,Düngemittel!$B$6:$E$64,3,FALSE)</f>
        <v>0</v>
      </c>
    </row>
    <row r="18" spans="1:11" s="1543" customFormat="1">
      <c r="A18" s="902"/>
      <c r="B18" s="888" t="s">
        <v>795</v>
      </c>
      <c r="C18" s="903">
        <v>0</v>
      </c>
      <c r="D18" s="1544">
        <f>VLOOKUP($B18,Düngemittel!$B$6:$E$64,2,FALSE)</f>
        <v>0</v>
      </c>
      <c r="E18" s="1544">
        <f>VLOOKUP($B18,Düngemittel!$B$6:$E$64,4,FALSE)</f>
        <v>0</v>
      </c>
      <c r="F18" s="1544">
        <f>VLOOKUP($B18,Düngemittel!$B$6:$F$64,5,FALSE)</f>
        <v>0</v>
      </c>
      <c r="G18" s="1545">
        <f t="shared" si="0"/>
        <v>0</v>
      </c>
      <c r="H18" s="1545">
        <f t="shared" si="3"/>
        <v>0</v>
      </c>
      <c r="I18" s="1545">
        <f t="shared" si="1"/>
        <v>0</v>
      </c>
      <c r="J18" s="1545">
        <f t="shared" si="2"/>
        <v>0</v>
      </c>
      <c r="K18" s="1546">
        <f>VLOOKUP(B18,Düngemittel!$B$6:$E$64,3,FALSE)</f>
        <v>0</v>
      </c>
    </row>
    <row r="19" spans="1:11" s="1543" customFormat="1">
      <c r="A19" s="902"/>
      <c r="B19" s="888" t="s">
        <v>795</v>
      </c>
      <c r="C19" s="903">
        <v>0</v>
      </c>
      <c r="D19" s="1544">
        <f>VLOOKUP($B19,Düngemittel!$B$6:$E$64,2,FALSE)</f>
        <v>0</v>
      </c>
      <c r="E19" s="1544">
        <f>VLOOKUP($B19,Düngemittel!$B$6:$E$64,4,FALSE)</f>
        <v>0</v>
      </c>
      <c r="F19" s="1544">
        <f>VLOOKUP($B19,Düngemittel!$B$6:$F$64,5,FALSE)</f>
        <v>0</v>
      </c>
      <c r="G19" s="1545">
        <f t="shared" si="0"/>
        <v>0</v>
      </c>
      <c r="H19" s="1545">
        <f t="shared" si="3"/>
        <v>0</v>
      </c>
      <c r="I19" s="1545">
        <f t="shared" si="1"/>
        <v>0</v>
      </c>
      <c r="J19" s="1545">
        <f t="shared" si="2"/>
        <v>0</v>
      </c>
      <c r="K19" s="1546">
        <f>VLOOKUP(B19,Düngemittel!$B$6:$E$64,3,FALSE)</f>
        <v>0</v>
      </c>
    </row>
    <row r="20" spans="1:11" s="1543" customFormat="1">
      <c r="A20" s="902"/>
      <c r="B20" s="888" t="s">
        <v>795</v>
      </c>
      <c r="C20" s="903">
        <v>0</v>
      </c>
      <c r="D20" s="1544">
        <f>VLOOKUP($B20,Düngemittel!$B$6:$E$64,2,FALSE)</f>
        <v>0</v>
      </c>
      <c r="E20" s="1544">
        <f>VLOOKUP($B20,Düngemittel!$B$6:$E$64,4,FALSE)</f>
        <v>0</v>
      </c>
      <c r="F20" s="1544">
        <f>VLOOKUP($B20,Düngemittel!$B$6:$F$64,5,FALSE)</f>
        <v>0</v>
      </c>
      <c r="G20" s="1545">
        <f t="shared" si="0"/>
        <v>0</v>
      </c>
      <c r="H20" s="1545">
        <f t="shared" si="3"/>
        <v>0</v>
      </c>
      <c r="I20" s="1545">
        <f t="shared" si="1"/>
        <v>0</v>
      </c>
      <c r="J20" s="1545">
        <f t="shared" si="2"/>
        <v>0</v>
      </c>
      <c r="K20" s="1546">
        <f>VLOOKUP(B20,Düngemittel!$B$6:$E$64,3,FALSE)</f>
        <v>0</v>
      </c>
    </row>
    <row r="21" spans="1:11" s="1543" customFormat="1">
      <c r="A21" s="902"/>
      <c r="B21" s="888" t="s">
        <v>795</v>
      </c>
      <c r="C21" s="903">
        <v>0</v>
      </c>
      <c r="D21" s="1544">
        <f>VLOOKUP($B21,Düngemittel!$B$6:$E$64,2,FALSE)</f>
        <v>0</v>
      </c>
      <c r="E21" s="1544">
        <f>VLOOKUP($B21,Düngemittel!$B$6:$E$64,4,FALSE)</f>
        <v>0</v>
      </c>
      <c r="F21" s="1544">
        <f>VLOOKUP($B21,Düngemittel!$B$6:$F$64,5,FALSE)</f>
        <v>0</v>
      </c>
      <c r="G21" s="1545">
        <f t="shared" si="0"/>
        <v>0</v>
      </c>
      <c r="H21" s="1545">
        <f t="shared" si="3"/>
        <v>0</v>
      </c>
      <c r="I21" s="1545">
        <f t="shared" si="1"/>
        <v>0</v>
      </c>
      <c r="J21" s="1545">
        <f t="shared" si="2"/>
        <v>0</v>
      </c>
      <c r="K21" s="1546">
        <f>VLOOKUP(B21,Düngemittel!$B$6:$E$64,3,FALSE)</f>
        <v>0</v>
      </c>
    </row>
    <row r="22" spans="1:11" s="1543" customFormat="1">
      <c r="A22" s="902"/>
      <c r="B22" s="888" t="s">
        <v>795</v>
      </c>
      <c r="C22" s="903">
        <v>0</v>
      </c>
      <c r="D22" s="1544">
        <f>VLOOKUP($B22,Düngemittel!$B$6:$E$64,2,FALSE)</f>
        <v>0</v>
      </c>
      <c r="E22" s="1544">
        <f>VLOOKUP($B22,Düngemittel!$B$6:$E$64,4,FALSE)</f>
        <v>0</v>
      </c>
      <c r="F22" s="1544">
        <f>VLOOKUP($B22,Düngemittel!$B$6:$F$64,5,FALSE)</f>
        <v>0</v>
      </c>
      <c r="G22" s="1545">
        <f t="shared" si="0"/>
        <v>0</v>
      </c>
      <c r="H22" s="1545">
        <f t="shared" si="3"/>
        <v>0</v>
      </c>
      <c r="I22" s="1545">
        <f t="shared" si="1"/>
        <v>0</v>
      </c>
      <c r="J22" s="1545">
        <f t="shared" si="2"/>
        <v>0</v>
      </c>
      <c r="K22" s="1546">
        <f>VLOOKUP(B22,Düngemittel!$B$6:$E$64,3,FALSE)</f>
        <v>0</v>
      </c>
    </row>
    <row r="23" spans="1:11" s="1543" customFormat="1">
      <c r="A23" s="902"/>
      <c r="B23" s="888" t="s">
        <v>795</v>
      </c>
      <c r="C23" s="903">
        <v>0</v>
      </c>
      <c r="D23" s="1544">
        <f>VLOOKUP($B23,Düngemittel!$B$6:$E$64,2,FALSE)</f>
        <v>0</v>
      </c>
      <c r="E23" s="1544">
        <f>VLOOKUP($B23,Düngemittel!$B$6:$E$64,4,FALSE)</f>
        <v>0</v>
      </c>
      <c r="F23" s="1544">
        <f>VLOOKUP($B23,Düngemittel!$B$6:$F$64,5,FALSE)</f>
        <v>0</v>
      </c>
      <c r="G23" s="1545">
        <f t="shared" si="0"/>
        <v>0</v>
      </c>
      <c r="H23" s="1545">
        <f t="shared" si="3"/>
        <v>0</v>
      </c>
      <c r="I23" s="1545">
        <f t="shared" si="1"/>
        <v>0</v>
      </c>
      <c r="J23" s="1545">
        <f t="shared" si="2"/>
        <v>0</v>
      </c>
      <c r="K23" s="1546">
        <f>VLOOKUP(B23,Düngemittel!$B$6:$E$64,3,FALSE)</f>
        <v>0</v>
      </c>
    </row>
    <row r="24" spans="1:11" s="1543" customFormat="1">
      <c r="A24" s="902"/>
      <c r="B24" s="888" t="s">
        <v>795</v>
      </c>
      <c r="C24" s="903">
        <v>0</v>
      </c>
      <c r="D24" s="1544">
        <f>VLOOKUP($B24,Düngemittel!$B$6:$E$64,2,FALSE)</f>
        <v>0</v>
      </c>
      <c r="E24" s="1544">
        <f>VLOOKUP($B24,Düngemittel!$B$6:$E$64,4,FALSE)</f>
        <v>0</v>
      </c>
      <c r="F24" s="1544">
        <f>VLOOKUP($B24,Düngemittel!$B$6:$F$64,5,FALSE)</f>
        <v>0</v>
      </c>
      <c r="G24" s="1545">
        <f t="shared" si="0"/>
        <v>0</v>
      </c>
      <c r="H24" s="1545">
        <f t="shared" si="3"/>
        <v>0</v>
      </c>
      <c r="I24" s="1545">
        <f t="shared" si="1"/>
        <v>0</v>
      </c>
      <c r="J24" s="1545">
        <f t="shared" si="2"/>
        <v>0</v>
      </c>
      <c r="K24" s="1546">
        <f>VLOOKUP(B24,Düngemittel!$B$6:$E$64,3,FALSE)</f>
        <v>0</v>
      </c>
    </row>
    <row r="25" spans="1:11" s="1543" customFormat="1">
      <c r="A25" s="902"/>
      <c r="B25" s="888" t="s">
        <v>795</v>
      </c>
      <c r="C25" s="903">
        <v>0</v>
      </c>
      <c r="D25" s="1544">
        <f>VLOOKUP($B25,Düngemittel!$B$6:$E$64,2,FALSE)</f>
        <v>0</v>
      </c>
      <c r="E25" s="1544">
        <f>VLOOKUP($B25,Düngemittel!$B$6:$E$64,4,FALSE)</f>
        <v>0</v>
      </c>
      <c r="F25" s="1544">
        <f>VLOOKUP($B25,Düngemittel!$B$6:$F$64,5,FALSE)</f>
        <v>0</v>
      </c>
      <c r="G25" s="1545">
        <f t="shared" si="0"/>
        <v>0</v>
      </c>
      <c r="H25" s="1545">
        <f t="shared" si="3"/>
        <v>0</v>
      </c>
      <c r="I25" s="1545">
        <f t="shared" si="1"/>
        <v>0</v>
      </c>
      <c r="J25" s="1545">
        <f t="shared" si="2"/>
        <v>0</v>
      </c>
      <c r="K25" s="1546">
        <f>VLOOKUP(B25,Düngemittel!$B$6:$E$64,3,FALSE)</f>
        <v>0</v>
      </c>
    </row>
    <row r="26" spans="1:11" s="1543" customFormat="1">
      <c r="A26" s="902"/>
      <c r="B26" s="888" t="s">
        <v>795</v>
      </c>
      <c r="C26" s="903">
        <v>0</v>
      </c>
      <c r="D26" s="1544">
        <f>VLOOKUP($B26,Düngemittel!$B$6:$E$64,2,FALSE)</f>
        <v>0</v>
      </c>
      <c r="E26" s="1544">
        <f>VLOOKUP($B26,Düngemittel!$B$6:$E$64,4,FALSE)</f>
        <v>0</v>
      </c>
      <c r="F26" s="1544">
        <f>VLOOKUP($B26,Düngemittel!$B$6:$F$64,5,FALSE)</f>
        <v>0</v>
      </c>
      <c r="G26" s="1545">
        <f t="shared" si="0"/>
        <v>0</v>
      </c>
      <c r="H26" s="1545">
        <f t="shared" si="3"/>
        <v>0</v>
      </c>
      <c r="I26" s="1545">
        <f t="shared" si="1"/>
        <v>0</v>
      </c>
      <c r="J26" s="1545">
        <f t="shared" si="2"/>
        <v>0</v>
      </c>
      <c r="K26" s="1546">
        <f>VLOOKUP(B26,Düngemittel!$B$6:$E$64,3,FALSE)</f>
        <v>0</v>
      </c>
    </row>
    <row r="27" spans="1:11" s="546" customFormat="1" ht="21" customHeight="1">
      <c r="F27" s="1492" t="s">
        <v>286</v>
      </c>
      <c r="G27" s="1482">
        <f>SUM(G7:G26)</f>
        <v>0</v>
      </c>
      <c r="H27" s="1482">
        <f>SUM(H7:H26)</f>
        <v>0</v>
      </c>
      <c r="I27" s="1482">
        <f>SUM(I7:I26)</f>
        <v>0</v>
      </c>
      <c r="J27" s="1482">
        <f>SUM(J7:J26)</f>
        <v>0</v>
      </c>
      <c r="K27" s="1482"/>
    </row>
    <row r="28" spans="1:11" s="1543" customFormat="1" ht="13.5" customHeight="1">
      <c r="F28" s="1542"/>
      <c r="G28" s="1547"/>
      <c r="H28" s="1547"/>
      <c r="I28" s="1547"/>
      <c r="K28" s="1548"/>
    </row>
    <row r="29" spans="1:11" s="1543" customFormat="1" ht="45" customHeight="1">
      <c r="A29" s="412"/>
      <c r="B29" s="412"/>
      <c r="C29" s="412"/>
      <c r="D29" s="2907" t="s">
        <v>1012</v>
      </c>
      <c r="E29" s="2907"/>
      <c r="F29" s="2907"/>
      <c r="G29" s="1492" t="s">
        <v>1240</v>
      </c>
      <c r="H29" s="2908" t="s">
        <v>1226</v>
      </c>
      <c r="I29" s="2908"/>
      <c r="J29" s="2908"/>
      <c r="K29" s="2588"/>
    </row>
    <row r="30" spans="1:11" s="1543" customFormat="1" ht="45">
      <c r="A30" s="1483" t="s">
        <v>1120</v>
      </c>
      <c r="B30" s="1490" t="s">
        <v>1195</v>
      </c>
      <c r="C30" s="1493" t="s">
        <v>1014</v>
      </c>
      <c r="D30" s="1492" t="s">
        <v>177</v>
      </c>
      <c r="E30" s="1492" t="s">
        <v>1005</v>
      </c>
      <c r="F30" s="1492" t="s">
        <v>1006</v>
      </c>
      <c r="G30" s="1484" t="s">
        <v>1015</v>
      </c>
      <c r="H30" s="1492" t="s">
        <v>177</v>
      </c>
      <c r="I30" s="1492" t="s">
        <v>1005</v>
      </c>
      <c r="J30" s="1492" t="s">
        <v>1006</v>
      </c>
      <c r="K30" s="1481" t="s">
        <v>1118</v>
      </c>
    </row>
    <row r="31" spans="1:11" s="1543" customFormat="1" ht="15.75" customHeight="1">
      <c r="A31" s="902"/>
      <c r="B31" s="888" t="s">
        <v>795</v>
      </c>
      <c r="C31" s="903">
        <v>0</v>
      </c>
      <c r="D31" s="1544">
        <f>VLOOKUP($B31,Düngemittel!$B$6:$E$64,2,FALSE)</f>
        <v>0</v>
      </c>
      <c r="E31" s="1544">
        <f>VLOOKUP($B31,Düngemittel!$B$6:$E$64,4,FALSE)</f>
        <v>0</v>
      </c>
      <c r="F31" s="1544">
        <f>VLOOKUP($B31,Düngemittel!$B$6:$F$64,5,FALSE)</f>
        <v>0</v>
      </c>
      <c r="G31" s="1545">
        <f>C31*D31</f>
        <v>0</v>
      </c>
      <c r="H31" s="1545">
        <f>D31*C31*K31/100</f>
        <v>0</v>
      </c>
      <c r="I31" s="1545">
        <f>C31*E31</f>
        <v>0</v>
      </c>
      <c r="J31" s="1545">
        <f t="shared" ref="J31:J53" si="4">C31*F31</f>
        <v>0</v>
      </c>
      <c r="K31" s="1546">
        <f>VLOOKUP(B31,Düngemittel!$B$6:$E$64,3,FALSE)</f>
        <v>0</v>
      </c>
    </row>
    <row r="32" spans="1:11" s="1543" customFormat="1" ht="15.75" customHeight="1">
      <c r="A32" s="902"/>
      <c r="B32" s="888" t="s">
        <v>795</v>
      </c>
      <c r="C32" s="903">
        <v>0</v>
      </c>
      <c r="D32" s="1544">
        <f>VLOOKUP($B32,Düngemittel!$B$6:$E$64,2,FALSE)</f>
        <v>0</v>
      </c>
      <c r="E32" s="1544">
        <f>VLOOKUP($B32,Düngemittel!$B$6:$E$64,4,FALSE)</f>
        <v>0</v>
      </c>
      <c r="F32" s="1544">
        <f>VLOOKUP($B32,Düngemittel!$B$6:$F$64,5,FALSE)</f>
        <v>0</v>
      </c>
      <c r="G32" s="1545">
        <f t="shared" ref="G32:G53" si="5">C32*D32</f>
        <v>0</v>
      </c>
      <c r="H32" s="1545">
        <f t="shared" ref="H32:H53" si="6">D32*C32*K32/100</f>
        <v>0</v>
      </c>
      <c r="I32" s="1545">
        <f t="shared" ref="I32:I53" si="7">C32*E32</f>
        <v>0</v>
      </c>
      <c r="J32" s="1545">
        <f t="shared" si="4"/>
        <v>0</v>
      </c>
      <c r="K32" s="1546">
        <f>VLOOKUP(B32,Düngemittel!$B$6:$E$64,3,FALSE)</f>
        <v>0</v>
      </c>
    </row>
    <row r="33" spans="1:11" s="546" customFormat="1" ht="15.75" customHeight="1">
      <c r="A33" s="902"/>
      <c r="B33" s="888" t="s">
        <v>795</v>
      </c>
      <c r="C33" s="903">
        <v>0</v>
      </c>
      <c r="D33" s="1544">
        <f>VLOOKUP($B33,Düngemittel!$B$6:$E$64,2,FALSE)</f>
        <v>0</v>
      </c>
      <c r="E33" s="1544">
        <f>VLOOKUP($B33,Düngemittel!$B$6:$E$64,4,FALSE)</f>
        <v>0</v>
      </c>
      <c r="F33" s="1544">
        <f>VLOOKUP($B33,Düngemittel!$B$6:$F$64,5,FALSE)</f>
        <v>0</v>
      </c>
      <c r="G33" s="1545">
        <f t="shared" si="5"/>
        <v>0</v>
      </c>
      <c r="H33" s="1545">
        <f t="shared" si="6"/>
        <v>0</v>
      </c>
      <c r="I33" s="1545">
        <f t="shared" si="7"/>
        <v>0</v>
      </c>
      <c r="J33" s="1545">
        <f t="shared" si="4"/>
        <v>0</v>
      </c>
      <c r="K33" s="1546">
        <f>VLOOKUP(B33,Düngemittel!$B$6:$E$64,3,FALSE)</f>
        <v>0</v>
      </c>
    </row>
    <row r="34" spans="1:11" s="546" customFormat="1" ht="15.75" customHeight="1">
      <c r="A34" s="902"/>
      <c r="B34" s="888" t="s">
        <v>795</v>
      </c>
      <c r="C34" s="903">
        <v>0</v>
      </c>
      <c r="D34" s="1544">
        <f>VLOOKUP($B34,Düngemittel!$B$6:$E$64,2,FALSE)</f>
        <v>0</v>
      </c>
      <c r="E34" s="1544">
        <f>VLOOKUP($B34,Düngemittel!$B$6:$E$64,4,FALSE)</f>
        <v>0</v>
      </c>
      <c r="F34" s="1544">
        <f>VLOOKUP($B34,Düngemittel!$B$6:$F$64,5,FALSE)</f>
        <v>0</v>
      </c>
      <c r="G34" s="1545">
        <f t="shared" si="5"/>
        <v>0</v>
      </c>
      <c r="H34" s="1545">
        <f t="shared" si="6"/>
        <v>0</v>
      </c>
      <c r="I34" s="1545">
        <f t="shared" si="7"/>
        <v>0</v>
      </c>
      <c r="J34" s="1545">
        <f t="shared" si="4"/>
        <v>0</v>
      </c>
      <c r="K34" s="1546">
        <f>VLOOKUP(B34,Düngemittel!$B$6:$E$64,3,FALSE)</f>
        <v>0</v>
      </c>
    </row>
    <row r="35" spans="1:11" s="1543" customFormat="1" ht="15.75" customHeight="1">
      <c r="A35" s="902"/>
      <c r="B35" s="888" t="s">
        <v>795</v>
      </c>
      <c r="C35" s="903">
        <v>0</v>
      </c>
      <c r="D35" s="1544">
        <f>VLOOKUP($B35,Düngemittel!$B$6:$E$64,2,FALSE)</f>
        <v>0</v>
      </c>
      <c r="E35" s="1544">
        <f>VLOOKUP($B35,Düngemittel!$B$6:$E$64,4,FALSE)</f>
        <v>0</v>
      </c>
      <c r="F35" s="1544">
        <f>VLOOKUP($B35,Düngemittel!$B$6:$F$64,5,FALSE)</f>
        <v>0</v>
      </c>
      <c r="G35" s="1545">
        <f t="shared" si="5"/>
        <v>0</v>
      </c>
      <c r="H35" s="1545">
        <f t="shared" si="6"/>
        <v>0</v>
      </c>
      <c r="I35" s="1545">
        <f t="shared" si="7"/>
        <v>0</v>
      </c>
      <c r="J35" s="1545">
        <f t="shared" si="4"/>
        <v>0</v>
      </c>
      <c r="K35" s="1546">
        <f>VLOOKUP(B35,Düngemittel!$B$6:$E$64,3,FALSE)</f>
        <v>0</v>
      </c>
    </row>
    <row r="36" spans="1:11" s="1543" customFormat="1" ht="15.75" customHeight="1">
      <c r="A36" s="902"/>
      <c r="B36" s="888" t="s">
        <v>795</v>
      </c>
      <c r="C36" s="903">
        <v>0</v>
      </c>
      <c r="D36" s="1544">
        <f>VLOOKUP($B36,Düngemittel!$B$6:$E$64,2,FALSE)</f>
        <v>0</v>
      </c>
      <c r="E36" s="1544">
        <f>VLOOKUP($B36,Düngemittel!$B$6:$E$64,4,FALSE)</f>
        <v>0</v>
      </c>
      <c r="F36" s="1544">
        <f>VLOOKUP($B36,Düngemittel!$B$6:$F$64,5,FALSE)</f>
        <v>0</v>
      </c>
      <c r="G36" s="1545">
        <f t="shared" si="5"/>
        <v>0</v>
      </c>
      <c r="H36" s="1545">
        <f t="shared" si="6"/>
        <v>0</v>
      </c>
      <c r="I36" s="1545">
        <f t="shared" si="7"/>
        <v>0</v>
      </c>
      <c r="J36" s="1545">
        <f t="shared" si="4"/>
        <v>0</v>
      </c>
      <c r="K36" s="1546">
        <f>VLOOKUP(B36,Düngemittel!$B$6:$E$64,3,FALSE)</f>
        <v>0</v>
      </c>
    </row>
    <row r="37" spans="1:11" s="1543" customFormat="1" ht="15.75" customHeight="1">
      <c r="A37" s="902"/>
      <c r="B37" s="888" t="s">
        <v>795</v>
      </c>
      <c r="C37" s="903">
        <v>0</v>
      </c>
      <c r="D37" s="1544">
        <f>VLOOKUP($B37,Düngemittel!$B$6:$E$64,2,FALSE)</f>
        <v>0</v>
      </c>
      <c r="E37" s="1544">
        <f>VLOOKUP($B37,Düngemittel!$B$6:$E$64,4,FALSE)</f>
        <v>0</v>
      </c>
      <c r="F37" s="1544">
        <f>VLOOKUP($B37,Düngemittel!$B$6:$F$64,5,FALSE)</f>
        <v>0</v>
      </c>
      <c r="G37" s="1545">
        <f t="shared" si="5"/>
        <v>0</v>
      </c>
      <c r="H37" s="1545">
        <f t="shared" si="6"/>
        <v>0</v>
      </c>
      <c r="I37" s="1545">
        <f t="shared" si="7"/>
        <v>0</v>
      </c>
      <c r="J37" s="1545">
        <f t="shared" si="4"/>
        <v>0</v>
      </c>
      <c r="K37" s="1546">
        <f>VLOOKUP(B37,Düngemittel!$B$6:$E$64,3,FALSE)</f>
        <v>0</v>
      </c>
    </row>
    <row r="38" spans="1:11" s="1543" customFormat="1" ht="15.75" customHeight="1">
      <c r="A38" s="902"/>
      <c r="B38" s="888" t="s">
        <v>795</v>
      </c>
      <c r="C38" s="903">
        <v>0</v>
      </c>
      <c r="D38" s="1544">
        <f>VLOOKUP($B38,Düngemittel!$B$6:$E$64,2,FALSE)</f>
        <v>0</v>
      </c>
      <c r="E38" s="1544">
        <f>VLOOKUP($B38,Düngemittel!$B$6:$E$64,4,FALSE)</f>
        <v>0</v>
      </c>
      <c r="F38" s="1544">
        <f>VLOOKUP($B38,Düngemittel!$B$6:$F$64,5,FALSE)</f>
        <v>0</v>
      </c>
      <c r="G38" s="1545">
        <f t="shared" si="5"/>
        <v>0</v>
      </c>
      <c r="H38" s="1545">
        <f t="shared" si="6"/>
        <v>0</v>
      </c>
      <c r="I38" s="1545">
        <f t="shared" si="7"/>
        <v>0</v>
      </c>
      <c r="J38" s="1545">
        <f t="shared" si="4"/>
        <v>0</v>
      </c>
      <c r="K38" s="1546">
        <f>VLOOKUP(B38,Düngemittel!$B$6:$E$64,3,FALSE)</f>
        <v>0</v>
      </c>
    </row>
    <row r="39" spans="1:11" s="1543" customFormat="1" ht="15.75" customHeight="1">
      <c r="A39" s="902"/>
      <c r="B39" s="888" t="s">
        <v>795</v>
      </c>
      <c r="C39" s="903">
        <v>0</v>
      </c>
      <c r="D39" s="1544">
        <f>VLOOKUP($B39,Düngemittel!$B$6:$E$64,2,FALSE)</f>
        <v>0</v>
      </c>
      <c r="E39" s="1544">
        <f>VLOOKUP($B39,Düngemittel!$B$6:$E$64,4,FALSE)</f>
        <v>0</v>
      </c>
      <c r="F39" s="1544">
        <f>VLOOKUP($B39,Düngemittel!$B$6:$F$64,5,FALSE)</f>
        <v>0</v>
      </c>
      <c r="G39" s="1545">
        <f t="shared" si="5"/>
        <v>0</v>
      </c>
      <c r="H39" s="1545">
        <f t="shared" si="6"/>
        <v>0</v>
      </c>
      <c r="I39" s="1545">
        <f t="shared" si="7"/>
        <v>0</v>
      </c>
      <c r="J39" s="1545">
        <f t="shared" si="4"/>
        <v>0</v>
      </c>
      <c r="K39" s="1546">
        <f>VLOOKUP(B39,Düngemittel!$B$6:$E$64,3,FALSE)</f>
        <v>0</v>
      </c>
    </row>
    <row r="40" spans="1:11" s="1543" customFormat="1" ht="15.75" customHeight="1">
      <c r="A40" s="902"/>
      <c r="B40" s="888" t="s">
        <v>795</v>
      </c>
      <c r="C40" s="903">
        <v>0</v>
      </c>
      <c r="D40" s="1544">
        <f>VLOOKUP($B40,Düngemittel!$B$6:$E$64,2,FALSE)</f>
        <v>0</v>
      </c>
      <c r="E40" s="1544">
        <f>VLOOKUP($B40,Düngemittel!$B$6:$E$64,4,FALSE)</f>
        <v>0</v>
      </c>
      <c r="F40" s="1544">
        <f>VLOOKUP($B40,Düngemittel!$B$6:$F$64,5,FALSE)</f>
        <v>0</v>
      </c>
      <c r="G40" s="1545">
        <f t="shared" si="5"/>
        <v>0</v>
      </c>
      <c r="H40" s="1545">
        <f t="shared" si="6"/>
        <v>0</v>
      </c>
      <c r="I40" s="1545">
        <f t="shared" si="7"/>
        <v>0</v>
      </c>
      <c r="J40" s="1545">
        <f t="shared" si="4"/>
        <v>0</v>
      </c>
      <c r="K40" s="1546">
        <f>VLOOKUP(B40,Düngemittel!$B$6:$E$64,3,FALSE)</f>
        <v>0</v>
      </c>
    </row>
    <row r="41" spans="1:11" s="1543" customFormat="1" ht="15.75" customHeight="1">
      <c r="A41" s="902"/>
      <c r="B41" s="888" t="s">
        <v>795</v>
      </c>
      <c r="C41" s="903">
        <v>0</v>
      </c>
      <c r="D41" s="1544">
        <f>VLOOKUP($B41,Düngemittel!$B$6:$E$64,2,FALSE)</f>
        <v>0</v>
      </c>
      <c r="E41" s="1544">
        <f>VLOOKUP($B41,Düngemittel!$B$6:$E$64,4,FALSE)</f>
        <v>0</v>
      </c>
      <c r="F41" s="1544">
        <f>VLOOKUP($B41,Düngemittel!$B$6:$F$64,5,FALSE)</f>
        <v>0</v>
      </c>
      <c r="G41" s="1545">
        <f t="shared" si="5"/>
        <v>0</v>
      </c>
      <c r="H41" s="1545">
        <f t="shared" si="6"/>
        <v>0</v>
      </c>
      <c r="I41" s="1545">
        <f t="shared" si="7"/>
        <v>0</v>
      </c>
      <c r="J41" s="1545">
        <f t="shared" si="4"/>
        <v>0</v>
      </c>
      <c r="K41" s="1546">
        <f>VLOOKUP(B41,Düngemittel!$B$6:$E$64,3,FALSE)</f>
        <v>0</v>
      </c>
    </row>
    <row r="42" spans="1:11" s="1543" customFormat="1" ht="15.75" customHeight="1">
      <c r="A42" s="902"/>
      <c r="B42" s="888" t="s">
        <v>795</v>
      </c>
      <c r="C42" s="903">
        <v>0</v>
      </c>
      <c r="D42" s="1544">
        <f>VLOOKUP($B42,Düngemittel!$B$6:$E$64,2,FALSE)</f>
        <v>0</v>
      </c>
      <c r="E42" s="1544">
        <f>VLOOKUP($B42,Düngemittel!$B$6:$E$64,4,FALSE)</f>
        <v>0</v>
      </c>
      <c r="F42" s="1544">
        <f>VLOOKUP($B42,Düngemittel!$B$6:$F$64,5,FALSE)</f>
        <v>0</v>
      </c>
      <c r="G42" s="1545">
        <f t="shared" si="5"/>
        <v>0</v>
      </c>
      <c r="H42" s="1545">
        <f t="shared" si="6"/>
        <v>0</v>
      </c>
      <c r="I42" s="1545">
        <f t="shared" si="7"/>
        <v>0</v>
      </c>
      <c r="J42" s="1545">
        <f t="shared" si="4"/>
        <v>0</v>
      </c>
      <c r="K42" s="1546">
        <f>VLOOKUP(B42,Düngemittel!$B$6:$E$64,3,FALSE)</f>
        <v>0</v>
      </c>
    </row>
    <row r="43" spans="1:11" s="1543" customFormat="1" ht="15.75" customHeight="1">
      <c r="A43" s="902"/>
      <c r="B43" s="888" t="s">
        <v>795</v>
      </c>
      <c r="C43" s="903">
        <v>0</v>
      </c>
      <c r="D43" s="1544">
        <f>VLOOKUP($B43,Düngemittel!$B$6:$E$64,2,FALSE)</f>
        <v>0</v>
      </c>
      <c r="E43" s="1544">
        <f>VLOOKUP($B43,Düngemittel!$B$6:$E$64,4,FALSE)</f>
        <v>0</v>
      </c>
      <c r="F43" s="1544">
        <f>VLOOKUP($B43,Düngemittel!$B$6:$F$64,5,FALSE)</f>
        <v>0</v>
      </c>
      <c r="G43" s="1545">
        <f t="shared" si="5"/>
        <v>0</v>
      </c>
      <c r="H43" s="1545">
        <f t="shared" si="6"/>
        <v>0</v>
      </c>
      <c r="I43" s="1545">
        <f t="shared" si="7"/>
        <v>0</v>
      </c>
      <c r="J43" s="1545">
        <f t="shared" si="4"/>
        <v>0</v>
      </c>
      <c r="K43" s="1546">
        <f>VLOOKUP(B43,Düngemittel!$B$6:$E$64,3,FALSE)</f>
        <v>0</v>
      </c>
    </row>
    <row r="44" spans="1:11" s="1543" customFormat="1" ht="15.75" customHeight="1">
      <c r="A44" s="902"/>
      <c r="B44" s="888" t="s">
        <v>795</v>
      </c>
      <c r="C44" s="903">
        <v>0</v>
      </c>
      <c r="D44" s="1544">
        <f>VLOOKUP($B44,Düngemittel!$B$6:$E$64,2,FALSE)</f>
        <v>0</v>
      </c>
      <c r="E44" s="1544">
        <f>VLOOKUP($B44,Düngemittel!$B$6:$E$64,4,FALSE)</f>
        <v>0</v>
      </c>
      <c r="F44" s="1544">
        <f>VLOOKUP($B44,Düngemittel!$B$6:$F$64,5,FALSE)</f>
        <v>0</v>
      </c>
      <c r="G44" s="1545">
        <f t="shared" si="5"/>
        <v>0</v>
      </c>
      <c r="H44" s="1545">
        <f t="shared" si="6"/>
        <v>0</v>
      </c>
      <c r="I44" s="1545">
        <f t="shared" si="7"/>
        <v>0</v>
      </c>
      <c r="J44" s="1545">
        <f t="shared" si="4"/>
        <v>0</v>
      </c>
      <c r="K44" s="1546">
        <f>VLOOKUP(B44,Düngemittel!$B$6:$E$64,3,FALSE)</f>
        <v>0</v>
      </c>
    </row>
    <row r="45" spans="1:11" s="1543" customFormat="1" ht="15.75" customHeight="1">
      <c r="A45" s="902"/>
      <c r="B45" s="888" t="s">
        <v>795</v>
      </c>
      <c r="C45" s="903">
        <v>0</v>
      </c>
      <c r="D45" s="1544">
        <f>VLOOKUP($B45,Düngemittel!$B$6:$E$64,2,FALSE)</f>
        <v>0</v>
      </c>
      <c r="E45" s="1544">
        <f>VLOOKUP($B45,Düngemittel!$B$6:$E$64,4,FALSE)</f>
        <v>0</v>
      </c>
      <c r="F45" s="1544">
        <f>VLOOKUP($B45,Düngemittel!$B$6:$F$64,5,FALSE)</f>
        <v>0</v>
      </c>
      <c r="G45" s="1545">
        <f t="shared" si="5"/>
        <v>0</v>
      </c>
      <c r="H45" s="1545">
        <f t="shared" si="6"/>
        <v>0</v>
      </c>
      <c r="I45" s="1545">
        <f t="shared" si="7"/>
        <v>0</v>
      </c>
      <c r="J45" s="1545">
        <f t="shared" si="4"/>
        <v>0</v>
      </c>
      <c r="K45" s="1546">
        <f>VLOOKUP(B45,Düngemittel!$B$6:$E$64,3,FALSE)</f>
        <v>0</v>
      </c>
    </row>
    <row r="46" spans="1:11" s="1543" customFormat="1" ht="15.75" customHeight="1">
      <c r="A46" s="902"/>
      <c r="B46" s="888" t="s">
        <v>795</v>
      </c>
      <c r="C46" s="903">
        <v>0</v>
      </c>
      <c r="D46" s="1544">
        <f>VLOOKUP($B46,Düngemittel!$B$6:$E$64,2,FALSE)</f>
        <v>0</v>
      </c>
      <c r="E46" s="1544">
        <f>VLOOKUP($B46,Düngemittel!$B$6:$E$64,4,FALSE)</f>
        <v>0</v>
      </c>
      <c r="F46" s="1544">
        <f>VLOOKUP($B46,Düngemittel!$B$6:$F$64,5,FALSE)</f>
        <v>0</v>
      </c>
      <c r="G46" s="1545">
        <f t="shared" si="5"/>
        <v>0</v>
      </c>
      <c r="H46" s="1545">
        <f t="shared" si="6"/>
        <v>0</v>
      </c>
      <c r="I46" s="1545">
        <f t="shared" si="7"/>
        <v>0</v>
      </c>
      <c r="J46" s="1545">
        <f t="shared" si="4"/>
        <v>0</v>
      </c>
      <c r="K46" s="1546">
        <f>VLOOKUP(B46,Düngemittel!$B$6:$E$64,3,FALSE)</f>
        <v>0</v>
      </c>
    </row>
    <row r="47" spans="1:11" s="1543" customFormat="1" ht="15.75" customHeight="1">
      <c r="A47" s="902"/>
      <c r="B47" s="888" t="s">
        <v>795</v>
      </c>
      <c r="C47" s="903">
        <v>0</v>
      </c>
      <c r="D47" s="1544">
        <f>VLOOKUP($B47,Düngemittel!$B$6:$E$64,2,FALSE)</f>
        <v>0</v>
      </c>
      <c r="E47" s="1544">
        <f>VLOOKUP($B47,Düngemittel!$B$6:$E$64,4,FALSE)</f>
        <v>0</v>
      </c>
      <c r="F47" s="1544">
        <f>VLOOKUP($B47,Düngemittel!$B$6:$F$64,5,FALSE)</f>
        <v>0</v>
      </c>
      <c r="G47" s="1545">
        <f t="shared" si="5"/>
        <v>0</v>
      </c>
      <c r="H47" s="1545">
        <f t="shared" si="6"/>
        <v>0</v>
      </c>
      <c r="I47" s="1545">
        <f t="shared" si="7"/>
        <v>0</v>
      </c>
      <c r="J47" s="1545">
        <f t="shared" si="4"/>
        <v>0</v>
      </c>
      <c r="K47" s="1546">
        <f>VLOOKUP(B47,Düngemittel!$B$6:$E$64,3,FALSE)</f>
        <v>0</v>
      </c>
    </row>
    <row r="48" spans="1:11" s="1543" customFormat="1" ht="15.75" customHeight="1">
      <c r="A48" s="902"/>
      <c r="B48" s="888" t="s">
        <v>795</v>
      </c>
      <c r="C48" s="903">
        <v>0</v>
      </c>
      <c r="D48" s="1544">
        <f>VLOOKUP($B48,Düngemittel!$B$6:$E$64,2,FALSE)</f>
        <v>0</v>
      </c>
      <c r="E48" s="1544">
        <f>VLOOKUP($B48,Düngemittel!$B$6:$E$64,4,FALSE)</f>
        <v>0</v>
      </c>
      <c r="F48" s="1544">
        <f>VLOOKUP($B48,Düngemittel!$B$6:$F$64,5,FALSE)</f>
        <v>0</v>
      </c>
      <c r="G48" s="1545">
        <f t="shared" si="5"/>
        <v>0</v>
      </c>
      <c r="H48" s="1545">
        <f t="shared" si="6"/>
        <v>0</v>
      </c>
      <c r="I48" s="1545">
        <f t="shared" si="7"/>
        <v>0</v>
      </c>
      <c r="J48" s="1545">
        <f t="shared" si="4"/>
        <v>0</v>
      </c>
      <c r="K48" s="1546">
        <f>VLOOKUP(B48,Düngemittel!$B$6:$E$64,3,FALSE)</f>
        <v>0</v>
      </c>
    </row>
    <row r="49" spans="1:11" s="1543" customFormat="1" ht="15.75" customHeight="1">
      <c r="A49" s="902"/>
      <c r="B49" s="888" t="s">
        <v>795</v>
      </c>
      <c r="C49" s="903">
        <v>0</v>
      </c>
      <c r="D49" s="1544">
        <f>VLOOKUP($B49,Düngemittel!$B$6:$E$64,2,FALSE)</f>
        <v>0</v>
      </c>
      <c r="E49" s="1544">
        <f>VLOOKUP($B49,Düngemittel!$B$6:$E$64,4,FALSE)</f>
        <v>0</v>
      </c>
      <c r="F49" s="1544">
        <f>VLOOKUP($B49,Düngemittel!$B$6:$F$64,5,FALSE)</f>
        <v>0</v>
      </c>
      <c r="G49" s="1545">
        <f t="shared" si="5"/>
        <v>0</v>
      </c>
      <c r="H49" s="1545">
        <f t="shared" si="6"/>
        <v>0</v>
      </c>
      <c r="I49" s="1545">
        <f t="shared" si="7"/>
        <v>0</v>
      </c>
      <c r="J49" s="1545">
        <f t="shared" si="4"/>
        <v>0</v>
      </c>
      <c r="K49" s="1546">
        <f>VLOOKUP(B49,Düngemittel!$B$6:$E$64,3,FALSE)</f>
        <v>0</v>
      </c>
    </row>
    <row r="50" spans="1:11" s="1543" customFormat="1" ht="15.75" customHeight="1">
      <c r="A50" s="902"/>
      <c r="B50" s="888" t="s">
        <v>795</v>
      </c>
      <c r="C50" s="903">
        <v>0</v>
      </c>
      <c r="D50" s="1544">
        <f>VLOOKUP($B50,Düngemittel!$B$6:$E$64,2,FALSE)</f>
        <v>0</v>
      </c>
      <c r="E50" s="1544">
        <f>VLOOKUP($B50,Düngemittel!$B$6:$E$64,4,FALSE)</f>
        <v>0</v>
      </c>
      <c r="F50" s="1544">
        <f>VLOOKUP($B50,Düngemittel!$B$6:$F$64,5,FALSE)</f>
        <v>0</v>
      </c>
      <c r="G50" s="1545">
        <f t="shared" si="5"/>
        <v>0</v>
      </c>
      <c r="H50" s="1545">
        <f t="shared" si="6"/>
        <v>0</v>
      </c>
      <c r="I50" s="1545">
        <f t="shared" si="7"/>
        <v>0</v>
      </c>
      <c r="J50" s="1545">
        <f t="shared" si="4"/>
        <v>0</v>
      </c>
      <c r="K50" s="1546">
        <f>VLOOKUP(B50,Düngemittel!$B$6:$E$64,3,FALSE)</f>
        <v>0</v>
      </c>
    </row>
    <row r="51" spans="1:11" s="1543" customFormat="1" ht="15.75" customHeight="1">
      <c r="A51" s="902"/>
      <c r="B51" s="888" t="s">
        <v>795</v>
      </c>
      <c r="C51" s="903">
        <v>0</v>
      </c>
      <c r="D51" s="1544">
        <f>VLOOKUP($B51,Düngemittel!$B$6:$E$64,2,FALSE)</f>
        <v>0</v>
      </c>
      <c r="E51" s="1544">
        <f>VLOOKUP($B51,Düngemittel!$B$6:$E$64,4,FALSE)</f>
        <v>0</v>
      </c>
      <c r="F51" s="1544">
        <f>VLOOKUP($B51,Düngemittel!$B$6:$F$64,5,FALSE)</f>
        <v>0</v>
      </c>
      <c r="G51" s="1545">
        <f t="shared" si="5"/>
        <v>0</v>
      </c>
      <c r="H51" s="1545">
        <f t="shared" si="6"/>
        <v>0</v>
      </c>
      <c r="I51" s="1545">
        <f t="shared" si="7"/>
        <v>0</v>
      </c>
      <c r="J51" s="1545">
        <f t="shared" si="4"/>
        <v>0</v>
      </c>
      <c r="K51" s="1546">
        <f>VLOOKUP(B51,Düngemittel!$B$6:$E$64,3,FALSE)</f>
        <v>0</v>
      </c>
    </row>
    <row r="52" spans="1:11" s="1543" customFormat="1" ht="15.75" customHeight="1">
      <c r="A52" s="902"/>
      <c r="B52" s="888" t="s">
        <v>795</v>
      </c>
      <c r="C52" s="903">
        <v>0</v>
      </c>
      <c r="D52" s="1544">
        <f>VLOOKUP($B52,Düngemittel!$B$6:$E$64,2,FALSE)</f>
        <v>0</v>
      </c>
      <c r="E52" s="1544">
        <f>VLOOKUP($B52,Düngemittel!$B$6:$E$64,4,FALSE)</f>
        <v>0</v>
      </c>
      <c r="F52" s="1544">
        <f>VLOOKUP($B52,Düngemittel!$B$6:$F$64,5,FALSE)</f>
        <v>0</v>
      </c>
      <c r="G52" s="1545">
        <f t="shared" si="5"/>
        <v>0</v>
      </c>
      <c r="H52" s="1545">
        <f t="shared" si="6"/>
        <v>0</v>
      </c>
      <c r="I52" s="1545">
        <f t="shared" si="7"/>
        <v>0</v>
      </c>
      <c r="J52" s="1545">
        <f t="shared" si="4"/>
        <v>0</v>
      </c>
      <c r="K52" s="1546">
        <f>VLOOKUP(B52,Düngemittel!$B$6:$E$64,3,FALSE)</f>
        <v>0</v>
      </c>
    </row>
    <row r="53" spans="1:11" s="1543" customFormat="1" ht="15.75" customHeight="1">
      <c r="A53" s="902"/>
      <c r="B53" s="888" t="s">
        <v>795</v>
      </c>
      <c r="C53" s="903">
        <v>0</v>
      </c>
      <c r="D53" s="1544">
        <f>VLOOKUP($B53,Düngemittel!$B$6:$E$64,2,FALSE)</f>
        <v>0</v>
      </c>
      <c r="E53" s="1544">
        <f>VLOOKUP($B53,Düngemittel!$B$6:$E$64,4,FALSE)</f>
        <v>0</v>
      </c>
      <c r="F53" s="1544">
        <f>VLOOKUP($B53,Düngemittel!$B$6:$F$64,5,FALSE)</f>
        <v>0</v>
      </c>
      <c r="G53" s="1545">
        <f t="shared" si="5"/>
        <v>0</v>
      </c>
      <c r="H53" s="1545">
        <f t="shared" si="6"/>
        <v>0</v>
      </c>
      <c r="I53" s="1545">
        <f t="shared" si="7"/>
        <v>0</v>
      </c>
      <c r="J53" s="1545">
        <f t="shared" si="4"/>
        <v>0</v>
      </c>
      <c r="K53" s="1546">
        <f>VLOOKUP(B53,Düngemittel!$B$6:$E$64,3,FALSE)</f>
        <v>0</v>
      </c>
    </row>
    <row r="54" spans="1:11" s="1543" customFormat="1" ht="15.75" customHeight="1">
      <c r="A54" s="546"/>
      <c r="B54" s="546"/>
      <c r="C54" s="546"/>
      <c r="D54" s="546"/>
      <c r="E54" s="546"/>
      <c r="F54" s="1492" t="s">
        <v>286</v>
      </c>
      <c r="G54" s="1482">
        <f>SUM(G31:G53)</f>
        <v>0</v>
      </c>
      <c r="H54" s="1482">
        <f>SUM(H31:H53)</f>
        <v>0</v>
      </c>
      <c r="I54" s="1482">
        <f t="shared" ref="I54:J54" si="8">SUM(I31:I53)</f>
        <v>0</v>
      </c>
      <c r="J54" s="1482">
        <f t="shared" si="8"/>
        <v>0</v>
      </c>
      <c r="K54" s="1482"/>
    </row>
    <row r="55" spans="1:11" s="1543" customFormat="1"/>
    <row r="56" spans="1:11" s="1543" customFormat="1"/>
    <row r="57" spans="1:11" s="1549" customFormat="1" ht="27" customHeight="1">
      <c r="A57" s="1550"/>
      <c r="B57" s="1541" t="s">
        <v>1222</v>
      </c>
    </row>
    <row r="58" spans="1:11" s="1549" customFormat="1" ht="15.75" customHeight="1">
      <c r="B58" s="1541"/>
      <c r="G58" s="1552" t="s">
        <v>1224</v>
      </c>
      <c r="H58" s="1552"/>
      <c r="I58" s="1552"/>
    </row>
    <row r="59" spans="1:11" s="1543" customFormat="1" ht="18.75" customHeight="1">
      <c r="B59" s="2903" t="s">
        <v>1220</v>
      </c>
      <c r="C59" s="1413" t="s">
        <v>1223</v>
      </c>
      <c r="G59" s="1559">
        <f>Tierhaltung!M43</f>
        <v>0</v>
      </c>
    </row>
    <row r="60" spans="1:11" s="1543" customFormat="1" ht="18.75" customHeight="1">
      <c r="B60" s="2904"/>
      <c r="C60" s="1413" t="s">
        <v>1221</v>
      </c>
      <c r="G60" s="1559">
        <f>Tierhaltung!N43</f>
        <v>0</v>
      </c>
    </row>
    <row r="61" spans="1:11" s="1543" customFormat="1" ht="18.75" customHeight="1">
      <c r="B61" s="1554" t="s">
        <v>1227</v>
      </c>
      <c r="G61" s="1559">
        <f>G27</f>
        <v>0</v>
      </c>
    </row>
    <row r="62" spans="1:11" s="546" customFormat="1" ht="18.75" customHeight="1">
      <c r="A62" s="1543"/>
      <c r="B62" s="1554" t="s">
        <v>1228</v>
      </c>
      <c r="C62" s="1543"/>
      <c r="D62" s="1543"/>
      <c r="E62" s="1543"/>
      <c r="F62" s="1399" t="s">
        <v>1229</v>
      </c>
      <c r="G62" s="1559">
        <f>G54</f>
        <v>0</v>
      </c>
      <c r="H62" s="1543"/>
      <c r="I62" s="1543"/>
      <c r="J62" s="1543"/>
      <c r="K62" s="1543"/>
    </row>
    <row r="63" spans="1:11" s="546" customFormat="1" ht="9.75" customHeight="1">
      <c r="A63" s="1543"/>
      <c r="B63" s="1553"/>
      <c r="C63" s="1543"/>
      <c r="D63" s="1543"/>
      <c r="E63" s="1543"/>
      <c r="F63" s="1543"/>
      <c r="G63" s="1555"/>
      <c r="H63" s="1543"/>
      <c r="I63" s="1543"/>
      <c r="J63" s="1543"/>
      <c r="K63" s="1543"/>
    </row>
    <row r="64" spans="1:11" s="1557" customFormat="1" ht="17.25">
      <c r="B64" s="1556" t="s">
        <v>1230</v>
      </c>
      <c r="C64" s="1556"/>
      <c r="G64" s="1558">
        <f>G59+G60+G61-G62</f>
        <v>0</v>
      </c>
    </row>
    <row r="65" spans="1:12" s="1543" customFormat="1" ht="9" customHeight="1">
      <c r="A65" s="357"/>
      <c r="B65" s="369"/>
      <c r="C65" s="357"/>
      <c r="D65" s="357"/>
      <c r="E65" s="357"/>
      <c r="F65" s="357"/>
      <c r="G65" s="1555"/>
      <c r="H65" s="357"/>
      <c r="I65" s="357"/>
      <c r="J65" s="357"/>
      <c r="K65" s="357"/>
    </row>
    <row r="66" spans="1:12" s="1543" customFormat="1" ht="18.75">
      <c r="A66" s="357"/>
      <c r="B66" s="369"/>
      <c r="C66" s="357"/>
      <c r="D66" s="357"/>
      <c r="E66" s="357"/>
      <c r="F66" s="1561" t="s">
        <v>322</v>
      </c>
      <c r="G66" s="1560" t="e">
        <f>G64/I66</f>
        <v>#DIV/0!</v>
      </c>
      <c r="H66" s="1562" t="s">
        <v>1231</v>
      </c>
      <c r="I66" s="1563">
        <f>Auswertung!C18+Auswertung!C34</f>
        <v>0</v>
      </c>
      <c r="J66" s="1413" t="s">
        <v>1235</v>
      </c>
      <c r="K66" s="357"/>
    </row>
    <row r="67" spans="1:12" s="1543" customFormat="1" ht="9.75" customHeight="1">
      <c r="A67" s="357"/>
      <c r="B67" s="369"/>
      <c r="C67" s="357"/>
      <c r="D67" s="357"/>
      <c r="E67" s="357"/>
      <c r="F67" s="1561"/>
      <c r="G67" s="1551"/>
      <c r="H67" s="546"/>
      <c r="I67" s="546"/>
      <c r="J67" s="357"/>
      <c r="K67" s="357"/>
    </row>
    <row r="68" spans="1:12" s="1543" customFormat="1" ht="18.75">
      <c r="A68" s="357"/>
      <c r="B68" s="369"/>
      <c r="C68" s="357"/>
      <c r="D68" s="357"/>
      <c r="E68" s="357"/>
      <c r="F68" s="1561" t="s">
        <v>322</v>
      </c>
      <c r="G68" s="1551">
        <f>G64/I68</f>
        <v>0</v>
      </c>
      <c r="H68" s="1562" t="s">
        <v>1232</v>
      </c>
      <c r="I68" s="1727">
        <v>1</v>
      </c>
      <c r="J68" s="1413" t="s">
        <v>1233</v>
      </c>
      <c r="K68" s="357"/>
    </row>
    <row r="69" spans="1:12" s="1543" customFormat="1" ht="17.25">
      <c r="A69" s="357"/>
      <c r="B69" s="369"/>
      <c r="C69" s="357"/>
      <c r="D69" s="357"/>
      <c r="E69" s="357"/>
      <c r="F69" s="357"/>
      <c r="G69" s="1555"/>
      <c r="H69" s="357"/>
      <c r="I69" s="357"/>
      <c r="J69" s="357"/>
      <c r="K69" s="357"/>
    </row>
    <row r="70" spans="1:12" s="1543" customFormat="1" ht="51.75" customHeight="1">
      <c r="A70" s="357"/>
      <c r="B70" s="2905" t="s">
        <v>1234</v>
      </c>
      <c r="C70" s="2906"/>
      <c r="D70" s="2906"/>
      <c r="E70" s="2906"/>
      <c r="F70" s="2906"/>
      <c r="G70" s="2906"/>
      <c r="H70" s="2906"/>
      <c r="I70" s="2906"/>
      <c r="J70" s="2906"/>
      <c r="K70" s="2906"/>
      <c r="L70" s="2906"/>
    </row>
    <row r="71" spans="1:12" s="1543" customFormat="1" ht="17.25">
      <c r="A71" s="357"/>
      <c r="B71" s="369"/>
      <c r="C71" s="357"/>
      <c r="D71" s="357"/>
      <c r="E71" s="357"/>
      <c r="F71" s="357"/>
      <c r="G71" s="1555"/>
      <c r="H71" s="357"/>
      <c r="I71" s="357"/>
      <c r="J71" s="357"/>
      <c r="K71" s="357"/>
    </row>
    <row r="72" spans="1:12" ht="17.25">
      <c r="B72" s="369"/>
      <c r="G72" s="1555"/>
    </row>
    <row r="73" spans="1:12" ht="17.25">
      <c r="B73" s="369"/>
      <c r="G73" s="1555"/>
    </row>
    <row r="74" spans="1:12" ht="15" customHeight="1">
      <c r="B74" s="369"/>
    </row>
    <row r="75" spans="1:12" ht="15.75" customHeight="1"/>
    <row r="77" spans="1:12" ht="15.75" customHeight="1"/>
  </sheetData>
  <sheetProtection sheet="1" formatCells="0" formatColumns="0" formatRows="0" selectLockedCells="1"/>
  <mergeCells count="9">
    <mergeCell ref="B59:B60"/>
    <mergeCell ref="B70:L70"/>
    <mergeCell ref="D5:F5"/>
    <mergeCell ref="H5:K5"/>
    <mergeCell ref="A2:C3"/>
    <mergeCell ref="D2:K3"/>
    <mergeCell ref="D29:F29"/>
    <mergeCell ref="H29:K29"/>
    <mergeCell ref="A4:C4"/>
  </mergeCells>
  <pageMargins left="0.7" right="0.7" top="0.78740157499999996" bottom="0.78740157499999996" header="0.3" footer="0.3"/>
  <pageSetup paperSize="9" scale="70" orientation="landscape" r:id="rId1"/>
  <rowBreaks count="1" manualBreakCount="1">
    <brk id="27"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Düngemittel!$B$33:$B64</xm:f>
          </x14:formula1>
          <xm:sqref>B31:B53</xm:sqref>
        </x14:dataValidation>
        <x14:dataValidation type="list" allowBlank="1" showInputMessage="1" showErrorMessage="1">
          <x14:formula1>
            <xm:f>Düngemittel!$B$33:$B64</xm:f>
          </x14:formula1>
          <xm:sqref>B7:B26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B1A777"/>
  </sheetPr>
  <dimension ref="A1:S51"/>
  <sheetViews>
    <sheetView zoomScale="90" zoomScaleNormal="90" workbookViewId="0">
      <selection activeCell="B11" sqref="B11"/>
    </sheetView>
  </sheetViews>
  <sheetFormatPr baseColWidth="10" defaultRowHeight="15"/>
  <cols>
    <col min="1" max="1" width="4.5703125" style="882" customWidth="1"/>
    <col min="2" max="2" width="48.85546875" style="854" customWidth="1"/>
    <col min="3" max="3" width="31.5703125" style="854" customWidth="1"/>
    <col min="4" max="4" width="17.85546875" style="854" customWidth="1"/>
    <col min="5" max="5" width="10" style="854" customWidth="1"/>
    <col min="6" max="11" width="8.42578125" style="854" customWidth="1"/>
    <col min="12" max="12" width="13.85546875" style="854" customWidth="1"/>
    <col min="13" max="13" width="10.5703125" style="854" customWidth="1"/>
    <col min="14" max="14" width="10.5703125" style="881" customWidth="1"/>
    <col min="15" max="15" width="10.140625" style="881" customWidth="1"/>
    <col min="16" max="18" width="12.5703125" style="1089" customWidth="1"/>
    <col min="19" max="19" width="12.7109375" style="854" customWidth="1"/>
    <col min="20" max="16384" width="11.42578125" style="854"/>
  </cols>
  <sheetData>
    <row r="1" spans="1:19">
      <c r="B1" s="2919" t="s">
        <v>1103</v>
      </c>
      <c r="C1" s="2920"/>
      <c r="D1" s="2921"/>
      <c r="I1" s="127"/>
    </row>
    <row r="2" spans="1:19" ht="19.5" customHeight="1" thickBot="1">
      <c r="B2" s="2922"/>
      <c r="C2" s="2923"/>
      <c r="D2" s="2924"/>
      <c r="J2" s="2914" t="s">
        <v>992</v>
      </c>
      <c r="K2" s="2914"/>
      <c r="L2" s="2914"/>
    </row>
    <row r="3" spans="1:19" ht="30" customHeight="1">
      <c r="A3" s="2926"/>
      <c r="B3" s="2927" t="s">
        <v>993</v>
      </c>
      <c r="C3" s="2715" t="s">
        <v>994</v>
      </c>
      <c r="D3" s="2715"/>
      <c r="E3" s="2526"/>
      <c r="F3" s="2917" t="s">
        <v>991</v>
      </c>
      <c r="G3" s="2733"/>
      <c r="H3" s="2734"/>
      <c r="J3" s="477" t="s">
        <v>995</v>
      </c>
      <c r="K3" s="883" t="s">
        <v>996</v>
      </c>
      <c r="L3" s="477" t="s">
        <v>997</v>
      </c>
    </row>
    <row r="4" spans="1:19" ht="19.5" customHeight="1">
      <c r="A4" s="2926"/>
      <c r="B4" s="2517"/>
      <c r="C4" s="2514"/>
      <c r="D4" s="2514"/>
      <c r="E4" s="2526"/>
      <c r="F4" s="2735"/>
      <c r="G4" s="2918"/>
      <c r="H4" s="2737"/>
      <c r="J4" s="1726">
        <v>120</v>
      </c>
      <c r="K4" s="1726">
        <v>12</v>
      </c>
      <c r="L4" s="884">
        <f>J4*K4/24</f>
        <v>60</v>
      </c>
    </row>
    <row r="5" spans="1:19" ht="19.5" customHeight="1">
      <c r="A5" s="2926"/>
      <c r="B5" s="2517"/>
      <c r="C5" s="2514"/>
      <c r="D5" s="2514"/>
      <c r="E5" s="2526"/>
      <c r="F5" s="2735"/>
      <c r="G5" s="2918"/>
      <c r="H5" s="2737"/>
      <c r="J5" s="1726">
        <v>30</v>
      </c>
      <c r="K5" s="1726">
        <v>10</v>
      </c>
      <c r="L5" s="884">
        <f t="shared" ref="L5:L6" si="0">J5*K5/24</f>
        <v>12.5</v>
      </c>
    </row>
    <row r="6" spans="1:19" ht="19.5" customHeight="1">
      <c r="A6" s="2926"/>
      <c r="B6" s="2517"/>
      <c r="C6" s="2514"/>
      <c r="D6" s="2514"/>
      <c r="E6" s="2526"/>
      <c r="F6" s="2735"/>
      <c r="G6" s="2918"/>
      <c r="H6" s="2737"/>
      <c r="J6" s="1726">
        <v>10</v>
      </c>
      <c r="K6" s="1726">
        <v>8</v>
      </c>
      <c r="L6" s="884">
        <f t="shared" si="0"/>
        <v>3.3333333333333335</v>
      </c>
    </row>
    <row r="7" spans="1:19" ht="21" customHeight="1">
      <c r="A7" s="2926"/>
      <c r="B7" s="2517"/>
      <c r="C7" s="2514"/>
      <c r="D7" s="2514"/>
      <c r="E7" s="2526"/>
      <c r="F7" s="2735"/>
      <c r="G7" s="2918"/>
      <c r="H7" s="2737"/>
      <c r="I7" s="127"/>
      <c r="J7" s="2915" t="s">
        <v>286</v>
      </c>
      <c r="K7" s="2916"/>
      <c r="L7" s="1486">
        <f>L4+L5+L6</f>
        <v>75.833333333333329</v>
      </c>
      <c r="M7" s="127" t="s">
        <v>998</v>
      </c>
      <c r="N7" s="1485"/>
      <c r="O7" s="1485"/>
    </row>
    <row r="8" spans="1:19" ht="31.5" customHeight="1">
      <c r="A8" s="2926"/>
      <c r="B8" s="2517"/>
      <c r="C8" s="2514"/>
      <c r="D8" s="2514"/>
      <c r="E8" s="2526"/>
      <c r="F8" s="2738"/>
      <c r="G8" s="2739"/>
      <c r="H8" s="2740"/>
      <c r="I8" s="885"/>
    </row>
    <row r="9" spans="1:19" s="855" customFormat="1" ht="61.5" customHeight="1">
      <c r="A9" s="882"/>
      <c r="B9" s="2937" t="s">
        <v>999</v>
      </c>
      <c r="C9" s="2939" t="s">
        <v>1000</v>
      </c>
      <c r="D9" s="2939" t="s">
        <v>1001</v>
      </c>
      <c r="E9" s="2777" t="s">
        <v>1002</v>
      </c>
      <c r="F9" s="2771" t="s">
        <v>1003</v>
      </c>
      <c r="G9" s="2772"/>
      <c r="H9" s="2773"/>
      <c r="I9" s="2928" t="s">
        <v>1004</v>
      </c>
      <c r="J9" s="2929"/>
      <c r="K9" s="2930"/>
      <c r="L9" s="2931" t="s">
        <v>1196</v>
      </c>
      <c r="M9" s="2932"/>
      <c r="N9" s="2932"/>
      <c r="O9" s="2933"/>
      <c r="P9" s="2934" t="s">
        <v>1099</v>
      </c>
      <c r="Q9" s="2935"/>
      <c r="R9" s="2936"/>
      <c r="S9" s="2925" t="s">
        <v>1098</v>
      </c>
    </row>
    <row r="10" spans="1:19" s="855" customFormat="1" ht="85.5" customHeight="1">
      <c r="A10" s="882" t="s">
        <v>841</v>
      </c>
      <c r="B10" s="2938"/>
      <c r="C10" s="2940"/>
      <c r="D10" s="2940"/>
      <c r="E10" s="2514"/>
      <c r="F10" s="477" t="s">
        <v>723</v>
      </c>
      <c r="G10" s="477" t="s">
        <v>282</v>
      </c>
      <c r="H10" s="477" t="s">
        <v>283</v>
      </c>
      <c r="I10" s="335" t="s">
        <v>177</v>
      </c>
      <c r="J10" s="335" t="s">
        <v>1005</v>
      </c>
      <c r="K10" s="335" t="s">
        <v>1006</v>
      </c>
      <c r="L10" s="886" t="s">
        <v>1007</v>
      </c>
      <c r="M10" s="886" t="s">
        <v>1008</v>
      </c>
      <c r="N10" s="887" t="s">
        <v>1009</v>
      </c>
      <c r="O10" s="887" t="s">
        <v>1010</v>
      </c>
      <c r="P10" s="1190" t="s">
        <v>177</v>
      </c>
      <c r="Q10" s="1190" t="s">
        <v>1005</v>
      </c>
      <c r="R10" s="1190" t="s">
        <v>1006</v>
      </c>
      <c r="S10" s="2925"/>
    </row>
    <row r="11" spans="1:19" s="855" customFormat="1">
      <c r="A11" s="882">
        <f>VLOOKUP(B11,'Daten Tierhaltung'!$B$7:$C$108,2,FALSE)</f>
        <v>0</v>
      </c>
      <c r="B11" s="888" t="s">
        <v>795</v>
      </c>
      <c r="C11" s="888" t="s">
        <v>1011</v>
      </c>
      <c r="D11" s="1725">
        <v>0</v>
      </c>
      <c r="E11" s="1725">
        <v>0</v>
      </c>
      <c r="F11" s="889">
        <f>IF(OR(A11=57,A11=58,A11=59,A11=60,A11=61,A11=62,A11=63,A11=64,A11=65,A11=66,A11=67,A11=68,A11=71,A11=72,A11=73,A11=74,A11=75,A11=76,A11=77,A11=78,A11=79,A11=80,A11=81,A11=82,A11=83,A11=84,A11=85,A11=86,A11=87,A11=88,A11=89,A11=90,A11=91,A11=92,A11=96,A11=97,A11=98,A11=99),0,IF(365-G11-H11&lt;0,0,365-G11-H11))</f>
        <v>365</v>
      </c>
      <c r="G11" s="1725">
        <v>0</v>
      </c>
      <c r="H11" s="1725">
        <v>0</v>
      </c>
      <c r="I11" s="890">
        <f>IF(A11=6,IF(D11&lt;=8000,0.0075*D11+69,0.007*D11+73),IF(A11=7,IF(D11&lt;=8000,0.0075*D11+64,0.0085*D11+56),IF(A11=8,IF(D11&lt;=8000,0.007*D11+61,0.009*D11+44.667),IF(A11=9,IF(D11&lt;=8000,0.0075*D11+55,0.0093*D11+40.833),IF(A11=10,IF(D11&lt;=7000,0.0075*D11+38.5,0.01*D11+21),IF(A11=51,0.0058*D11+7.0627,IF(A11=52,0.0055*D11+6.8356,IF(A11=53,0.0052*D11+6.0136,VLOOKUP(B11,'Daten Tierhaltung'!$B$7:$G$108,4,FALSE)))))))))</f>
        <v>0</v>
      </c>
      <c r="J11" s="890">
        <f>IF(A11=6,IF(D11&lt;=8000,0.0035*D11+15,0.002*D11+27),IF(A11=7,IF(D11&lt;=8000,0.003*D11+19,0.0025*D11+23),IF(A11=8,IF(D11&lt;=8000,0.0025*D11+22,0.0025*D11+22),IF(A11=9,IF(D11&lt;=8000,0.003*D11+18,0.0025*D11+22),IF(A11=10,IF(D11&lt;=7000,0.003*D11+12,0.0045*D11+1.5),IF(A11=51,0.0009*D11+4.1288,IF(A11=52,0.0014*D11+3.0932,IF(A11=53,0.0006*D11+3.3542,VLOOKUP(B11,'Daten Tierhaltung'!$B$7:$G$108,5,FALSE)))))))))</f>
        <v>0</v>
      </c>
      <c r="K11" s="890">
        <f>IF(A11=6,IF(D11&lt;=8000,0.004*D11+110,0.004*D11+110),IF(A11=7,IF(D11&lt;=8000,0.0025*D11+114,0.0045*D11+98),IF(A11=8,IF(D11&lt;=8000,0.007*D11+67,0.004*D11+91),IF(A11=9,IF(D11&lt;=8000,0.006*D11+68,0.0045*D11+80),IF(A11=10,IF(D11&lt;=7000,0.006*D11+54,0.006*D11+54),IF(A11=51,0.0023*D11+3.9271,IF(A11=52,0.0028*D11+3.3915,IF(A11=53,0.0024*D11+3.522,VLOOKUP(B11,'Daten Tierhaltung'!$B$7:$G$108,6,FALSE)))))))))</f>
        <v>0</v>
      </c>
      <c r="L11" s="890" t="str">
        <f>IF(C11="Abgabe an andere Betriebe",E11*I11*(($F11/365*VLOOKUP(B11,'Daten Tierhaltung'!$B$7:$I$108,7,FALSE))+(($G11/365*VLOOKUP(B11,'Daten Tierhaltung'!$B$7:$I$108,8,FALSE)))),"0")</f>
        <v>0</v>
      </c>
      <c r="M11" s="901">
        <f>IF(C11="auf selbst bewirtschaft. Flächen",E11*I11*(($F11/365*VLOOKUP(B11,'Daten Tierhaltung'!$B$7:$I$108,7,FALSE))+(($G11/365*VLOOKUP(B11,'Daten Tierhaltung'!$B$7:$I$108,8,FALSE)))),"0")</f>
        <v>0</v>
      </c>
      <c r="N11" s="891">
        <f>E11*H11/365*VLOOKUP(B11,'Daten Tierhaltung'!$B$7:$I$108,8,FALSE)*I11</f>
        <v>0</v>
      </c>
      <c r="O11" s="893" t="str">
        <f>IF(C11="in eigene Biogasanlage",E11*I11*((0.95*F11/365*VLOOKUP(B11,'Daten Tierhaltung'!$B$7:$I$108,7,FALSE))+((0.95*G11/365*VLOOKUP(B11,'Daten Tierhaltung'!$B$7:$I$108,8,FALSE)))),"0")</f>
        <v>0</v>
      </c>
      <c r="P11" s="890">
        <f>IF(C11="auf selbst bewirtschaft. Flächen",E11*I11*(($F11/365*VLOOKUP(B11,'Daten Tierhaltung'!$B$7:$K$108,9,FALSE))+(($G11/365*VLOOKUP(B11,'Daten Tierhaltung'!$B$7:$K$108,10,FALSE)))),"0")</f>
        <v>0</v>
      </c>
      <c r="Q11" s="890">
        <f t="shared" ref="Q11:Q42" si="1">IF(C11="auf selbst bewirtschaft. Flächen",E11*J11*($F11/365+$G11/365),"0")</f>
        <v>0</v>
      </c>
      <c r="R11" s="890">
        <f t="shared" ref="R11:R42" si="2">IF(C11="auf selbst bewirtschaft. Flächen",E11*K11*($F11/365+$G11/365),"0")</f>
        <v>0</v>
      </c>
    </row>
    <row r="12" spans="1:19" s="855" customFormat="1">
      <c r="A12" s="882">
        <f>VLOOKUP(B12,'Daten Tierhaltung'!$B$7:$C$108,2,FALSE)</f>
        <v>0</v>
      </c>
      <c r="B12" s="888" t="s">
        <v>795</v>
      </c>
      <c r="C12" s="888" t="s">
        <v>1011</v>
      </c>
      <c r="D12" s="1725">
        <v>0</v>
      </c>
      <c r="E12" s="1725">
        <v>0</v>
      </c>
      <c r="F12" s="889">
        <f t="shared" ref="F12:F42" si="3">IF(OR(A12=57,A12=58,A12=59,A12=60,A12=61,A12=62,A12=63,A12=64,A12=65,A12=66,A12=67,A12=68,A12=69,A12=70,A12=71,A12=72,A12=73,A12=74,A12=75,A12=76,A12=77,A12=78,A12=79,A12=80,A12=81,A12=82,A12=83,A12=84,A12=85,A12=86,A12=87,A12=88,A12=89,A12=90,A12=91,A12=92,A12=93,A12=94,A12=95,A12=96,A12=97,A12=98,A12=99),0,IF(365-G12-H12&lt;0,0,365-G12-H12))</f>
        <v>365</v>
      </c>
      <c r="G12" s="1725">
        <v>0</v>
      </c>
      <c r="H12" s="1725">
        <v>0</v>
      </c>
      <c r="I12" s="890">
        <f>IF(A12=6,IF(D12&lt;=8000,0.0075*D12+69,0.007*D12+73),IF(A12=7,IF(D12&lt;=8000,0.0075*D12+64,0.0085*D12+56),IF(A12=8,IF(D12&lt;=8000,0.007*D12+61,0.009*D12+44.667),IF(A12=9,IF(D12&lt;=8000,0.0075*D12+55,0.0093*D12+40.833),IF(A12=10,IF(D12&lt;=7000,0.0075*D12+38.5,0.01*D12+21),IF(A12=51,0.0058*D12+7.0627,IF(A12=52,0.0055*D12+6.8356,IF(A12=53,0.0052*D12+6.0136,VLOOKUP(B12,'Daten Tierhaltung'!$B$7:$G$108,4,FALSE)))))))))</f>
        <v>0</v>
      </c>
      <c r="J12" s="890">
        <f>IF(A12=6,IF(D12&lt;=8000,0.0035*D12+15,0.002*D12+27),IF(A12=7,IF(D12&lt;=8000,0.003*D12+19,0.0025*D12+23),IF(A12=8,IF(D12&lt;=8000,0.0025*D12+22,0.0025*D12+22),IF(A12=9,IF(D12&lt;=8000,0.003*D12+18,0.0025*D12+22),IF(A12=10,IF(D12&lt;=7000,0.003*D12+12,0.0045*D12+1.5),IF(A12=51,0.0009*D12+4.1288,IF(A12=52,0.0014*D12+3.0932,IF(A12=53,0.0006*D12+3.3542,VLOOKUP(B12,'Daten Tierhaltung'!$B$7:$G$108,5,FALSE)))))))))</f>
        <v>0</v>
      </c>
      <c r="K12" s="890">
        <f>IF(A12=6,IF(D12&lt;=8000,0.004*D12+110,0.004*D12+110),IF(A12=7,IF(D12&lt;=8000,0.0025*D12+114,0.0045*D12+98),IF(A12=8,IF(D12&lt;=8000,0.007*D12+67,0.004*D12+91),IF(A12=9,IF(D12&lt;=8000,0.006*D12+68,0.0045*D12+80),IF(A12=10,IF(D12&lt;=7000,0.006*D12+54,0.006*D12+54),IF(A12=51,0.0023*D12+3.9271,IF(A12=52,0.0028*D12+3.3915,IF(A12=53,0.0024*D12+3.522,VLOOKUP(B12,'Daten Tierhaltung'!$B$7:$G$108,6,FALSE)))))))))</f>
        <v>0</v>
      </c>
      <c r="L12" s="890" t="str">
        <f>IF(C12="Abgabe an andere Betriebe",E12*I12*(($F12/365*VLOOKUP(B12,'Daten Tierhaltung'!$B$7:$I$108,7,FALSE))+(($G12/365*VLOOKUP(B12,'Daten Tierhaltung'!$B$7:$I$108,8,FALSE)))),"0")</f>
        <v>0</v>
      </c>
      <c r="M12" s="901">
        <f>IF(C12="auf selbst bewirtschaft. Flächen",E12*I12*(($F12/365*VLOOKUP(B12,'Daten Tierhaltung'!$B$7:$I$108,7,FALSE))+(($G12/365*VLOOKUP(B12,'Daten Tierhaltung'!$B$7:$I$108,8,FALSE)))),"0")</f>
        <v>0</v>
      </c>
      <c r="N12" s="891">
        <f>E12*H12/365*VLOOKUP(B12,'Daten Tierhaltung'!$B$7:$I$108,8,FALSE)*I12</f>
        <v>0</v>
      </c>
      <c r="O12" s="893" t="str">
        <f>IF(C12="in eigene Biogasanlage",E12*I12*((0.95*F12/365*VLOOKUP(B12,'Daten Tierhaltung'!$B$7:$I$108,7,FALSE))+((0.95*G12/365*VLOOKUP(B12,'Daten Tierhaltung'!$B$7:$I$108,8,FALSE)))),"0")</f>
        <v>0</v>
      </c>
      <c r="P12" s="890">
        <f>IF(C12="auf selbst bewirtschaft. Flächen",E12*I12*(($F12/365*VLOOKUP(B12,'Daten Tierhaltung'!$B$7:$K$108,9,FALSE))+(($G12/365*VLOOKUP(B12,'Daten Tierhaltung'!$B$7:$K$108,10,FALSE)))),"0")</f>
        <v>0</v>
      </c>
      <c r="Q12" s="890">
        <f t="shared" si="1"/>
        <v>0</v>
      </c>
      <c r="R12" s="890">
        <f t="shared" si="2"/>
        <v>0</v>
      </c>
    </row>
    <row r="13" spans="1:19" s="855" customFormat="1">
      <c r="A13" s="882">
        <f>VLOOKUP(B13,'Daten Tierhaltung'!$B$7:$C$108,2,FALSE)</f>
        <v>0</v>
      </c>
      <c r="B13" s="888" t="s">
        <v>795</v>
      </c>
      <c r="C13" s="888" t="s">
        <v>1011</v>
      </c>
      <c r="D13" s="1725">
        <v>0</v>
      </c>
      <c r="E13" s="1725">
        <v>0</v>
      </c>
      <c r="F13" s="889">
        <f t="shared" si="3"/>
        <v>365</v>
      </c>
      <c r="G13" s="1725">
        <v>0</v>
      </c>
      <c r="H13" s="1725">
        <v>0</v>
      </c>
      <c r="I13" s="890">
        <f>IF(A13=6,IF(D13&lt;=8000,0.0075*D13+69,0.007*D13+73),IF(A13=7,IF(D13&lt;=8000,0.0075*D13+64,0.0085*D13+56),IF(A13=8,IF(D13&lt;=8000,0.007*D13+61,0.009*D13+44.667),IF(A13=9,IF(D13&lt;=8000,0.0075*D13+55,0.0093*D13+40.833),IF(A13=10,IF(D13&lt;=7000,0.0075*D13+38.5,0.01*D13+21),IF(A13=51,0.0058*D13+7.0627,IF(A13=52,0.0055*D13+6.8356,IF(A13=53,0.0052*D13+6.0136,VLOOKUP(B13,'Daten Tierhaltung'!$B$7:$G$108,4,FALSE)))))))))</f>
        <v>0</v>
      </c>
      <c r="J13" s="890">
        <f>IF(A13=6,IF(D13&lt;=8000,0.0035*D13+15,0.002*D13+27),IF(A13=7,IF(D13&lt;=8000,0.003*D13+19,0.0025*D13+23),IF(A13=8,IF(D13&lt;=8000,0.0025*D13+22,0.0025*D13+22),IF(A13=9,IF(D13&lt;=8000,0.003*D13+18,0.0025*D13+22),IF(A13=10,IF(D13&lt;=7000,0.003*D13+12,0.0045*D13+1.5),IF(A13=51,0.0009*D13+4.1288,IF(A13=52,0.0014*D13+3.0932,IF(A13=53,0.0006*D13+3.3542,VLOOKUP(B13,'Daten Tierhaltung'!$B$7:$G$108,5,FALSE)))))))))</f>
        <v>0</v>
      </c>
      <c r="K13" s="890">
        <f>IF(A13=6,IF(D13&lt;=8000,0.004*D13+110,0.004*D13+110),IF(A13=7,IF(D13&lt;=8000,0.0025*D13+114,0.0045*D13+98),IF(A13=8,IF(D13&lt;=8000,0.007*D13+67,0.004*D13+91),IF(A13=9,IF(D13&lt;=8000,0.006*D13+68,0.0045*D13+80),IF(A13=10,IF(D13&lt;=7000,0.006*D13+54,0.006*D13+54),IF(A13=51,0.0023*D13+3.9271,IF(A13=52,0.0028*D13+3.3915,IF(A13=53,0.0024*D13+3.522,VLOOKUP(B13,'Daten Tierhaltung'!$B$7:$G$108,6,FALSE)))))))))</f>
        <v>0</v>
      </c>
      <c r="L13" s="890" t="str">
        <f>IF(C13="Abgabe an andere Betriebe",E13*I13*(($F13/365*VLOOKUP(B13,'Daten Tierhaltung'!$B$7:$I$108,7,FALSE))+(($G13/365*VLOOKUP(B13,'Daten Tierhaltung'!$B$7:$I$108,8,FALSE)))),"0")</f>
        <v>0</v>
      </c>
      <c r="M13" s="901">
        <f>IF(C13="auf selbst bewirtschaft. Flächen",E13*I13*(($F13/365*VLOOKUP(B13,'Daten Tierhaltung'!$B$7:$I$108,7,FALSE))+(($G13/365*VLOOKUP(B13,'Daten Tierhaltung'!$B$7:$I$108,8,FALSE)))),"0")</f>
        <v>0</v>
      </c>
      <c r="N13" s="891">
        <f>E13*H13/365*VLOOKUP(B13,'Daten Tierhaltung'!$B$7:$I$108,8,FALSE)*I13</f>
        <v>0</v>
      </c>
      <c r="O13" s="893" t="str">
        <f>IF(C13="in eigene Biogasanlage",E13*I13*((0.95*F13/365*VLOOKUP(B13,'Daten Tierhaltung'!$B$7:$I$108,7,FALSE))+((0.95*G13/365*VLOOKUP(B13,'Daten Tierhaltung'!$B$7:$I$108,8,FALSE)))),"0")</f>
        <v>0</v>
      </c>
      <c r="P13" s="890">
        <f>IF(C13="auf selbst bewirtschaft. Flächen",E13*I13*(($F13/365*VLOOKUP(B13,'Daten Tierhaltung'!$B$7:$K$108,9,FALSE))+(($G13/365*VLOOKUP(B13,'Daten Tierhaltung'!$B$7:$K$108,10,FALSE)))),"0")</f>
        <v>0</v>
      </c>
      <c r="Q13" s="890">
        <f t="shared" si="1"/>
        <v>0</v>
      </c>
      <c r="R13" s="890">
        <f t="shared" si="2"/>
        <v>0</v>
      </c>
    </row>
    <row r="14" spans="1:19" s="855" customFormat="1">
      <c r="A14" s="882">
        <f>VLOOKUP(B14,'Daten Tierhaltung'!$B$7:$C$108,2,FALSE)</f>
        <v>0</v>
      </c>
      <c r="B14" s="888" t="s">
        <v>795</v>
      </c>
      <c r="C14" s="888" t="s">
        <v>1011</v>
      </c>
      <c r="D14" s="1725">
        <v>0</v>
      </c>
      <c r="E14" s="1725">
        <v>0</v>
      </c>
      <c r="F14" s="889">
        <f t="shared" si="3"/>
        <v>365</v>
      </c>
      <c r="G14" s="1725">
        <v>0</v>
      </c>
      <c r="H14" s="1725">
        <v>0</v>
      </c>
      <c r="I14" s="890">
        <f>IF(A14=6,IF(D14&lt;=8000,0.0075*D14+69,0.007*D14+73),IF(A14=7,IF(D14&lt;=8000,0.0075*D14+64,0.0085*D14+56),IF(A14=8,IF(D14&lt;=8000,0.007*D14+61,0.009*D14+44.667),IF(A14=9,IF(D14&lt;=8000,0.0075*D14+55,0.0093*D14+40.833),IF(A14=10,IF(D14&lt;=7000,0.0075*D14+38.5,0.01*D14+21),IF(A14=51,0.0058*D14+7.0627,IF(A14=52,0.0055*D14+6.8356,IF(A14=53,0.0052*D14+6.0136,VLOOKUP(B14,'Daten Tierhaltung'!$B$7:$G$108,4,FALSE)))))))))</f>
        <v>0</v>
      </c>
      <c r="J14" s="890">
        <f>IF(A14=6,IF(D14&lt;=8000,0.0035*D14+15,0.002*D14+27),IF(A14=7,IF(D14&lt;=8000,0.003*D14+19,0.0025*D14+23),IF(A14=8,IF(D14&lt;=8000,0.0025*D14+22,0.0025*D14+22),IF(A14=9,IF(D14&lt;=8000,0.003*D14+18,0.0025*D14+22),IF(A14=10,IF(D14&lt;=7000,0.003*D14+12,0.0045*D14+1.5),IF(A14=51,0.0009*D14+4.1288,IF(A14=52,0.0014*D14+3.0932,IF(A14=53,0.0006*D14+3.3542,VLOOKUP(B14,'Daten Tierhaltung'!$B$7:$G$108,5,FALSE)))))))))</f>
        <v>0</v>
      </c>
      <c r="K14" s="890">
        <f>IF(A14=6,IF(D14&lt;=8000,0.004*D14+110,0.004*D14+110),IF(A14=7,IF(D14&lt;=8000,0.0025*D14+114,0.0045*D14+98),IF(A14=8,IF(D14&lt;=8000,0.007*D14+67,0.004*D14+91),IF(A14=9,IF(D14&lt;=8000,0.006*D14+68,0.0045*D14+80),IF(A14=10,IF(D14&lt;=7000,0.006*D14+54,0.006*D14+54),IF(A14=51,0.0023*D14+3.9271,IF(A14=52,0.0028*D14+3.3915,IF(A14=53,0.0024*D14+3.522,VLOOKUP(B14,'Daten Tierhaltung'!$B$7:$G$108,6,FALSE)))))))))</f>
        <v>0</v>
      </c>
      <c r="L14" s="890" t="str">
        <f>IF(C14="Abgabe an andere Betriebe",E14*I14*(($F14/365*VLOOKUP(B14,'Daten Tierhaltung'!$B$7:$I$108,7,FALSE))+(($G14/365*VLOOKUP(B14,'Daten Tierhaltung'!$B$7:$I$108,8,FALSE)))),"0")</f>
        <v>0</v>
      </c>
      <c r="M14" s="901">
        <f>IF(C14="auf selbst bewirtschaft. Flächen",E14*I14*(($F14/365*VLOOKUP(B14,'Daten Tierhaltung'!$B$7:$I$108,7,FALSE))+(($G14/365*VLOOKUP(B14,'Daten Tierhaltung'!$B$7:$I$108,8,FALSE)))),"0")</f>
        <v>0</v>
      </c>
      <c r="N14" s="891">
        <f>E14*H14/365*VLOOKUP(B14,'Daten Tierhaltung'!$B$7:$I$108,8,FALSE)*I14</f>
        <v>0</v>
      </c>
      <c r="O14" s="893" t="str">
        <f>IF(C14="in eigene Biogasanlage",E14*I14*((0.95*F14/365*VLOOKUP(B14,'Daten Tierhaltung'!$B$7:$I$108,7,FALSE))+((0.95*G14/365*VLOOKUP(B14,'Daten Tierhaltung'!$B$7:$I$108,8,FALSE)))),"0")</f>
        <v>0</v>
      </c>
      <c r="P14" s="890">
        <f>IF(C14="auf selbst bewirtschaft. Flächen",E14*I14*(($F14/365*VLOOKUP(B14,'Daten Tierhaltung'!$B$7:$K$108,9,FALSE))+(($G14/365*VLOOKUP(B14,'Daten Tierhaltung'!$B$7:$K$108,10,FALSE)))),"0")</f>
        <v>0</v>
      </c>
      <c r="Q14" s="890">
        <f t="shared" si="1"/>
        <v>0</v>
      </c>
      <c r="R14" s="890">
        <f t="shared" si="2"/>
        <v>0</v>
      </c>
    </row>
    <row r="15" spans="1:19" s="855" customFormat="1">
      <c r="A15" s="882">
        <f>VLOOKUP(B15,'Daten Tierhaltung'!$B$7:$C$108,2,FALSE)</f>
        <v>0</v>
      </c>
      <c r="B15" s="888" t="s">
        <v>795</v>
      </c>
      <c r="C15" s="888" t="s">
        <v>1011</v>
      </c>
      <c r="D15" s="1725">
        <v>0</v>
      </c>
      <c r="E15" s="1725">
        <v>0</v>
      </c>
      <c r="F15" s="889">
        <f t="shared" si="3"/>
        <v>365</v>
      </c>
      <c r="G15" s="1725">
        <v>0</v>
      </c>
      <c r="H15" s="1725">
        <v>0</v>
      </c>
      <c r="I15" s="890">
        <f>IF(A15=6,IF(D15&lt;=8000,0.0075*D15+69,0.007*D15+73),IF(A15=7,IF(D15&lt;=8000,0.0075*D15+64,0.0085*D15+56),IF(A15=8,IF(D15&lt;=8000,0.007*D15+61,0.009*D15+44.667),IF(A15=9,IF(D15&lt;=8000,0.0075*D15+55,0.0093*D15+40.833),IF(A15=10,IF(D15&lt;=7000,0.0075*D15+38.5,0.01*D15+21),IF(A15=51,0.0058*D15+7.0627,IF(A15=52,0.0055*D15+6.8356,IF(A15=53,0.0052*D15+6.0136,VLOOKUP(B15,'Daten Tierhaltung'!$B$7:$G$108,4,FALSE)))))))))</f>
        <v>0</v>
      </c>
      <c r="J15" s="890">
        <f>IF(A15=6,IF(D15&lt;=8000,0.0035*D15+15,0.002*D15+27),IF(A15=7,IF(D15&lt;=8000,0.003*D15+19,0.0025*D15+23),IF(A15=8,IF(D15&lt;=8000,0.0025*D15+22,0.0025*D15+22),IF(A15=9,IF(D15&lt;=8000,0.003*D15+18,0.0025*D15+22),IF(A15=10,IF(D15&lt;=7000,0.003*D15+12,0.0045*D15+1.5),IF(A15=51,0.0009*D15+4.1288,IF(A15=52,0.0014*D15+3.0932,IF(A15=53,0.0006*D15+3.3542,VLOOKUP(B15,'Daten Tierhaltung'!$B$7:$G$108,5,FALSE)))))))))</f>
        <v>0</v>
      </c>
      <c r="K15" s="890">
        <f>IF(A15=6,IF(D15&lt;=8000,0.004*D15+110,0.004*D15+110),IF(A15=7,IF(D15&lt;=8000,0.0025*D15+114,0.0045*D15+98),IF(A15=8,IF(D15&lt;=8000,0.007*D15+67,0.004*D15+91),IF(A15=9,IF(D15&lt;=8000,0.006*D15+68,0.0045*D15+80),IF(A15=10,IF(D15&lt;=7000,0.006*D15+54,0.006*D15+54),IF(A15=51,0.0023*D15+3.9271,IF(A15=52,0.0028*D15+3.3915,IF(A15=53,0.0024*D15+3.522,VLOOKUP(B15,'Daten Tierhaltung'!$B$7:$G$108,6,FALSE)))))))))</f>
        <v>0</v>
      </c>
      <c r="L15" s="890" t="str">
        <f>IF(C15="Abgabe an andere Betriebe",E15*I15*(($F15/365*VLOOKUP(B15,'Daten Tierhaltung'!$B$7:$I$108,7,FALSE))+(($G15/365*VLOOKUP(B15,'Daten Tierhaltung'!$B$7:$I$108,8,FALSE)))),"0")</f>
        <v>0</v>
      </c>
      <c r="M15" s="901">
        <f>IF(C15="auf selbst bewirtschaft. Flächen",E15*I15*(($F15/365*VLOOKUP(B15,'Daten Tierhaltung'!$B$7:$I$108,7,FALSE))+(($G15/365*VLOOKUP(B15,'Daten Tierhaltung'!$B$7:$I$108,8,FALSE)))),"0")</f>
        <v>0</v>
      </c>
      <c r="N15" s="891">
        <f>E15*H15/365*VLOOKUP(B15,'Daten Tierhaltung'!$B$7:$I$108,8,FALSE)*I15</f>
        <v>0</v>
      </c>
      <c r="O15" s="893" t="str">
        <f>IF(C15="in eigene Biogasanlage",E15*I15*((0.95*F15/365*VLOOKUP(B15,'Daten Tierhaltung'!$B$7:$I$108,7,FALSE))+((0.95*G15/365*VLOOKUP(B15,'Daten Tierhaltung'!$B$7:$I$108,8,FALSE)))),"0")</f>
        <v>0</v>
      </c>
      <c r="P15" s="890">
        <f>IF(C15="auf selbst bewirtschaft. Flächen",E15*I15*(($F15/365*VLOOKUP(B15,'Daten Tierhaltung'!$B$7:$K$108,9,FALSE))+(($G15/365*VLOOKUP(B15,'Daten Tierhaltung'!$B$7:$K$108,10,FALSE)))),"0")</f>
        <v>0</v>
      </c>
      <c r="Q15" s="890">
        <f t="shared" si="1"/>
        <v>0</v>
      </c>
      <c r="R15" s="890">
        <f t="shared" si="2"/>
        <v>0</v>
      </c>
    </row>
    <row r="16" spans="1:19" s="855" customFormat="1">
      <c r="A16" s="882">
        <f>VLOOKUP(B16,'Daten Tierhaltung'!$B$7:$C$108,2,FALSE)</f>
        <v>0</v>
      </c>
      <c r="B16" s="888" t="s">
        <v>795</v>
      </c>
      <c r="C16" s="888" t="s">
        <v>1011</v>
      </c>
      <c r="D16" s="1725">
        <v>0</v>
      </c>
      <c r="E16" s="1725">
        <v>0</v>
      </c>
      <c r="F16" s="889">
        <f t="shared" si="3"/>
        <v>365</v>
      </c>
      <c r="G16" s="1725">
        <v>0</v>
      </c>
      <c r="H16" s="1725">
        <v>0</v>
      </c>
      <c r="I16" s="890">
        <f>IF(A16=6,IF(D16&lt;=8000,0.0075*D16+69,0.007*D16+73),IF(A16=7,IF(D16&lt;=8000,0.0075*D16+64,0.0085*D16+56),IF(A16=8,IF(D16&lt;=8000,0.007*D16+61,0.009*D16+44.667),IF(A16=9,IF(D16&lt;=8000,0.0075*D16+55,0.0093*D16+40.833),IF(A16=10,IF(D16&lt;=7000,0.0075*D16+38.5,0.01*D16+21),IF(A16=51,0.0058*D16+7.0627,IF(A16=52,0.0055*D16+6.8356,IF(A16=53,0.0052*D16+6.0136,VLOOKUP(B16,'Daten Tierhaltung'!$B$7:$G$108,4,FALSE)))))))))</f>
        <v>0</v>
      </c>
      <c r="J16" s="890">
        <f>IF(A16=6,IF(D16&lt;=8000,0.0035*D16+15,0.002*D16+27),IF(A16=7,IF(D16&lt;=8000,0.003*D16+19,0.0025*D16+23),IF(A16=8,IF(D16&lt;=8000,0.0025*D16+22,0.0025*D16+22),IF(A16=9,IF(D16&lt;=8000,0.003*D16+18,0.0025*D16+22),IF(A16=10,IF(D16&lt;=7000,0.003*D16+12,0.0045*D16+1.5),IF(A16=51,0.0009*D16+4.1288,IF(A16=52,0.0014*D16+3.0932,IF(A16=53,0.0006*D16+3.3542,VLOOKUP(B16,'Daten Tierhaltung'!$B$7:$G$108,5,FALSE)))))))))</f>
        <v>0</v>
      </c>
      <c r="K16" s="890">
        <f>IF(A16=6,IF(D16&lt;=8000,0.004*D16+110,0.004*D16+110),IF(A16=7,IF(D16&lt;=8000,0.0025*D16+114,0.0045*D16+98),IF(A16=8,IF(D16&lt;=8000,0.007*D16+67,0.004*D16+91),IF(A16=9,IF(D16&lt;=8000,0.006*D16+68,0.0045*D16+80),IF(A16=10,IF(D16&lt;=7000,0.006*D16+54,0.006*D16+54),IF(A16=51,0.0023*D16+3.9271,IF(A16=52,0.0028*D16+3.3915,IF(A16=53,0.0024*D16+3.522,VLOOKUP(B16,'Daten Tierhaltung'!$B$7:$G$108,6,FALSE)))))))))</f>
        <v>0</v>
      </c>
      <c r="L16" s="890" t="str">
        <f>IF(C16="Abgabe an andere Betriebe",E16*I16*(($F16/365*VLOOKUP(B16,'Daten Tierhaltung'!$B$7:$I$108,7,FALSE))+(($G16/365*VLOOKUP(B16,'Daten Tierhaltung'!$B$7:$I$108,8,FALSE)))),"0")</f>
        <v>0</v>
      </c>
      <c r="M16" s="901">
        <f>IF(C16="auf selbst bewirtschaft. Flächen",E16*I16*(($F16/365*VLOOKUP(B16,'Daten Tierhaltung'!$B$7:$I$108,7,FALSE))+(($G16/365*VLOOKUP(B16,'Daten Tierhaltung'!$B$7:$I$108,8,FALSE)))),"0")</f>
        <v>0</v>
      </c>
      <c r="N16" s="891">
        <f>E16*H16/365*VLOOKUP(B16,'Daten Tierhaltung'!$B$7:$I$108,8,FALSE)*I16</f>
        <v>0</v>
      </c>
      <c r="O16" s="893" t="str">
        <f>IF(C16="in eigene Biogasanlage",E16*I16*((0.95*F16/365*VLOOKUP(B16,'Daten Tierhaltung'!$B$7:$I$108,7,FALSE))+((0.95*G16/365*VLOOKUP(B16,'Daten Tierhaltung'!$B$7:$I$108,8,FALSE)))),"0")</f>
        <v>0</v>
      </c>
      <c r="P16" s="890">
        <f>IF(C16="auf selbst bewirtschaft. Flächen",E16*I16*(($F16/365*VLOOKUP(B16,'Daten Tierhaltung'!$B$7:$K$108,9,FALSE))+(($G16/365*VLOOKUP(B16,'Daten Tierhaltung'!$B$7:$K$108,10,FALSE)))),"0")</f>
        <v>0</v>
      </c>
      <c r="Q16" s="890">
        <f t="shared" si="1"/>
        <v>0</v>
      </c>
      <c r="R16" s="890">
        <f t="shared" si="2"/>
        <v>0</v>
      </c>
    </row>
    <row r="17" spans="1:18" s="855" customFormat="1">
      <c r="A17" s="882">
        <f>VLOOKUP(B17,'Daten Tierhaltung'!$B$7:$C$108,2,FALSE)</f>
        <v>0</v>
      </c>
      <c r="B17" s="888" t="s">
        <v>795</v>
      </c>
      <c r="C17" s="888" t="s">
        <v>1011</v>
      </c>
      <c r="D17" s="1725">
        <v>0</v>
      </c>
      <c r="E17" s="1725">
        <v>0</v>
      </c>
      <c r="F17" s="889">
        <f t="shared" si="3"/>
        <v>365</v>
      </c>
      <c r="G17" s="1725">
        <v>0</v>
      </c>
      <c r="H17" s="1725">
        <v>0</v>
      </c>
      <c r="I17" s="890">
        <f>IF(A17=6,IF(D17&lt;=8000,0.0075*D17+69,0.007*D17+73),IF(A17=7,IF(D17&lt;=8000,0.0075*D17+64,0.0085*D17+56),IF(A17=8,IF(D17&lt;=8000,0.007*D17+61,0.009*D17+44.667),IF(A17=9,IF(D17&lt;=8000,0.0075*D17+55,0.0093*D17+40.833),IF(A17=10,IF(D17&lt;=7000,0.0075*D17+38.5,0.01*D17+21),IF(A17=51,0.0058*D17+7.0627,IF(A17=52,0.0055*D17+6.8356,IF(A17=53,0.0052*D17+6.0136,VLOOKUP(B17,'Daten Tierhaltung'!$B$7:$G$108,4,FALSE)))))))))</f>
        <v>0</v>
      </c>
      <c r="J17" s="890">
        <f>IF(A17=6,IF(D17&lt;=8000,0.0035*D17+15,0.002*D17+27),IF(A17=7,IF(D17&lt;=8000,0.003*D17+19,0.0025*D17+23),IF(A17=8,IF(D17&lt;=8000,0.0025*D17+22,0.0025*D17+22),IF(A17=9,IF(D17&lt;=8000,0.003*D17+18,0.0025*D17+22),IF(A17=10,IF(D17&lt;=7000,0.003*D17+12,0.0045*D17+1.5),IF(A17=51,0.0009*D17+4.1288,IF(A17=52,0.0014*D17+3.0932,IF(A17=53,0.0006*D17+3.3542,VLOOKUP(B17,'Daten Tierhaltung'!$B$7:$G$108,5,FALSE)))))))))</f>
        <v>0</v>
      </c>
      <c r="K17" s="890">
        <f>IF(A17=6,IF(D17&lt;=8000,0.004*D17+110,0.004*D17+110),IF(A17=7,IF(D17&lt;=8000,0.0025*D17+114,0.0045*D17+98),IF(A17=8,IF(D17&lt;=8000,0.007*D17+67,0.004*D17+91),IF(A17=9,IF(D17&lt;=8000,0.006*D17+68,0.0045*D17+80),IF(A17=10,IF(D17&lt;=7000,0.006*D17+54,0.006*D17+54),IF(A17=51,0.0023*D17+3.9271,IF(A17=52,0.0028*D17+3.3915,IF(A17=53,0.0024*D17+3.522,VLOOKUP(B17,'Daten Tierhaltung'!$B$7:$G$108,6,FALSE)))))))))</f>
        <v>0</v>
      </c>
      <c r="L17" s="890" t="str">
        <f>IF(C17="Abgabe an andere Betriebe",E17*I17*(($F17/365*VLOOKUP(B17,'Daten Tierhaltung'!$B$7:$I$108,7,FALSE))+(($G17/365*VLOOKUP(B17,'Daten Tierhaltung'!$B$7:$I$108,8,FALSE)))),"0")</f>
        <v>0</v>
      </c>
      <c r="M17" s="901">
        <f>IF(C17="auf selbst bewirtschaft. Flächen",E17*I17*(($F17/365*VLOOKUP(B17,'Daten Tierhaltung'!$B$7:$I$108,7,FALSE))+(($G17/365*VLOOKUP(B17,'Daten Tierhaltung'!$B$7:$I$108,8,FALSE)))),"0")</f>
        <v>0</v>
      </c>
      <c r="N17" s="891">
        <f>E17*H17/365*VLOOKUP(B17,'Daten Tierhaltung'!$B$7:$I$108,8,FALSE)*I17</f>
        <v>0</v>
      </c>
      <c r="O17" s="893" t="str">
        <f>IF(C17="in eigene Biogasanlage",E17*I17*((0.95*F17/365*VLOOKUP(B17,'Daten Tierhaltung'!$B$7:$I$108,7,FALSE))+((0.95*G17/365*VLOOKUP(B17,'Daten Tierhaltung'!$B$7:$I$108,8,FALSE)))),"0")</f>
        <v>0</v>
      </c>
      <c r="P17" s="890">
        <f>IF(C17="auf selbst bewirtschaft. Flächen",E17*I17*(($F17/365*VLOOKUP(B17,'Daten Tierhaltung'!$B$7:$K$108,9,FALSE))+(($G17/365*VLOOKUP(B17,'Daten Tierhaltung'!$B$7:$K$108,10,FALSE)))),"0")</f>
        <v>0</v>
      </c>
      <c r="Q17" s="890">
        <f t="shared" si="1"/>
        <v>0</v>
      </c>
      <c r="R17" s="890">
        <f t="shared" si="2"/>
        <v>0</v>
      </c>
    </row>
    <row r="18" spans="1:18" s="855" customFormat="1">
      <c r="A18" s="882">
        <f>VLOOKUP(B18,'Daten Tierhaltung'!$B$7:$C$108,2,FALSE)</f>
        <v>0</v>
      </c>
      <c r="B18" s="888" t="s">
        <v>795</v>
      </c>
      <c r="C18" s="888" t="s">
        <v>1011</v>
      </c>
      <c r="D18" s="1725">
        <v>0</v>
      </c>
      <c r="E18" s="1725">
        <v>0</v>
      </c>
      <c r="F18" s="889">
        <f t="shared" si="3"/>
        <v>365</v>
      </c>
      <c r="G18" s="1725">
        <v>0</v>
      </c>
      <c r="H18" s="1725">
        <v>0</v>
      </c>
      <c r="I18" s="890">
        <f>IF(A18=6,IF(D18&lt;=8000,0.0075*D18+69,0.007*D18+73),IF(A18=7,IF(D18&lt;=8000,0.0075*D18+64,0.0085*D18+56),IF(A18=8,IF(D18&lt;=8000,0.007*D18+61,0.009*D18+44.667),IF(A18=9,IF(D18&lt;=8000,0.0075*D18+55,0.0093*D18+40.833),IF(A18=10,IF(D18&lt;=7000,0.0075*D18+38.5,0.01*D18+21),IF(A18=51,0.0058*D18+7.0627,IF(A18=52,0.0055*D18+6.8356,IF(A18=53,0.0052*D18+6.0136,VLOOKUP(B18,'Daten Tierhaltung'!$B$7:$G$108,4,FALSE)))))))))</f>
        <v>0</v>
      </c>
      <c r="J18" s="890">
        <f>IF(A18=6,IF(D18&lt;=8000,0.0035*D18+15,0.002*D18+27),IF(A18=7,IF(D18&lt;=8000,0.003*D18+19,0.0025*D18+23),IF(A18=8,IF(D18&lt;=8000,0.0025*D18+22,0.0025*D18+22),IF(A18=9,IF(D18&lt;=8000,0.003*D18+18,0.0025*D18+22),IF(A18=10,IF(D18&lt;=7000,0.003*D18+12,0.0045*D18+1.5),IF(A18=51,0.0009*D18+4.1288,IF(A18=52,0.0014*D18+3.0932,IF(A18=53,0.0006*D18+3.3542,VLOOKUP(B18,'Daten Tierhaltung'!$B$7:$G$108,5,FALSE)))))))))</f>
        <v>0</v>
      </c>
      <c r="K18" s="890">
        <f>IF(A18=6,IF(D18&lt;=8000,0.004*D18+110,0.004*D18+110),IF(A18=7,IF(D18&lt;=8000,0.0025*D18+114,0.0045*D18+98),IF(A18=8,IF(D18&lt;=8000,0.007*D18+67,0.004*D18+91),IF(A18=9,IF(D18&lt;=8000,0.006*D18+68,0.0045*D18+80),IF(A18=10,IF(D18&lt;=7000,0.006*D18+54,0.006*D18+54),IF(A18=51,0.0023*D18+3.9271,IF(A18=52,0.0028*D18+3.3915,IF(A18=53,0.0024*D18+3.522,VLOOKUP(B18,'Daten Tierhaltung'!$B$7:$G$108,6,FALSE)))))))))</f>
        <v>0</v>
      </c>
      <c r="L18" s="890" t="str">
        <f>IF(C18="Abgabe an andere Betriebe",E18*I18*(($F18/365*VLOOKUP(B18,'Daten Tierhaltung'!$B$7:$I$108,7,FALSE))+(($G18/365*VLOOKUP(B18,'Daten Tierhaltung'!$B$7:$I$108,8,FALSE)))),"0")</f>
        <v>0</v>
      </c>
      <c r="M18" s="901">
        <f>IF(C18="auf selbst bewirtschaft. Flächen",E18*I18*(($F18/365*VLOOKUP(B18,'Daten Tierhaltung'!$B$7:$I$108,7,FALSE))+(($G18/365*VLOOKUP(B18,'Daten Tierhaltung'!$B$7:$I$108,8,FALSE)))),"0")</f>
        <v>0</v>
      </c>
      <c r="N18" s="891">
        <f>E18*H18/365*VLOOKUP(B18,'Daten Tierhaltung'!$B$7:$I$108,8,FALSE)*I18</f>
        <v>0</v>
      </c>
      <c r="O18" s="893" t="str">
        <f>IF(C18="in eigene Biogasanlage",E18*I18*((0.95*F18/365*VLOOKUP(B18,'Daten Tierhaltung'!$B$7:$I$108,7,FALSE))+((0.95*G18/365*VLOOKUP(B18,'Daten Tierhaltung'!$B$7:$I$108,8,FALSE)))),"0")</f>
        <v>0</v>
      </c>
      <c r="P18" s="890">
        <f>IF(C18="auf selbst bewirtschaft. Flächen",E18*I18*(($F18/365*VLOOKUP(B18,'Daten Tierhaltung'!$B$7:$K$108,9,FALSE))+(($G18/365*VLOOKUP(B18,'Daten Tierhaltung'!$B$7:$K$108,10,FALSE)))),"0")</f>
        <v>0</v>
      </c>
      <c r="Q18" s="890">
        <f t="shared" si="1"/>
        <v>0</v>
      </c>
      <c r="R18" s="890">
        <f t="shared" si="2"/>
        <v>0</v>
      </c>
    </row>
    <row r="19" spans="1:18" s="855" customFormat="1">
      <c r="A19" s="882">
        <f>VLOOKUP(B19,'Daten Tierhaltung'!$B$7:$C$108,2,FALSE)</f>
        <v>0</v>
      </c>
      <c r="B19" s="888" t="s">
        <v>795</v>
      </c>
      <c r="C19" s="888" t="s">
        <v>1011</v>
      </c>
      <c r="D19" s="1725">
        <v>0</v>
      </c>
      <c r="E19" s="1725">
        <v>0</v>
      </c>
      <c r="F19" s="889">
        <f t="shared" si="3"/>
        <v>365</v>
      </c>
      <c r="G19" s="1725">
        <v>0</v>
      </c>
      <c r="H19" s="1725">
        <v>0</v>
      </c>
      <c r="I19" s="890">
        <f>IF(A19=6,IF(D19&lt;=8000,0.0075*D19+69,0.007*D19+73),IF(A19=7,IF(D19&lt;=8000,0.0075*D19+64,0.0085*D19+56),IF(A19=8,IF(D19&lt;=8000,0.007*D19+61,0.009*D19+44.667),IF(A19=9,IF(D19&lt;=8000,0.0075*D19+55,0.0093*D19+40.833),IF(A19=10,IF(D19&lt;=7000,0.0075*D19+38.5,0.01*D19+21),IF(A19=51,0.0058*D19+7.0627,IF(A19=52,0.0055*D19+6.8356,IF(A19=53,0.0052*D19+6.0136,VLOOKUP(B19,'Daten Tierhaltung'!$B$7:$G$108,4,FALSE)))))))))</f>
        <v>0</v>
      </c>
      <c r="J19" s="890">
        <f>IF(A19=6,IF(D19&lt;=8000,0.0035*D19+15,0.002*D19+27),IF(A19=7,IF(D19&lt;=8000,0.003*D19+19,0.0025*D19+23),IF(A19=8,IF(D19&lt;=8000,0.0025*D19+22,0.0025*D19+22),IF(A19=9,IF(D19&lt;=8000,0.003*D19+18,0.0025*D19+22),IF(A19=10,IF(D19&lt;=7000,0.003*D19+12,0.0045*D19+1.5),IF(A19=51,0.0009*D19+4.1288,IF(A19=52,0.0014*D19+3.0932,IF(A19=53,0.0006*D19+3.3542,VLOOKUP(B19,'Daten Tierhaltung'!$B$7:$G$108,5,FALSE)))))))))</f>
        <v>0</v>
      </c>
      <c r="K19" s="890">
        <f>IF(A19=6,IF(D19&lt;=8000,0.004*D19+110,0.004*D19+110),IF(A19=7,IF(D19&lt;=8000,0.0025*D19+114,0.0045*D19+98),IF(A19=8,IF(D19&lt;=8000,0.007*D19+67,0.004*D19+91),IF(A19=9,IF(D19&lt;=8000,0.006*D19+68,0.0045*D19+80),IF(A19=10,IF(D19&lt;=7000,0.006*D19+54,0.006*D19+54),IF(A19=51,0.0023*D19+3.9271,IF(A19=52,0.0028*D19+3.3915,IF(A19=53,0.0024*D19+3.522,VLOOKUP(B19,'Daten Tierhaltung'!$B$7:$G$108,6,FALSE)))))))))</f>
        <v>0</v>
      </c>
      <c r="L19" s="890" t="str">
        <f>IF(C19="Abgabe an andere Betriebe",E19*I19*(($F19/365*VLOOKUP(B19,'Daten Tierhaltung'!$B$7:$I$108,7,FALSE))+(($G19/365*VLOOKUP(B19,'Daten Tierhaltung'!$B$7:$I$108,8,FALSE)))),"0")</f>
        <v>0</v>
      </c>
      <c r="M19" s="901">
        <f>IF(C19="auf selbst bewirtschaft. Flächen",E19*I19*(($F19/365*VLOOKUP(B19,'Daten Tierhaltung'!$B$7:$I$108,7,FALSE))+(($G19/365*VLOOKUP(B19,'Daten Tierhaltung'!$B$7:$I$108,8,FALSE)))),"0")</f>
        <v>0</v>
      </c>
      <c r="N19" s="891">
        <f>E19*H19/365*VLOOKUP(B19,'Daten Tierhaltung'!$B$7:$I$108,8,FALSE)*I19</f>
        <v>0</v>
      </c>
      <c r="O19" s="893" t="str">
        <f>IF(C19="in eigene Biogasanlage",E19*I19*((0.95*F19/365*VLOOKUP(B19,'Daten Tierhaltung'!$B$7:$I$108,7,FALSE))+((0.95*G19/365*VLOOKUP(B19,'Daten Tierhaltung'!$B$7:$I$108,8,FALSE)))),"0")</f>
        <v>0</v>
      </c>
      <c r="P19" s="890">
        <f>IF(C19="auf selbst bewirtschaft. Flächen",E19*I19*(($F19/365*VLOOKUP(B19,'Daten Tierhaltung'!$B$7:$K$108,9,FALSE))+(($G19/365*VLOOKUP(B19,'Daten Tierhaltung'!$B$7:$K$108,10,FALSE)))),"0")</f>
        <v>0</v>
      </c>
      <c r="Q19" s="890">
        <f t="shared" si="1"/>
        <v>0</v>
      </c>
      <c r="R19" s="890">
        <f t="shared" si="2"/>
        <v>0</v>
      </c>
    </row>
    <row r="20" spans="1:18" s="855" customFormat="1">
      <c r="A20" s="882">
        <f>VLOOKUP(B20,'Daten Tierhaltung'!$B$7:$C$108,2,FALSE)</f>
        <v>0</v>
      </c>
      <c r="B20" s="888" t="s">
        <v>795</v>
      </c>
      <c r="C20" s="888" t="s">
        <v>1011</v>
      </c>
      <c r="D20" s="1725">
        <v>0</v>
      </c>
      <c r="E20" s="1725">
        <v>0</v>
      </c>
      <c r="F20" s="889">
        <f t="shared" si="3"/>
        <v>365</v>
      </c>
      <c r="G20" s="1725">
        <v>0</v>
      </c>
      <c r="H20" s="1725">
        <v>0</v>
      </c>
      <c r="I20" s="890">
        <f>IF(A20=6,IF(D20&lt;=8000,0.0075*D20+69,0.007*D20+73),IF(A20=7,IF(D20&lt;=8000,0.0075*D20+64,0.0085*D20+56),IF(A20=8,IF(D20&lt;=8000,0.007*D20+61,0.009*D20+44.667),IF(A20=9,IF(D20&lt;=8000,0.0075*D20+55,0.0093*D20+40.833),IF(A20=10,IF(D20&lt;=7000,0.0075*D20+38.5,0.01*D20+21),IF(A20=51,0.0058*D20+7.0627,IF(A20=52,0.0055*D20+6.8356,IF(A20=53,0.0052*D20+6.0136,VLOOKUP(B20,'Daten Tierhaltung'!$B$7:$G$108,4,FALSE)))))))))</f>
        <v>0</v>
      </c>
      <c r="J20" s="890">
        <f>IF(A20=6,IF(D20&lt;=8000,0.0035*D20+15,0.002*D20+27),IF(A20=7,IF(D20&lt;=8000,0.003*D20+19,0.0025*D20+23),IF(A20=8,IF(D20&lt;=8000,0.0025*D20+22,0.0025*D20+22),IF(A20=9,IF(D20&lt;=8000,0.003*D20+18,0.0025*D20+22),IF(A20=10,IF(D20&lt;=7000,0.003*D20+12,0.0045*D20+1.5),IF(A20=51,0.0009*D20+4.1288,IF(A20=52,0.0014*D20+3.0932,IF(A20=53,0.0006*D20+3.3542,VLOOKUP(B20,'Daten Tierhaltung'!$B$7:$G$108,5,FALSE)))))))))</f>
        <v>0</v>
      </c>
      <c r="K20" s="890">
        <f>IF(A20=6,IF(D20&lt;=8000,0.004*D20+110,0.004*D20+110),IF(A20=7,IF(D20&lt;=8000,0.0025*D20+114,0.0045*D20+98),IF(A20=8,IF(D20&lt;=8000,0.007*D20+67,0.004*D20+91),IF(A20=9,IF(D20&lt;=8000,0.006*D20+68,0.0045*D20+80),IF(A20=10,IF(D20&lt;=7000,0.006*D20+54,0.006*D20+54),IF(A20=51,0.0023*D20+3.9271,IF(A20=52,0.0028*D20+3.3915,IF(A20=53,0.0024*D20+3.522,VLOOKUP(B20,'Daten Tierhaltung'!$B$7:$G$108,6,FALSE)))))))))</f>
        <v>0</v>
      </c>
      <c r="L20" s="890" t="str">
        <f>IF(C20="Abgabe an andere Betriebe",E20*I20*(($F20/365*VLOOKUP(B20,'Daten Tierhaltung'!$B$7:$I$108,7,FALSE))+(($G20/365*VLOOKUP(B20,'Daten Tierhaltung'!$B$7:$I$108,8,FALSE)))),"0")</f>
        <v>0</v>
      </c>
      <c r="M20" s="901">
        <f>IF(C20="auf selbst bewirtschaft. Flächen",E20*I20*(($F20/365*VLOOKUP(B20,'Daten Tierhaltung'!$B$7:$I$108,7,FALSE))+(($G20/365*VLOOKUP(B20,'Daten Tierhaltung'!$B$7:$I$108,8,FALSE)))),"0")</f>
        <v>0</v>
      </c>
      <c r="N20" s="891">
        <f>E20*H20/365*VLOOKUP(B20,'Daten Tierhaltung'!$B$7:$I$108,8,FALSE)*I20</f>
        <v>0</v>
      </c>
      <c r="O20" s="893" t="str">
        <f>IF(C20="in eigene Biogasanlage",E20*I20*((0.95*F20/365*VLOOKUP(B20,'Daten Tierhaltung'!$B$7:$I$108,7,FALSE))+((0.95*G20/365*VLOOKUP(B20,'Daten Tierhaltung'!$B$7:$I$108,8,FALSE)))),"0")</f>
        <v>0</v>
      </c>
      <c r="P20" s="890">
        <f>IF(C20="auf selbst bewirtschaft. Flächen",E20*I20*(($F20/365*VLOOKUP(B20,'Daten Tierhaltung'!$B$7:$K$108,9,FALSE))+(($G20/365*VLOOKUP(B20,'Daten Tierhaltung'!$B$7:$K$108,10,FALSE)))),"0")</f>
        <v>0</v>
      </c>
      <c r="Q20" s="890">
        <f t="shared" si="1"/>
        <v>0</v>
      </c>
      <c r="R20" s="890">
        <f t="shared" si="2"/>
        <v>0</v>
      </c>
    </row>
    <row r="21" spans="1:18" s="855" customFormat="1">
      <c r="A21" s="882">
        <f>VLOOKUP(B21,'Daten Tierhaltung'!$B$7:$C$108,2,FALSE)</f>
        <v>0</v>
      </c>
      <c r="B21" s="888" t="s">
        <v>795</v>
      </c>
      <c r="C21" s="888" t="s">
        <v>1011</v>
      </c>
      <c r="D21" s="1725">
        <v>0</v>
      </c>
      <c r="E21" s="1725">
        <v>0</v>
      </c>
      <c r="F21" s="889">
        <f t="shared" si="3"/>
        <v>365</v>
      </c>
      <c r="G21" s="1725">
        <v>0</v>
      </c>
      <c r="H21" s="1725">
        <v>0</v>
      </c>
      <c r="I21" s="890">
        <f>IF(A21=6,IF(D21&lt;=8000,0.0075*D21+69,0.007*D21+73),IF(A21=7,IF(D21&lt;=8000,0.0075*D21+64,0.0085*D21+56),IF(A21=8,IF(D21&lt;=8000,0.007*D21+61,0.009*D21+44.667),IF(A21=9,IF(D21&lt;=8000,0.0075*D21+55,0.0093*D21+40.833),IF(A21=10,IF(D21&lt;=7000,0.0075*D21+38.5,0.01*D21+21),IF(A21=51,0.0058*D21+7.0627,IF(A21=52,0.0055*D21+6.8356,IF(A21=53,0.0052*D21+6.0136,VLOOKUP(B21,'Daten Tierhaltung'!$B$7:$G$108,4,FALSE)))))))))</f>
        <v>0</v>
      </c>
      <c r="J21" s="890">
        <f>IF(A21=6,IF(D21&lt;=8000,0.0035*D21+15,0.002*D21+27),IF(A21=7,IF(D21&lt;=8000,0.003*D21+19,0.0025*D21+23),IF(A21=8,IF(D21&lt;=8000,0.0025*D21+22,0.0025*D21+22),IF(A21=9,IF(D21&lt;=8000,0.003*D21+18,0.0025*D21+22),IF(A21=10,IF(D21&lt;=7000,0.003*D21+12,0.0045*D21+1.5),IF(A21=51,0.0009*D21+4.1288,IF(A21=52,0.0014*D21+3.0932,IF(A21=53,0.0006*D21+3.3542,VLOOKUP(B21,'Daten Tierhaltung'!$B$7:$G$108,5,FALSE)))))))))</f>
        <v>0</v>
      </c>
      <c r="K21" s="890">
        <f>IF(A21=6,IF(D21&lt;=8000,0.004*D21+110,0.004*D21+110),IF(A21=7,IF(D21&lt;=8000,0.0025*D21+114,0.0045*D21+98),IF(A21=8,IF(D21&lt;=8000,0.007*D21+67,0.004*D21+91),IF(A21=9,IF(D21&lt;=8000,0.006*D21+68,0.0045*D21+80),IF(A21=10,IF(D21&lt;=7000,0.006*D21+54,0.006*D21+54),IF(A21=51,0.0023*D21+3.9271,IF(A21=52,0.0028*D21+3.3915,IF(A21=53,0.0024*D21+3.522,VLOOKUP(B21,'Daten Tierhaltung'!$B$7:$G$108,6,FALSE)))))))))</f>
        <v>0</v>
      </c>
      <c r="L21" s="890" t="str">
        <f>IF(C21="Abgabe an andere Betriebe",E21*I21*(($F21/365*VLOOKUP(B21,'Daten Tierhaltung'!$B$7:$I$108,7,FALSE))+(($G21/365*VLOOKUP(B21,'Daten Tierhaltung'!$B$7:$I$108,8,FALSE)))),"0")</f>
        <v>0</v>
      </c>
      <c r="M21" s="901">
        <f>IF(C21="auf selbst bewirtschaft. Flächen",E21*I21*(($F21/365*VLOOKUP(B21,'Daten Tierhaltung'!$B$7:$I$108,7,FALSE))+(($G21/365*VLOOKUP(B21,'Daten Tierhaltung'!$B$7:$I$108,8,FALSE)))),"0")</f>
        <v>0</v>
      </c>
      <c r="N21" s="891">
        <f>E21*H21/365*VLOOKUP(B21,'Daten Tierhaltung'!$B$7:$I$108,8,FALSE)*I21</f>
        <v>0</v>
      </c>
      <c r="O21" s="893" t="str">
        <f>IF(C21="in eigene Biogasanlage",E21*I21*((0.95*F21/365*VLOOKUP(B21,'Daten Tierhaltung'!$B$7:$I$108,7,FALSE))+((0.95*G21/365*VLOOKUP(B21,'Daten Tierhaltung'!$B$7:$I$108,8,FALSE)))),"0")</f>
        <v>0</v>
      </c>
      <c r="P21" s="890">
        <f>IF(C21="auf selbst bewirtschaft. Flächen",E21*I21*(($F21/365*VLOOKUP(B21,'Daten Tierhaltung'!$B$7:$K$108,9,FALSE))+(($G21/365*VLOOKUP(B21,'Daten Tierhaltung'!$B$7:$K$108,10,FALSE)))),"0")</f>
        <v>0</v>
      </c>
      <c r="Q21" s="890">
        <f t="shared" si="1"/>
        <v>0</v>
      </c>
      <c r="R21" s="890">
        <f t="shared" si="2"/>
        <v>0</v>
      </c>
    </row>
    <row r="22" spans="1:18" s="855" customFormat="1">
      <c r="A22" s="882">
        <f>VLOOKUP(B22,'Daten Tierhaltung'!$B$7:$C$108,2,FALSE)</f>
        <v>0</v>
      </c>
      <c r="B22" s="888" t="s">
        <v>795</v>
      </c>
      <c r="C22" s="888" t="s">
        <v>1011</v>
      </c>
      <c r="D22" s="1725">
        <v>0</v>
      </c>
      <c r="E22" s="1725">
        <v>0</v>
      </c>
      <c r="F22" s="889">
        <f t="shared" si="3"/>
        <v>365</v>
      </c>
      <c r="G22" s="1725">
        <v>0</v>
      </c>
      <c r="H22" s="1725">
        <v>0</v>
      </c>
      <c r="I22" s="890">
        <f>IF(A22=6,IF(D22&lt;=8000,0.0075*D22+69,0.007*D22+73),IF(A22=7,IF(D22&lt;=8000,0.0075*D22+64,0.0085*D22+56),IF(A22=8,IF(D22&lt;=8000,0.007*D22+61,0.009*D22+44.667),IF(A22=9,IF(D22&lt;=8000,0.0075*D22+55,0.0093*D22+40.833),IF(A22=10,IF(D22&lt;=7000,0.0075*D22+38.5,0.01*D22+21),IF(A22=51,0.0058*D22+7.0627,IF(A22=52,0.0055*D22+6.8356,IF(A22=53,0.0052*D22+6.0136,VLOOKUP(B22,'Daten Tierhaltung'!$B$7:$G$108,4,FALSE)))))))))</f>
        <v>0</v>
      </c>
      <c r="J22" s="890">
        <f>IF(A22=6,IF(D22&lt;=8000,0.0035*D22+15,0.002*D22+27),IF(A22=7,IF(D22&lt;=8000,0.003*D22+19,0.0025*D22+23),IF(A22=8,IF(D22&lt;=8000,0.0025*D22+22,0.0025*D22+22),IF(A22=9,IF(D22&lt;=8000,0.003*D22+18,0.0025*D22+22),IF(A22=10,IF(D22&lt;=7000,0.003*D22+12,0.0045*D22+1.5),IF(A22=51,0.0009*D22+4.1288,IF(A22=52,0.0014*D22+3.0932,IF(A22=53,0.0006*D22+3.3542,VLOOKUP(B22,'Daten Tierhaltung'!$B$7:$G$108,5,FALSE)))))))))</f>
        <v>0</v>
      </c>
      <c r="K22" s="890">
        <f>IF(A22=6,IF(D22&lt;=8000,0.004*D22+110,0.004*D22+110),IF(A22=7,IF(D22&lt;=8000,0.0025*D22+114,0.0045*D22+98),IF(A22=8,IF(D22&lt;=8000,0.007*D22+67,0.004*D22+91),IF(A22=9,IF(D22&lt;=8000,0.006*D22+68,0.0045*D22+80),IF(A22=10,IF(D22&lt;=7000,0.006*D22+54,0.006*D22+54),IF(A22=51,0.0023*D22+3.9271,IF(A22=52,0.0028*D22+3.3915,IF(A22=53,0.0024*D22+3.522,VLOOKUP(B22,'Daten Tierhaltung'!$B$7:$G$108,6,FALSE)))))))))</f>
        <v>0</v>
      </c>
      <c r="L22" s="890" t="str">
        <f>IF(C22="Abgabe an andere Betriebe",E22*I22*(($F22/365*VLOOKUP(B22,'Daten Tierhaltung'!$B$7:$I$108,7,FALSE))+(($G22/365*VLOOKUP(B22,'Daten Tierhaltung'!$B$7:$I$108,8,FALSE)))),"0")</f>
        <v>0</v>
      </c>
      <c r="M22" s="901">
        <f>IF(C22="auf selbst bewirtschaft. Flächen",E22*I22*(($F22/365*VLOOKUP(B22,'Daten Tierhaltung'!$B$7:$I$108,7,FALSE))+(($G22/365*VLOOKUP(B22,'Daten Tierhaltung'!$B$7:$I$108,8,FALSE)))),"0")</f>
        <v>0</v>
      </c>
      <c r="N22" s="891">
        <f>E22*H22/365*VLOOKUP(B22,'Daten Tierhaltung'!$B$7:$I$108,8,FALSE)*I22</f>
        <v>0</v>
      </c>
      <c r="O22" s="893" t="str">
        <f>IF(C22="in eigene Biogasanlage",E22*I22*((0.95*F22/365*VLOOKUP(B22,'Daten Tierhaltung'!$B$7:$I$108,7,FALSE))+((0.95*G22/365*VLOOKUP(B22,'Daten Tierhaltung'!$B$7:$I$108,8,FALSE)))),"0")</f>
        <v>0</v>
      </c>
      <c r="P22" s="890">
        <f>IF(C22="auf selbst bewirtschaft. Flächen",E22*I22*(($F22/365*VLOOKUP(B22,'Daten Tierhaltung'!$B$7:$K$108,9,FALSE))+(($G22/365*VLOOKUP(B22,'Daten Tierhaltung'!$B$7:$K$108,10,FALSE)))),"0")</f>
        <v>0</v>
      </c>
      <c r="Q22" s="890">
        <f t="shared" si="1"/>
        <v>0</v>
      </c>
      <c r="R22" s="890">
        <f t="shared" si="2"/>
        <v>0</v>
      </c>
    </row>
    <row r="23" spans="1:18" s="855" customFormat="1">
      <c r="A23" s="882">
        <f>VLOOKUP(B23,'Daten Tierhaltung'!$B$7:$C$108,2,FALSE)</f>
        <v>0</v>
      </c>
      <c r="B23" s="888" t="s">
        <v>795</v>
      </c>
      <c r="C23" s="888" t="s">
        <v>1011</v>
      </c>
      <c r="D23" s="1725">
        <v>0</v>
      </c>
      <c r="E23" s="1725">
        <v>0</v>
      </c>
      <c r="F23" s="889">
        <f t="shared" si="3"/>
        <v>365</v>
      </c>
      <c r="G23" s="1725">
        <v>0</v>
      </c>
      <c r="H23" s="1725">
        <v>0</v>
      </c>
      <c r="I23" s="890">
        <f>IF(A23=6,IF(D23&lt;=8000,0.0075*D23+69,0.007*D23+73),IF(A23=7,IF(D23&lt;=8000,0.0075*D23+64,0.0085*D23+56),IF(A23=8,IF(D23&lt;=8000,0.007*D23+61,0.009*D23+44.667),IF(A23=9,IF(D23&lt;=8000,0.0075*D23+55,0.0093*D23+40.833),IF(A23=10,IF(D23&lt;=7000,0.0075*D23+38.5,0.01*D23+21),IF(A23=51,0.0058*D23+7.0627,IF(A23=52,0.0055*D23+6.8356,IF(A23=53,0.0052*D23+6.0136,VLOOKUP(B23,'Daten Tierhaltung'!$B$7:$G$108,4,FALSE)))))))))</f>
        <v>0</v>
      </c>
      <c r="J23" s="890">
        <f>IF(A23=6,IF(D23&lt;=8000,0.0035*D23+15,0.002*D23+27),IF(A23=7,IF(D23&lt;=8000,0.003*D23+19,0.0025*D23+23),IF(A23=8,IF(D23&lt;=8000,0.0025*D23+22,0.0025*D23+22),IF(A23=9,IF(D23&lt;=8000,0.003*D23+18,0.0025*D23+22),IF(A23=10,IF(D23&lt;=7000,0.003*D23+12,0.0045*D23+1.5),IF(A23=51,0.0009*D23+4.1288,IF(A23=52,0.0014*D23+3.0932,IF(A23=53,0.0006*D23+3.3542,VLOOKUP(B23,'Daten Tierhaltung'!$B$7:$G$108,5,FALSE)))))))))</f>
        <v>0</v>
      </c>
      <c r="K23" s="890">
        <f>IF(A23=6,IF(D23&lt;=8000,0.004*D23+110,0.004*D23+110),IF(A23=7,IF(D23&lt;=8000,0.0025*D23+114,0.0045*D23+98),IF(A23=8,IF(D23&lt;=8000,0.007*D23+67,0.004*D23+91),IF(A23=9,IF(D23&lt;=8000,0.006*D23+68,0.0045*D23+80),IF(A23=10,IF(D23&lt;=7000,0.006*D23+54,0.006*D23+54),IF(A23=51,0.0023*D23+3.9271,IF(A23=52,0.0028*D23+3.3915,IF(A23=53,0.0024*D23+3.522,VLOOKUP(B23,'Daten Tierhaltung'!$B$7:$G$108,6,FALSE)))))))))</f>
        <v>0</v>
      </c>
      <c r="L23" s="890" t="str">
        <f>IF(C23="Abgabe an andere Betriebe",E23*I23*(($F23/365*VLOOKUP(B23,'Daten Tierhaltung'!$B$7:$I$108,7,FALSE))+(($G23/365*VLOOKUP(B23,'Daten Tierhaltung'!$B$7:$I$108,8,FALSE)))),"0")</f>
        <v>0</v>
      </c>
      <c r="M23" s="901">
        <f>IF(C23="auf selbst bewirtschaft. Flächen",E23*I23*(($F23/365*VLOOKUP(B23,'Daten Tierhaltung'!$B$7:$I$108,7,FALSE))+(($G23/365*VLOOKUP(B23,'Daten Tierhaltung'!$B$7:$I$108,8,FALSE)))),"0")</f>
        <v>0</v>
      </c>
      <c r="N23" s="891">
        <f>E23*H23/365*VLOOKUP(B23,'Daten Tierhaltung'!$B$7:$I$108,8,FALSE)*I23</f>
        <v>0</v>
      </c>
      <c r="O23" s="893" t="str">
        <f>IF(C23="in eigene Biogasanlage",E23*I23*((0.95*F23/365*VLOOKUP(B23,'Daten Tierhaltung'!$B$7:$I$108,7,FALSE))+((0.95*G23/365*VLOOKUP(B23,'Daten Tierhaltung'!$B$7:$I$108,8,FALSE)))),"0")</f>
        <v>0</v>
      </c>
      <c r="P23" s="890">
        <f>IF(C23="auf selbst bewirtschaft. Flächen",E23*I23*(($F23/365*VLOOKUP(B23,'Daten Tierhaltung'!$B$7:$K$108,9,FALSE))+(($G23/365*VLOOKUP(B23,'Daten Tierhaltung'!$B$7:$K$108,10,FALSE)))),"0")</f>
        <v>0</v>
      </c>
      <c r="Q23" s="890">
        <f t="shared" si="1"/>
        <v>0</v>
      </c>
      <c r="R23" s="890">
        <f t="shared" si="2"/>
        <v>0</v>
      </c>
    </row>
    <row r="24" spans="1:18" s="855" customFormat="1">
      <c r="A24" s="882">
        <f>VLOOKUP(B24,'Daten Tierhaltung'!$B$7:$C$108,2,FALSE)</f>
        <v>0</v>
      </c>
      <c r="B24" s="888" t="s">
        <v>795</v>
      </c>
      <c r="C24" s="888" t="s">
        <v>1011</v>
      </c>
      <c r="D24" s="1725">
        <v>0</v>
      </c>
      <c r="E24" s="1725">
        <v>0</v>
      </c>
      <c r="F24" s="889">
        <f t="shared" si="3"/>
        <v>365</v>
      </c>
      <c r="G24" s="1725">
        <v>0</v>
      </c>
      <c r="H24" s="1725">
        <v>0</v>
      </c>
      <c r="I24" s="890">
        <f>IF(A24=6,IF(D24&lt;=8000,0.0075*D24+69,0.007*D24+73),IF(A24=7,IF(D24&lt;=8000,0.0075*D24+64,0.0085*D24+56),IF(A24=8,IF(D24&lt;=8000,0.007*D24+61,0.009*D24+44.667),IF(A24=9,IF(D24&lt;=8000,0.0075*D24+55,0.0093*D24+40.833),IF(A24=10,IF(D24&lt;=7000,0.0075*D24+38.5,0.01*D24+21),IF(A24=51,0.0058*D24+7.0627,IF(A24=52,0.0055*D24+6.8356,IF(A24=53,0.0052*D24+6.0136,VLOOKUP(B24,'Daten Tierhaltung'!$B$7:$G$108,4,FALSE)))))))))</f>
        <v>0</v>
      </c>
      <c r="J24" s="890">
        <f>IF(A24=6,IF(D24&lt;=8000,0.0035*D24+15,0.002*D24+27),IF(A24=7,IF(D24&lt;=8000,0.003*D24+19,0.0025*D24+23),IF(A24=8,IF(D24&lt;=8000,0.0025*D24+22,0.0025*D24+22),IF(A24=9,IF(D24&lt;=8000,0.003*D24+18,0.0025*D24+22),IF(A24=10,IF(D24&lt;=7000,0.003*D24+12,0.0045*D24+1.5),IF(A24=51,0.0009*D24+4.1288,IF(A24=52,0.0014*D24+3.0932,IF(A24=53,0.0006*D24+3.3542,VLOOKUP(B24,'Daten Tierhaltung'!$B$7:$G$108,5,FALSE)))))))))</f>
        <v>0</v>
      </c>
      <c r="K24" s="890">
        <f>IF(A24=6,IF(D24&lt;=8000,0.004*D24+110,0.004*D24+110),IF(A24=7,IF(D24&lt;=8000,0.0025*D24+114,0.0045*D24+98),IF(A24=8,IF(D24&lt;=8000,0.007*D24+67,0.004*D24+91),IF(A24=9,IF(D24&lt;=8000,0.006*D24+68,0.0045*D24+80),IF(A24=10,IF(D24&lt;=7000,0.006*D24+54,0.006*D24+54),IF(A24=51,0.0023*D24+3.9271,IF(A24=52,0.0028*D24+3.3915,IF(A24=53,0.0024*D24+3.522,VLOOKUP(B24,'Daten Tierhaltung'!$B$7:$G$108,6,FALSE)))))))))</f>
        <v>0</v>
      </c>
      <c r="L24" s="890" t="str">
        <f>IF(C24="Abgabe an andere Betriebe",E24*I24*(($F24/365*VLOOKUP(B24,'Daten Tierhaltung'!$B$7:$I$108,7,FALSE))+(($G24/365*VLOOKUP(B24,'Daten Tierhaltung'!$B$7:$I$108,8,FALSE)))),"0")</f>
        <v>0</v>
      </c>
      <c r="M24" s="901">
        <f>IF(C24="auf selbst bewirtschaft. Flächen",E24*I24*(($F24/365*VLOOKUP(B24,'Daten Tierhaltung'!$B$7:$I$108,7,FALSE))+(($G24/365*VLOOKUP(B24,'Daten Tierhaltung'!$B$7:$I$108,8,FALSE)))),"0")</f>
        <v>0</v>
      </c>
      <c r="N24" s="891">
        <f>E24*H24/365*VLOOKUP(B24,'Daten Tierhaltung'!$B$7:$I$108,8,FALSE)*I24</f>
        <v>0</v>
      </c>
      <c r="O24" s="893" t="str">
        <f>IF(C24="in eigene Biogasanlage",E24*I24*((0.95*F24/365*VLOOKUP(B24,'Daten Tierhaltung'!$B$7:$I$108,7,FALSE))+((0.95*G24/365*VLOOKUP(B24,'Daten Tierhaltung'!$B$7:$I$108,8,FALSE)))),"0")</f>
        <v>0</v>
      </c>
      <c r="P24" s="890">
        <f>IF(C24="auf selbst bewirtschaft. Flächen",E24*I24*(($F24/365*VLOOKUP(B24,'Daten Tierhaltung'!$B$7:$K$108,9,FALSE))+(($G24/365*VLOOKUP(B24,'Daten Tierhaltung'!$B$7:$K$108,10,FALSE)))),"0")</f>
        <v>0</v>
      </c>
      <c r="Q24" s="890">
        <f t="shared" si="1"/>
        <v>0</v>
      </c>
      <c r="R24" s="890">
        <f t="shared" si="2"/>
        <v>0</v>
      </c>
    </row>
    <row r="25" spans="1:18" s="855" customFormat="1">
      <c r="A25" s="882">
        <f>VLOOKUP(B25,'Daten Tierhaltung'!$B$7:$C$108,2,FALSE)</f>
        <v>0</v>
      </c>
      <c r="B25" s="888" t="s">
        <v>795</v>
      </c>
      <c r="C25" s="888" t="s">
        <v>1011</v>
      </c>
      <c r="D25" s="1725">
        <v>0</v>
      </c>
      <c r="E25" s="1725">
        <v>0</v>
      </c>
      <c r="F25" s="889">
        <f t="shared" si="3"/>
        <v>365</v>
      </c>
      <c r="G25" s="1725">
        <v>0</v>
      </c>
      <c r="H25" s="1725">
        <v>0</v>
      </c>
      <c r="I25" s="890">
        <f>IF(A25=6,IF(D25&lt;=8000,0.0075*D25+69,0.007*D25+73),IF(A25=7,IF(D25&lt;=8000,0.0075*D25+64,0.0085*D25+56),IF(A25=8,IF(D25&lt;=8000,0.007*D25+61,0.009*D25+44.667),IF(A25=9,IF(D25&lt;=8000,0.0075*D25+55,0.0093*D25+40.833),IF(A25=10,IF(D25&lt;=7000,0.0075*D25+38.5,0.01*D25+21),IF(A25=51,0.0058*D25+7.0627,IF(A25=52,0.0055*D25+6.8356,IF(A25=53,0.0052*D25+6.0136,VLOOKUP(B25,'Daten Tierhaltung'!$B$7:$G$108,4,FALSE)))))))))</f>
        <v>0</v>
      </c>
      <c r="J25" s="890">
        <f>IF(A25=6,IF(D25&lt;=8000,0.0035*D25+15,0.002*D25+27),IF(A25=7,IF(D25&lt;=8000,0.003*D25+19,0.0025*D25+23),IF(A25=8,IF(D25&lt;=8000,0.0025*D25+22,0.0025*D25+22),IF(A25=9,IF(D25&lt;=8000,0.003*D25+18,0.0025*D25+22),IF(A25=10,IF(D25&lt;=7000,0.003*D25+12,0.0045*D25+1.5),IF(A25=51,0.0009*D25+4.1288,IF(A25=52,0.0014*D25+3.0932,IF(A25=53,0.0006*D25+3.3542,VLOOKUP(B25,'Daten Tierhaltung'!$B$7:$G$108,5,FALSE)))))))))</f>
        <v>0</v>
      </c>
      <c r="K25" s="890">
        <f>IF(A25=6,IF(D25&lt;=8000,0.004*D25+110,0.004*D25+110),IF(A25=7,IF(D25&lt;=8000,0.0025*D25+114,0.0045*D25+98),IF(A25=8,IF(D25&lt;=8000,0.007*D25+67,0.004*D25+91),IF(A25=9,IF(D25&lt;=8000,0.006*D25+68,0.0045*D25+80),IF(A25=10,IF(D25&lt;=7000,0.006*D25+54,0.006*D25+54),IF(A25=51,0.0023*D25+3.9271,IF(A25=52,0.0028*D25+3.3915,IF(A25=53,0.0024*D25+3.522,VLOOKUP(B25,'Daten Tierhaltung'!$B$7:$G$108,6,FALSE)))))))))</f>
        <v>0</v>
      </c>
      <c r="L25" s="890" t="str">
        <f>IF(C25="Abgabe an andere Betriebe",E25*I25*(($F25/365*VLOOKUP(B25,'Daten Tierhaltung'!$B$7:$I$108,7,FALSE))+(($G25/365*VLOOKUP(B25,'Daten Tierhaltung'!$B$7:$I$108,8,FALSE)))),"0")</f>
        <v>0</v>
      </c>
      <c r="M25" s="901">
        <f>IF(C25="auf selbst bewirtschaft. Flächen",E25*I25*(($F25/365*VLOOKUP(B25,'Daten Tierhaltung'!$B$7:$I$108,7,FALSE))+(($G25/365*VLOOKUP(B25,'Daten Tierhaltung'!$B$7:$I$108,8,FALSE)))),"0")</f>
        <v>0</v>
      </c>
      <c r="N25" s="891">
        <f>E25*H25/365*VLOOKUP(B25,'Daten Tierhaltung'!$B$7:$I$108,8,FALSE)*I25</f>
        <v>0</v>
      </c>
      <c r="O25" s="893" t="str">
        <f>IF(C25="in eigene Biogasanlage",E25*I25*((0.95*F25/365*VLOOKUP(B25,'Daten Tierhaltung'!$B$7:$I$108,7,FALSE))+((0.95*G25/365*VLOOKUP(B25,'Daten Tierhaltung'!$B$7:$I$108,8,FALSE)))),"0")</f>
        <v>0</v>
      </c>
      <c r="P25" s="890">
        <f>IF(C25="auf selbst bewirtschaft. Flächen",E25*I25*(($F25/365*VLOOKUP(B25,'Daten Tierhaltung'!$B$7:$K$108,9,FALSE))+(($G25/365*VLOOKUP(B25,'Daten Tierhaltung'!$B$7:$K$108,10,FALSE)))),"0")</f>
        <v>0</v>
      </c>
      <c r="Q25" s="890">
        <f t="shared" si="1"/>
        <v>0</v>
      </c>
      <c r="R25" s="890">
        <f t="shared" si="2"/>
        <v>0</v>
      </c>
    </row>
    <row r="26" spans="1:18" s="855" customFormat="1">
      <c r="A26" s="882">
        <f>VLOOKUP(B26,'Daten Tierhaltung'!$B$7:$C$108,2,FALSE)</f>
        <v>0</v>
      </c>
      <c r="B26" s="888" t="s">
        <v>795</v>
      </c>
      <c r="C26" s="888" t="s">
        <v>1011</v>
      </c>
      <c r="D26" s="1725">
        <v>0</v>
      </c>
      <c r="E26" s="1725">
        <v>0</v>
      </c>
      <c r="F26" s="889">
        <f t="shared" si="3"/>
        <v>365</v>
      </c>
      <c r="G26" s="1725">
        <v>0</v>
      </c>
      <c r="H26" s="1725">
        <v>0</v>
      </c>
      <c r="I26" s="890">
        <f>IF(A26=6,IF(D26&lt;=8000,0.0075*D26+69,0.007*D26+73),IF(A26=7,IF(D26&lt;=8000,0.0075*D26+64,0.0085*D26+56),IF(A26=8,IF(D26&lt;=8000,0.007*D26+61,0.009*D26+44.667),IF(A26=9,IF(D26&lt;=8000,0.0075*D26+55,0.0093*D26+40.833),IF(A26=10,IF(D26&lt;=7000,0.0075*D26+38.5,0.01*D26+21),IF(A26=51,0.0058*D26+7.0627,IF(A26=52,0.0055*D26+6.8356,IF(A26=53,0.0052*D26+6.0136,VLOOKUP(B26,'Daten Tierhaltung'!$B$7:$G$108,4,FALSE)))))))))</f>
        <v>0</v>
      </c>
      <c r="J26" s="890">
        <f>IF(A26=6,IF(D26&lt;=8000,0.0035*D26+15,0.002*D26+27),IF(A26=7,IF(D26&lt;=8000,0.003*D26+19,0.0025*D26+23),IF(A26=8,IF(D26&lt;=8000,0.0025*D26+22,0.0025*D26+22),IF(A26=9,IF(D26&lt;=8000,0.003*D26+18,0.0025*D26+22),IF(A26=10,IF(D26&lt;=7000,0.003*D26+12,0.0045*D26+1.5),IF(A26=51,0.0009*D26+4.1288,IF(A26=52,0.0014*D26+3.0932,IF(A26=53,0.0006*D26+3.3542,VLOOKUP(B26,'Daten Tierhaltung'!$B$7:$G$108,5,FALSE)))))))))</f>
        <v>0</v>
      </c>
      <c r="K26" s="890">
        <f>IF(A26=6,IF(D26&lt;=8000,0.004*D26+110,0.004*D26+110),IF(A26=7,IF(D26&lt;=8000,0.0025*D26+114,0.0045*D26+98),IF(A26=8,IF(D26&lt;=8000,0.007*D26+67,0.004*D26+91),IF(A26=9,IF(D26&lt;=8000,0.006*D26+68,0.0045*D26+80),IF(A26=10,IF(D26&lt;=7000,0.006*D26+54,0.006*D26+54),IF(A26=51,0.0023*D26+3.9271,IF(A26=52,0.0028*D26+3.3915,IF(A26=53,0.0024*D26+3.522,VLOOKUP(B26,'Daten Tierhaltung'!$B$7:$G$108,6,FALSE)))))))))</f>
        <v>0</v>
      </c>
      <c r="L26" s="890" t="str">
        <f>IF(C26="Abgabe an andere Betriebe",E26*I26*(($F26/365*VLOOKUP(B26,'Daten Tierhaltung'!$B$7:$I$108,7,FALSE))+(($G26/365*VLOOKUP(B26,'Daten Tierhaltung'!$B$7:$I$108,8,FALSE)))),"0")</f>
        <v>0</v>
      </c>
      <c r="M26" s="901">
        <f>IF(C26="auf selbst bewirtschaft. Flächen",E26*I26*(($F26/365*VLOOKUP(B26,'Daten Tierhaltung'!$B$7:$I$108,7,FALSE))+(($G26/365*VLOOKUP(B26,'Daten Tierhaltung'!$B$7:$I$108,8,FALSE)))),"0")</f>
        <v>0</v>
      </c>
      <c r="N26" s="891">
        <f>E26*H26/365*VLOOKUP(B26,'Daten Tierhaltung'!$B$7:$I$108,8,FALSE)*I26</f>
        <v>0</v>
      </c>
      <c r="O26" s="893" t="str">
        <f>IF(C26="in eigene Biogasanlage",E26*I26*((0.95*F26/365*VLOOKUP(B26,'Daten Tierhaltung'!$B$7:$I$108,7,FALSE))+((0.95*G26/365*VLOOKUP(B26,'Daten Tierhaltung'!$B$7:$I$108,8,FALSE)))),"0")</f>
        <v>0</v>
      </c>
      <c r="P26" s="890">
        <f>IF(C26="auf selbst bewirtschaft. Flächen",E26*I26*(($F26/365*VLOOKUP(B26,'Daten Tierhaltung'!$B$7:$K$108,9,FALSE))+(($G26/365*VLOOKUP(B26,'Daten Tierhaltung'!$B$7:$K$108,10,FALSE)))),"0")</f>
        <v>0</v>
      </c>
      <c r="Q26" s="890">
        <f t="shared" si="1"/>
        <v>0</v>
      </c>
      <c r="R26" s="890">
        <f t="shared" si="2"/>
        <v>0</v>
      </c>
    </row>
    <row r="27" spans="1:18" s="855" customFormat="1">
      <c r="A27" s="882">
        <f>VLOOKUP(B27,'Daten Tierhaltung'!$B$7:$C$108,2,FALSE)</f>
        <v>0</v>
      </c>
      <c r="B27" s="888" t="s">
        <v>795</v>
      </c>
      <c r="C27" s="888" t="s">
        <v>1011</v>
      </c>
      <c r="D27" s="1725">
        <v>0</v>
      </c>
      <c r="E27" s="1725">
        <v>0</v>
      </c>
      <c r="F27" s="889">
        <f t="shared" si="3"/>
        <v>365</v>
      </c>
      <c r="G27" s="1725">
        <v>0</v>
      </c>
      <c r="H27" s="1725">
        <v>0</v>
      </c>
      <c r="I27" s="890">
        <f>IF(A27=6,IF(D27&lt;=8000,0.0075*D27+69,0.007*D27+73),IF(A27=7,IF(D27&lt;=8000,0.0075*D27+64,0.0085*D27+56),IF(A27=8,IF(D27&lt;=8000,0.007*D27+61,0.009*D27+44.667),IF(A27=9,IF(D27&lt;=8000,0.0075*D27+55,0.0093*D27+40.833),IF(A27=10,IF(D27&lt;=7000,0.0075*D27+38.5,0.01*D27+21),IF(A27=51,0.0058*D27+7.0627,IF(A27=52,0.0055*D27+6.8356,IF(A27=53,0.0052*D27+6.0136,VLOOKUP(B27,'Daten Tierhaltung'!$B$7:$G$108,4,FALSE)))))))))</f>
        <v>0</v>
      </c>
      <c r="J27" s="890">
        <f>IF(A27=6,IF(D27&lt;=8000,0.0035*D27+15,0.002*D27+27),IF(A27=7,IF(D27&lt;=8000,0.003*D27+19,0.0025*D27+23),IF(A27=8,IF(D27&lt;=8000,0.0025*D27+22,0.0025*D27+22),IF(A27=9,IF(D27&lt;=8000,0.003*D27+18,0.0025*D27+22),IF(A27=10,IF(D27&lt;=7000,0.003*D27+12,0.0045*D27+1.5),IF(A27=51,0.0009*D27+4.1288,IF(A27=52,0.0014*D27+3.0932,IF(A27=53,0.0006*D27+3.3542,VLOOKUP(B27,'Daten Tierhaltung'!$B$7:$G$108,5,FALSE)))))))))</f>
        <v>0</v>
      </c>
      <c r="K27" s="890">
        <f>IF(A27=6,IF(D27&lt;=8000,0.004*D27+110,0.004*D27+110),IF(A27=7,IF(D27&lt;=8000,0.0025*D27+114,0.0045*D27+98),IF(A27=8,IF(D27&lt;=8000,0.007*D27+67,0.004*D27+91),IF(A27=9,IF(D27&lt;=8000,0.006*D27+68,0.0045*D27+80),IF(A27=10,IF(D27&lt;=7000,0.006*D27+54,0.006*D27+54),IF(A27=51,0.0023*D27+3.9271,IF(A27=52,0.0028*D27+3.3915,IF(A27=53,0.0024*D27+3.522,VLOOKUP(B27,'Daten Tierhaltung'!$B$7:$G$108,6,FALSE)))))))))</f>
        <v>0</v>
      </c>
      <c r="L27" s="890" t="str">
        <f>IF(C27="Abgabe an andere Betriebe",E27*I27*(($F27/365*VLOOKUP(B27,'Daten Tierhaltung'!$B$7:$I$108,7,FALSE))+(($G27/365*VLOOKUP(B27,'Daten Tierhaltung'!$B$7:$I$108,8,FALSE)))),"0")</f>
        <v>0</v>
      </c>
      <c r="M27" s="901">
        <f>IF(C27="auf selbst bewirtschaft. Flächen",E27*I27*(($F27/365*VLOOKUP(B27,'Daten Tierhaltung'!$B$7:$I$108,7,FALSE))+(($G27/365*VLOOKUP(B27,'Daten Tierhaltung'!$B$7:$I$108,8,FALSE)))),"0")</f>
        <v>0</v>
      </c>
      <c r="N27" s="891">
        <f>E27*H27/365*VLOOKUP(B27,'Daten Tierhaltung'!$B$7:$I$108,8,FALSE)*I27</f>
        <v>0</v>
      </c>
      <c r="O27" s="893" t="str">
        <f>IF(C27="in eigene Biogasanlage",E27*I27*((0.95*F27/365*VLOOKUP(B27,'Daten Tierhaltung'!$B$7:$I$108,7,FALSE))+((0.95*G27/365*VLOOKUP(B27,'Daten Tierhaltung'!$B$7:$I$108,8,FALSE)))),"0")</f>
        <v>0</v>
      </c>
      <c r="P27" s="890">
        <f>IF(C27="auf selbst bewirtschaft. Flächen",E27*I27*(($F27/365*VLOOKUP(B27,'Daten Tierhaltung'!$B$7:$K$108,9,FALSE))+(($G27/365*VLOOKUP(B27,'Daten Tierhaltung'!$B$7:$K$108,10,FALSE)))),"0")</f>
        <v>0</v>
      </c>
      <c r="Q27" s="890">
        <f t="shared" si="1"/>
        <v>0</v>
      </c>
      <c r="R27" s="890">
        <f t="shared" si="2"/>
        <v>0</v>
      </c>
    </row>
    <row r="28" spans="1:18" s="855" customFormat="1">
      <c r="A28" s="882">
        <f>VLOOKUP(B28,'Daten Tierhaltung'!$B$7:$C$108,2,FALSE)</f>
        <v>0</v>
      </c>
      <c r="B28" s="888" t="s">
        <v>795</v>
      </c>
      <c r="C28" s="888" t="s">
        <v>1011</v>
      </c>
      <c r="D28" s="1725">
        <v>0</v>
      </c>
      <c r="E28" s="1725">
        <v>0</v>
      </c>
      <c r="F28" s="889">
        <f t="shared" si="3"/>
        <v>365</v>
      </c>
      <c r="G28" s="1725">
        <v>0</v>
      </c>
      <c r="H28" s="1725">
        <v>0</v>
      </c>
      <c r="I28" s="890">
        <f>IF(A28=6,IF(D28&lt;=8000,0.0075*D28+69,0.007*D28+73),IF(A28=7,IF(D28&lt;=8000,0.0075*D28+64,0.0085*D28+56),IF(A28=8,IF(D28&lt;=8000,0.007*D28+61,0.009*D28+44.667),IF(A28=9,IF(D28&lt;=8000,0.0075*D28+55,0.0093*D28+40.833),IF(A28=10,IF(D28&lt;=7000,0.0075*D28+38.5,0.01*D28+21),IF(A28=51,0.0058*D28+7.0627,IF(A28=52,0.0055*D28+6.8356,IF(A28=53,0.0052*D28+6.0136,VLOOKUP(B28,'Daten Tierhaltung'!$B$7:$G$108,4,FALSE)))))))))</f>
        <v>0</v>
      </c>
      <c r="J28" s="890">
        <f>IF(A28=6,IF(D28&lt;=8000,0.0035*D28+15,0.002*D28+27),IF(A28=7,IF(D28&lt;=8000,0.003*D28+19,0.0025*D28+23),IF(A28=8,IF(D28&lt;=8000,0.0025*D28+22,0.0025*D28+22),IF(A28=9,IF(D28&lt;=8000,0.003*D28+18,0.0025*D28+22),IF(A28=10,IF(D28&lt;=7000,0.003*D28+12,0.0045*D28+1.5),IF(A28=51,0.0009*D28+4.1288,IF(A28=52,0.0014*D28+3.0932,IF(A28=53,0.0006*D28+3.3542,VLOOKUP(B28,'Daten Tierhaltung'!$B$7:$G$108,5,FALSE)))))))))</f>
        <v>0</v>
      </c>
      <c r="K28" s="890">
        <f>IF(A28=6,IF(D28&lt;=8000,0.004*D28+110,0.004*D28+110),IF(A28=7,IF(D28&lt;=8000,0.0025*D28+114,0.0045*D28+98),IF(A28=8,IF(D28&lt;=8000,0.007*D28+67,0.004*D28+91),IF(A28=9,IF(D28&lt;=8000,0.006*D28+68,0.0045*D28+80),IF(A28=10,IF(D28&lt;=7000,0.006*D28+54,0.006*D28+54),IF(A28=51,0.0023*D28+3.9271,IF(A28=52,0.0028*D28+3.3915,IF(A28=53,0.0024*D28+3.522,VLOOKUP(B28,'Daten Tierhaltung'!$B$7:$G$108,6,FALSE)))))))))</f>
        <v>0</v>
      </c>
      <c r="L28" s="890" t="str">
        <f>IF(C28="Abgabe an andere Betriebe",E28*I28*(($F28/365*VLOOKUP(B28,'Daten Tierhaltung'!$B$7:$I$108,7,FALSE))+(($G28/365*VLOOKUP(B28,'Daten Tierhaltung'!$B$7:$I$108,8,FALSE)))),"0")</f>
        <v>0</v>
      </c>
      <c r="M28" s="901">
        <f>IF(C28="auf selbst bewirtschaft. Flächen",E28*I28*(($F28/365*VLOOKUP(B28,'Daten Tierhaltung'!$B$7:$I$108,7,FALSE))+(($G28/365*VLOOKUP(B28,'Daten Tierhaltung'!$B$7:$I$108,8,FALSE)))),"0")</f>
        <v>0</v>
      </c>
      <c r="N28" s="891">
        <f>E28*H28/365*VLOOKUP(B28,'Daten Tierhaltung'!$B$7:$I$108,8,FALSE)*I28</f>
        <v>0</v>
      </c>
      <c r="O28" s="893" t="str">
        <f>IF(C28="in eigene Biogasanlage",E28*I28*((0.95*F28/365*VLOOKUP(B28,'Daten Tierhaltung'!$B$7:$I$108,7,FALSE))+((0.95*G28/365*VLOOKUP(B28,'Daten Tierhaltung'!$B$7:$I$108,8,FALSE)))),"0")</f>
        <v>0</v>
      </c>
      <c r="P28" s="890">
        <f>IF(C28="auf selbst bewirtschaft. Flächen",E28*I28*(($F28/365*VLOOKUP(B28,'Daten Tierhaltung'!$B$7:$K$108,9,FALSE))+(($G28/365*VLOOKUP(B28,'Daten Tierhaltung'!$B$7:$K$108,10,FALSE)))),"0")</f>
        <v>0</v>
      </c>
      <c r="Q28" s="890">
        <f t="shared" si="1"/>
        <v>0</v>
      </c>
      <c r="R28" s="890">
        <f t="shared" si="2"/>
        <v>0</v>
      </c>
    </row>
    <row r="29" spans="1:18" s="855" customFormat="1">
      <c r="A29" s="882">
        <f>VLOOKUP(B29,'Daten Tierhaltung'!$B$7:$C$108,2,FALSE)</f>
        <v>0</v>
      </c>
      <c r="B29" s="888" t="s">
        <v>795</v>
      </c>
      <c r="C29" s="888" t="s">
        <v>1011</v>
      </c>
      <c r="D29" s="1725">
        <v>0</v>
      </c>
      <c r="E29" s="1725">
        <v>0</v>
      </c>
      <c r="F29" s="889">
        <f t="shared" si="3"/>
        <v>365</v>
      </c>
      <c r="G29" s="1725">
        <v>0</v>
      </c>
      <c r="H29" s="1725">
        <v>0</v>
      </c>
      <c r="I29" s="890">
        <f>IF(A29=6,IF(D29&lt;=8000,0.0075*D29+69,0.007*D29+73),IF(A29=7,IF(D29&lt;=8000,0.0075*D29+64,0.0085*D29+56),IF(A29=8,IF(D29&lt;=8000,0.007*D29+61,0.009*D29+44.667),IF(A29=9,IF(D29&lt;=8000,0.0075*D29+55,0.0093*D29+40.833),IF(A29=10,IF(D29&lt;=7000,0.0075*D29+38.5,0.01*D29+21),IF(A29=51,0.0058*D29+7.0627,IF(A29=52,0.0055*D29+6.8356,IF(A29=53,0.0052*D29+6.0136,VLOOKUP(B29,'Daten Tierhaltung'!$B$7:$G$108,4,FALSE)))))))))</f>
        <v>0</v>
      </c>
      <c r="J29" s="890">
        <f>IF(A29=6,IF(D29&lt;=8000,0.0035*D29+15,0.002*D29+27),IF(A29=7,IF(D29&lt;=8000,0.003*D29+19,0.0025*D29+23),IF(A29=8,IF(D29&lt;=8000,0.0025*D29+22,0.0025*D29+22),IF(A29=9,IF(D29&lt;=8000,0.003*D29+18,0.0025*D29+22),IF(A29=10,IF(D29&lt;=7000,0.003*D29+12,0.0045*D29+1.5),IF(A29=51,0.0009*D29+4.1288,IF(A29=52,0.0014*D29+3.0932,IF(A29=53,0.0006*D29+3.3542,VLOOKUP(B29,'Daten Tierhaltung'!$B$7:$G$108,5,FALSE)))))))))</f>
        <v>0</v>
      </c>
      <c r="K29" s="890">
        <f>IF(A29=6,IF(D29&lt;=8000,0.004*D29+110,0.004*D29+110),IF(A29=7,IF(D29&lt;=8000,0.0025*D29+114,0.0045*D29+98),IF(A29=8,IF(D29&lt;=8000,0.007*D29+67,0.004*D29+91),IF(A29=9,IF(D29&lt;=8000,0.006*D29+68,0.0045*D29+80),IF(A29=10,IF(D29&lt;=7000,0.006*D29+54,0.006*D29+54),IF(A29=51,0.0023*D29+3.9271,IF(A29=52,0.0028*D29+3.3915,IF(A29=53,0.0024*D29+3.522,VLOOKUP(B29,'Daten Tierhaltung'!$B$7:$G$108,6,FALSE)))))))))</f>
        <v>0</v>
      </c>
      <c r="L29" s="890" t="str">
        <f>IF(C29="Abgabe an andere Betriebe",E29*I29*(($F29/365*VLOOKUP(B29,'Daten Tierhaltung'!$B$7:$I$108,7,FALSE))+(($G29/365*VLOOKUP(B29,'Daten Tierhaltung'!$B$7:$I$108,8,FALSE)))),"0")</f>
        <v>0</v>
      </c>
      <c r="M29" s="901">
        <f>IF(C29="auf selbst bewirtschaft. Flächen",E29*I29*(($F29/365*VLOOKUP(B29,'Daten Tierhaltung'!$B$7:$I$108,7,FALSE))+(($G29/365*VLOOKUP(B29,'Daten Tierhaltung'!$B$7:$I$108,8,FALSE)))),"0")</f>
        <v>0</v>
      </c>
      <c r="N29" s="891">
        <f>E29*H29/365*VLOOKUP(B29,'Daten Tierhaltung'!$B$7:$I$108,8,FALSE)*I29</f>
        <v>0</v>
      </c>
      <c r="O29" s="893" t="str">
        <f>IF(C29="in eigene Biogasanlage",E29*I29*((0.95*F29/365*VLOOKUP(B29,'Daten Tierhaltung'!$B$7:$I$108,7,FALSE))+((0.95*G29/365*VLOOKUP(B29,'Daten Tierhaltung'!$B$7:$I$108,8,FALSE)))),"0")</f>
        <v>0</v>
      </c>
      <c r="P29" s="890">
        <f>IF(C29="auf selbst bewirtschaft. Flächen",E29*I29*(($F29/365*VLOOKUP(B29,'Daten Tierhaltung'!$B$7:$K$108,9,FALSE))+(($G29/365*VLOOKUP(B29,'Daten Tierhaltung'!$B$7:$K$108,10,FALSE)))),"0")</f>
        <v>0</v>
      </c>
      <c r="Q29" s="890">
        <f t="shared" si="1"/>
        <v>0</v>
      </c>
      <c r="R29" s="890">
        <f t="shared" si="2"/>
        <v>0</v>
      </c>
    </row>
    <row r="30" spans="1:18" s="855" customFormat="1">
      <c r="A30" s="882">
        <f>VLOOKUP(B30,'Daten Tierhaltung'!$B$7:$C$108,2,FALSE)</f>
        <v>0</v>
      </c>
      <c r="B30" s="888" t="s">
        <v>795</v>
      </c>
      <c r="C30" s="888" t="s">
        <v>1011</v>
      </c>
      <c r="D30" s="1725">
        <v>0</v>
      </c>
      <c r="E30" s="1725">
        <v>0</v>
      </c>
      <c r="F30" s="889">
        <f t="shared" si="3"/>
        <v>365</v>
      </c>
      <c r="G30" s="1725">
        <v>0</v>
      </c>
      <c r="H30" s="1725">
        <v>0</v>
      </c>
      <c r="I30" s="890">
        <f>IF(A30=6,IF(D30&lt;=8000,0.0075*D30+69,0.007*D30+73),IF(A30=7,IF(D30&lt;=8000,0.0075*D30+64,0.0085*D30+56),IF(A30=8,IF(D30&lt;=8000,0.007*D30+61,0.009*D30+44.667),IF(A30=9,IF(D30&lt;=8000,0.0075*D30+55,0.0093*D30+40.833),IF(A30=10,IF(D30&lt;=7000,0.0075*D30+38.5,0.01*D30+21),IF(A30=51,0.0058*D30+7.0627,IF(A30=52,0.0055*D30+6.8356,IF(A30=53,0.0052*D30+6.0136,VLOOKUP(B30,'Daten Tierhaltung'!$B$7:$G$108,4,FALSE)))))))))</f>
        <v>0</v>
      </c>
      <c r="J30" s="890">
        <f>IF(A30=6,IF(D30&lt;=8000,0.0035*D30+15,0.002*D30+27),IF(A30=7,IF(D30&lt;=8000,0.003*D30+19,0.0025*D30+23),IF(A30=8,IF(D30&lt;=8000,0.0025*D30+22,0.0025*D30+22),IF(A30=9,IF(D30&lt;=8000,0.003*D30+18,0.0025*D30+22),IF(A30=10,IF(D30&lt;=7000,0.003*D30+12,0.0045*D30+1.5),IF(A30=51,0.0009*D30+4.1288,IF(A30=52,0.0014*D30+3.0932,IF(A30=53,0.0006*D30+3.3542,VLOOKUP(B30,'Daten Tierhaltung'!$B$7:$G$108,5,FALSE)))))))))</f>
        <v>0</v>
      </c>
      <c r="K30" s="890">
        <f>IF(A30=6,IF(D30&lt;=8000,0.004*D30+110,0.004*D30+110),IF(A30=7,IF(D30&lt;=8000,0.0025*D30+114,0.0045*D30+98),IF(A30=8,IF(D30&lt;=8000,0.007*D30+67,0.004*D30+91),IF(A30=9,IF(D30&lt;=8000,0.006*D30+68,0.0045*D30+80),IF(A30=10,IF(D30&lt;=7000,0.006*D30+54,0.006*D30+54),IF(A30=51,0.0023*D30+3.9271,IF(A30=52,0.0028*D30+3.3915,IF(A30=53,0.0024*D30+3.522,VLOOKUP(B30,'Daten Tierhaltung'!$B$7:$G$108,6,FALSE)))))))))</f>
        <v>0</v>
      </c>
      <c r="L30" s="890" t="str">
        <f>IF(C30="Abgabe an andere Betriebe",E30*I30*(($F30/365*VLOOKUP(B30,'Daten Tierhaltung'!$B$7:$I$108,7,FALSE))+(($G30/365*VLOOKUP(B30,'Daten Tierhaltung'!$B$7:$I$108,8,FALSE)))),"0")</f>
        <v>0</v>
      </c>
      <c r="M30" s="901">
        <f>IF(C30="auf selbst bewirtschaft. Flächen",E30*I30*(($F30/365*VLOOKUP(B30,'Daten Tierhaltung'!$B$7:$I$108,7,FALSE))+(($G30/365*VLOOKUP(B30,'Daten Tierhaltung'!$B$7:$I$108,8,FALSE)))),"0")</f>
        <v>0</v>
      </c>
      <c r="N30" s="891">
        <f>E30*H30/365*VLOOKUP(B30,'Daten Tierhaltung'!$B$7:$I$108,8,FALSE)*I30</f>
        <v>0</v>
      </c>
      <c r="O30" s="893" t="str">
        <f>IF(C30="in eigene Biogasanlage",E30*I30*((0.95*F30/365*VLOOKUP(B30,'Daten Tierhaltung'!$B$7:$I$108,7,FALSE))+((0.95*G30/365*VLOOKUP(B30,'Daten Tierhaltung'!$B$7:$I$108,8,FALSE)))),"0")</f>
        <v>0</v>
      </c>
      <c r="P30" s="890">
        <f>IF(C30="auf selbst bewirtschaft. Flächen",E30*I30*(($F30/365*VLOOKUP(B30,'Daten Tierhaltung'!$B$7:$K$108,9,FALSE))+(($G30/365*VLOOKUP(B30,'Daten Tierhaltung'!$B$7:$K$108,10,FALSE)))),"0")</f>
        <v>0</v>
      </c>
      <c r="Q30" s="890">
        <f t="shared" si="1"/>
        <v>0</v>
      </c>
      <c r="R30" s="890">
        <f t="shared" si="2"/>
        <v>0</v>
      </c>
    </row>
    <row r="31" spans="1:18" s="855" customFormat="1">
      <c r="A31" s="882">
        <f>VLOOKUP(B31,'Daten Tierhaltung'!$B$7:$C$108,2,FALSE)</f>
        <v>0</v>
      </c>
      <c r="B31" s="888" t="s">
        <v>795</v>
      </c>
      <c r="C31" s="888" t="s">
        <v>1011</v>
      </c>
      <c r="D31" s="1725">
        <v>0</v>
      </c>
      <c r="E31" s="1725">
        <v>0</v>
      </c>
      <c r="F31" s="889">
        <f t="shared" si="3"/>
        <v>365</v>
      </c>
      <c r="G31" s="1725">
        <v>0</v>
      </c>
      <c r="H31" s="1725">
        <v>0</v>
      </c>
      <c r="I31" s="890">
        <f>IF(A31=6,IF(D31&lt;=8000,0.0075*D31+69,0.007*D31+73),IF(A31=7,IF(D31&lt;=8000,0.0075*D31+64,0.0085*D31+56),IF(A31=8,IF(D31&lt;=8000,0.007*D31+61,0.009*D31+44.667),IF(A31=9,IF(D31&lt;=8000,0.0075*D31+55,0.0093*D31+40.833),IF(A31=10,IF(D31&lt;=7000,0.0075*D31+38.5,0.01*D31+21),IF(A31=51,0.0058*D31+7.0627,IF(A31=52,0.0055*D31+6.8356,IF(A31=53,0.0052*D31+6.0136,VLOOKUP(B31,'Daten Tierhaltung'!$B$7:$G$108,4,FALSE)))))))))</f>
        <v>0</v>
      </c>
      <c r="J31" s="890">
        <f>IF(A31=6,IF(D31&lt;=8000,0.0035*D31+15,0.002*D31+27),IF(A31=7,IF(D31&lt;=8000,0.003*D31+19,0.0025*D31+23),IF(A31=8,IF(D31&lt;=8000,0.0025*D31+22,0.0025*D31+22),IF(A31=9,IF(D31&lt;=8000,0.003*D31+18,0.0025*D31+22),IF(A31=10,IF(D31&lt;=7000,0.003*D31+12,0.0045*D31+1.5),IF(A31=51,0.0009*D31+4.1288,IF(A31=52,0.0014*D31+3.0932,IF(A31=53,0.0006*D31+3.3542,VLOOKUP(B31,'Daten Tierhaltung'!$B$7:$G$108,5,FALSE)))))))))</f>
        <v>0</v>
      </c>
      <c r="K31" s="890">
        <f>IF(A31=6,IF(D31&lt;=8000,0.004*D31+110,0.004*D31+110),IF(A31=7,IF(D31&lt;=8000,0.0025*D31+114,0.0045*D31+98),IF(A31=8,IF(D31&lt;=8000,0.007*D31+67,0.004*D31+91),IF(A31=9,IF(D31&lt;=8000,0.006*D31+68,0.0045*D31+80),IF(A31=10,IF(D31&lt;=7000,0.006*D31+54,0.006*D31+54),IF(A31=51,0.0023*D31+3.9271,IF(A31=52,0.0028*D31+3.3915,IF(A31=53,0.0024*D31+3.522,VLOOKUP(B31,'Daten Tierhaltung'!$B$7:$G$108,6,FALSE)))))))))</f>
        <v>0</v>
      </c>
      <c r="L31" s="890" t="str">
        <f>IF(C31="Abgabe an andere Betriebe",E31*I31*(($F31/365*VLOOKUP(B31,'Daten Tierhaltung'!$B$7:$I$108,7,FALSE))+(($G31/365*VLOOKUP(B31,'Daten Tierhaltung'!$B$7:$I$108,8,FALSE)))),"0")</f>
        <v>0</v>
      </c>
      <c r="M31" s="901">
        <f>IF(C31="auf selbst bewirtschaft. Flächen",E31*I31*(($F31/365*VLOOKUP(B31,'Daten Tierhaltung'!$B$7:$I$108,7,FALSE))+(($G31/365*VLOOKUP(B31,'Daten Tierhaltung'!$B$7:$I$108,8,FALSE)))),"0")</f>
        <v>0</v>
      </c>
      <c r="N31" s="891">
        <f>E31*H31/365*VLOOKUP(B31,'Daten Tierhaltung'!$B$7:$I$108,8,FALSE)*I31</f>
        <v>0</v>
      </c>
      <c r="O31" s="893" t="str">
        <f>IF(C31="in eigene Biogasanlage",E31*I31*((0.95*F31/365*VLOOKUP(B31,'Daten Tierhaltung'!$B$7:$I$108,7,FALSE))+((0.95*G31/365*VLOOKUP(B31,'Daten Tierhaltung'!$B$7:$I$108,8,FALSE)))),"0")</f>
        <v>0</v>
      </c>
      <c r="P31" s="890">
        <f>IF(C31="auf selbst bewirtschaft. Flächen",E31*I31*(($F31/365*VLOOKUP(B31,'Daten Tierhaltung'!$B$7:$K$108,9,FALSE))+(($G31/365*VLOOKUP(B31,'Daten Tierhaltung'!$B$7:$K$108,10,FALSE)))),"0")</f>
        <v>0</v>
      </c>
      <c r="Q31" s="890">
        <f t="shared" si="1"/>
        <v>0</v>
      </c>
      <c r="R31" s="890">
        <f t="shared" si="2"/>
        <v>0</v>
      </c>
    </row>
    <row r="32" spans="1:18" s="855" customFormat="1">
      <c r="A32" s="882">
        <f>VLOOKUP(B32,'Daten Tierhaltung'!$B$7:$C$108,2,FALSE)</f>
        <v>0</v>
      </c>
      <c r="B32" s="888" t="s">
        <v>795</v>
      </c>
      <c r="C32" s="888" t="s">
        <v>1011</v>
      </c>
      <c r="D32" s="1725">
        <v>0</v>
      </c>
      <c r="E32" s="1725">
        <v>0</v>
      </c>
      <c r="F32" s="889">
        <f t="shared" si="3"/>
        <v>365</v>
      </c>
      <c r="G32" s="1725">
        <v>0</v>
      </c>
      <c r="H32" s="1725">
        <v>0</v>
      </c>
      <c r="I32" s="890">
        <f>IF(A32=6,IF(D32&lt;=8000,0.0075*D32+69,0.007*D32+73),IF(A32=7,IF(D32&lt;=8000,0.0075*D32+64,0.0085*D32+56),IF(A32=8,IF(D32&lt;=8000,0.007*D32+61,0.009*D32+44.667),IF(A32=9,IF(D32&lt;=8000,0.0075*D32+55,0.0093*D32+40.833),IF(A32=10,IF(D32&lt;=7000,0.0075*D32+38.5,0.01*D32+21),IF(A32=51,0.0058*D32+7.0627,IF(A32=52,0.0055*D32+6.8356,IF(A32=53,0.0052*D32+6.0136,VLOOKUP(B32,'Daten Tierhaltung'!$B$7:$G$108,4,FALSE)))))))))</f>
        <v>0</v>
      </c>
      <c r="J32" s="890">
        <f>IF(A32=6,IF(D32&lt;=8000,0.0035*D32+15,0.002*D32+27),IF(A32=7,IF(D32&lt;=8000,0.003*D32+19,0.0025*D32+23),IF(A32=8,IF(D32&lt;=8000,0.0025*D32+22,0.0025*D32+22),IF(A32=9,IF(D32&lt;=8000,0.003*D32+18,0.0025*D32+22),IF(A32=10,IF(D32&lt;=7000,0.003*D32+12,0.0045*D32+1.5),IF(A32=51,0.0009*D32+4.1288,IF(A32=52,0.0014*D32+3.0932,IF(A32=53,0.0006*D32+3.3542,VLOOKUP(B32,'Daten Tierhaltung'!$B$7:$G$108,5,FALSE)))))))))</f>
        <v>0</v>
      </c>
      <c r="K32" s="890">
        <f>IF(A32=6,IF(D32&lt;=8000,0.004*D32+110,0.004*D32+110),IF(A32=7,IF(D32&lt;=8000,0.0025*D32+114,0.0045*D32+98),IF(A32=8,IF(D32&lt;=8000,0.007*D32+67,0.004*D32+91),IF(A32=9,IF(D32&lt;=8000,0.006*D32+68,0.0045*D32+80),IF(A32=10,IF(D32&lt;=7000,0.006*D32+54,0.006*D32+54),IF(A32=51,0.0023*D32+3.9271,IF(A32=52,0.0028*D32+3.3915,IF(A32=53,0.0024*D32+3.522,VLOOKUP(B32,'Daten Tierhaltung'!$B$7:$G$108,6,FALSE)))))))))</f>
        <v>0</v>
      </c>
      <c r="L32" s="890" t="str">
        <f>IF(C32="Abgabe an andere Betriebe",E32*I32*(($F32/365*VLOOKUP(B32,'Daten Tierhaltung'!$B$7:$I$108,7,FALSE))+(($G32/365*VLOOKUP(B32,'Daten Tierhaltung'!$B$7:$I$108,8,FALSE)))),"0")</f>
        <v>0</v>
      </c>
      <c r="M32" s="901">
        <f>IF(C32="auf selbst bewirtschaft. Flächen",E32*I32*(($F32/365*VLOOKUP(B32,'Daten Tierhaltung'!$B$7:$I$108,7,FALSE))+(($G32/365*VLOOKUP(B32,'Daten Tierhaltung'!$B$7:$I$108,8,FALSE)))),"0")</f>
        <v>0</v>
      </c>
      <c r="N32" s="891">
        <f>E32*H32/365*VLOOKUP(B32,'Daten Tierhaltung'!$B$7:$I$108,8,FALSE)*I32</f>
        <v>0</v>
      </c>
      <c r="O32" s="893" t="str">
        <f>IF(C32="in eigene Biogasanlage",E32*I32*((0.95*F32/365*VLOOKUP(B32,'Daten Tierhaltung'!$B$7:$I$108,7,FALSE))+((0.95*G32/365*VLOOKUP(B32,'Daten Tierhaltung'!$B$7:$I$108,8,FALSE)))),"0")</f>
        <v>0</v>
      </c>
      <c r="P32" s="890">
        <f>IF(C32="auf selbst bewirtschaft. Flächen",E32*I32*(($F32/365*VLOOKUP(B32,'Daten Tierhaltung'!$B$7:$K$108,9,FALSE))+(($G32/365*VLOOKUP(B32,'Daten Tierhaltung'!$B$7:$K$108,10,FALSE)))),"0")</f>
        <v>0</v>
      </c>
      <c r="Q32" s="890">
        <f t="shared" si="1"/>
        <v>0</v>
      </c>
      <c r="R32" s="890">
        <f t="shared" si="2"/>
        <v>0</v>
      </c>
    </row>
    <row r="33" spans="1:18" s="855" customFormat="1">
      <c r="A33" s="882">
        <f>VLOOKUP(B33,'Daten Tierhaltung'!$B$7:$C$108,2,FALSE)</f>
        <v>0</v>
      </c>
      <c r="B33" s="888" t="s">
        <v>795</v>
      </c>
      <c r="C33" s="888" t="s">
        <v>1011</v>
      </c>
      <c r="D33" s="1725">
        <v>0</v>
      </c>
      <c r="E33" s="1725">
        <v>0</v>
      </c>
      <c r="F33" s="889">
        <f t="shared" si="3"/>
        <v>365</v>
      </c>
      <c r="G33" s="1725">
        <v>0</v>
      </c>
      <c r="H33" s="1725">
        <v>0</v>
      </c>
      <c r="I33" s="890">
        <f>IF(A33=6,IF(D33&lt;=8000,0.0075*D33+69,0.007*D33+73),IF(A33=7,IF(D33&lt;=8000,0.0075*D33+64,0.0085*D33+56),IF(A33=8,IF(D33&lt;=8000,0.007*D33+61,0.009*D33+44.667),IF(A33=9,IF(D33&lt;=8000,0.0075*D33+55,0.0093*D33+40.833),IF(A33=10,IF(D33&lt;=7000,0.0075*D33+38.5,0.01*D33+21),IF(A33=51,0.0058*D33+7.0627,IF(A33=52,0.0055*D33+6.8356,IF(A33=53,0.0052*D33+6.0136,VLOOKUP(B33,'Daten Tierhaltung'!$B$7:$G$108,4,FALSE)))))))))</f>
        <v>0</v>
      </c>
      <c r="J33" s="890">
        <f>IF(A33=6,IF(D33&lt;=8000,0.0035*D33+15,0.002*D33+27),IF(A33=7,IF(D33&lt;=8000,0.003*D33+19,0.0025*D33+23),IF(A33=8,IF(D33&lt;=8000,0.0025*D33+22,0.0025*D33+22),IF(A33=9,IF(D33&lt;=8000,0.003*D33+18,0.0025*D33+22),IF(A33=10,IF(D33&lt;=7000,0.003*D33+12,0.0045*D33+1.5),IF(A33=51,0.0009*D33+4.1288,IF(A33=52,0.0014*D33+3.0932,IF(A33=53,0.0006*D33+3.3542,VLOOKUP(B33,'Daten Tierhaltung'!$B$7:$G$108,5,FALSE)))))))))</f>
        <v>0</v>
      </c>
      <c r="K33" s="890">
        <f>IF(A33=6,IF(D33&lt;=8000,0.004*D33+110,0.004*D33+110),IF(A33=7,IF(D33&lt;=8000,0.0025*D33+114,0.0045*D33+98),IF(A33=8,IF(D33&lt;=8000,0.007*D33+67,0.004*D33+91),IF(A33=9,IF(D33&lt;=8000,0.006*D33+68,0.0045*D33+80),IF(A33=10,IF(D33&lt;=7000,0.006*D33+54,0.006*D33+54),IF(A33=51,0.0023*D33+3.9271,IF(A33=52,0.0028*D33+3.3915,IF(A33=53,0.0024*D33+3.522,VLOOKUP(B33,'Daten Tierhaltung'!$B$7:$G$108,6,FALSE)))))))))</f>
        <v>0</v>
      </c>
      <c r="L33" s="890" t="str">
        <f>IF(C33="Abgabe an andere Betriebe",E33*I33*(($F33/365*VLOOKUP(B33,'Daten Tierhaltung'!$B$7:$I$108,7,FALSE))+(($G33/365*VLOOKUP(B33,'Daten Tierhaltung'!$B$7:$I$108,8,FALSE)))),"0")</f>
        <v>0</v>
      </c>
      <c r="M33" s="901">
        <f>IF(C33="auf selbst bewirtschaft. Flächen",E33*I33*(($F33/365*VLOOKUP(B33,'Daten Tierhaltung'!$B$7:$I$108,7,FALSE))+(($G33/365*VLOOKUP(B33,'Daten Tierhaltung'!$B$7:$I$108,8,FALSE)))),"0")</f>
        <v>0</v>
      </c>
      <c r="N33" s="891">
        <f>E33*H33/365*VLOOKUP(B33,'Daten Tierhaltung'!$B$7:$I$108,8,FALSE)*I33</f>
        <v>0</v>
      </c>
      <c r="O33" s="893" t="str">
        <f>IF(C33="in eigene Biogasanlage",E33*I33*((0.95*F33/365*VLOOKUP(B33,'Daten Tierhaltung'!$B$7:$I$108,7,FALSE))+((0.95*G33/365*VLOOKUP(B33,'Daten Tierhaltung'!$B$7:$I$108,8,FALSE)))),"0")</f>
        <v>0</v>
      </c>
      <c r="P33" s="890">
        <f>IF(C33="auf selbst bewirtschaft. Flächen",E33*I33*(($F33/365*VLOOKUP(B33,'Daten Tierhaltung'!$B$7:$K$108,9,FALSE))+(($G33/365*VLOOKUP(B33,'Daten Tierhaltung'!$B$7:$K$108,10,FALSE)))),"0")</f>
        <v>0</v>
      </c>
      <c r="Q33" s="890">
        <f t="shared" si="1"/>
        <v>0</v>
      </c>
      <c r="R33" s="890">
        <f t="shared" si="2"/>
        <v>0</v>
      </c>
    </row>
    <row r="34" spans="1:18" s="855" customFormat="1">
      <c r="A34" s="882">
        <f>VLOOKUP(B34,'Daten Tierhaltung'!$B$7:$C$108,2,FALSE)</f>
        <v>0</v>
      </c>
      <c r="B34" s="888" t="s">
        <v>795</v>
      </c>
      <c r="C34" s="888" t="s">
        <v>1011</v>
      </c>
      <c r="D34" s="1725">
        <v>0</v>
      </c>
      <c r="E34" s="1725">
        <v>0</v>
      </c>
      <c r="F34" s="889">
        <f t="shared" si="3"/>
        <v>365</v>
      </c>
      <c r="G34" s="1725">
        <v>0</v>
      </c>
      <c r="H34" s="1725">
        <v>0</v>
      </c>
      <c r="I34" s="890">
        <f>IF(A34=6,IF(D34&lt;=8000,0.0075*D34+69,0.007*D34+73),IF(A34=7,IF(D34&lt;=8000,0.0075*D34+64,0.0085*D34+56),IF(A34=8,IF(D34&lt;=8000,0.007*D34+61,0.009*D34+44.667),IF(A34=9,IF(D34&lt;=8000,0.0075*D34+55,0.0093*D34+40.833),IF(A34=10,IF(D34&lt;=7000,0.0075*D34+38.5,0.01*D34+21),IF(A34=51,0.0058*D34+7.0627,IF(A34=52,0.0055*D34+6.8356,IF(A34=53,0.0052*D34+6.0136,VLOOKUP(B34,'Daten Tierhaltung'!$B$7:$G$108,4,FALSE)))))))))</f>
        <v>0</v>
      </c>
      <c r="J34" s="890">
        <f>IF(A34=6,IF(D34&lt;=8000,0.0035*D34+15,0.002*D34+27),IF(A34=7,IF(D34&lt;=8000,0.003*D34+19,0.0025*D34+23),IF(A34=8,IF(D34&lt;=8000,0.0025*D34+22,0.0025*D34+22),IF(A34=9,IF(D34&lt;=8000,0.003*D34+18,0.0025*D34+22),IF(A34=10,IF(D34&lt;=7000,0.003*D34+12,0.0045*D34+1.5),IF(A34=51,0.0009*D34+4.1288,IF(A34=52,0.0014*D34+3.0932,IF(A34=53,0.0006*D34+3.3542,VLOOKUP(B34,'Daten Tierhaltung'!$B$7:$G$108,5,FALSE)))))))))</f>
        <v>0</v>
      </c>
      <c r="K34" s="890">
        <f>IF(A34=6,IF(D34&lt;=8000,0.004*D34+110,0.004*D34+110),IF(A34=7,IF(D34&lt;=8000,0.0025*D34+114,0.0045*D34+98),IF(A34=8,IF(D34&lt;=8000,0.007*D34+67,0.004*D34+91),IF(A34=9,IF(D34&lt;=8000,0.006*D34+68,0.0045*D34+80),IF(A34=10,IF(D34&lt;=7000,0.006*D34+54,0.006*D34+54),IF(A34=51,0.0023*D34+3.9271,IF(A34=52,0.0028*D34+3.3915,IF(A34=53,0.0024*D34+3.522,VLOOKUP(B34,'Daten Tierhaltung'!$B$7:$G$108,6,FALSE)))))))))</f>
        <v>0</v>
      </c>
      <c r="L34" s="890" t="str">
        <f>IF(C34="Abgabe an andere Betriebe",E34*I34*(($F34/365*VLOOKUP(B34,'Daten Tierhaltung'!$B$7:$I$108,7,FALSE))+(($G34/365*VLOOKUP(B34,'Daten Tierhaltung'!$B$7:$I$108,8,FALSE)))),"0")</f>
        <v>0</v>
      </c>
      <c r="M34" s="901">
        <f>IF(C34="auf selbst bewirtschaft. Flächen",E34*I34*(($F34/365*VLOOKUP(B34,'Daten Tierhaltung'!$B$7:$I$108,7,FALSE))+(($G34/365*VLOOKUP(B34,'Daten Tierhaltung'!$B$7:$I$108,8,FALSE)))),"0")</f>
        <v>0</v>
      </c>
      <c r="N34" s="891">
        <f>E34*H34/365*VLOOKUP(B34,'Daten Tierhaltung'!$B$7:$I$108,8,FALSE)*I34</f>
        <v>0</v>
      </c>
      <c r="O34" s="893" t="str">
        <f>IF(C34="in eigene Biogasanlage",E34*I34*((0.95*F34/365*VLOOKUP(B34,'Daten Tierhaltung'!$B$7:$I$108,7,FALSE))+((0.95*G34/365*VLOOKUP(B34,'Daten Tierhaltung'!$B$7:$I$108,8,FALSE)))),"0")</f>
        <v>0</v>
      </c>
      <c r="P34" s="890">
        <f>IF(C34="auf selbst bewirtschaft. Flächen",E34*I34*(($F34/365*VLOOKUP(B34,'Daten Tierhaltung'!$B$7:$K$108,9,FALSE))+(($G34/365*VLOOKUP(B34,'Daten Tierhaltung'!$B$7:$K$108,10,FALSE)))),"0")</f>
        <v>0</v>
      </c>
      <c r="Q34" s="890">
        <f t="shared" si="1"/>
        <v>0</v>
      </c>
      <c r="R34" s="890">
        <f t="shared" si="2"/>
        <v>0</v>
      </c>
    </row>
    <row r="35" spans="1:18" s="855" customFormat="1">
      <c r="A35" s="882">
        <f>VLOOKUP(B35,'Daten Tierhaltung'!$B$7:$C$108,2,FALSE)</f>
        <v>0</v>
      </c>
      <c r="B35" s="888" t="s">
        <v>795</v>
      </c>
      <c r="C35" s="888" t="s">
        <v>1011</v>
      </c>
      <c r="D35" s="1725">
        <v>0</v>
      </c>
      <c r="E35" s="1725">
        <v>0</v>
      </c>
      <c r="F35" s="889">
        <f t="shared" si="3"/>
        <v>365</v>
      </c>
      <c r="G35" s="1725">
        <v>0</v>
      </c>
      <c r="H35" s="1725">
        <v>0</v>
      </c>
      <c r="I35" s="890">
        <f>IF(A35=6,IF(D35&lt;=8000,0.0075*D35+69,0.007*D35+73),IF(A35=7,IF(D35&lt;=8000,0.0075*D35+64,0.0085*D35+56),IF(A35=8,IF(D35&lt;=8000,0.007*D35+61,0.009*D35+44.667),IF(A35=9,IF(D35&lt;=8000,0.0075*D35+55,0.0093*D35+40.833),IF(A35=10,IF(D35&lt;=7000,0.0075*D35+38.5,0.01*D35+21),IF(A35=51,0.0058*D35+7.0627,IF(A35=52,0.0055*D35+6.8356,IF(A35=53,0.0052*D35+6.0136,VLOOKUP(B35,'Daten Tierhaltung'!$B$7:$G$108,4,FALSE)))))))))</f>
        <v>0</v>
      </c>
      <c r="J35" s="890">
        <f>IF(A35=6,IF(D35&lt;=8000,0.0035*D35+15,0.002*D35+27),IF(A35=7,IF(D35&lt;=8000,0.003*D35+19,0.0025*D35+23),IF(A35=8,IF(D35&lt;=8000,0.0025*D35+22,0.0025*D35+22),IF(A35=9,IF(D35&lt;=8000,0.003*D35+18,0.0025*D35+22),IF(A35=10,IF(D35&lt;=7000,0.003*D35+12,0.0045*D35+1.5),IF(A35=51,0.0009*D35+4.1288,IF(A35=52,0.0014*D35+3.0932,IF(A35=53,0.0006*D35+3.3542,VLOOKUP(B35,'Daten Tierhaltung'!$B$7:$G$108,5,FALSE)))))))))</f>
        <v>0</v>
      </c>
      <c r="K35" s="890">
        <f>IF(A35=6,IF(D35&lt;=8000,0.004*D35+110,0.004*D35+110),IF(A35=7,IF(D35&lt;=8000,0.0025*D35+114,0.0045*D35+98),IF(A35=8,IF(D35&lt;=8000,0.007*D35+67,0.004*D35+91),IF(A35=9,IF(D35&lt;=8000,0.006*D35+68,0.0045*D35+80),IF(A35=10,IF(D35&lt;=7000,0.006*D35+54,0.006*D35+54),IF(A35=51,0.0023*D35+3.9271,IF(A35=52,0.0028*D35+3.3915,IF(A35=53,0.0024*D35+3.522,VLOOKUP(B35,'Daten Tierhaltung'!$B$7:$G$108,6,FALSE)))))))))</f>
        <v>0</v>
      </c>
      <c r="L35" s="890" t="str">
        <f>IF(C35="Abgabe an andere Betriebe",E35*I35*(($F35/365*VLOOKUP(B35,'Daten Tierhaltung'!$B$7:$I$108,7,FALSE))+(($G35/365*VLOOKUP(B35,'Daten Tierhaltung'!$B$7:$I$108,8,FALSE)))),"0")</f>
        <v>0</v>
      </c>
      <c r="M35" s="901">
        <f>IF(C35="auf selbst bewirtschaft. Flächen",E35*I35*(($F35/365*VLOOKUP(B35,'Daten Tierhaltung'!$B$7:$I$108,7,FALSE))+(($G35/365*VLOOKUP(B35,'Daten Tierhaltung'!$B$7:$I$108,8,FALSE)))),"0")</f>
        <v>0</v>
      </c>
      <c r="N35" s="891">
        <f>E35*H35/365*VLOOKUP(B35,'Daten Tierhaltung'!$B$7:$I$108,8,FALSE)*I35</f>
        <v>0</v>
      </c>
      <c r="O35" s="893" t="str">
        <f>IF(C35="in eigene Biogasanlage",E35*I35*((0.95*F35/365*VLOOKUP(B35,'Daten Tierhaltung'!$B$7:$I$108,7,FALSE))+((0.95*G35/365*VLOOKUP(B35,'Daten Tierhaltung'!$B$7:$I$108,8,FALSE)))),"0")</f>
        <v>0</v>
      </c>
      <c r="P35" s="890">
        <f>IF(C35="auf selbst bewirtschaft. Flächen",E35*I35*(($F35/365*VLOOKUP(B35,'Daten Tierhaltung'!$B$7:$K$108,9,FALSE))+(($G35/365*VLOOKUP(B35,'Daten Tierhaltung'!$B$7:$K$108,10,FALSE)))),"0")</f>
        <v>0</v>
      </c>
      <c r="Q35" s="890">
        <f t="shared" si="1"/>
        <v>0</v>
      </c>
      <c r="R35" s="890">
        <f t="shared" si="2"/>
        <v>0</v>
      </c>
    </row>
    <row r="36" spans="1:18" s="855" customFormat="1">
      <c r="A36" s="882">
        <f>VLOOKUP(B36,'Daten Tierhaltung'!$B$7:$C$108,2,FALSE)</f>
        <v>0</v>
      </c>
      <c r="B36" s="888" t="s">
        <v>795</v>
      </c>
      <c r="C36" s="888" t="s">
        <v>1011</v>
      </c>
      <c r="D36" s="1725">
        <v>0</v>
      </c>
      <c r="E36" s="1725">
        <v>0</v>
      </c>
      <c r="F36" s="889">
        <f t="shared" si="3"/>
        <v>365</v>
      </c>
      <c r="G36" s="1725">
        <v>0</v>
      </c>
      <c r="H36" s="1725">
        <v>0</v>
      </c>
      <c r="I36" s="890">
        <f>IF(A36=6,IF(D36&lt;=8000,0.0075*D36+69,0.007*D36+73),IF(A36=7,IF(D36&lt;=8000,0.0075*D36+64,0.0085*D36+56),IF(A36=8,IF(D36&lt;=8000,0.007*D36+61,0.009*D36+44.667),IF(A36=9,IF(D36&lt;=8000,0.0075*D36+55,0.0093*D36+40.833),IF(A36=10,IF(D36&lt;=7000,0.0075*D36+38.5,0.01*D36+21),IF(A36=51,0.0058*D36+7.0627,IF(A36=52,0.0055*D36+6.8356,IF(A36=53,0.0052*D36+6.0136,VLOOKUP(B36,'Daten Tierhaltung'!$B$7:$G$108,4,FALSE)))))))))</f>
        <v>0</v>
      </c>
      <c r="J36" s="890">
        <f>IF(A36=6,IF(D36&lt;=8000,0.0035*D36+15,0.002*D36+27),IF(A36=7,IF(D36&lt;=8000,0.003*D36+19,0.0025*D36+23),IF(A36=8,IF(D36&lt;=8000,0.0025*D36+22,0.0025*D36+22),IF(A36=9,IF(D36&lt;=8000,0.003*D36+18,0.0025*D36+22),IF(A36=10,IF(D36&lt;=7000,0.003*D36+12,0.0045*D36+1.5),IF(A36=51,0.0009*D36+4.1288,IF(A36=52,0.0014*D36+3.0932,IF(A36=53,0.0006*D36+3.3542,VLOOKUP(B36,'Daten Tierhaltung'!$B$7:$G$108,5,FALSE)))))))))</f>
        <v>0</v>
      </c>
      <c r="K36" s="890">
        <f>IF(A36=6,IF(D36&lt;=8000,0.004*D36+110,0.004*D36+110),IF(A36=7,IF(D36&lt;=8000,0.0025*D36+114,0.0045*D36+98),IF(A36=8,IF(D36&lt;=8000,0.007*D36+67,0.004*D36+91),IF(A36=9,IF(D36&lt;=8000,0.006*D36+68,0.0045*D36+80),IF(A36=10,IF(D36&lt;=7000,0.006*D36+54,0.006*D36+54),IF(A36=51,0.0023*D36+3.9271,IF(A36=52,0.0028*D36+3.3915,IF(A36=53,0.0024*D36+3.522,VLOOKUP(B36,'Daten Tierhaltung'!$B$7:$G$108,6,FALSE)))))))))</f>
        <v>0</v>
      </c>
      <c r="L36" s="890" t="str">
        <f>IF(C36="Abgabe an andere Betriebe",E36*I36*(($F36/365*VLOOKUP(B36,'Daten Tierhaltung'!$B$7:$I$108,7,FALSE))+(($G36/365*VLOOKUP(B36,'Daten Tierhaltung'!$B$7:$I$108,8,FALSE)))),"0")</f>
        <v>0</v>
      </c>
      <c r="M36" s="901">
        <f>IF(C36="auf selbst bewirtschaft. Flächen",E36*I36*(($F36/365*VLOOKUP(B36,'Daten Tierhaltung'!$B$7:$I$108,7,FALSE))+(($G36/365*VLOOKUP(B36,'Daten Tierhaltung'!$B$7:$I$108,8,FALSE)))),"0")</f>
        <v>0</v>
      </c>
      <c r="N36" s="891">
        <f>E36*H36/365*VLOOKUP(B36,'Daten Tierhaltung'!$B$7:$I$108,8,FALSE)*I36</f>
        <v>0</v>
      </c>
      <c r="O36" s="893" t="str">
        <f>IF(C36="in eigene Biogasanlage",E36*I36*((0.95*F36/365*VLOOKUP(B36,'Daten Tierhaltung'!$B$7:$I$108,7,FALSE))+((0.95*G36/365*VLOOKUP(B36,'Daten Tierhaltung'!$B$7:$I$108,8,FALSE)))),"0")</f>
        <v>0</v>
      </c>
      <c r="P36" s="890">
        <f>IF(C36="auf selbst bewirtschaft. Flächen",E36*I36*(($F36/365*VLOOKUP(B36,'Daten Tierhaltung'!$B$7:$K$108,9,FALSE))+(($G36/365*VLOOKUP(B36,'Daten Tierhaltung'!$B$7:$K$108,10,FALSE)))),"0")</f>
        <v>0</v>
      </c>
      <c r="Q36" s="890">
        <f t="shared" si="1"/>
        <v>0</v>
      </c>
      <c r="R36" s="890">
        <f t="shared" si="2"/>
        <v>0</v>
      </c>
    </row>
    <row r="37" spans="1:18" s="855" customFormat="1">
      <c r="A37" s="882">
        <f>VLOOKUP(B37,'Daten Tierhaltung'!$B$7:$C$108,2,FALSE)</f>
        <v>0</v>
      </c>
      <c r="B37" s="888" t="s">
        <v>795</v>
      </c>
      <c r="C37" s="888" t="s">
        <v>1011</v>
      </c>
      <c r="D37" s="1725">
        <v>0</v>
      </c>
      <c r="E37" s="1725">
        <v>0</v>
      </c>
      <c r="F37" s="889">
        <f t="shared" si="3"/>
        <v>365</v>
      </c>
      <c r="G37" s="1725">
        <v>0</v>
      </c>
      <c r="H37" s="1725">
        <v>0</v>
      </c>
      <c r="I37" s="890">
        <f>IF(A37=6,IF(D37&lt;=8000,0.0075*D37+69,0.007*D37+73),IF(A37=7,IF(D37&lt;=8000,0.0075*D37+64,0.0085*D37+56),IF(A37=8,IF(D37&lt;=8000,0.007*D37+61,0.009*D37+44.667),IF(A37=9,IF(D37&lt;=8000,0.0075*D37+55,0.0093*D37+40.833),IF(A37=10,IF(D37&lt;=7000,0.0075*D37+38.5,0.01*D37+21),IF(A37=51,0.0058*D37+7.0627,IF(A37=52,0.0055*D37+6.8356,IF(A37=53,0.0052*D37+6.0136,VLOOKUP(B37,'Daten Tierhaltung'!$B$7:$G$108,4,FALSE)))))))))</f>
        <v>0</v>
      </c>
      <c r="J37" s="890">
        <f>IF(A37=6,IF(D37&lt;=8000,0.0035*D37+15,0.002*D37+27),IF(A37=7,IF(D37&lt;=8000,0.003*D37+19,0.0025*D37+23),IF(A37=8,IF(D37&lt;=8000,0.0025*D37+22,0.0025*D37+22),IF(A37=9,IF(D37&lt;=8000,0.003*D37+18,0.0025*D37+22),IF(A37=10,IF(D37&lt;=7000,0.003*D37+12,0.0045*D37+1.5),IF(A37=51,0.0009*D37+4.1288,IF(A37=52,0.0014*D37+3.0932,IF(A37=53,0.0006*D37+3.3542,VLOOKUP(B37,'Daten Tierhaltung'!$B$7:$G$108,5,FALSE)))))))))</f>
        <v>0</v>
      </c>
      <c r="K37" s="890">
        <f>IF(A37=6,IF(D37&lt;=8000,0.004*D37+110,0.004*D37+110),IF(A37=7,IF(D37&lt;=8000,0.0025*D37+114,0.0045*D37+98),IF(A37=8,IF(D37&lt;=8000,0.007*D37+67,0.004*D37+91),IF(A37=9,IF(D37&lt;=8000,0.006*D37+68,0.0045*D37+80),IF(A37=10,IF(D37&lt;=7000,0.006*D37+54,0.006*D37+54),IF(A37=51,0.0023*D37+3.9271,IF(A37=52,0.0028*D37+3.3915,IF(A37=53,0.0024*D37+3.522,VLOOKUP(B37,'Daten Tierhaltung'!$B$7:$G$108,6,FALSE)))))))))</f>
        <v>0</v>
      </c>
      <c r="L37" s="890" t="str">
        <f>IF(C37="Abgabe an andere Betriebe",E37*I37*(($F37/365*VLOOKUP(B37,'Daten Tierhaltung'!$B$7:$I$108,7,FALSE))+(($G37/365*VLOOKUP(B37,'Daten Tierhaltung'!$B$7:$I$108,8,FALSE)))),"0")</f>
        <v>0</v>
      </c>
      <c r="M37" s="901">
        <f>IF(C37="auf selbst bewirtschaft. Flächen",E37*I37*(($F37/365*VLOOKUP(B37,'Daten Tierhaltung'!$B$7:$I$108,7,FALSE))+(($G37/365*VLOOKUP(B37,'Daten Tierhaltung'!$B$7:$I$108,8,FALSE)))),"0")</f>
        <v>0</v>
      </c>
      <c r="N37" s="891">
        <f>E37*H37/365*VLOOKUP(B37,'Daten Tierhaltung'!$B$7:$I$108,8,FALSE)*I37</f>
        <v>0</v>
      </c>
      <c r="O37" s="893" t="str">
        <f>IF(C37="in eigene Biogasanlage",E37*I37*((0.95*F37/365*VLOOKUP(B37,'Daten Tierhaltung'!$B$7:$I$108,7,FALSE))+((0.95*G37/365*VLOOKUP(B37,'Daten Tierhaltung'!$B$7:$I$108,8,FALSE)))),"0")</f>
        <v>0</v>
      </c>
      <c r="P37" s="890">
        <f>IF(C37="auf selbst bewirtschaft. Flächen",E37*I37*(($F37/365*VLOOKUP(B37,'Daten Tierhaltung'!$B$7:$K$108,9,FALSE))+(($G37/365*VLOOKUP(B37,'Daten Tierhaltung'!$B$7:$K$108,10,FALSE)))),"0")</f>
        <v>0</v>
      </c>
      <c r="Q37" s="890">
        <f t="shared" si="1"/>
        <v>0</v>
      </c>
      <c r="R37" s="890">
        <f t="shared" si="2"/>
        <v>0</v>
      </c>
    </row>
    <row r="38" spans="1:18" s="855" customFormat="1">
      <c r="A38" s="882">
        <f>VLOOKUP(B38,'Daten Tierhaltung'!$B$7:$C$108,2,FALSE)</f>
        <v>0</v>
      </c>
      <c r="B38" s="888" t="s">
        <v>795</v>
      </c>
      <c r="C38" s="888" t="s">
        <v>1011</v>
      </c>
      <c r="D38" s="1725">
        <v>0</v>
      </c>
      <c r="E38" s="1725">
        <v>0</v>
      </c>
      <c r="F38" s="889">
        <f t="shared" si="3"/>
        <v>365</v>
      </c>
      <c r="G38" s="1725">
        <v>0</v>
      </c>
      <c r="H38" s="1725">
        <v>0</v>
      </c>
      <c r="I38" s="890">
        <f>IF(A38=6,IF(D38&lt;=8000,0.0075*D38+69,0.007*D38+73),IF(A38=7,IF(D38&lt;=8000,0.0075*D38+64,0.0085*D38+56),IF(A38=8,IF(D38&lt;=8000,0.007*D38+61,0.009*D38+44.667),IF(A38=9,IF(D38&lt;=8000,0.0075*D38+55,0.0093*D38+40.833),IF(A38=10,IF(D38&lt;=7000,0.0075*D38+38.5,0.01*D38+21),IF(A38=51,0.0058*D38+7.0627,IF(A38=52,0.0055*D38+6.8356,IF(A38=53,0.0052*D38+6.0136,VLOOKUP(B38,'Daten Tierhaltung'!$B$7:$G$108,4,FALSE)))))))))</f>
        <v>0</v>
      </c>
      <c r="J38" s="890">
        <f>IF(A38=6,IF(D38&lt;=8000,0.0035*D38+15,0.002*D38+27),IF(A38=7,IF(D38&lt;=8000,0.003*D38+19,0.0025*D38+23),IF(A38=8,IF(D38&lt;=8000,0.0025*D38+22,0.0025*D38+22),IF(A38=9,IF(D38&lt;=8000,0.003*D38+18,0.0025*D38+22),IF(A38=10,IF(D38&lt;=7000,0.003*D38+12,0.0045*D38+1.5),IF(A38=51,0.0009*D38+4.1288,IF(A38=52,0.0014*D38+3.0932,IF(A38=53,0.0006*D38+3.3542,VLOOKUP(B38,'Daten Tierhaltung'!$B$7:$G$108,5,FALSE)))))))))</f>
        <v>0</v>
      </c>
      <c r="K38" s="890">
        <f>IF(A38=6,IF(D38&lt;=8000,0.004*D38+110,0.004*D38+110),IF(A38=7,IF(D38&lt;=8000,0.0025*D38+114,0.0045*D38+98),IF(A38=8,IF(D38&lt;=8000,0.007*D38+67,0.004*D38+91),IF(A38=9,IF(D38&lt;=8000,0.006*D38+68,0.0045*D38+80),IF(A38=10,IF(D38&lt;=7000,0.006*D38+54,0.006*D38+54),IF(A38=51,0.0023*D38+3.9271,IF(A38=52,0.0028*D38+3.3915,IF(A38=53,0.0024*D38+3.522,VLOOKUP(B38,'Daten Tierhaltung'!$B$7:$G$108,6,FALSE)))))))))</f>
        <v>0</v>
      </c>
      <c r="L38" s="890" t="str">
        <f>IF(C38="Abgabe an andere Betriebe",E38*I38*(($F38/365*VLOOKUP(B38,'Daten Tierhaltung'!$B$7:$I$108,7,FALSE))+(($G38/365*VLOOKUP(B38,'Daten Tierhaltung'!$B$7:$I$108,8,FALSE)))),"0")</f>
        <v>0</v>
      </c>
      <c r="M38" s="901">
        <f>IF(C38="auf selbst bewirtschaft. Flächen",E38*I38*(($F38/365*VLOOKUP(B38,'Daten Tierhaltung'!$B$7:$I$108,7,FALSE))+(($G38/365*VLOOKUP(B38,'Daten Tierhaltung'!$B$7:$I$108,8,FALSE)))),"0")</f>
        <v>0</v>
      </c>
      <c r="N38" s="891">
        <f>E38*H38/365*VLOOKUP(B38,'Daten Tierhaltung'!$B$7:$I$108,8,FALSE)*I38</f>
        <v>0</v>
      </c>
      <c r="O38" s="893" t="str">
        <f>IF(C38="in eigene Biogasanlage",E38*I38*((0.95*F38/365*VLOOKUP(B38,'Daten Tierhaltung'!$B$7:$I$108,7,FALSE))+((0.95*G38/365*VLOOKUP(B38,'Daten Tierhaltung'!$B$7:$I$108,8,FALSE)))),"0")</f>
        <v>0</v>
      </c>
      <c r="P38" s="890">
        <f>IF(C38="auf selbst bewirtschaft. Flächen",E38*I38*(($F38/365*VLOOKUP(B38,'Daten Tierhaltung'!$B$7:$K$108,9,FALSE))+(($G38/365*VLOOKUP(B38,'Daten Tierhaltung'!$B$7:$K$108,10,FALSE)))),"0")</f>
        <v>0</v>
      </c>
      <c r="Q38" s="890">
        <f t="shared" si="1"/>
        <v>0</v>
      </c>
      <c r="R38" s="890">
        <f t="shared" si="2"/>
        <v>0</v>
      </c>
    </row>
    <row r="39" spans="1:18" s="855" customFormat="1">
      <c r="A39" s="882">
        <f>VLOOKUP(B39,'Daten Tierhaltung'!$B$7:$C$108,2,FALSE)</f>
        <v>0</v>
      </c>
      <c r="B39" s="888" t="s">
        <v>795</v>
      </c>
      <c r="C39" s="888" t="s">
        <v>1011</v>
      </c>
      <c r="D39" s="1725">
        <v>0</v>
      </c>
      <c r="E39" s="1725">
        <v>0</v>
      </c>
      <c r="F39" s="889">
        <f t="shared" si="3"/>
        <v>365</v>
      </c>
      <c r="G39" s="1725">
        <v>0</v>
      </c>
      <c r="H39" s="1725">
        <v>0</v>
      </c>
      <c r="I39" s="890">
        <f>IF(A39=6,IF(D39&lt;=8000,0.0075*D39+69,0.007*D39+73),IF(A39=7,IF(D39&lt;=8000,0.0075*D39+64,0.0085*D39+56),IF(A39=8,IF(D39&lt;=8000,0.007*D39+61,0.009*D39+44.667),IF(A39=9,IF(D39&lt;=8000,0.0075*D39+55,0.0093*D39+40.833),IF(A39=10,IF(D39&lt;=7000,0.0075*D39+38.5,0.01*D39+21),IF(A39=51,0.0058*D39+7.0627,IF(A39=52,0.0055*D39+6.8356,IF(A39=53,0.0052*D39+6.0136,VLOOKUP(B39,'Daten Tierhaltung'!$B$7:$G$108,4,FALSE)))))))))</f>
        <v>0</v>
      </c>
      <c r="J39" s="890">
        <f>IF(A39=6,IF(D39&lt;=8000,0.0035*D39+15,0.002*D39+27),IF(A39=7,IF(D39&lt;=8000,0.003*D39+19,0.0025*D39+23),IF(A39=8,IF(D39&lt;=8000,0.0025*D39+22,0.0025*D39+22),IF(A39=9,IF(D39&lt;=8000,0.003*D39+18,0.0025*D39+22),IF(A39=10,IF(D39&lt;=7000,0.003*D39+12,0.0045*D39+1.5),IF(A39=51,0.0009*D39+4.1288,IF(A39=52,0.0014*D39+3.0932,IF(A39=53,0.0006*D39+3.3542,VLOOKUP(B39,'Daten Tierhaltung'!$B$7:$G$108,5,FALSE)))))))))</f>
        <v>0</v>
      </c>
      <c r="K39" s="890">
        <f>IF(A39=6,IF(D39&lt;=8000,0.004*D39+110,0.004*D39+110),IF(A39=7,IF(D39&lt;=8000,0.0025*D39+114,0.0045*D39+98),IF(A39=8,IF(D39&lt;=8000,0.007*D39+67,0.004*D39+91),IF(A39=9,IF(D39&lt;=8000,0.006*D39+68,0.0045*D39+80),IF(A39=10,IF(D39&lt;=7000,0.006*D39+54,0.006*D39+54),IF(A39=51,0.0023*D39+3.9271,IF(A39=52,0.0028*D39+3.3915,IF(A39=53,0.0024*D39+3.522,VLOOKUP(B39,'Daten Tierhaltung'!$B$7:$G$108,6,FALSE)))))))))</f>
        <v>0</v>
      </c>
      <c r="L39" s="890" t="str">
        <f>IF(C39="Abgabe an andere Betriebe",E39*I39*(($F39/365*VLOOKUP(B39,'Daten Tierhaltung'!$B$7:$I$108,7,FALSE))+(($G39/365*VLOOKUP(B39,'Daten Tierhaltung'!$B$7:$I$108,8,FALSE)))),"0")</f>
        <v>0</v>
      </c>
      <c r="M39" s="901">
        <f>IF(C39="auf selbst bewirtschaft. Flächen",E39*I39*(($F39/365*VLOOKUP(B39,'Daten Tierhaltung'!$B$7:$I$108,7,FALSE))+(($G39/365*VLOOKUP(B39,'Daten Tierhaltung'!$B$7:$I$108,8,FALSE)))),"0")</f>
        <v>0</v>
      </c>
      <c r="N39" s="891">
        <f>E39*H39/365*VLOOKUP(B39,'Daten Tierhaltung'!$B$7:$I$108,8,FALSE)*I39</f>
        <v>0</v>
      </c>
      <c r="O39" s="893" t="str">
        <f>IF(C39="in eigene Biogasanlage",E39*I39*((0.95*F39/365*VLOOKUP(B39,'Daten Tierhaltung'!$B$7:$I$108,7,FALSE))+((0.95*G39/365*VLOOKUP(B39,'Daten Tierhaltung'!$B$7:$I$108,8,FALSE)))),"0")</f>
        <v>0</v>
      </c>
      <c r="P39" s="890">
        <f>IF(C39="auf selbst bewirtschaft. Flächen",E39*I39*(($F39/365*VLOOKUP(B39,'Daten Tierhaltung'!$B$7:$K$108,9,FALSE))+(($G39/365*VLOOKUP(B39,'Daten Tierhaltung'!$B$7:$K$108,10,FALSE)))),"0")</f>
        <v>0</v>
      </c>
      <c r="Q39" s="890">
        <f t="shared" si="1"/>
        <v>0</v>
      </c>
      <c r="R39" s="890">
        <f t="shared" si="2"/>
        <v>0</v>
      </c>
    </row>
    <row r="40" spans="1:18" s="855" customFormat="1">
      <c r="A40" s="882">
        <f>VLOOKUP(B40,'Daten Tierhaltung'!$B$7:$C$108,2,FALSE)</f>
        <v>0</v>
      </c>
      <c r="B40" s="888" t="s">
        <v>795</v>
      </c>
      <c r="C40" s="888" t="s">
        <v>1011</v>
      </c>
      <c r="D40" s="1725">
        <v>0</v>
      </c>
      <c r="E40" s="1725">
        <v>0</v>
      </c>
      <c r="F40" s="889">
        <f t="shared" si="3"/>
        <v>365</v>
      </c>
      <c r="G40" s="1725">
        <v>0</v>
      </c>
      <c r="H40" s="1725">
        <v>0</v>
      </c>
      <c r="I40" s="890">
        <f>IF(A40=6,IF(D40&lt;=8000,0.0075*D40+69,0.007*D40+73),IF(A40=7,IF(D40&lt;=8000,0.0075*D40+64,0.0085*D40+56),IF(A40=8,IF(D40&lt;=8000,0.007*D40+61,0.009*D40+44.667),IF(A40=9,IF(D40&lt;=8000,0.0075*D40+55,0.0093*D40+40.833),IF(A40=10,IF(D40&lt;=7000,0.0075*D40+38.5,0.01*D40+21),IF(A40=51,0.0058*D40+7.0627,IF(A40=52,0.0055*D40+6.8356,IF(A40=53,0.0052*D40+6.0136,VLOOKUP(B40,'Daten Tierhaltung'!$B$7:$G$108,4,FALSE)))))))))</f>
        <v>0</v>
      </c>
      <c r="J40" s="890">
        <f>IF(A40=6,IF(D40&lt;=8000,0.0035*D40+15,0.002*D40+27),IF(A40=7,IF(D40&lt;=8000,0.003*D40+19,0.0025*D40+23),IF(A40=8,IF(D40&lt;=8000,0.0025*D40+22,0.0025*D40+22),IF(A40=9,IF(D40&lt;=8000,0.003*D40+18,0.0025*D40+22),IF(A40=10,IF(D40&lt;=7000,0.003*D40+12,0.0045*D40+1.5),IF(A40=51,0.0009*D40+4.1288,IF(A40=52,0.0014*D40+3.0932,IF(A40=53,0.0006*D40+3.3542,VLOOKUP(B40,'Daten Tierhaltung'!$B$7:$G$108,5,FALSE)))))))))</f>
        <v>0</v>
      </c>
      <c r="K40" s="890">
        <f>IF(A40=6,IF(D40&lt;=8000,0.004*D40+110,0.004*D40+110),IF(A40=7,IF(D40&lt;=8000,0.0025*D40+114,0.0045*D40+98),IF(A40=8,IF(D40&lt;=8000,0.007*D40+67,0.004*D40+91),IF(A40=9,IF(D40&lt;=8000,0.006*D40+68,0.0045*D40+80),IF(A40=10,IF(D40&lt;=7000,0.006*D40+54,0.006*D40+54),IF(A40=51,0.0023*D40+3.9271,IF(A40=52,0.0028*D40+3.3915,IF(A40=53,0.0024*D40+3.522,VLOOKUP(B40,'Daten Tierhaltung'!$B$7:$G$108,6,FALSE)))))))))</f>
        <v>0</v>
      </c>
      <c r="L40" s="890" t="str">
        <f>IF(C40="Abgabe an andere Betriebe",E40*I40*(($F40/365*VLOOKUP(B40,'Daten Tierhaltung'!$B$7:$I$108,7,FALSE))+(($G40/365*VLOOKUP(B40,'Daten Tierhaltung'!$B$7:$I$108,8,FALSE)))),"0")</f>
        <v>0</v>
      </c>
      <c r="M40" s="901">
        <f>IF(C40="auf selbst bewirtschaft. Flächen",E40*I40*(($F40/365*VLOOKUP(B40,'Daten Tierhaltung'!$B$7:$I$108,7,FALSE))+(($G40/365*VLOOKUP(B40,'Daten Tierhaltung'!$B$7:$I$108,8,FALSE)))),"0")</f>
        <v>0</v>
      </c>
      <c r="N40" s="891">
        <f>E40*H40/365*VLOOKUP(B40,'Daten Tierhaltung'!$B$7:$I$108,8,FALSE)*I40</f>
        <v>0</v>
      </c>
      <c r="O40" s="893" t="str">
        <f>IF(C40="in eigene Biogasanlage",E40*I40*((0.95*F40/365*VLOOKUP(B40,'Daten Tierhaltung'!$B$7:$I$108,7,FALSE))+((0.95*G40/365*VLOOKUP(B40,'Daten Tierhaltung'!$B$7:$I$108,8,FALSE)))),"0")</f>
        <v>0</v>
      </c>
      <c r="P40" s="890">
        <f>IF(C40="auf selbst bewirtschaft. Flächen",E40*I40*(($F40/365*VLOOKUP(B40,'Daten Tierhaltung'!$B$7:$K$108,9,FALSE))+(($G40/365*VLOOKUP(B40,'Daten Tierhaltung'!$B$7:$K$108,10,FALSE)))),"0")</f>
        <v>0</v>
      </c>
      <c r="Q40" s="890">
        <f t="shared" si="1"/>
        <v>0</v>
      </c>
      <c r="R40" s="890">
        <f t="shared" si="2"/>
        <v>0</v>
      </c>
    </row>
    <row r="41" spans="1:18" s="855" customFormat="1">
      <c r="A41" s="882">
        <f>VLOOKUP(B41,'Daten Tierhaltung'!$B$7:$C$108,2,FALSE)</f>
        <v>0</v>
      </c>
      <c r="B41" s="888" t="s">
        <v>795</v>
      </c>
      <c r="C41" s="888" t="s">
        <v>1011</v>
      </c>
      <c r="D41" s="1725">
        <v>0</v>
      </c>
      <c r="E41" s="1725">
        <v>0</v>
      </c>
      <c r="F41" s="889">
        <f t="shared" si="3"/>
        <v>365</v>
      </c>
      <c r="G41" s="1725">
        <v>0</v>
      </c>
      <c r="H41" s="1725">
        <v>0</v>
      </c>
      <c r="I41" s="890">
        <f>IF(A41=6,IF(D41&lt;=8000,0.0075*D41+69,0.007*D41+73),IF(A41=7,IF(D41&lt;=8000,0.0075*D41+64,0.0085*D41+56),IF(A41=8,IF(D41&lt;=8000,0.007*D41+61,0.009*D41+44.667),IF(A41=9,IF(D41&lt;=8000,0.0075*D41+55,0.0093*D41+40.833),IF(A41=10,IF(D41&lt;=7000,0.0075*D41+38.5,0.01*D41+21),IF(A41=51,0.0058*D41+7.0627,IF(A41=52,0.0055*D41+6.8356,IF(A41=53,0.0052*D41+6.0136,VLOOKUP(B41,'Daten Tierhaltung'!$B$7:$G$108,4,FALSE)))))))))</f>
        <v>0</v>
      </c>
      <c r="J41" s="890">
        <f>IF(A41=6,IF(D41&lt;=8000,0.0035*D41+15,0.002*D41+27),IF(A41=7,IF(D41&lt;=8000,0.003*D41+19,0.0025*D41+23),IF(A41=8,IF(D41&lt;=8000,0.0025*D41+22,0.0025*D41+22),IF(A41=9,IF(D41&lt;=8000,0.003*D41+18,0.0025*D41+22),IF(A41=10,IF(D41&lt;=7000,0.003*D41+12,0.0045*D41+1.5),IF(A41=51,0.0009*D41+4.1288,IF(A41=52,0.0014*D41+3.0932,IF(A41=53,0.0006*D41+3.3542,VLOOKUP(B41,'Daten Tierhaltung'!$B$7:$G$108,5,FALSE)))))))))</f>
        <v>0</v>
      </c>
      <c r="K41" s="890">
        <f>IF(A41=6,IF(D41&lt;=8000,0.004*D41+110,0.004*D41+110),IF(A41=7,IF(D41&lt;=8000,0.0025*D41+114,0.0045*D41+98),IF(A41=8,IF(D41&lt;=8000,0.007*D41+67,0.004*D41+91),IF(A41=9,IF(D41&lt;=8000,0.006*D41+68,0.0045*D41+80),IF(A41=10,IF(D41&lt;=7000,0.006*D41+54,0.006*D41+54),IF(A41=51,0.0023*D41+3.9271,IF(A41=52,0.0028*D41+3.3915,IF(A41=53,0.0024*D41+3.522,VLOOKUP(B41,'Daten Tierhaltung'!$B$7:$G$108,6,FALSE)))))))))</f>
        <v>0</v>
      </c>
      <c r="L41" s="890" t="str">
        <f>IF(C41="Abgabe an andere Betriebe",E41*I41*(($F41/365*VLOOKUP(B41,'Daten Tierhaltung'!$B$7:$I$108,7,FALSE))+(($G41/365*VLOOKUP(B41,'Daten Tierhaltung'!$B$7:$I$108,8,FALSE)))),"0")</f>
        <v>0</v>
      </c>
      <c r="M41" s="901">
        <f>IF(C41="auf selbst bewirtschaft. Flächen",E41*I41*(($F41/365*VLOOKUP(B41,'Daten Tierhaltung'!$B$7:$I$108,7,FALSE))+(($G41/365*VLOOKUP(B41,'Daten Tierhaltung'!$B$7:$I$108,8,FALSE)))),"0")</f>
        <v>0</v>
      </c>
      <c r="N41" s="891">
        <f>E41*H41/365*VLOOKUP(B41,'Daten Tierhaltung'!$B$7:$I$108,8,FALSE)*I41</f>
        <v>0</v>
      </c>
      <c r="O41" s="893" t="str">
        <f>IF(C41="in eigene Biogasanlage",E41*I41*((0.95*F41/365*VLOOKUP(B41,'Daten Tierhaltung'!$B$7:$I$108,7,FALSE))+((0.95*G41/365*VLOOKUP(B41,'Daten Tierhaltung'!$B$7:$I$108,8,FALSE)))),"0")</f>
        <v>0</v>
      </c>
      <c r="P41" s="890">
        <f>IF(C41="auf selbst bewirtschaft. Flächen",E41*I41*(($F41/365*VLOOKUP(B41,'Daten Tierhaltung'!$B$7:$K$108,9,FALSE))+(($G41/365*VLOOKUP(B41,'Daten Tierhaltung'!$B$7:$K$108,10,FALSE)))),"0")</f>
        <v>0</v>
      </c>
      <c r="Q41" s="890">
        <f t="shared" si="1"/>
        <v>0</v>
      </c>
      <c r="R41" s="890">
        <f t="shared" si="2"/>
        <v>0</v>
      </c>
    </row>
    <row r="42" spans="1:18" s="855" customFormat="1">
      <c r="A42" s="882">
        <f>VLOOKUP(B42,'Daten Tierhaltung'!$B$7:$C$108,2,FALSE)</f>
        <v>0</v>
      </c>
      <c r="B42" s="888" t="s">
        <v>795</v>
      </c>
      <c r="C42" s="888" t="s">
        <v>1011</v>
      </c>
      <c r="D42" s="1725">
        <v>0</v>
      </c>
      <c r="E42" s="1725">
        <v>0</v>
      </c>
      <c r="F42" s="889">
        <f t="shared" si="3"/>
        <v>365</v>
      </c>
      <c r="G42" s="1725">
        <v>0</v>
      </c>
      <c r="H42" s="1725">
        <v>0</v>
      </c>
      <c r="I42" s="890">
        <f>IF(A42=6,IF(D42&lt;=8000,0.0075*D42+69,0.007*D42+73),IF(A42=7,IF(D42&lt;=8000,0.0075*D42+64,0.0085*D42+56),IF(A42=8,IF(D42&lt;=8000,0.007*D42+61,0.009*D42+44.667),IF(A42=9,IF(D42&lt;=8000,0.0075*D42+55,0.0093*D42+40.833),IF(A42=10,IF(D42&lt;=7000,0.0075*D42+38.5,0.01*D42+21),IF(A42=51,0.0058*D42+7.0627,IF(A42=52,0.0055*D42+6.8356,IF(A42=53,0.0052*D42+6.0136,VLOOKUP(B42,'Daten Tierhaltung'!$B$7:$G$108,4,FALSE)))))))))</f>
        <v>0</v>
      </c>
      <c r="J42" s="890">
        <f>IF(A42=6,IF(D42&lt;=8000,0.0035*D42+15,0.002*D42+27),IF(A42=7,IF(D42&lt;=8000,0.003*D42+19,0.0025*D42+23),IF(A42=8,IF(D42&lt;=8000,0.0025*D42+22,0.0025*D42+22),IF(A42=9,IF(D42&lt;=8000,0.003*D42+18,0.0025*D42+22),IF(A42=10,IF(D42&lt;=7000,0.003*D42+12,0.0045*D42+1.5),IF(A42=51,0.0009*D42+4.1288,IF(A42=52,0.0014*D42+3.0932,IF(A42=53,0.0006*D42+3.3542,VLOOKUP(B42,'Daten Tierhaltung'!$B$7:$G$108,5,FALSE)))))))))</f>
        <v>0</v>
      </c>
      <c r="K42" s="890">
        <f>IF(A42=6,IF(D42&lt;=8000,0.004*D42+110,0.004*D42+110),IF(A42=7,IF(D42&lt;=8000,0.0025*D42+114,0.0045*D42+98),IF(A42=8,IF(D42&lt;=8000,0.007*D42+67,0.004*D42+91),IF(A42=9,IF(D42&lt;=8000,0.006*D42+68,0.0045*D42+80),IF(A42=10,IF(D42&lt;=7000,0.006*D42+54,0.006*D42+54),IF(A42=51,0.0023*D42+3.9271,IF(A42=52,0.0028*D42+3.3915,IF(A42=53,0.0024*D42+3.522,VLOOKUP(B42,'Daten Tierhaltung'!$B$7:$G$108,6,FALSE)))))))))</f>
        <v>0</v>
      </c>
      <c r="L42" s="890" t="str">
        <f>IF(C42="Abgabe an andere Betriebe",E42*I42*(($F42/365*VLOOKUP(B42,'Daten Tierhaltung'!$B$7:$I$108,7,FALSE))+(($G42/365*VLOOKUP(B42,'Daten Tierhaltung'!$B$7:$I$108,8,FALSE)))),"0")</f>
        <v>0</v>
      </c>
      <c r="M42" s="901">
        <f>IF(C42="auf selbst bewirtschaft. Flächen",E42*I42*(($F42/365*VLOOKUP(B42,'Daten Tierhaltung'!$B$7:$I$108,7,FALSE))+(($G42/365*VLOOKUP(B42,'Daten Tierhaltung'!$B$7:$I$108,8,FALSE)))),"0")</f>
        <v>0</v>
      </c>
      <c r="N42" s="891">
        <f>E42*H42/365*VLOOKUP(B42,'Daten Tierhaltung'!$B$7:$I$108,8,FALSE)*I42</f>
        <v>0</v>
      </c>
      <c r="O42" s="893" t="str">
        <f>IF(C42="in eigene Biogasanlage",E42*I42*((0.95*F42/365*VLOOKUP(B42,'Daten Tierhaltung'!$B$7:$I$108,7,FALSE))+((0.95*G42/365*VLOOKUP(B42,'Daten Tierhaltung'!$B$7:$I$108,8,FALSE)))),"0")</f>
        <v>0</v>
      </c>
      <c r="P42" s="890">
        <f>IF(C42="auf selbst bewirtschaft. Flächen",E42*I42*(($F42/365*VLOOKUP(B42,'Daten Tierhaltung'!$B$7:$K$108,9,FALSE))+(($G42/365*VLOOKUP(B42,'Daten Tierhaltung'!$B$7:$K$108,10,FALSE)))),"0")</f>
        <v>0</v>
      </c>
      <c r="Q42" s="890">
        <f t="shared" si="1"/>
        <v>0</v>
      </c>
      <c r="R42" s="890">
        <f t="shared" si="2"/>
        <v>0</v>
      </c>
    </row>
    <row r="43" spans="1:18" s="14" customFormat="1" ht="19.5" customHeight="1">
      <c r="A43" s="892"/>
      <c r="B43" s="1184" t="s">
        <v>286</v>
      </c>
      <c r="C43" s="1211"/>
      <c r="D43" s="1211"/>
      <c r="E43" s="257"/>
      <c r="F43" s="257"/>
      <c r="G43" s="257"/>
      <c r="H43" s="1185"/>
      <c r="I43" s="131"/>
      <c r="J43" s="131"/>
      <c r="K43" s="131"/>
      <c r="L43" s="893">
        <f>SUM(L11:L42)</f>
        <v>0</v>
      </c>
      <c r="M43" s="893">
        <f>SUM(M11:M42)</f>
        <v>0</v>
      </c>
      <c r="N43" s="893">
        <f>SUM(N11:N42)</f>
        <v>0</v>
      </c>
      <c r="O43" s="893">
        <f>SUM(O11:O42)</f>
        <v>0</v>
      </c>
      <c r="P43" s="893">
        <f t="shared" ref="P43:R43" si="4">SUM(P11:P42)</f>
        <v>0</v>
      </c>
      <c r="Q43" s="893">
        <f t="shared" si="4"/>
        <v>0</v>
      </c>
      <c r="R43" s="893">
        <f t="shared" si="4"/>
        <v>0</v>
      </c>
    </row>
    <row r="44" spans="1:18" s="855" customFormat="1">
      <c r="A44" s="882"/>
      <c r="C44" s="894"/>
      <c r="D44" s="894"/>
      <c r="E44" s="895"/>
      <c r="F44" s="895"/>
      <c r="G44" s="895"/>
      <c r="H44" s="895"/>
      <c r="I44" s="896"/>
      <c r="J44" s="896"/>
      <c r="K44" s="896"/>
      <c r="L44" s="896"/>
      <c r="M44" s="896"/>
      <c r="N44" s="897"/>
      <c r="O44" s="897"/>
      <c r="P44" s="1144"/>
      <c r="Q44" s="1144"/>
      <c r="R44" s="1144"/>
    </row>
    <row r="45" spans="1:18" s="14" customFormat="1" ht="13.5" customHeight="1">
      <c r="A45" s="892"/>
      <c r="C45" s="898"/>
      <c r="D45" s="898"/>
      <c r="E45" s="257"/>
      <c r="F45" s="257"/>
      <c r="G45" s="257"/>
      <c r="H45" s="899"/>
      <c r="I45" s="131"/>
      <c r="J45" s="131"/>
      <c r="K45" s="131"/>
      <c r="L45" s="131"/>
      <c r="M45" s="131"/>
      <c r="N45" s="897"/>
      <c r="O45" s="897"/>
      <c r="P45" s="175"/>
      <c r="Q45" s="175"/>
      <c r="R45" s="175"/>
    </row>
    <row r="46" spans="1:18" s="860" customFormat="1" ht="19.5" customHeight="1">
      <c r="A46" s="900"/>
      <c r="B46" s="2912" t="s">
        <v>1213</v>
      </c>
      <c r="C46" s="2736"/>
      <c r="D46" s="2736"/>
      <c r="E46" s="2736"/>
      <c r="F46" s="2736"/>
      <c r="G46" s="2736"/>
      <c r="H46" s="2736"/>
      <c r="I46" s="2736"/>
      <c r="J46" s="2736"/>
      <c r="K46" s="2736"/>
      <c r="L46" s="2736"/>
      <c r="M46" s="2736"/>
      <c r="N46" s="2736"/>
      <c r="O46" s="2736"/>
      <c r="P46" s="2736"/>
      <c r="Q46" s="2736"/>
      <c r="R46" s="2736"/>
    </row>
    <row r="47" spans="1:18">
      <c r="B47" s="2736"/>
      <c r="C47" s="2736"/>
      <c r="D47" s="2736"/>
      <c r="E47" s="2736"/>
      <c r="F47" s="2736"/>
      <c r="G47" s="2736"/>
      <c r="H47" s="2736"/>
      <c r="I47" s="2736"/>
      <c r="J47" s="2736"/>
      <c r="K47" s="2736"/>
      <c r="L47" s="2736"/>
      <c r="M47" s="2736"/>
      <c r="N47" s="2736"/>
      <c r="O47" s="2736"/>
      <c r="P47" s="2736"/>
      <c r="Q47" s="2736"/>
      <c r="R47" s="2736"/>
    </row>
    <row r="48" spans="1:18" ht="11.25" customHeight="1">
      <c r="B48" s="907"/>
    </row>
    <row r="49" spans="2:18">
      <c r="B49" s="2913" t="s">
        <v>1104</v>
      </c>
      <c r="C49" s="2736"/>
      <c r="D49" s="2736"/>
      <c r="E49" s="2736"/>
      <c r="F49" s="2736"/>
      <c r="G49" s="2736"/>
      <c r="H49" s="2736"/>
      <c r="I49" s="2736"/>
      <c r="J49" s="2736"/>
      <c r="K49" s="2736"/>
      <c r="L49" s="2736"/>
      <c r="M49" s="2736"/>
      <c r="N49" s="2736"/>
      <c r="O49" s="2736"/>
      <c r="P49" s="2736"/>
      <c r="Q49" s="2736"/>
      <c r="R49" s="2736"/>
    </row>
    <row r="50" spans="2:18" ht="17.25" customHeight="1">
      <c r="B50" s="2736"/>
      <c r="C50" s="2736"/>
      <c r="D50" s="2736"/>
      <c r="E50" s="2736"/>
      <c r="F50" s="2736"/>
      <c r="G50" s="2736"/>
      <c r="H50" s="2736"/>
      <c r="I50" s="2736"/>
      <c r="J50" s="2736"/>
      <c r="K50" s="2736"/>
      <c r="L50" s="2736"/>
      <c r="M50" s="2736"/>
      <c r="N50" s="2736"/>
      <c r="O50" s="2736"/>
      <c r="P50" s="2736"/>
      <c r="Q50" s="2736"/>
      <c r="R50" s="2736"/>
    </row>
    <row r="51" spans="2:18" ht="18.75">
      <c r="B51" s="907"/>
    </row>
  </sheetData>
  <sheetProtection sheet="1" formatCells="0" formatColumns="0" formatRows="0" selectLockedCells="1"/>
  <mergeCells count="19">
    <mergeCell ref="S9:S10"/>
    <mergeCell ref="A3:A8"/>
    <mergeCell ref="B3:B8"/>
    <mergeCell ref="C3:D8"/>
    <mergeCell ref="E3:E8"/>
    <mergeCell ref="I9:K9"/>
    <mergeCell ref="L9:O9"/>
    <mergeCell ref="P9:R9"/>
    <mergeCell ref="B9:B10"/>
    <mergeCell ref="C9:C10"/>
    <mergeCell ref="D9:D10"/>
    <mergeCell ref="E9:E10"/>
    <mergeCell ref="F9:H9"/>
    <mergeCell ref="B46:R47"/>
    <mergeCell ref="B49:R50"/>
    <mergeCell ref="J2:L2"/>
    <mergeCell ref="J7:K7"/>
    <mergeCell ref="F3:H8"/>
    <mergeCell ref="B1:D2"/>
  </mergeCells>
  <dataValidations count="2">
    <dataValidation type="list" allowBlank="1" showInputMessage="1" showErrorMessage="1" sqref="C11:C42">
      <formula1>"auf selbst bewirtschaft. Flächen, in eigene Biogasanlage, Abgabe an andere Betriebe"</formula1>
    </dataValidation>
    <dataValidation type="list" allowBlank="1" showInputMessage="1" showErrorMessage="1" sqref="B11:B42">
      <formula1>Tierkategorien</formula1>
    </dataValidation>
  </dataValidations>
  <pageMargins left="0.7" right="0.7" top="0.78740157499999996" bottom="0.78740157499999996" header="0.3" footer="0.3"/>
  <pageSetup paperSize="9" scale="59" orientation="portrait" r:id="rId1"/>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6"/>
  </sheetPr>
  <dimension ref="A1:CG132"/>
  <sheetViews>
    <sheetView zoomScale="80" zoomScaleNormal="80" zoomScaleSheetLayoutView="40" workbookViewId="0">
      <selection activeCell="A8" sqref="A8"/>
    </sheetView>
  </sheetViews>
  <sheetFormatPr baseColWidth="10" defaultRowHeight="15.75"/>
  <cols>
    <col min="1" max="1" width="20.42578125" style="175" customWidth="1"/>
    <col min="2" max="2" width="8.7109375" style="842" customWidth="1"/>
    <col min="3" max="3" width="22.140625" style="842" customWidth="1"/>
    <col min="4" max="4" width="6.85546875" style="175" customWidth="1"/>
    <col min="5" max="6" width="8.5703125" style="842" customWidth="1"/>
    <col min="7" max="7" width="11.140625" style="842" customWidth="1"/>
    <col min="8" max="8" width="16.28515625" style="842" customWidth="1"/>
    <col min="9" max="9" width="5.42578125" style="842" customWidth="1"/>
    <col min="10" max="10" width="16.7109375" style="842" customWidth="1"/>
    <col min="11" max="11" width="4.28515625" style="842" customWidth="1"/>
    <col min="12" max="12" width="6.85546875" style="842" customWidth="1"/>
    <col min="13" max="13" width="8" style="842" customWidth="1"/>
    <col min="14" max="14" width="9.140625" style="842" customWidth="1"/>
    <col min="15" max="15" width="4" style="842" customWidth="1"/>
    <col min="16" max="16" width="12" style="842" customWidth="1"/>
    <col min="17" max="17" width="8.85546875" style="175" customWidth="1"/>
    <col min="18" max="18" width="12.85546875" style="282" customWidth="1"/>
    <col min="19" max="19" width="8.85546875" style="638" customWidth="1"/>
    <col min="20" max="20" width="9.140625" style="842" customWidth="1"/>
    <col min="21" max="21" width="1.85546875" style="1317" customWidth="1"/>
    <col min="22" max="22" width="15.85546875" style="1317" customWidth="1"/>
    <col min="23" max="23" width="18" style="1317" customWidth="1"/>
    <col min="24" max="24" width="2" style="1317" customWidth="1"/>
    <col min="25" max="25" width="1.42578125" style="842" customWidth="1"/>
    <col min="26" max="26" width="1.85546875" style="842" customWidth="1"/>
    <col min="27" max="27" width="2.28515625" style="1317" customWidth="1"/>
    <col min="28" max="28" width="2.7109375" style="1317" customWidth="1"/>
    <col min="29" max="29" width="2.85546875" style="1317" customWidth="1"/>
    <col min="30" max="30" width="1.28515625" style="1317" customWidth="1"/>
    <col min="31" max="31" width="10" style="842" customWidth="1"/>
    <col min="32" max="32" width="12.28515625" style="842" customWidth="1"/>
    <col min="33" max="33" width="6.5703125" style="842" customWidth="1"/>
    <col min="34" max="36" width="6.85546875" style="1317" customWidth="1"/>
    <col min="37" max="37" width="1.28515625" style="1317" customWidth="1"/>
    <col min="38" max="38" width="10.140625" style="842" customWidth="1"/>
    <col min="39" max="39" width="12.42578125" style="842" customWidth="1"/>
    <col min="40" max="40" width="6.5703125" style="842" customWidth="1"/>
    <col min="41" max="43" width="6.140625" style="1317" customWidth="1"/>
    <col min="44" max="44" width="1.5703125" style="1317" customWidth="1"/>
    <col min="45" max="45" width="9.140625" style="842" customWidth="1"/>
    <col min="46" max="46" width="12.5703125" style="842" customWidth="1"/>
    <col min="47" max="47" width="6.28515625" style="842" customWidth="1"/>
    <col min="48" max="48" width="7" style="1317" customWidth="1"/>
    <col min="49" max="49" width="6" style="1317" customWidth="1"/>
    <col min="50" max="50" width="7" style="1317" customWidth="1"/>
    <col min="51" max="51" width="1.7109375" style="1317" customWidth="1"/>
    <col min="52" max="53" width="2.85546875" style="842" customWidth="1"/>
    <col min="54" max="54" width="2.42578125" style="842" customWidth="1"/>
    <col min="55" max="57" width="2.85546875" style="1317" customWidth="1"/>
    <col min="58" max="58" width="1.5703125" style="1317" customWidth="1"/>
    <col min="59" max="59" width="7.28515625" style="1317" customWidth="1"/>
    <col min="60" max="60" width="7.42578125" style="1317" customWidth="1"/>
    <col min="61" max="61" width="7.28515625" style="1317" customWidth="1"/>
    <col min="62" max="62" width="7.7109375" style="1317" customWidth="1"/>
    <col min="63" max="63" width="7.42578125" style="1317" customWidth="1"/>
    <col min="64" max="64" width="2" style="1317" customWidth="1"/>
    <col min="65" max="65" width="7.5703125" style="1317" customWidth="1"/>
    <col min="66" max="66" width="7.42578125" style="1317" customWidth="1"/>
    <col min="67" max="67" width="5.7109375" style="1317" customWidth="1"/>
    <col min="68" max="68" width="7.5703125" style="1317" customWidth="1"/>
    <col min="69" max="70" width="5.5703125" style="1317" customWidth="1"/>
    <col min="71" max="71" width="12.85546875" style="1317" customWidth="1"/>
    <col min="72" max="73" width="5.42578125" style="525" customWidth="1"/>
    <col min="74" max="74" width="13.5703125" style="1317" customWidth="1"/>
    <col min="75" max="75" width="48.85546875" style="1317" customWidth="1"/>
    <col min="76" max="76" width="7" style="1070" customWidth="1"/>
    <col min="77" max="77" width="16" style="1070" customWidth="1"/>
    <col min="78" max="78" width="11.42578125" style="1070"/>
    <col min="79" max="79" width="13" style="1070" customWidth="1"/>
    <col min="80" max="80" width="29.85546875" style="808" customWidth="1"/>
    <col min="81" max="81" width="24.85546875" style="749" customWidth="1"/>
    <col min="82" max="82" width="11.42578125" style="480"/>
    <col min="83" max="85" width="11.42578125" style="1317"/>
    <col min="86" max="16384" width="11.42578125" style="842"/>
  </cols>
  <sheetData>
    <row r="1" spans="1:85" ht="17.25" customHeight="1" thickBot="1">
      <c r="A1" s="313"/>
      <c r="B1" s="314" t="s">
        <v>228</v>
      </c>
      <c r="C1" s="2445" t="s">
        <v>1269</v>
      </c>
      <c r="D1" s="2446"/>
      <c r="E1" s="834"/>
      <c r="F1" s="643" t="s">
        <v>229</v>
      </c>
      <c r="G1" s="504">
        <v>2022</v>
      </c>
      <c r="H1" s="834"/>
      <c r="I1" s="2447" t="s">
        <v>34</v>
      </c>
      <c r="J1" s="2448"/>
      <c r="K1" s="834"/>
      <c r="L1" s="2524" t="s">
        <v>1059</v>
      </c>
      <c r="M1" s="2525"/>
      <c r="N1" s="2525"/>
      <c r="O1" s="2525"/>
      <c r="P1" s="2525"/>
      <c r="Q1" s="834"/>
      <c r="R1" s="637"/>
      <c r="S1" s="637"/>
      <c r="T1" s="1445"/>
      <c r="U1" s="1444"/>
      <c r="V1" s="1311"/>
      <c r="W1" s="1311"/>
      <c r="X1" s="1311"/>
      <c r="Y1" s="1311"/>
      <c r="Z1" s="1311"/>
      <c r="AA1" s="1311"/>
      <c r="AB1" s="1311"/>
      <c r="AC1" s="1311"/>
      <c r="AD1" s="1311"/>
      <c r="AE1" s="1311"/>
      <c r="AF1" s="1311"/>
      <c r="AG1" s="1311"/>
      <c r="AH1" s="1311"/>
      <c r="AI1" s="1311"/>
      <c r="AJ1" s="1311"/>
      <c r="AK1" s="1311"/>
      <c r="AL1" s="1311"/>
      <c r="AM1" s="1311"/>
      <c r="AN1" s="1311"/>
      <c r="AO1" s="1311"/>
      <c r="AP1" s="1311"/>
      <c r="AQ1" s="1311"/>
      <c r="AR1" s="1311"/>
      <c r="AS1" s="1311"/>
      <c r="AT1" s="1311"/>
      <c r="AU1" s="1311"/>
      <c r="AV1" s="1311"/>
      <c r="AW1" s="1311"/>
      <c r="AX1" s="1311"/>
      <c r="AY1" s="1311"/>
      <c r="AZ1" s="1311"/>
      <c r="BA1" s="1311"/>
      <c r="BB1" s="1311"/>
      <c r="BC1" s="1311"/>
      <c r="BD1" s="1311"/>
      <c r="BE1" s="1311"/>
      <c r="BF1" s="1311"/>
      <c r="BH1" s="1318"/>
      <c r="BI1" s="1318"/>
      <c r="BJ1" s="1318"/>
      <c r="BK1" s="1318"/>
      <c r="BL1" s="1318"/>
      <c r="BM1" s="1318"/>
      <c r="BN1" s="1318"/>
      <c r="BO1" s="1318"/>
      <c r="BP1" s="1318"/>
      <c r="BQ1" s="1318"/>
      <c r="BR1" s="1311"/>
      <c r="BS1" s="1311"/>
      <c r="BT1" s="524"/>
      <c r="BU1" s="524"/>
      <c r="BW1" s="1310" t="s">
        <v>231</v>
      </c>
      <c r="BX1" s="1310" t="s">
        <v>33</v>
      </c>
      <c r="BY1" s="1310" t="s">
        <v>220</v>
      </c>
      <c r="BZ1" s="70" t="s">
        <v>221</v>
      </c>
      <c r="CA1" s="70" t="s">
        <v>222</v>
      </c>
      <c r="CB1" s="810" t="s">
        <v>323</v>
      </c>
      <c r="CC1" s="749" t="s">
        <v>758</v>
      </c>
      <c r="CD1" s="805" t="s">
        <v>761</v>
      </c>
    </row>
    <row r="2" spans="1:85" ht="19.5" customHeight="1">
      <c r="A2" s="315"/>
      <c r="B2" s="48" t="s">
        <v>230</v>
      </c>
      <c r="C2" s="2449" t="s">
        <v>1270</v>
      </c>
      <c r="D2" s="2450"/>
      <c r="E2" s="2455" t="s">
        <v>1056</v>
      </c>
      <c r="F2" s="2456"/>
      <c r="G2" s="2456"/>
      <c r="H2" s="835"/>
      <c r="I2" s="2451" t="s">
        <v>36</v>
      </c>
      <c r="J2" s="2452"/>
      <c r="K2" s="835"/>
      <c r="L2" s="2526"/>
      <c r="M2" s="2526"/>
      <c r="N2" s="2526"/>
      <c r="O2" s="2526"/>
      <c r="P2" s="2527"/>
      <c r="Q2" s="835"/>
      <c r="R2" s="634"/>
      <c r="S2" s="634"/>
      <c r="T2" s="1444"/>
      <c r="U2" s="1444"/>
      <c r="V2" s="1311"/>
      <c r="W2" s="1311"/>
      <c r="X2" s="1311"/>
      <c r="Y2" s="1311"/>
      <c r="Z2" s="1311"/>
      <c r="AA2" s="1311"/>
      <c r="AB2" s="1311"/>
      <c r="AC2" s="1311"/>
      <c r="AD2" s="1311"/>
      <c r="AE2" s="1311"/>
      <c r="AF2" s="1311"/>
      <c r="AG2" s="1311"/>
      <c r="AH2" s="1311"/>
      <c r="AI2" s="1311"/>
      <c r="AJ2" s="1311"/>
      <c r="AK2" s="1311"/>
      <c r="AL2" s="1311"/>
      <c r="AM2" s="1311"/>
      <c r="AN2" s="1311"/>
      <c r="AO2" s="1311"/>
      <c r="AP2" s="1311"/>
      <c r="AQ2" s="1311"/>
      <c r="AR2" s="1311"/>
      <c r="AS2" s="1311"/>
      <c r="AT2" s="1311"/>
      <c r="AU2" s="1311"/>
      <c r="AV2" s="1311"/>
      <c r="AW2" s="1311"/>
      <c r="AX2" s="1311"/>
      <c r="AY2" s="1311"/>
      <c r="AZ2" s="1311"/>
      <c r="BA2" s="1311"/>
      <c r="BB2" s="1311"/>
      <c r="BC2" s="1311"/>
      <c r="BD2" s="1311"/>
      <c r="BE2" s="1311"/>
      <c r="BF2" s="1311"/>
      <c r="BG2" s="2514" t="s">
        <v>1154</v>
      </c>
      <c r="BH2" s="2514"/>
      <c r="BI2" s="2514"/>
      <c r="BJ2" s="2514"/>
      <c r="BK2" s="2514"/>
      <c r="BL2" s="2514"/>
      <c r="BM2" s="2514"/>
      <c r="BN2" s="2514"/>
      <c r="BO2" s="2514"/>
      <c r="BP2" s="2514"/>
      <c r="BQ2" s="2514"/>
      <c r="BR2" s="1311"/>
      <c r="BS2" s="1311"/>
      <c r="BT2" s="524"/>
      <c r="BU2" s="524"/>
      <c r="BW2" s="150" t="s">
        <v>764</v>
      </c>
      <c r="BX2" s="1310"/>
      <c r="BY2" s="1310"/>
      <c r="BZ2" s="70"/>
      <c r="CA2" s="70"/>
    </row>
    <row r="3" spans="1:85" ht="15" customHeight="1" thickBot="1">
      <c r="A3" s="315"/>
      <c r="B3" s="48" t="s">
        <v>245</v>
      </c>
      <c r="C3" s="2453" t="s">
        <v>1271</v>
      </c>
      <c r="D3" s="2454"/>
      <c r="E3" s="2457"/>
      <c r="F3" s="2458"/>
      <c r="G3" s="2458"/>
      <c r="H3" s="835"/>
      <c r="I3" s="835"/>
      <c r="J3" s="837"/>
      <c r="K3" s="833"/>
      <c r="L3" s="2528"/>
      <c r="M3" s="2528"/>
      <c r="N3" s="2528"/>
      <c r="O3" s="2528"/>
      <c r="P3" s="2528"/>
      <c r="Q3" s="835"/>
      <c r="R3" s="634"/>
      <c r="S3" s="634"/>
      <c r="T3" s="1444"/>
      <c r="U3" s="1444"/>
      <c r="W3" s="1311"/>
      <c r="X3" s="1311"/>
      <c r="Y3" s="1311"/>
      <c r="Z3" s="1311"/>
      <c r="AA3" s="1311"/>
      <c r="AB3" s="1311"/>
      <c r="AC3" s="1311"/>
      <c r="AD3" s="1311"/>
      <c r="AE3" s="114"/>
      <c r="AF3" s="1313"/>
      <c r="AG3" s="1313"/>
      <c r="AH3" s="1313"/>
      <c r="AI3" s="1313"/>
      <c r="AJ3" s="1313"/>
      <c r="AK3" s="1313"/>
      <c r="AL3" s="1313"/>
      <c r="AM3" s="1313"/>
      <c r="AN3" s="1313"/>
      <c r="AP3" s="1313"/>
      <c r="AQ3" s="1313"/>
      <c r="AR3" s="1313"/>
      <c r="AS3" s="1313"/>
      <c r="AT3" s="1313"/>
      <c r="AU3" s="1313"/>
      <c r="AV3" s="1313"/>
      <c r="AW3" s="1313"/>
      <c r="AX3" s="1313"/>
      <c r="AY3" s="1313"/>
      <c r="AZ3" s="1313"/>
      <c r="BA3" s="1313"/>
      <c r="BB3" s="1313"/>
      <c r="BC3" s="1313"/>
      <c r="BD3" s="1313"/>
      <c r="BE3" s="1313"/>
      <c r="BF3" s="1313"/>
      <c r="BG3" s="2514"/>
      <c r="BH3" s="2514"/>
      <c r="BI3" s="2514"/>
      <c r="BJ3" s="2514"/>
      <c r="BK3" s="2514"/>
      <c r="BL3" s="2514"/>
      <c r="BM3" s="2514"/>
      <c r="BN3" s="2514"/>
      <c r="BO3" s="2514"/>
      <c r="BP3" s="2514"/>
      <c r="BQ3" s="2514"/>
      <c r="BR3" s="1311"/>
      <c r="BS3" s="1311"/>
      <c r="BT3" s="524"/>
      <c r="BU3" s="524"/>
      <c r="BW3" s="143" t="s">
        <v>31</v>
      </c>
      <c r="BX3" s="143">
        <v>0</v>
      </c>
      <c r="BY3" s="143">
        <v>0</v>
      </c>
      <c r="BZ3" s="279">
        <v>0</v>
      </c>
      <c r="CA3" s="279">
        <v>0</v>
      </c>
      <c r="CB3" s="808">
        <v>0</v>
      </c>
      <c r="CC3" s="749">
        <v>0</v>
      </c>
      <c r="CD3" s="480">
        <f>BX3*CC3</f>
        <v>0</v>
      </c>
    </row>
    <row r="4" spans="1:85" ht="35.25" customHeight="1">
      <c r="A4" s="2536" t="s">
        <v>1084</v>
      </c>
      <c r="B4" s="2537"/>
      <c r="C4" s="2537"/>
      <c r="D4" s="2537"/>
      <c r="E4" s="2537"/>
      <c r="F4" s="2537"/>
      <c r="G4" s="2537"/>
      <c r="H4" s="2537"/>
      <c r="I4" s="2537"/>
      <c r="J4" s="2537"/>
      <c r="K4" s="2537"/>
      <c r="L4" s="2537"/>
      <c r="M4" s="2537"/>
      <c r="N4" s="2537"/>
      <c r="O4" s="2537"/>
      <c r="P4" s="2537"/>
      <c r="Q4" s="2537"/>
      <c r="R4" s="2537"/>
      <c r="S4" s="2537"/>
      <c r="T4" s="2538"/>
      <c r="U4" s="1311"/>
      <c r="V4" s="2511" t="s">
        <v>1150</v>
      </c>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1311"/>
      <c r="BG4" s="2514"/>
      <c r="BH4" s="2514"/>
      <c r="BI4" s="2514"/>
      <c r="BJ4" s="2514"/>
      <c r="BK4" s="2514"/>
      <c r="BL4" s="2514"/>
      <c r="BM4" s="2514"/>
      <c r="BN4" s="2514"/>
      <c r="BO4" s="2514"/>
      <c r="BP4" s="2514"/>
      <c r="BQ4" s="2514"/>
      <c r="BR4" s="1311"/>
      <c r="BS4" s="1311"/>
      <c r="BT4" s="524"/>
      <c r="BU4" s="524"/>
      <c r="BW4" s="280" t="s">
        <v>238</v>
      </c>
      <c r="BX4" s="280">
        <v>20</v>
      </c>
      <c r="BY4" s="280">
        <v>80</v>
      </c>
      <c r="BZ4" s="280">
        <v>1</v>
      </c>
      <c r="CA4" s="280">
        <v>1.5</v>
      </c>
      <c r="CB4" s="811">
        <v>60</v>
      </c>
      <c r="CC4" s="749">
        <v>2</v>
      </c>
      <c r="CD4" s="480">
        <f t="shared" ref="CD4:CD26" si="0">BX4*CC4</f>
        <v>40</v>
      </c>
    </row>
    <row r="5" spans="1:85" ht="17.25" customHeight="1" thickBot="1">
      <c r="A5" s="2539" t="s">
        <v>1151</v>
      </c>
      <c r="B5" s="2528"/>
      <c r="C5" s="2528"/>
      <c r="D5" s="2528"/>
      <c r="E5" s="2528"/>
      <c r="F5" s="2528"/>
      <c r="G5" s="2528"/>
      <c r="H5" s="2528"/>
      <c r="I5" s="2528"/>
      <c r="J5" s="2528"/>
      <c r="K5" s="2528"/>
      <c r="L5" s="2526"/>
      <c r="M5" s="2526"/>
      <c r="N5" s="2528"/>
      <c r="O5" s="2528"/>
      <c r="P5" s="2528"/>
      <c r="Q5" s="2528"/>
      <c r="R5" s="2528"/>
      <c r="S5" s="2528"/>
      <c r="T5" s="2540"/>
      <c r="U5" s="1311"/>
      <c r="V5" s="2516" t="s">
        <v>1018</v>
      </c>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1311"/>
      <c r="BG5" s="2518" t="s">
        <v>1065</v>
      </c>
      <c r="BH5" s="2519"/>
      <c r="BI5" s="2519"/>
      <c r="BJ5" s="2519"/>
      <c r="BK5" s="2520"/>
      <c r="BL5" s="1136"/>
      <c r="BM5" s="2505" t="s">
        <v>1076</v>
      </c>
      <c r="BN5" s="2506"/>
      <c r="BO5" s="2506"/>
      <c r="BP5" s="2506"/>
      <c r="BQ5" s="2507"/>
      <c r="BR5" s="1137"/>
      <c r="BS5" s="1311"/>
      <c r="BT5" s="524"/>
      <c r="BU5" s="524"/>
      <c r="BW5" s="748" t="s">
        <v>598</v>
      </c>
      <c r="BX5" s="748">
        <v>120</v>
      </c>
      <c r="BY5" s="748">
        <v>200</v>
      </c>
      <c r="BZ5" s="748">
        <v>0.5</v>
      </c>
      <c r="CA5" s="748">
        <v>0.75</v>
      </c>
      <c r="CB5" s="808">
        <v>90</v>
      </c>
      <c r="CC5" s="749">
        <v>0.5</v>
      </c>
      <c r="CD5" s="480">
        <f t="shared" si="0"/>
        <v>60</v>
      </c>
    </row>
    <row r="6" spans="1:85" ht="35.25" customHeight="1">
      <c r="A6" s="2433" t="s">
        <v>1075</v>
      </c>
      <c r="B6" s="2435" t="s">
        <v>562</v>
      </c>
      <c r="C6" s="2436" t="s">
        <v>300</v>
      </c>
      <c r="D6" s="2437" t="s">
        <v>295</v>
      </c>
      <c r="E6" s="2438"/>
      <c r="F6" s="2441" t="s">
        <v>296</v>
      </c>
      <c r="G6" s="2442"/>
      <c r="H6" s="2443" t="s">
        <v>6</v>
      </c>
      <c r="I6" s="2439" t="s">
        <v>163</v>
      </c>
      <c r="J6" s="2443" t="s">
        <v>8</v>
      </c>
      <c r="K6" s="2529" t="s">
        <v>163</v>
      </c>
      <c r="L6" s="2531" t="s">
        <v>534</v>
      </c>
      <c r="M6" s="2533" t="s">
        <v>223</v>
      </c>
      <c r="N6" s="2436" t="s">
        <v>256</v>
      </c>
      <c r="O6" s="2439" t="s">
        <v>163</v>
      </c>
      <c r="P6" s="2512" t="s">
        <v>1055</v>
      </c>
      <c r="Q6" s="2499" t="s">
        <v>1013</v>
      </c>
      <c r="R6" s="2500"/>
      <c r="S6" s="2497" t="s">
        <v>1132</v>
      </c>
      <c r="T6" s="2498"/>
      <c r="U6" s="1311"/>
      <c r="V6" s="2501" t="s">
        <v>1134</v>
      </c>
      <c r="W6" s="2515" t="s">
        <v>623</v>
      </c>
      <c r="X6" s="2503" t="s">
        <v>1419</v>
      </c>
      <c r="Y6" s="2504"/>
      <c r="Z6" s="2504"/>
      <c r="AA6" s="2504"/>
      <c r="AB6" s="2504"/>
      <c r="AC6" s="2504"/>
      <c r="AE6" s="2495" t="s">
        <v>1415</v>
      </c>
      <c r="AF6" s="2496"/>
      <c r="AG6" s="2496"/>
      <c r="AH6" s="2496"/>
      <c r="AI6" s="2496"/>
      <c r="AJ6" s="2496"/>
      <c r="AK6" s="111"/>
      <c r="AL6" s="2495" t="s">
        <v>1416</v>
      </c>
      <c r="AM6" s="2496"/>
      <c r="AN6" s="2496"/>
      <c r="AO6" s="2496"/>
      <c r="AP6" s="2496"/>
      <c r="AQ6" s="2496"/>
      <c r="AR6" s="131"/>
      <c r="AS6" s="2495" t="s">
        <v>1417</v>
      </c>
      <c r="AT6" s="2496"/>
      <c r="AU6" s="2496"/>
      <c r="AV6" s="2496"/>
      <c r="AW6" s="2496"/>
      <c r="AX6" s="2496"/>
      <c r="AY6" s="864"/>
      <c r="AZ6" s="2495" t="s">
        <v>1418</v>
      </c>
      <c r="BA6" s="2496"/>
      <c r="BB6" s="2496"/>
      <c r="BC6" s="2496"/>
      <c r="BD6" s="2496"/>
      <c r="BE6" s="2496"/>
      <c r="BG6" s="2521"/>
      <c r="BH6" s="2522"/>
      <c r="BI6" s="2522"/>
      <c r="BJ6" s="2522"/>
      <c r="BK6" s="2523"/>
      <c r="BL6" s="1136"/>
      <c r="BM6" s="2508"/>
      <c r="BN6" s="2509"/>
      <c r="BO6" s="2509"/>
      <c r="BP6" s="2509"/>
      <c r="BQ6" s="2510"/>
      <c r="BR6" s="1137"/>
      <c r="BS6" s="1311"/>
      <c r="BT6" s="524"/>
      <c r="BU6" s="524"/>
      <c r="BW6" s="735" t="s">
        <v>749</v>
      </c>
      <c r="BX6" s="735">
        <v>60</v>
      </c>
      <c r="BY6" s="735">
        <v>200</v>
      </c>
      <c r="BZ6" s="735">
        <v>1</v>
      </c>
      <c r="CA6" s="735">
        <v>1.5</v>
      </c>
      <c r="CB6" s="808">
        <v>90</v>
      </c>
      <c r="CC6" s="749">
        <v>0.8</v>
      </c>
      <c r="CD6" s="480">
        <f t="shared" si="0"/>
        <v>48</v>
      </c>
      <c r="CE6" s="111"/>
      <c r="CF6" s="111"/>
      <c r="CG6" s="111"/>
    </row>
    <row r="7" spans="1:85" ht="66" customHeight="1" thickBot="1">
      <c r="A7" s="2434"/>
      <c r="B7" s="2435"/>
      <c r="C7" s="2436"/>
      <c r="D7" s="561" t="s">
        <v>33</v>
      </c>
      <c r="E7" s="562" t="s">
        <v>297</v>
      </c>
      <c r="F7" s="839" t="s">
        <v>597</v>
      </c>
      <c r="G7" s="562" t="s">
        <v>298</v>
      </c>
      <c r="H7" s="2444"/>
      <c r="I7" s="2440"/>
      <c r="J7" s="2444"/>
      <c r="K7" s="2530"/>
      <c r="L7" s="2532"/>
      <c r="M7" s="2534"/>
      <c r="N7" s="2535"/>
      <c r="O7" s="2440"/>
      <c r="P7" s="2513"/>
      <c r="Q7" s="736" t="s">
        <v>322</v>
      </c>
      <c r="R7" s="2236" t="s">
        <v>793</v>
      </c>
      <c r="S7" s="642" t="s">
        <v>599</v>
      </c>
      <c r="T7" s="641" t="s">
        <v>794</v>
      </c>
      <c r="U7" s="1316"/>
      <c r="V7" s="2502"/>
      <c r="W7" s="2490"/>
      <c r="X7" s="1314" t="s">
        <v>839</v>
      </c>
      <c r="Y7" s="1312" t="s">
        <v>819</v>
      </c>
      <c r="Z7" s="1320" t="s">
        <v>33</v>
      </c>
      <c r="AA7" s="1315" t="s">
        <v>1062</v>
      </c>
      <c r="AB7" s="1320" t="s">
        <v>1063</v>
      </c>
      <c r="AC7" s="1315" t="s">
        <v>1064</v>
      </c>
      <c r="AE7" s="1314" t="s">
        <v>839</v>
      </c>
      <c r="AF7" s="1312" t="s">
        <v>819</v>
      </c>
      <c r="AG7" s="1320" t="s">
        <v>33</v>
      </c>
      <c r="AH7" s="1315" t="s">
        <v>1062</v>
      </c>
      <c r="AI7" s="1320" t="s">
        <v>1063</v>
      </c>
      <c r="AJ7" s="1315" t="s">
        <v>1064</v>
      </c>
      <c r="AK7" s="279"/>
      <c r="AL7" s="1314" t="s">
        <v>839</v>
      </c>
      <c r="AM7" s="1312" t="s">
        <v>819</v>
      </c>
      <c r="AN7" s="1320" t="s">
        <v>33</v>
      </c>
      <c r="AO7" s="1315" t="s">
        <v>1062</v>
      </c>
      <c r="AP7" s="1320" t="s">
        <v>1063</v>
      </c>
      <c r="AQ7" s="1315" t="s">
        <v>1064</v>
      </c>
      <c r="AR7" s="279"/>
      <c r="AS7" s="1314" t="s">
        <v>839</v>
      </c>
      <c r="AT7" s="1312" t="s">
        <v>819</v>
      </c>
      <c r="AU7" s="1320" t="s">
        <v>33</v>
      </c>
      <c r="AV7" s="1315" t="s">
        <v>1062</v>
      </c>
      <c r="AW7" s="1320" t="s">
        <v>1063</v>
      </c>
      <c r="AX7" s="1315" t="s">
        <v>1064</v>
      </c>
      <c r="AY7" s="279"/>
      <c r="AZ7" s="1314" t="s">
        <v>839</v>
      </c>
      <c r="BA7" s="1312" t="s">
        <v>819</v>
      </c>
      <c r="BB7" s="1320" t="s">
        <v>33</v>
      </c>
      <c r="BC7" s="1315" t="s">
        <v>1062</v>
      </c>
      <c r="BD7" s="1320" t="s">
        <v>1063</v>
      </c>
      <c r="BE7" s="1315" t="s">
        <v>1064</v>
      </c>
      <c r="BF7" s="935"/>
      <c r="BG7" s="1134" t="s">
        <v>1080</v>
      </c>
      <c r="BH7" s="1315" t="s">
        <v>1066</v>
      </c>
      <c r="BI7" s="1315" t="s">
        <v>1067</v>
      </c>
      <c r="BJ7" s="906" t="s">
        <v>1241</v>
      </c>
      <c r="BK7" s="1315" t="s">
        <v>284</v>
      </c>
      <c r="BL7" s="1289"/>
      <c r="BM7" s="1806" t="s">
        <v>1080</v>
      </c>
      <c r="BN7" s="1168" t="s">
        <v>1307</v>
      </c>
      <c r="BO7" s="1168" t="s">
        <v>1308</v>
      </c>
      <c r="BP7" s="906" t="s">
        <v>1241</v>
      </c>
      <c r="BQ7" s="1315" t="s">
        <v>284</v>
      </c>
      <c r="BR7" s="1289"/>
      <c r="BS7" s="1316"/>
      <c r="BT7" s="527" t="s">
        <v>225</v>
      </c>
      <c r="BU7" s="527" t="s">
        <v>226</v>
      </c>
      <c r="BW7" s="530" t="s">
        <v>541</v>
      </c>
      <c r="BX7" s="530">
        <v>55</v>
      </c>
      <c r="BY7" s="530">
        <v>200</v>
      </c>
      <c r="BZ7" s="530">
        <v>1</v>
      </c>
      <c r="CA7" s="530">
        <v>1.5</v>
      </c>
      <c r="CB7" s="808">
        <v>60</v>
      </c>
      <c r="CC7" s="749">
        <v>0.8</v>
      </c>
      <c r="CD7" s="480">
        <f t="shared" si="0"/>
        <v>44</v>
      </c>
      <c r="CE7" s="126"/>
      <c r="CF7" s="173"/>
    </row>
    <row r="8" spans="1:85" s="841" customFormat="1" ht="26.25" customHeight="1">
      <c r="A8" s="513" t="s">
        <v>829</v>
      </c>
      <c r="B8" s="1698">
        <v>0</v>
      </c>
      <c r="C8" s="758" t="s">
        <v>31</v>
      </c>
      <c r="D8" s="563">
        <f t="shared" ref="D8:D51" si="1">VLOOKUP(C8,BW$3:CA$58,2,FALSE)</f>
        <v>0</v>
      </c>
      <c r="E8" s="583">
        <f t="shared" ref="E8:E52" si="2">VLOOKUP(C8,BW$3:CA$58,3,FALSE)</f>
        <v>0</v>
      </c>
      <c r="F8" s="1689">
        <v>0</v>
      </c>
      <c r="G8" s="569">
        <f t="shared" ref="G8:G52" si="3">IF(F8&lt;=D8,E8-(D8-F8)*BU8,E8+(F8-D8)*BT8)</f>
        <v>0</v>
      </c>
      <c r="H8" s="763" t="s">
        <v>503</v>
      </c>
      <c r="I8" s="583">
        <f t="shared" ref="I8:I52" si="4">VLOOKUP(H8,BW$62:BX$72,2,FALSE)</f>
        <v>0</v>
      </c>
      <c r="J8" s="586" t="s">
        <v>31</v>
      </c>
      <c r="K8" s="764">
        <f t="shared" ref="K8:K52" si="5">VLOOKUP(J8,BW$75:BX$84,2,FALSE)</f>
        <v>0</v>
      </c>
      <c r="L8" s="563">
        <f t="shared" ref="L8:L52" si="6">VLOOKUP(C8,BW$3:CB$58,6,FALSE)</f>
        <v>0</v>
      </c>
      <c r="M8" s="1692">
        <v>0</v>
      </c>
      <c r="N8" s="612" t="s">
        <v>160</v>
      </c>
      <c r="O8" s="583">
        <f t="shared" ref="O8:O52" si="7">VLOOKUP(N8,BW$87:BX$88,2,FALSE)</f>
        <v>0</v>
      </c>
      <c r="P8" s="1695">
        <v>0</v>
      </c>
      <c r="Q8" s="2369">
        <f>IF(G8-M8-P8-O8-I8-K8&lt;0,0,G8-M8-P8-O8-I8-K8)</f>
        <v>0</v>
      </c>
      <c r="R8" s="2370">
        <f>IF(Q8&lt;0,0,Q8*B8)</f>
        <v>0</v>
      </c>
      <c r="S8" s="2366">
        <f t="shared" ref="S8:S51" si="8">F8*VLOOKUP(C8,BW$3:CC$58,7,FALSE)</f>
        <v>0</v>
      </c>
      <c r="T8" s="591">
        <f t="shared" ref="T8:T52" si="9">IF(S8&lt;0,0,S8*B8)</f>
        <v>0</v>
      </c>
      <c r="U8" s="1311"/>
      <c r="V8" s="1281" t="str">
        <f t="shared" ref="V8:V52" si="10">A8</f>
        <v>Bewirtsch.einh. 1</v>
      </c>
      <c r="W8" s="1281" t="str">
        <f t="shared" ref="W8:W52" si="11">C8</f>
        <v>keine</v>
      </c>
      <c r="X8" s="1329"/>
      <c r="Y8" s="1330" t="s">
        <v>795</v>
      </c>
      <c r="Z8" s="1424">
        <v>0</v>
      </c>
      <c r="AA8" s="1033">
        <f>VLOOKUP(Y8,Düngemittel!$B$6:$E$64,2,FALSE)*(VLOOKUP(Y8,Düngemittel!$B$6:$E$64,3,FALSE))/100*Z8</f>
        <v>0</v>
      </c>
      <c r="AB8" s="1033">
        <f>VLOOKUP(Y8,Düngemittel!$B$6:$E$64,2,FALSE)*Z8</f>
        <v>0</v>
      </c>
      <c r="AC8" s="1033">
        <f>VLOOKUP(Y8,Düngemittel!$B$6:$E$64,4,FALSE)*Z8</f>
        <v>0</v>
      </c>
      <c r="AD8" s="92"/>
      <c r="AE8" s="1329"/>
      <c r="AF8" s="1330" t="s">
        <v>795</v>
      </c>
      <c r="AG8" s="1424">
        <v>0</v>
      </c>
      <c r="AH8" s="1033">
        <f>VLOOKUP(AF8,Düngemittel!$B$6:$E$64,2,FALSE)*(VLOOKUP(AF8,Düngemittel!$B$6:$E$64,3,FALSE))/100*AG8</f>
        <v>0</v>
      </c>
      <c r="AI8" s="1033">
        <f>VLOOKUP(AF8,Düngemittel!$B$6:$E$64,2,FALSE)*AG8</f>
        <v>0</v>
      </c>
      <c r="AJ8" s="1033">
        <f>VLOOKUP(AF8,Düngemittel!$B$6:$E$64,4,FALSE)*AG8</f>
        <v>0</v>
      </c>
      <c r="AK8" s="92"/>
      <c r="AL8" s="1329"/>
      <c r="AM8" s="1330" t="s">
        <v>795</v>
      </c>
      <c r="AN8" s="1424">
        <v>0</v>
      </c>
      <c r="AO8" s="1033">
        <f>VLOOKUP(AM8,Düngemittel!$B$6:$E$64,2,FALSE)*(VLOOKUP(AM8,Düngemittel!$B$6:$E$64,3,FALSE))/100*AN8</f>
        <v>0</v>
      </c>
      <c r="AP8" s="1033">
        <f>VLOOKUP(AM8,Düngemittel!$B$6:$E$64,2,FALSE)*AN8</f>
        <v>0</v>
      </c>
      <c r="AQ8" s="1033">
        <f>VLOOKUP(AM8,Düngemittel!$B$6:$E$64,4,FALSE)*AN8</f>
        <v>0</v>
      </c>
      <c r="AR8" s="92"/>
      <c r="AS8" s="1329"/>
      <c r="AT8" s="1330" t="s">
        <v>795</v>
      </c>
      <c r="AU8" s="1424">
        <v>0</v>
      </c>
      <c r="AV8" s="1033">
        <f>VLOOKUP(AT8,Düngemittel!$B$6:$E$64,2,FALSE)*(VLOOKUP(AT8,Düngemittel!$B$6:$E$64,3,FALSE))/100*AU8</f>
        <v>0</v>
      </c>
      <c r="AW8" s="1033">
        <f>VLOOKUP(AT8,Düngemittel!$B$6:$E$64,2,FALSE)*AU8</f>
        <v>0</v>
      </c>
      <c r="AX8" s="1033">
        <f>VLOOKUP(AT8,Düngemittel!$B$6:$E$64,4,FALSE)*AU8</f>
        <v>0</v>
      </c>
      <c r="AY8" s="92"/>
      <c r="AZ8" s="1329"/>
      <c r="BA8" s="1330" t="s">
        <v>795</v>
      </c>
      <c r="BB8" s="1424">
        <v>0</v>
      </c>
      <c r="BC8" s="1033">
        <f>VLOOKUP(BA8,Düngemittel!$B$6:$E$64,2,FALSE)*(VLOOKUP(BA8,Düngemittel!$B$6:$E$64,3,FALSE))/100*BB8</f>
        <v>0</v>
      </c>
      <c r="BD8" s="1033">
        <f>VLOOKUP(BA8,Düngemittel!$B$6:$E$64,2,FALSE)*BB8</f>
        <v>0</v>
      </c>
      <c r="BE8" s="1033">
        <f>VLOOKUP(BA8,Düngemittel!$B$6:$E$64,4,FALSE)*BB8</f>
        <v>0</v>
      </c>
      <c r="BF8" s="1311"/>
      <c r="BG8" s="1282">
        <f>IF(AA8&lt;AB8,0,AA8)+IF(AH8&lt;AI8,0,AH8)+IF(AO8&lt;AP8,0,AO8)+IF(AV8&lt;AW8,0,AV8)+IF(BC8&lt;BD8,0,BC8)</f>
        <v>0</v>
      </c>
      <c r="BH8" s="1322">
        <f>(AA8+AH8+AO8+AV8+BC8)</f>
        <v>0</v>
      </c>
      <c r="BI8" s="1282">
        <f>(AB8+AI8+AP8+AW8+BD8)</f>
        <v>0</v>
      </c>
      <c r="BJ8" s="1138">
        <f>IF(AA8&lt;AB8,AB8,0)+IF(AH8&lt;AI8,AI8,0)+IF(AO8&lt;AP8,AP8,0)+IF(AV8&lt;AW8,AW8,0)+IF(BC8&lt;BD8,BD8,0)</f>
        <v>0</v>
      </c>
      <c r="BK8" s="1322">
        <f>(AC8+AJ8+AQ8+AX8+BE8)</f>
        <v>0</v>
      </c>
      <c r="BL8" s="95"/>
      <c r="BM8" s="1135">
        <f>BG8*$B8</f>
        <v>0</v>
      </c>
      <c r="BN8" s="1135">
        <f t="shared" ref="BN8:BQ8" si="12">BH8*$B8</f>
        <v>0</v>
      </c>
      <c r="BO8" s="1135">
        <f t="shared" si="12"/>
        <v>0</v>
      </c>
      <c r="BP8" s="1135">
        <f t="shared" si="12"/>
        <v>0</v>
      </c>
      <c r="BQ8" s="1135">
        <f t="shared" si="12"/>
        <v>0</v>
      </c>
      <c r="BR8" s="1311"/>
      <c r="BS8" s="1311"/>
      <c r="BT8" s="528">
        <f t="shared" ref="BT8:BT52" si="13">VLOOKUP(C8,BW$3:CB$58,4,FALSE)</f>
        <v>0</v>
      </c>
      <c r="BU8" s="528">
        <f t="shared" ref="BU8:BU52" si="14">VLOOKUP(C8,BW$3:CB$58,5,FALSE)</f>
        <v>0</v>
      </c>
      <c r="BV8" s="1319"/>
      <c r="BW8" s="281" t="s">
        <v>750</v>
      </c>
      <c r="BX8" s="281">
        <v>40</v>
      </c>
      <c r="BY8" s="756">
        <v>115</v>
      </c>
      <c r="BZ8" s="281">
        <v>1</v>
      </c>
      <c r="CA8" s="281">
        <v>1.5</v>
      </c>
      <c r="CB8" s="808">
        <v>90</v>
      </c>
      <c r="CC8" s="749">
        <v>0.8</v>
      </c>
      <c r="CD8" s="480">
        <f t="shared" si="0"/>
        <v>32</v>
      </c>
      <c r="CE8" s="173"/>
      <c r="CF8" s="969"/>
      <c r="CG8" s="1317"/>
    </row>
    <row r="9" spans="1:85" ht="26.25" customHeight="1">
      <c r="A9" s="468" t="s">
        <v>568</v>
      </c>
      <c r="B9" s="1699">
        <v>0</v>
      </c>
      <c r="C9" s="759" t="s">
        <v>31</v>
      </c>
      <c r="D9" s="565">
        <f t="shared" si="1"/>
        <v>0</v>
      </c>
      <c r="E9" s="584">
        <f t="shared" si="2"/>
        <v>0</v>
      </c>
      <c r="F9" s="1690">
        <v>0</v>
      </c>
      <c r="G9" s="570">
        <f t="shared" si="3"/>
        <v>0</v>
      </c>
      <c r="H9" s="761" t="s">
        <v>503</v>
      </c>
      <c r="I9" s="584">
        <f t="shared" si="4"/>
        <v>0</v>
      </c>
      <c r="J9" s="587" t="s">
        <v>31</v>
      </c>
      <c r="K9" s="765">
        <f t="shared" si="5"/>
        <v>0</v>
      </c>
      <c r="L9" s="565">
        <f t="shared" si="6"/>
        <v>0</v>
      </c>
      <c r="M9" s="1693">
        <v>0</v>
      </c>
      <c r="N9" s="609" t="s">
        <v>160</v>
      </c>
      <c r="O9" s="584">
        <f t="shared" si="7"/>
        <v>0</v>
      </c>
      <c r="P9" s="1696">
        <v>0</v>
      </c>
      <c r="Q9" s="1894">
        <f>IF(G9-M9-P9-O9-I9-K9&lt;0,0,G9-M9-P9-O9-I9-K9)</f>
        <v>0</v>
      </c>
      <c r="R9" s="2371">
        <f>IF(Q9&lt;0,0,Q9*B9)</f>
        <v>0</v>
      </c>
      <c r="S9" s="2367">
        <f t="shared" si="8"/>
        <v>0</v>
      </c>
      <c r="T9" s="592">
        <f t="shared" si="9"/>
        <v>0</v>
      </c>
      <c r="U9" s="1311"/>
      <c r="V9" s="1281" t="str">
        <f t="shared" si="10"/>
        <v>Fläche 2</v>
      </c>
      <c r="W9" s="1281" t="str">
        <f t="shared" si="11"/>
        <v>keine</v>
      </c>
      <c r="X9" s="1329"/>
      <c r="Y9" s="1330" t="s">
        <v>795</v>
      </c>
      <c r="Z9" s="1424">
        <v>0</v>
      </c>
      <c r="AA9" s="1033">
        <f>VLOOKUP(Y9,Düngemittel!$B$6:$E$64,2,FALSE)*(VLOOKUP(Y9,Düngemittel!$B$6:$E$64,3,FALSE))/100*Z9</f>
        <v>0</v>
      </c>
      <c r="AB9" s="1033">
        <f>VLOOKUP(Y9,Düngemittel!$B$6:$E$64,2,FALSE)*Z9</f>
        <v>0</v>
      </c>
      <c r="AC9" s="1033">
        <f>VLOOKUP(Y9,Düngemittel!$B$6:$E$64,4,FALSE)*Z9</f>
        <v>0</v>
      </c>
      <c r="AD9" s="1311"/>
      <c r="AE9" s="1329"/>
      <c r="AF9" s="1330" t="s">
        <v>795</v>
      </c>
      <c r="AG9" s="1424">
        <v>0</v>
      </c>
      <c r="AH9" s="1033">
        <f>VLOOKUP(AF9,Düngemittel!$B$6:$E$64,2,FALSE)*(VLOOKUP(AF9,Düngemittel!$B$6:$E$64,3,FALSE))/100*AG9</f>
        <v>0</v>
      </c>
      <c r="AI9" s="1033">
        <f>VLOOKUP(AF9,Düngemittel!$B$6:$E$64,2,FALSE)*AG9</f>
        <v>0</v>
      </c>
      <c r="AJ9" s="1033">
        <f>VLOOKUP(AF9,Düngemittel!$B$6:$E$64,4,FALSE)*AG9</f>
        <v>0</v>
      </c>
      <c r="AK9" s="1311"/>
      <c r="AL9" s="1329"/>
      <c r="AM9" s="1330" t="s">
        <v>795</v>
      </c>
      <c r="AN9" s="1424">
        <v>0</v>
      </c>
      <c r="AO9" s="1033">
        <f>VLOOKUP(AM9,Düngemittel!$B$6:$E$64,2,FALSE)*(VLOOKUP(AM9,Düngemittel!$B$6:$E$64,3,FALSE))/100*AN9</f>
        <v>0</v>
      </c>
      <c r="AP9" s="1033">
        <f>VLOOKUP(AM9,Düngemittel!$B$6:$E$64,2,FALSE)*AN9</f>
        <v>0</v>
      </c>
      <c r="AQ9" s="1033">
        <f>VLOOKUP(AM9,Düngemittel!$B$6:$E$64,4,FALSE)*AN9</f>
        <v>0</v>
      </c>
      <c r="AR9" s="1311"/>
      <c r="AS9" s="1329"/>
      <c r="AT9" s="1330" t="s">
        <v>795</v>
      </c>
      <c r="AU9" s="1424">
        <v>0</v>
      </c>
      <c r="AV9" s="1033">
        <f>VLOOKUP(AT9,Düngemittel!$B$6:$E$64,2,FALSE)*(VLOOKUP(AT9,Düngemittel!$B$6:$E$64,3,FALSE))/100*AU9</f>
        <v>0</v>
      </c>
      <c r="AW9" s="1033">
        <f>VLOOKUP(AT9,Düngemittel!$B$6:$E$64,2,FALSE)*AU9</f>
        <v>0</v>
      </c>
      <c r="AX9" s="1033">
        <f>VLOOKUP(AT9,Düngemittel!$B$6:$E$64,4,FALSE)*AU9</f>
        <v>0</v>
      </c>
      <c r="AY9" s="1311"/>
      <c r="AZ9" s="1329"/>
      <c r="BA9" s="1330" t="s">
        <v>795</v>
      </c>
      <c r="BB9" s="1424">
        <v>0</v>
      </c>
      <c r="BC9" s="1033">
        <f>VLOOKUP(BA9,Düngemittel!$B$6:$E$64,2,FALSE)*(VLOOKUP(BA9,Düngemittel!$B$6:$E$64,3,FALSE))/100*BB9</f>
        <v>0</v>
      </c>
      <c r="BD9" s="1033">
        <f>VLOOKUP(BA9,Düngemittel!$B$6:$E$64,2,FALSE)*BB9</f>
        <v>0</v>
      </c>
      <c r="BE9" s="1033">
        <f>VLOOKUP(BA9,Düngemittel!$B$6:$E$64,4,FALSE)*BB9</f>
        <v>0</v>
      </c>
      <c r="BF9" s="1311"/>
      <c r="BG9" s="1282">
        <f t="shared" ref="BG9:BG52" si="15">IF(AA9&lt;AB9,0,AA9)+IF(AH9&lt;AI9,0,AH9)+IF(AO9&lt;AP9,0,AO9)+IF(AV9&lt;AW9,0,AV9)+IF(BC9&lt;BD9,0,BC9)</f>
        <v>0</v>
      </c>
      <c r="BH9" s="1322">
        <f t="shared" ref="BH9:BH52" si="16">(AA9+AH9+AO9+AV9+BC9)</f>
        <v>0</v>
      </c>
      <c r="BI9" s="1282">
        <f t="shared" ref="BI9:BI52" si="17">(AB9+AI9+AP9+AW9+BD9)</f>
        <v>0</v>
      </c>
      <c r="BJ9" s="1138">
        <f t="shared" ref="BJ9:BJ52" si="18">IF(AA9&lt;AB9,AB9,0)+IF(AH9&lt;AI9,AI9,0)+IF(AO9&lt;AP9,AP9,0)+IF(AV9&lt;AW9,AW9,0)+IF(BC9&lt;BD9,BD9,0)</f>
        <v>0</v>
      </c>
      <c r="BK9" s="1322">
        <f t="shared" ref="BK9:BK52" si="19">(AC9+AJ9+AQ9+AX9+BE9)</f>
        <v>0</v>
      </c>
      <c r="BL9" s="95"/>
      <c r="BM9" s="1135">
        <f t="shared" ref="BM9:BM52" si="20">BG9*$B9</f>
        <v>0</v>
      </c>
      <c r="BN9" s="1135">
        <f t="shared" ref="BN9:BN52" si="21">BH9*$B9</f>
        <v>0</v>
      </c>
      <c r="BO9" s="1135">
        <f t="shared" ref="BO9:BO52" si="22">BI9*$B9</f>
        <v>0</v>
      </c>
      <c r="BP9" s="1135">
        <f t="shared" ref="BP9:BP52" si="23">BJ9*$B9</f>
        <v>0</v>
      </c>
      <c r="BQ9" s="1135">
        <f t="shared" ref="BQ9:BQ52" si="24">BK9*$B9</f>
        <v>0</v>
      </c>
      <c r="BR9" s="1311"/>
      <c r="BS9" s="1311"/>
      <c r="BT9" s="528">
        <f t="shared" si="13"/>
        <v>0</v>
      </c>
      <c r="BU9" s="528">
        <f t="shared" si="14"/>
        <v>0</v>
      </c>
      <c r="BW9" s="735" t="s">
        <v>754</v>
      </c>
      <c r="BX9" s="735">
        <v>150</v>
      </c>
      <c r="BY9" s="735">
        <v>160</v>
      </c>
      <c r="BZ9" s="735">
        <v>0.2</v>
      </c>
      <c r="CA9" s="735">
        <v>0.3</v>
      </c>
      <c r="CB9" s="808">
        <v>60</v>
      </c>
      <c r="CC9" s="749">
        <v>0.32</v>
      </c>
      <c r="CD9" s="480">
        <f t="shared" si="0"/>
        <v>48</v>
      </c>
      <c r="CE9" s="126"/>
      <c r="CF9" s="969"/>
    </row>
    <row r="10" spans="1:85" ht="26.25" customHeight="1">
      <c r="A10" s="468" t="s">
        <v>569</v>
      </c>
      <c r="B10" s="1699">
        <v>0</v>
      </c>
      <c r="C10" s="759" t="s">
        <v>31</v>
      </c>
      <c r="D10" s="565">
        <f t="shared" si="1"/>
        <v>0</v>
      </c>
      <c r="E10" s="584">
        <f t="shared" si="2"/>
        <v>0</v>
      </c>
      <c r="F10" s="1690">
        <v>0</v>
      </c>
      <c r="G10" s="570">
        <f t="shared" si="3"/>
        <v>0</v>
      </c>
      <c r="H10" s="761" t="s">
        <v>503</v>
      </c>
      <c r="I10" s="584">
        <f t="shared" si="4"/>
        <v>0</v>
      </c>
      <c r="J10" s="587" t="s">
        <v>31</v>
      </c>
      <c r="K10" s="765">
        <f t="shared" si="5"/>
        <v>0</v>
      </c>
      <c r="L10" s="565">
        <f t="shared" si="6"/>
        <v>0</v>
      </c>
      <c r="M10" s="1693">
        <v>0</v>
      </c>
      <c r="N10" s="609" t="s">
        <v>160</v>
      </c>
      <c r="O10" s="584">
        <f t="shared" si="7"/>
        <v>0</v>
      </c>
      <c r="P10" s="1696">
        <v>0</v>
      </c>
      <c r="Q10" s="1894">
        <f t="shared" ref="Q10:Q51" si="25">IF(G10-M10-P10-O10-I10-K10&lt;0,0,G10-M10-P10-O10-I10-K10)</f>
        <v>0</v>
      </c>
      <c r="R10" s="2371">
        <f t="shared" ref="R10:R51" si="26">IF(Q10&lt;0,0,Q10*B10)</f>
        <v>0</v>
      </c>
      <c r="S10" s="2367">
        <f t="shared" si="8"/>
        <v>0</v>
      </c>
      <c r="T10" s="592">
        <f t="shared" si="9"/>
        <v>0</v>
      </c>
      <c r="U10" s="1311"/>
      <c r="V10" s="1281" t="str">
        <f t="shared" si="10"/>
        <v>Acker 3</v>
      </c>
      <c r="W10" s="1281" t="str">
        <f t="shared" si="11"/>
        <v>keine</v>
      </c>
      <c r="X10" s="1329"/>
      <c r="Y10" s="1330" t="s">
        <v>795</v>
      </c>
      <c r="Z10" s="1424">
        <v>0</v>
      </c>
      <c r="AA10" s="1033">
        <f>VLOOKUP(Y10,Düngemittel!$B$6:$E$64,2,FALSE)*(VLOOKUP(Y10,Düngemittel!$B$6:$E$64,3,FALSE))/100*Z10</f>
        <v>0</v>
      </c>
      <c r="AB10" s="1033">
        <f>VLOOKUP(Y10,Düngemittel!$B$6:$E$64,2,FALSE)*Z10</f>
        <v>0</v>
      </c>
      <c r="AC10" s="1033">
        <f>VLOOKUP(Y10,Düngemittel!$B$6:$E$64,4,FALSE)*Z10</f>
        <v>0</v>
      </c>
      <c r="AD10" s="1311"/>
      <c r="AE10" s="1329"/>
      <c r="AF10" s="1330" t="s">
        <v>795</v>
      </c>
      <c r="AG10" s="1424">
        <v>0</v>
      </c>
      <c r="AH10" s="1033">
        <f>VLOOKUP(AF10,Düngemittel!$B$6:$E$64,2,FALSE)*(VLOOKUP(AF10,Düngemittel!$B$6:$E$64,3,FALSE))/100*AG10</f>
        <v>0</v>
      </c>
      <c r="AI10" s="1033">
        <f>VLOOKUP(AF10,Düngemittel!$B$6:$E$64,2,FALSE)*AG10</f>
        <v>0</v>
      </c>
      <c r="AJ10" s="1033">
        <f>VLOOKUP(AF10,Düngemittel!$B$6:$E$64,4,FALSE)*AG10</f>
        <v>0</v>
      </c>
      <c r="AK10" s="1311"/>
      <c r="AL10" s="1329"/>
      <c r="AM10" s="1330" t="s">
        <v>795</v>
      </c>
      <c r="AN10" s="1424">
        <v>0</v>
      </c>
      <c r="AO10" s="1033">
        <f>VLOOKUP(AM10,Düngemittel!$B$6:$E$64,2,FALSE)*(VLOOKUP(AM10,Düngemittel!$B$6:$E$64,3,FALSE))/100*AN10</f>
        <v>0</v>
      </c>
      <c r="AP10" s="1033">
        <f>VLOOKUP(AM10,Düngemittel!$B$6:$E$64,2,FALSE)*AN10</f>
        <v>0</v>
      </c>
      <c r="AQ10" s="1033">
        <f>VLOOKUP(AM10,Düngemittel!$B$6:$E$64,4,FALSE)*AN10</f>
        <v>0</v>
      </c>
      <c r="AR10" s="1311"/>
      <c r="AS10" s="1329"/>
      <c r="AT10" s="1330" t="s">
        <v>795</v>
      </c>
      <c r="AU10" s="1424">
        <v>0</v>
      </c>
      <c r="AV10" s="1033">
        <f>VLOOKUP(AT10,Düngemittel!$B$6:$E$64,2,FALSE)*(VLOOKUP(AT10,Düngemittel!$B$6:$E$64,3,FALSE))/100*AU10</f>
        <v>0</v>
      </c>
      <c r="AW10" s="1033">
        <f>VLOOKUP(AT10,Düngemittel!$B$6:$E$64,2,FALSE)*AU10</f>
        <v>0</v>
      </c>
      <c r="AX10" s="1033">
        <f>VLOOKUP(AT10,Düngemittel!$B$6:$E$64,4,FALSE)*AU10</f>
        <v>0</v>
      </c>
      <c r="AY10" s="1311"/>
      <c r="AZ10" s="1329"/>
      <c r="BA10" s="1330" t="s">
        <v>795</v>
      </c>
      <c r="BB10" s="1424">
        <v>0</v>
      </c>
      <c r="BC10" s="1033">
        <f>VLOOKUP(BA10,Düngemittel!$B$6:$E$64,2,FALSE)*(VLOOKUP(BA10,Düngemittel!$B$6:$E$64,3,FALSE))/100*BB10</f>
        <v>0</v>
      </c>
      <c r="BD10" s="1033">
        <f>VLOOKUP(BA10,Düngemittel!$B$6:$E$64,2,FALSE)*BB10</f>
        <v>0</v>
      </c>
      <c r="BE10" s="1033">
        <f>VLOOKUP(BA10,Düngemittel!$B$6:$E$64,4,FALSE)*BB10</f>
        <v>0</v>
      </c>
      <c r="BF10" s="1311"/>
      <c r="BG10" s="1282">
        <f t="shared" si="15"/>
        <v>0</v>
      </c>
      <c r="BH10" s="1322">
        <f t="shared" si="16"/>
        <v>0</v>
      </c>
      <c r="BI10" s="1282">
        <f t="shared" si="17"/>
        <v>0</v>
      </c>
      <c r="BJ10" s="1138">
        <f t="shared" si="18"/>
        <v>0</v>
      </c>
      <c r="BK10" s="1322">
        <f t="shared" si="19"/>
        <v>0</v>
      </c>
      <c r="BL10" s="95"/>
      <c r="BM10" s="1135">
        <f t="shared" si="20"/>
        <v>0</v>
      </c>
      <c r="BN10" s="1135">
        <f t="shared" si="21"/>
        <v>0</v>
      </c>
      <c r="BO10" s="1135">
        <f t="shared" si="22"/>
        <v>0</v>
      </c>
      <c r="BP10" s="1135">
        <f t="shared" si="23"/>
        <v>0</v>
      </c>
      <c r="BQ10" s="1135">
        <f t="shared" si="24"/>
        <v>0</v>
      </c>
      <c r="BR10" s="1311"/>
      <c r="BS10" s="1311"/>
      <c r="BT10" s="528">
        <f t="shared" si="13"/>
        <v>0</v>
      </c>
      <c r="BU10" s="528">
        <f t="shared" si="14"/>
        <v>0</v>
      </c>
      <c r="BW10" s="748" t="s">
        <v>682</v>
      </c>
      <c r="BX10" s="735">
        <v>80</v>
      </c>
      <c r="BY10" s="735">
        <v>100</v>
      </c>
      <c r="BZ10" s="735">
        <v>1</v>
      </c>
      <c r="CA10" s="735">
        <v>1.5</v>
      </c>
      <c r="CB10" s="808">
        <v>60</v>
      </c>
      <c r="CC10" s="749">
        <v>0.64</v>
      </c>
      <c r="CD10" s="480">
        <f t="shared" si="0"/>
        <v>51.2</v>
      </c>
      <c r="CE10" s="126"/>
      <c r="CF10" s="969"/>
    </row>
    <row r="11" spans="1:85" ht="26.25" customHeight="1">
      <c r="A11" s="468" t="s">
        <v>565</v>
      </c>
      <c r="B11" s="1699">
        <v>0</v>
      </c>
      <c r="C11" s="759" t="s">
        <v>31</v>
      </c>
      <c r="D11" s="565">
        <f t="shared" si="1"/>
        <v>0</v>
      </c>
      <c r="E11" s="584">
        <f t="shared" si="2"/>
        <v>0</v>
      </c>
      <c r="F11" s="1690">
        <v>0</v>
      </c>
      <c r="G11" s="570">
        <f t="shared" si="3"/>
        <v>0</v>
      </c>
      <c r="H11" s="761" t="s">
        <v>503</v>
      </c>
      <c r="I11" s="584">
        <f t="shared" si="4"/>
        <v>0</v>
      </c>
      <c r="J11" s="587" t="s">
        <v>31</v>
      </c>
      <c r="K11" s="765">
        <f t="shared" si="5"/>
        <v>0</v>
      </c>
      <c r="L11" s="565">
        <f t="shared" si="6"/>
        <v>0</v>
      </c>
      <c r="M11" s="1693">
        <v>0</v>
      </c>
      <c r="N11" s="609" t="s">
        <v>160</v>
      </c>
      <c r="O11" s="584">
        <f t="shared" si="7"/>
        <v>0</v>
      </c>
      <c r="P11" s="1696">
        <v>0</v>
      </c>
      <c r="Q11" s="1894">
        <f t="shared" si="25"/>
        <v>0</v>
      </c>
      <c r="R11" s="2371">
        <f t="shared" si="26"/>
        <v>0</v>
      </c>
      <c r="S11" s="2367">
        <f t="shared" si="8"/>
        <v>0</v>
      </c>
      <c r="T11" s="592">
        <f t="shared" si="9"/>
        <v>0</v>
      </c>
      <c r="U11" s="1311"/>
      <c r="V11" s="1281" t="str">
        <f t="shared" si="10"/>
        <v>Schlag 4</v>
      </c>
      <c r="W11" s="1281" t="str">
        <f t="shared" si="11"/>
        <v>keine</v>
      </c>
      <c r="X11" s="1329"/>
      <c r="Y11" s="1330" t="s">
        <v>795</v>
      </c>
      <c r="Z11" s="1424">
        <v>0</v>
      </c>
      <c r="AA11" s="1033">
        <f>VLOOKUP(Y11,Düngemittel!$B$6:$E$64,2,FALSE)*(VLOOKUP(Y11,Düngemittel!$B$6:$E$64,3,FALSE))/100*Z11</f>
        <v>0</v>
      </c>
      <c r="AB11" s="1033">
        <f>VLOOKUP(Y11,Düngemittel!$B$6:$E$64,2,FALSE)*Z11</f>
        <v>0</v>
      </c>
      <c r="AC11" s="1033">
        <f>VLOOKUP(Y11,Düngemittel!$B$6:$E$64,4,FALSE)*Z11</f>
        <v>0</v>
      </c>
      <c r="AD11" s="1311"/>
      <c r="AE11" s="1329"/>
      <c r="AF11" s="1330" t="s">
        <v>795</v>
      </c>
      <c r="AG11" s="1424">
        <v>0</v>
      </c>
      <c r="AH11" s="1033">
        <f>VLOOKUP(AF11,Düngemittel!$B$6:$E$64,2,FALSE)*(VLOOKUP(AF11,Düngemittel!$B$6:$E$64,3,FALSE))/100*AG11</f>
        <v>0</v>
      </c>
      <c r="AI11" s="1033">
        <f>VLOOKUP(AF11,Düngemittel!$B$6:$E$64,2,FALSE)*AG11</f>
        <v>0</v>
      </c>
      <c r="AJ11" s="1033">
        <f>VLOOKUP(AF11,Düngemittel!$B$6:$E$64,4,FALSE)*AG11</f>
        <v>0</v>
      </c>
      <c r="AK11" s="1311"/>
      <c r="AL11" s="1329"/>
      <c r="AM11" s="1330" t="s">
        <v>795</v>
      </c>
      <c r="AN11" s="1424">
        <v>0</v>
      </c>
      <c r="AO11" s="1033">
        <f>VLOOKUP(AM11,Düngemittel!$B$6:$E$64,2,FALSE)*(VLOOKUP(AM11,Düngemittel!$B$6:$E$64,3,FALSE))/100*AN11</f>
        <v>0</v>
      </c>
      <c r="AP11" s="1033">
        <f>VLOOKUP(AM11,Düngemittel!$B$6:$E$64,2,FALSE)*AN11</f>
        <v>0</v>
      </c>
      <c r="AQ11" s="1033">
        <f>VLOOKUP(AM11,Düngemittel!$B$6:$E$64,4,FALSE)*AN11</f>
        <v>0</v>
      </c>
      <c r="AR11" s="1311"/>
      <c r="AS11" s="1329"/>
      <c r="AT11" s="1330" t="s">
        <v>795</v>
      </c>
      <c r="AU11" s="1424">
        <v>0</v>
      </c>
      <c r="AV11" s="1033">
        <f>VLOOKUP(AT11,Düngemittel!$B$6:$E$64,2,FALSE)*(VLOOKUP(AT11,Düngemittel!$B$6:$E$64,3,FALSE))/100*AU11</f>
        <v>0</v>
      </c>
      <c r="AW11" s="1033">
        <f>VLOOKUP(AT11,Düngemittel!$B$6:$E$64,2,FALSE)*AU11</f>
        <v>0</v>
      </c>
      <c r="AX11" s="1033">
        <f>VLOOKUP(AT11,Düngemittel!$B$6:$E$64,4,FALSE)*AU11</f>
        <v>0</v>
      </c>
      <c r="AY11" s="1311"/>
      <c r="AZ11" s="1329"/>
      <c r="BA11" s="1330" t="s">
        <v>795</v>
      </c>
      <c r="BB11" s="1424">
        <v>0</v>
      </c>
      <c r="BC11" s="1033">
        <f>VLOOKUP(BA11,Düngemittel!$B$6:$E$64,2,FALSE)*(VLOOKUP(BA11,Düngemittel!$B$6:$E$64,3,FALSE))/100*BB11</f>
        <v>0</v>
      </c>
      <c r="BD11" s="1033">
        <f>VLOOKUP(BA11,Düngemittel!$B$6:$E$64,2,FALSE)*BB11</f>
        <v>0</v>
      </c>
      <c r="BE11" s="1033">
        <f>VLOOKUP(BA11,Düngemittel!$B$6:$E$64,4,FALSE)*BB11</f>
        <v>0</v>
      </c>
      <c r="BF11" s="1311"/>
      <c r="BG11" s="1282">
        <f t="shared" si="15"/>
        <v>0</v>
      </c>
      <c r="BH11" s="1322">
        <f t="shared" si="16"/>
        <v>0</v>
      </c>
      <c r="BI11" s="1282">
        <f t="shared" si="17"/>
        <v>0</v>
      </c>
      <c r="BJ11" s="1138">
        <f t="shared" si="18"/>
        <v>0</v>
      </c>
      <c r="BK11" s="1322">
        <f t="shared" si="19"/>
        <v>0</v>
      </c>
      <c r="BL11" s="95"/>
      <c r="BM11" s="1135">
        <f t="shared" si="20"/>
        <v>0</v>
      </c>
      <c r="BN11" s="1135">
        <f t="shared" si="21"/>
        <v>0</v>
      </c>
      <c r="BO11" s="1135">
        <f t="shared" si="22"/>
        <v>0</v>
      </c>
      <c r="BP11" s="1135">
        <f t="shared" si="23"/>
        <v>0</v>
      </c>
      <c r="BQ11" s="1135">
        <f t="shared" si="24"/>
        <v>0</v>
      </c>
      <c r="BR11" s="1311"/>
      <c r="BS11" s="1311"/>
      <c r="BT11" s="528">
        <f t="shared" si="13"/>
        <v>0</v>
      </c>
      <c r="BU11" s="528">
        <f t="shared" si="14"/>
        <v>0</v>
      </c>
      <c r="BW11" s="279" t="s">
        <v>219</v>
      </c>
      <c r="BX11" s="279">
        <v>400</v>
      </c>
      <c r="BY11" s="279">
        <v>220</v>
      </c>
      <c r="BZ11" s="752">
        <v>0.2</v>
      </c>
      <c r="CA11" s="752">
        <v>0.2</v>
      </c>
      <c r="CB11" s="808">
        <v>60</v>
      </c>
      <c r="CC11" s="749">
        <v>0.14000000000000001</v>
      </c>
      <c r="CD11" s="480">
        <f t="shared" si="0"/>
        <v>56.000000000000007</v>
      </c>
      <c r="CE11" s="126"/>
      <c r="CF11" s="969"/>
    </row>
    <row r="12" spans="1:85" ht="26.25" customHeight="1">
      <c r="A12" s="468" t="s">
        <v>1131</v>
      </c>
      <c r="B12" s="1699">
        <v>0</v>
      </c>
      <c r="C12" s="759" t="s">
        <v>31</v>
      </c>
      <c r="D12" s="565">
        <f t="shared" si="1"/>
        <v>0</v>
      </c>
      <c r="E12" s="584">
        <f t="shared" si="2"/>
        <v>0</v>
      </c>
      <c r="F12" s="1690">
        <v>0</v>
      </c>
      <c r="G12" s="570">
        <f t="shared" si="3"/>
        <v>0</v>
      </c>
      <c r="H12" s="761" t="s">
        <v>503</v>
      </c>
      <c r="I12" s="584">
        <f t="shared" si="4"/>
        <v>0</v>
      </c>
      <c r="J12" s="587" t="s">
        <v>31</v>
      </c>
      <c r="K12" s="765">
        <f t="shared" si="5"/>
        <v>0</v>
      </c>
      <c r="L12" s="565">
        <f t="shared" si="6"/>
        <v>0</v>
      </c>
      <c r="M12" s="1693">
        <v>0</v>
      </c>
      <c r="N12" s="609" t="s">
        <v>160</v>
      </c>
      <c r="O12" s="584">
        <f t="shared" si="7"/>
        <v>0</v>
      </c>
      <c r="P12" s="1696">
        <v>0</v>
      </c>
      <c r="Q12" s="1894">
        <f t="shared" si="25"/>
        <v>0</v>
      </c>
      <c r="R12" s="2371">
        <f t="shared" si="26"/>
        <v>0</v>
      </c>
      <c r="S12" s="2367">
        <f t="shared" si="8"/>
        <v>0</v>
      </c>
      <c r="T12" s="592">
        <f t="shared" si="9"/>
        <v>0</v>
      </c>
      <c r="U12" s="1311"/>
      <c r="V12" s="1281" t="str">
        <f t="shared" si="10"/>
        <v>Flurstück 5</v>
      </c>
      <c r="W12" s="1281" t="str">
        <f t="shared" si="11"/>
        <v>keine</v>
      </c>
      <c r="X12" s="1329"/>
      <c r="Y12" s="1330" t="s">
        <v>795</v>
      </c>
      <c r="Z12" s="1424">
        <v>0</v>
      </c>
      <c r="AA12" s="1033">
        <f>VLOOKUP(Y12,Düngemittel!$B$6:$E$64,2,FALSE)*(VLOOKUP(Y12,Düngemittel!$B$6:$E$64,3,FALSE))/100*Z12</f>
        <v>0</v>
      </c>
      <c r="AB12" s="1033">
        <f>VLOOKUP(Y12,Düngemittel!$B$6:$E$64,2,FALSE)*Z12</f>
        <v>0</v>
      </c>
      <c r="AC12" s="1033">
        <f>VLOOKUP(Y12,Düngemittel!$B$6:$E$64,4,FALSE)*Z12</f>
        <v>0</v>
      </c>
      <c r="AD12" s="1311"/>
      <c r="AE12" s="1329"/>
      <c r="AF12" s="1330" t="s">
        <v>795</v>
      </c>
      <c r="AG12" s="1424">
        <v>0</v>
      </c>
      <c r="AH12" s="1033">
        <f>VLOOKUP(AF12,Düngemittel!$B$6:$E$64,2,FALSE)*(VLOOKUP(AF12,Düngemittel!$B$6:$E$64,3,FALSE))/100*AG12</f>
        <v>0</v>
      </c>
      <c r="AI12" s="1033">
        <f>VLOOKUP(AF12,Düngemittel!$B$6:$E$64,2,FALSE)*AG12</f>
        <v>0</v>
      </c>
      <c r="AJ12" s="1033">
        <f>VLOOKUP(AF12,Düngemittel!$B$6:$E$64,4,FALSE)*AG12</f>
        <v>0</v>
      </c>
      <c r="AK12" s="1311"/>
      <c r="AL12" s="1329"/>
      <c r="AM12" s="1330" t="s">
        <v>795</v>
      </c>
      <c r="AN12" s="1424">
        <v>0</v>
      </c>
      <c r="AO12" s="1033">
        <f>VLOOKUP(AM12,Düngemittel!$B$6:$E$64,2,FALSE)*(VLOOKUP(AM12,Düngemittel!$B$6:$E$64,3,FALSE))/100*AN12</f>
        <v>0</v>
      </c>
      <c r="AP12" s="1033">
        <f>VLOOKUP(AM12,Düngemittel!$B$6:$E$64,2,FALSE)*AN12</f>
        <v>0</v>
      </c>
      <c r="AQ12" s="1033">
        <f>VLOOKUP(AM12,Düngemittel!$B$6:$E$64,4,FALSE)*AN12</f>
        <v>0</v>
      </c>
      <c r="AR12" s="1311"/>
      <c r="AS12" s="1329"/>
      <c r="AT12" s="1330" t="s">
        <v>795</v>
      </c>
      <c r="AU12" s="1424">
        <v>0</v>
      </c>
      <c r="AV12" s="1033">
        <f>VLOOKUP(AT12,Düngemittel!$B$6:$E$64,2,FALSE)*(VLOOKUP(AT12,Düngemittel!$B$6:$E$64,3,FALSE))/100*AU12</f>
        <v>0</v>
      </c>
      <c r="AW12" s="1033">
        <f>VLOOKUP(AT12,Düngemittel!$B$6:$E$64,2,FALSE)*AU12</f>
        <v>0</v>
      </c>
      <c r="AX12" s="1033">
        <f>VLOOKUP(AT12,Düngemittel!$B$6:$E$64,4,FALSE)*AU12</f>
        <v>0</v>
      </c>
      <c r="AY12" s="1311"/>
      <c r="AZ12" s="1329"/>
      <c r="BA12" s="1330" t="s">
        <v>795</v>
      </c>
      <c r="BB12" s="1424">
        <v>0</v>
      </c>
      <c r="BC12" s="1033">
        <f>VLOOKUP(BA12,Düngemittel!$B$6:$E$64,2,FALSE)*(VLOOKUP(BA12,Düngemittel!$B$6:$E$64,3,FALSE))/100*BB12</f>
        <v>0</v>
      </c>
      <c r="BD12" s="1033">
        <f>VLOOKUP(BA12,Düngemittel!$B$6:$E$64,2,FALSE)*BB12</f>
        <v>0</v>
      </c>
      <c r="BE12" s="1033">
        <f>VLOOKUP(BA12,Düngemittel!$B$6:$E$64,4,FALSE)*BB12</f>
        <v>0</v>
      </c>
      <c r="BF12" s="1311"/>
      <c r="BG12" s="1282">
        <f t="shared" si="15"/>
        <v>0</v>
      </c>
      <c r="BH12" s="1322">
        <f t="shared" si="16"/>
        <v>0</v>
      </c>
      <c r="BI12" s="1282">
        <f t="shared" si="17"/>
        <v>0</v>
      </c>
      <c r="BJ12" s="1138">
        <f t="shared" si="18"/>
        <v>0</v>
      </c>
      <c r="BK12" s="1322">
        <f t="shared" si="19"/>
        <v>0</v>
      </c>
      <c r="BL12" s="95"/>
      <c r="BM12" s="1135">
        <f t="shared" si="20"/>
        <v>0</v>
      </c>
      <c r="BN12" s="1135">
        <f t="shared" si="21"/>
        <v>0</v>
      </c>
      <c r="BO12" s="1135">
        <f t="shared" si="22"/>
        <v>0</v>
      </c>
      <c r="BP12" s="1135">
        <f t="shared" si="23"/>
        <v>0</v>
      </c>
      <c r="BQ12" s="1135">
        <f t="shared" si="24"/>
        <v>0</v>
      </c>
      <c r="BR12" s="1311"/>
      <c r="BS12" s="1311"/>
      <c r="BT12" s="528">
        <f t="shared" si="13"/>
        <v>0</v>
      </c>
      <c r="BU12" s="528">
        <f t="shared" si="14"/>
        <v>0</v>
      </c>
      <c r="BW12" s="748" t="s">
        <v>683</v>
      </c>
      <c r="BX12" s="748">
        <v>350</v>
      </c>
      <c r="BY12" s="748">
        <v>190</v>
      </c>
      <c r="BZ12" s="748">
        <v>0.2</v>
      </c>
      <c r="CA12" s="748">
        <v>0.3</v>
      </c>
      <c r="CB12" s="808">
        <v>90</v>
      </c>
      <c r="CC12" s="749">
        <v>0.28000000000000003</v>
      </c>
      <c r="CD12" s="480">
        <f t="shared" si="0"/>
        <v>98.000000000000014</v>
      </c>
      <c r="CE12" s="126"/>
      <c r="CF12" s="969"/>
    </row>
    <row r="13" spans="1:85" ht="26.25" customHeight="1">
      <c r="A13" s="468">
        <v>6</v>
      </c>
      <c r="B13" s="1699">
        <v>0</v>
      </c>
      <c r="C13" s="759" t="s">
        <v>31</v>
      </c>
      <c r="D13" s="565">
        <f t="shared" si="1"/>
        <v>0</v>
      </c>
      <c r="E13" s="584">
        <f t="shared" si="2"/>
        <v>0</v>
      </c>
      <c r="F13" s="1690">
        <v>0</v>
      </c>
      <c r="G13" s="570">
        <f t="shared" si="3"/>
        <v>0</v>
      </c>
      <c r="H13" s="761" t="s">
        <v>503</v>
      </c>
      <c r="I13" s="584">
        <f t="shared" si="4"/>
        <v>0</v>
      </c>
      <c r="J13" s="587" t="s">
        <v>31</v>
      </c>
      <c r="K13" s="765">
        <f t="shared" si="5"/>
        <v>0</v>
      </c>
      <c r="L13" s="565">
        <f t="shared" si="6"/>
        <v>0</v>
      </c>
      <c r="M13" s="1693">
        <v>0</v>
      </c>
      <c r="N13" s="609" t="s">
        <v>160</v>
      </c>
      <c r="O13" s="584">
        <f t="shared" si="7"/>
        <v>0</v>
      </c>
      <c r="P13" s="1696">
        <v>0</v>
      </c>
      <c r="Q13" s="1894">
        <f t="shared" si="25"/>
        <v>0</v>
      </c>
      <c r="R13" s="2371">
        <f t="shared" si="26"/>
        <v>0</v>
      </c>
      <c r="S13" s="2367">
        <f t="shared" si="8"/>
        <v>0</v>
      </c>
      <c r="T13" s="592">
        <f t="shared" si="9"/>
        <v>0</v>
      </c>
      <c r="U13" s="1311"/>
      <c r="V13" s="1281">
        <f t="shared" si="10"/>
        <v>6</v>
      </c>
      <c r="W13" s="1281" t="str">
        <f t="shared" si="11"/>
        <v>keine</v>
      </c>
      <c r="X13" s="1329"/>
      <c r="Y13" s="1330" t="s">
        <v>795</v>
      </c>
      <c r="Z13" s="1424">
        <v>0</v>
      </c>
      <c r="AA13" s="1033">
        <f>VLOOKUP(Y13,Düngemittel!$B$6:$E$64,2,FALSE)*(VLOOKUP(Y13,Düngemittel!$B$6:$E$64,3,FALSE))/100*Z13</f>
        <v>0</v>
      </c>
      <c r="AB13" s="1033">
        <f>VLOOKUP(Y13,Düngemittel!$B$6:$E$64,2,FALSE)*Z13</f>
        <v>0</v>
      </c>
      <c r="AC13" s="1033">
        <f>VLOOKUP(Y13,Düngemittel!$B$6:$E$64,4,FALSE)*Z13</f>
        <v>0</v>
      </c>
      <c r="AD13" s="1311"/>
      <c r="AE13" s="1329"/>
      <c r="AF13" s="1330" t="s">
        <v>795</v>
      </c>
      <c r="AG13" s="1424">
        <v>0</v>
      </c>
      <c r="AH13" s="1033">
        <f>VLOOKUP(AF13,Düngemittel!$B$6:$E$64,2,FALSE)*(VLOOKUP(AF13,Düngemittel!$B$6:$E$64,3,FALSE))/100*AG13</f>
        <v>0</v>
      </c>
      <c r="AI13" s="1033">
        <f>VLOOKUP(AF13,Düngemittel!$B$6:$E$64,2,FALSE)*AG13</f>
        <v>0</v>
      </c>
      <c r="AJ13" s="1033">
        <f>VLOOKUP(AF13,Düngemittel!$B$6:$E$64,4,FALSE)*AG13</f>
        <v>0</v>
      </c>
      <c r="AK13" s="1311"/>
      <c r="AL13" s="1329"/>
      <c r="AM13" s="1330" t="s">
        <v>795</v>
      </c>
      <c r="AN13" s="1424">
        <v>0</v>
      </c>
      <c r="AO13" s="1033">
        <f>VLOOKUP(AM13,Düngemittel!$B$6:$E$64,2,FALSE)*(VLOOKUP(AM13,Düngemittel!$B$6:$E$64,3,FALSE))/100*AN13</f>
        <v>0</v>
      </c>
      <c r="AP13" s="1033">
        <f>VLOOKUP(AM13,Düngemittel!$B$6:$E$64,2,FALSE)*AN13</f>
        <v>0</v>
      </c>
      <c r="AQ13" s="1033">
        <f>VLOOKUP(AM13,Düngemittel!$B$6:$E$64,4,FALSE)*AN13</f>
        <v>0</v>
      </c>
      <c r="AR13" s="1311"/>
      <c r="AS13" s="1329"/>
      <c r="AT13" s="1330" t="s">
        <v>795</v>
      </c>
      <c r="AU13" s="1424">
        <v>0</v>
      </c>
      <c r="AV13" s="1033">
        <f>VLOOKUP(AT13,Düngemittel!$B$6:$E$64,2,FALSE)*(VLOOKUP(AT13,Düngemittel!$B$6:$E$64,3,FALSE))/100*AU13</f>
        <v>0</v>
      </c>
      <c r="AW13" s="1033">
        <f>VLOOKUP(AT13,Düngemittel!$B$6:$E$64,2,FALSE)*AU13</f>
        <v>0</v>
      </c>
      <c r="AX13" s="1033">
        <f>VLOOKUP(AT13,Düngemittel!$B$6:$E$64,4,FALSE)*AU13</f>
        <v>0</v>
      </c>
      <c r="AY13" s="1311"/>
      <c r="AZ13" s="1329"/>
      <c r="BA13" s="1330" t="s">
        <v>795</v>
      </c>
      <c r="BB13" s="1424">
        <v>0</v>
      </c>
      <c r="BC13" s="1033">
        <f>VLOOKUP(BA13,Düngemittel!$B$6:$E$64,2,FALSE)*(VLOOKUP(BA13,Düngemittel!$B$6:$E$64,3,FALSE))/100*BB13</f>
        <v>0</v>
      </c>
      <c r="BD13" s="1033">
        <f>VLOOKUP(BA13,Düngemittel!$B$6:$E$64,2,FALSE)*BB13</f>
        <v>0</v>
      </c>
      <c r="BE13" s="1033">
        <f>VLOOKUP(BA13,Düngemittel!$B$6:$E$64,4,FALSE)*BB13</f>
        <v>0</v>
      </c>
      <c r="BF13" s="1311"/>
      <c r="BG13" s="1282">
        <f t="shared" si="15"/>
        <v>0</v>
      </c>
      <c r="BH13" s="1322">
        <f t="shared" si="16"/>
        <v>0</v>
      </c>
      <c r="BI13" s="1282">
        <f t="shared" si="17"/>
        <v>0</v>
      </c>
      <c r="BJ13" s="1138">
        <f t="shared" si="18"/>
        <v>0</v>
      </c>
      <c r="BK13" s="1322">
        <f t="shared" si="19"/>
        <v>0</v>
      </c>
      <c r="BL13" s="95"/>
      <c r="BM13" s="1135">
        <f t="shared" si="20"/>
        <v>0</v>
      </c>
      <c r="BN13" s="1135">
        <f t="shared" si="21"/>
        <v>0</v>
      </c>
      <c r="BO13" s="1135">
        <f t="shared" si="22"/>
        <v>0</v>
      </c>
      <c r="BP13" s="1135">
        <f t="shared" si="23"/>
        <v>0</v>
      </c>
      <c r="BQ13" s="1135">
        <f t="shared" si="24"/>
        <v>0</v>
      </c>
      <c r="BR13" s="1311"/>
      <c r="BS13" s="1311"/>
      <c r="BT13" s="528">
        <f t="shared" si="13"/>
        <v>0</v>
      </c>
      <c r="BU13" s="528">
        <f t="shared" si="14"/>
        <v>0</v>
      </c>
      <c r="BW13" s="748" t="s">
        <v>684</v>
      </c>
      <c r="BX13" s="748">
        <v>350</v>
      </c>
      <c r="BY13" s="748">
        <v>100</v>
      </c>
      <c r="BZ13" s="748">
        <v>0.2</v>
      </c>
      <c r="CA13" s="748">
        <v>0.3</v>
      </c>
      <c r="CB13" s="808">
        <v>60</v>
      </c>
      <c r="CC13" s="749">
        <v>0.15</v>
      </c>
      <c r="CD13" s="480">
        <f t="shared" si="0"/>
        <v>52.5</v>
      </c>
      <c r="CE13" s="126"/>
      <c r="CF13" s="969"/>
    </row>
    <row r="14" spans="1:85" ht="26.25" customHeight="1">
      <c r="A14" s="468">
        <v>7</v>
      </c>
      <c r="B14" s="1699">
        <v>0</v>
      </c>
      <c r="C14" s="759" t="s">
        <v>31</v>
      </c>
      <c r="D14" s="565">
        <f t="shared" si="1"/>
        <v>0</v>
      </c>
      <c r="E14" s="584">
        <f t="shared" si="2"/>
        <v>0</v>
      </c>
      <c r="F14" s="1690">
        <v>0</v>
      </c>
      <c r="G14" s="570">
        <f t="shared" si="3"/>
        <v>0</v>
      </c>
      <c r="H14" s="761" t="s">
        <v>503</v>
      </c>
      <c r="I14" s="584">
        <f t="shared" si="4"/>
        <v>0</v>
      </c>
      <c r="J14" s="587" t="s">
        <v>31</v>
      </c>
      <c r="K14" s="765">
        <f t="shared" si="5"/>
        <v>0</v>
      </c>
      <c r="L14" s="565">
        <f t="shared" si="6"/>
        <v>0</v>
      </c>
      <c r="M14" s="1693">
        <v>0</v>
      </c>
      <c r="N14" s="609" t="s">
        <v>160</v>
      </c>
      <c r="O14" s="584">
        <f t="shared" si="7"/>
        <v>0</v>
      </c>
      <c r="P14" s="1696">
        <v>0</v>
      </c>
      <c r="Q14" s="1894">
        <f t="shared" si="25"/>
        <v>0</v>
      </c>
      <c r="R14" s="2371">
        <f t="shared" si="26"/>
        <v>0</v>
      </c>
      <c r="S14" s="2367">
        <f t="shared" si="8"/>
        <v>0</v>
      </c>
      <c r="T14" s="592">
        <f t="shared" si="9"/>
        <v>0</v>
      </c>
      <c r="U14" s="1311"/>
      <c r="V14" s="1281">
        <f t="shared" si="10"/>
        <v>7</v>
      </c>
      <c r="W14" s="1281" t="str">
        <f t="shared" si="11"/>
        <v>keine</v>
      </c>
      <c r="X14" s="1329"/>
      <c r="Y14" s="1330" t="s">
        <v>795</v>
      </c>
      <c r="Z14" s="1424">
        <v>0</v>
      </c>
      <c r="AA14" s="1033">
        <f>VLOOKUP(Y14,Düngemittel!$B$6:$E$64,2,FALSE)*(VLOOKUP(Y14,Düngemittel!$B$6:$E$64,3,FALSE))/100*Z14</f>
        <v>0</v>
      </c>
      <c r="AB14" s="1033">
        <f>VLOOKUP(Y14,Düngemittel!$B$6:$E$64,2,FALSE)*Z14</f>
        <v>0</v>
      </c>
      <c r="AC14" s="1033">
        <f>VLOOKUP(Y14,Düngemittel!$B$6:$E$64,4,FALSE)*Z14</f>
        <v>0</v>
      </c>
      <c r="AD14" s="1311"/>
      <c r="AE14" s="1329"/>
      <c r="AF14" s="1330" t="s">
        <v>795</v>
      </c>
      <c r="AG14" s="1424">
        <v>0</v>
      </c>
      <c r="AH14" s="1033">
        <f>VLOOKUP(AF14,Düngemittel!$B$6:$E$64,2,FALSE)*(VLOOKUP(AF14,Düngemittel!$B$6:$E$64,3,FALSE))/100*AG14</f>
        <v>0</v>
      </c>
      <c r="AI14" s="1033">
        <f>VLOOKUP(AF14,Düngemittel!$B$6:$E$64,2,FALSE)*AG14</f>
        <v>0</v>
      </c>
      <c r="AJ14" s="1033">
        <f>VLOOKUP(AF14,Düngemittel!$B$6:$E$64,4,FALSE)*AG14</f>
        <v>0</v>
      </c>
      <c r="AK14" s="1311"/>
      <c r="AL14" s="1329"/>
      <c r="AM14" s="1330" t="s">
        <v>795</v>
      </c>
      <c r="AN14" s="1424">
        <v>0</v>
      </c>
      <c r="AO14" s="1033">
        <f>VLOOKUP(AM14,Düngemittel!$B$6:$E$64,2,FALSE)*(VLOOKUP(AM14,Düngemittel!$B$6:$E$64,3,FALSE))/100*AN14</f>
        <v>0</v>
      </c>
      <c r="AP14" s="1033">
        <f>VLOOKUP(AM14,Düngemittel!$B$6:$E$64,2,FALSE)*AN14</f>
        <v>0</v>
      </c>
      <c r="AQ14" s="1033">
        <f>VLOOKUP(AM14,Düngemittel!$B$6:$E$64,4,FALSE)*AN14</f>
        <v>0</v>
      </c>
      <c r="AR14" s="1311"/>
      <c r="AS14" s="1329"/>
      <c r="AT14" s="1330" t="s">
        <v>795</v>
      </c>
      <c r="AU14" s="1424">
        <v>0</v>
      </c>
      <c r="AV14" s="1033">
        <f>VLOOKUP(AT14,Düngemittel!$B$6:$E$64,2,FALSE)*(VLOOKUP(AT14,Düngemittel!$B$6:$E$64,3,FALSE))/100*AU14</f>
        <v>0</v>
      </c>
      <c r="AW14" s="1033">
        <f>VLOOKUP(AT14,Düngemittel!$B$6:$E$64,2,FALSE)*AU14</f>
        <v>0</v>
      </c>
      <c r="AX14" s="1033">
        <f>VLOOKUP(AT14,Düngemittel!$B$6:$E$64,4,FALSE)*AU14</f>
        <v>0</v>
      </c>
      <c r="AY14" s="1311"/>
      <c r="AZ14" s="1329"/>
      <c r="BA14" s="1330" t="s">
        <v>795</v>
      </c>
      <c r="BB14" s="1424">
        <v>0</v>
      </c>
      <c r="BC14" s="1033">
        <f>VLOOKUP(BA14,Düngemittel!$B$6:$E$64,2,FALSE)*(VLOOKUP(BA14,Düngemittel!$B$6:$E$64,3,FALSE))/100*BB14</f>
        <v>0</v>
      </c>
      <c r="BD14" s="1033">
        <f>VLOOKUP(BA14,Düngemittel!$B$6:$E$64,2,FALSE)*BB14</f>
        <v>0</v>
      </c>
      <c r="BE14" s="1033">
        <f>VLOOKUP(BA14,Düngemittel!$B$6:$E$64,4,FALSE)*BB14</f>
        <v>0</v>
      </c>
      <c r="BF14" s="1311"/>
      <c r="BG14" s="1282">
        <f t="shared" si="15"/>
        <v>0</v>
      </c>
      <c r="BH14" s="1322">
        <f t="shared" si="16"/>
        <v>0</v>
      </c>
      <c r="BI14" s="1282">
        <f t="shared" si="17"/>
        <v>0</v>
      </c>
      <c r="BJ14" s="1138">
        <f t="shared" si="18"/>
        <v>0</v>
      </c>
      <c r="BK14" s="1322">
        <f t="shared" si="19"/>
        <v>0</v>
      </c>
      <c r="BL14" s="95"/>
      <c r="BM14" s="1135">
        <f t="shared" si="20"/>
        <v>0</v>
      </c>
      <c r="BN14" s="1135">
        <f t="shared" si="21"/>
        <v>0</v>
      </c>
      <c r="BO14" s="1135">
        <f t="shared" si="22"/>
        <v>0</v>
      </c>
      <c r="BP14" s="1135">
        <f t="shared" si="23"/>
        <v>0</v>
      </c>
      <c r="BQ14" s="1135">
        <f t="shared" si="24"/>
        <v>0</v>
      </c>
      <c r="BR14" s="1311"/>
      <c r="BS14" s="1311"/>
      <c r="BT14" s="528">
        <f t="shared" si="13"/>
        <v>0</v>
      </c>
      <c r="BU14" s="528">
        <f t="shared" si="14"/>
        <v>0</v>
      </c>
      <c r="BW14" s="748" t="s">
        <v>685</v>
      </c>
      <c r="BX14" s="748">
        <v>350</v>
      </c>
      <c r="BY14" s="748">
        <v>180</v>
      </c>
      <c r="BZ14" s="748">
        <v>0.2</v>
      </c>
      <c r="CA14" s="748">
        <v>0.3</v>
      </c>
      <c r="CB14" s="808">
        <v>60</v>
      </c>
      <c r="CC14" s="749">
        <v>0.15</v>
      </c>
      <c r="CD14" s="480">
        <f t="shared" si="0"/>
        <v>52.5</v>
      </c>
      <c r="CE14" s="126"/>
      <c r="CF14"/>
    </row>
    <row r="15" spans="1:85" ht="26.25" customHeight="1">
      <c r="A15" s="468">
        <v>8</v>
      </c>
      <c r="B15" s="1699">
        <v>0</v>
      </c>
      <c r="C15" s="759" t="s">
        <v>31</v>
      </c>
      <c r="D15" s="565">
        <f t="shared" si="1"/>
        <v>0</v>
      </c>
      <c r="E15" s="584">
        <f t="shared" si="2"/>
        <v>0</v>
      </c>
      <c r="F15" s="1690">
        <v>0</v>
      </c>
      <c r="G15" s="570">
        <f t="shared" si="3"/>
        <v>0</v>
      </c>
      <c r="H15" s="761" t="s">
        <v>503</v>
      </c>
      <c r="I15" s="584">
        <f t="shared" si="4"/>
        <v>0</v>
      </c>
      <c r="J15" s="587" t="s">
        <v>31</v>
      </c>
      <c r="K15" s="765">
        <f t="shared" si="5"/>
        <v>0</v>
      </c>
      <c r="L15" s="565">
        <f t="shared" si="6"/>
        <v>0</v>
      </c>
      <c r="M15" s="1693">
        <v>0</v>
      </c>
      <c r="N15" s="609" t="s">
        <v>160</v>
      </c>
      <c r="O15" s="584">
        <f t="shared" si="7"/>
        <v>0</v>
      </c>
      <c r="P15" s="1696">
        <v>0</v>
      </c>
      <c r="Q15" s="1894">
        <f t="shared" si="25"/>
        <v>0</v>
      </c>
      <c r="R15" s="2371">
        <f t="shared" si="26"/>
        <v>0</v>
      </c>
      <c r="S15" s="2367">
        <f t="shared" si="8"/>
        <v>0</v>
      </c>
      <c r="T15" s="592">
        <f t="shared" si="9"/>
        <v>0</v>
      </c>
      <c r="U15" s="1311"/>
      <c r="V15" s="1281">
        <f t="shared" si="10"/>
        <v>8</v>
      </c>
      <c r="W15" s="1281" t="str">
        <f t="shared" si="11"/>
        <v>keine</v>
      </c>
      <c r="X15" s="1329"/>
      <c r="Y15" s="1330" t="s">
        <v>795</v>
      </c>
      <c r="Z15" s="1424">
        <v>0</v>
      </c>
      <c r="AA15" s="1033">
        <f>VLOOKUP(Y15,Düngemittel!$B$6:$E$64,2,FALSE)*(VLOOKUP(Y15,Düngemittel!$B$6:$E$64,3,FALSE))/100*Z15</f>
        <v>0</v>
      </c>
      <c r="AB15" s="1033">
        <f>VLOOKUP(Y15,Düngemittel!$B$6:$E$64,2,FALSE)*Z15</f>
        <v>0</v>
      </c>
      <c r="AC15" s="1033">
        <f>VLOOKUP(Y15,Düngemittel!$B$6:$E$64,4,FALSE)*Z15</f>
        <v>0</v>
      </c>
      <c r="AD15" s="1311"/>
      <c r="AE15" s="1329"/>
      <c r="AF15" s="1330" t="s">
        <v>795</v>
      </c>
      <c r="AG15" s="1424">
        <v>0</v>
      </c>
      <c r="AH15" s="1033">
        <f>VLOOKUP(AF15,Düngemittel!$B$6:$E$64,2,FALSE)*(VLOOKUP(AF15,Düngemittel!$B$6:$E$64,3,FALSE))/100*AG15</f>
        <v>0</v>
      </c>
      <c r="AI15" s="1033">
        <f>VLOOKUP(AF15,Düngemittel!$B$6:$E$64,2,FALSE)*AG15</f>
        <v>0</v>
      </c>
      <c r="AJ15" s="1033">
        <f>VLOOKUP(AF15,Düngemittel!$B$6:$E$64,4,FALSE)*AG15</f>
        <v>0</v>
      </c>
      <c r="AK15" s="1311"/>
      <c r="AL15" s="1329"/>
      <c r="AM15" s="1330" t="s">
        <v>795</v>
      </c>
      <c r="AN15" s="1424">
        <v>0</v>
      </c>
      <c r="AO15" s="1033">
        <f>VLOOKUP(AM15,Düngemittel!$B$6:$E$64,2,FALSE)*(VLOOKUP(AM15,Düngemittel!$B$6:$E$64,3,FALSE))/100*AN15</f>
        <v>0</v>
      </c>
      <c r="AP15" s="1033">
        <f>VLOOKUP(AM15,Düngemittel!$B$6:$E$64,2,FALSE)*AN15</f>
        <v>0</v>
      </c>
      <c r="AQ15" s="1033">
        <f>VLOOKUP(AM15,Düngemittel!$B$6:$E$64,4,FALSE)*AN15</f>
        <v>0</v>
      </c>
      <c r="AR15" s="1311"/>
      <c r="AS15" s="1329"/>
      <c r="AT15" s="1330" t="s">
        <v>795</v>
      </c>
      <c r="AU15" s="1424">
        <v>0</v>
      </c>
      <c r="AV15" s="1033">
        <f>VLOOKUP(AT15,Düngemittel!$B$6:$E$64,2,FALSE)*(VLOOKUP(AT15,Düngemittel!$B$6:$E$64,3,FALSE))/100*AU15</f>
        <v>0</v>
      </c>
      <c r="AW15" s="1033">
        <f>VLOOKUP(AT15,Düngemittel!$B$6:$E$64,2,FALSE)*AU15</f>
        <v>0</v>
      </c>
      <c r="AX15" s="1033">
        <f>VLOOKUP(AT15,Düngemittel!$B$6:$E$64,4,FALSE)*AU15</f>
        <v>0</v>
      </c>
      <c r="AY15" s="1311"/>
      <c r="AZ15" s="1329"/>
      <c r="BA15" s="1330" t="s">
        <v>795</v>
      </c>
      <c r="BB15" s="1424">
        <v>0</v>
      </c>
      <c r="BC15" s="1033">
        <f>VLOOKUP(BA15,Düngemittel!$B$6:$E$64,2,FALSE)*(VLOOKUP(BA15,Düngemittel!$B$6:$E$64,3,FALSE))/100*BB15</f>
        <v>0</v>
      </c>
      <c r="BD15" s="1033">
        <f>VLOOKUP(BA15,Düngemittel!$B$6:$E$64,2,FALSE)*BB15</f>
        <v>0</v>
      </c>
      <c r="BE15" s="1033">
        <f>VLOOKUP(BA15,Düngemittel!$B$6:$E$64,4,FALSE)*BB15</f>
        <v>0</v>
      </c>
      <c r="BF15" s="1311"/>
      <c r="BG15" s="1282">
        <f t="shared" si="15"/>
        <v>0</v>
      </c>
      <c r="BH15" s="1322">
        <f t="shared" si="16"/>
        <v>0</v>
      </c>
      <c r="BI15" s="1282">
        <f t="shared" si="17"/>
        <v>0</v>
      </c>
      <c r="BJ15" s="1138">
        <f t="shared" si="18"/>
        <v>0</v>
      </c>
      <c r="BK15" s="1322">
        <f t="shared" si="19"/>
        <v>0</v>
      </c>
      <c r="BL15" s="95"/>
      <c r="BM15" s="1135">
        <f t="shared" si="20"/>
        <v>0</v>
      </c>
      <c r="BN15" s="1135">
        <f t="shared" si="21"/>
        <v>0</v>
      </c>
      <c r="BO15" s="1135">
        <f t="shared" si="22"/>
        <v>0</v>
      </c>
      <c r="BP15" s="1135">
        <f t="shared" si="23"/>
        <v>0</v>
      </c>
      <c r="BQ15" s="1135">
        <f t="shared" si="24"/>
        <v>0</v>
      </c>
      <c r="BR15" s="1311"/>
      <c r="BS15" s="1311"/>
      <c r="BT15" s="528">
        <f t="shared" si="13"/>
        <v>0</v>
      </c>
      <c r="BU15" s="528">
        <f t="shared" si="14"/>
        <v>0</v>
      </c>
      <c r="BW15" s="280" t="s">
        <v>692</v>
      </c>
      <c r="BX15" s="280">
        <v>650</v>
      </c>
      <c r="BY15" s="753">
        <v>190</v>
      </c>
      <c r="BZ15" s="754">
        <v>0.2</v>
      </c>
      <c r="CA15" s="754">
        <v>0.24</v>
      </c>
      <c r="CB15" s="806">
        <v>90</v>
      </c>
      <c r="CC15" s="749">
        <v>0.09</v>
      </c>
      <c r="CD15" s="480">
        <f t="shared" si="0"/>
        <v>58.5</v>
      </c>
    </row>
    <row r="16" spans="1:85" ht="26.25" customHeight="1">
      <c r="A16" s="468">
        <v>9</v>
      </c>
      <c r="B16" s="1699">
        <v>0</v>
      </c>
      <c r="C16" s="759" t="s">
        <v>31</v>
      </c>
      <c r="D16" s="565">
        <f t="shared" si="1"/>
        <v>0</v>
      </c>
      <c r="E16" s="584">
        <f t="shared" si="2"/>
        <v>0</v>
      </c>
      <c r="F16" s="1690">
        <v>0</v>
      </c>
      <c r="G16" s="570">
        <f t="shared" si="3"/>
        <v>0</v>
      </c>
      <c r="H16" s="761" t="s">
        <v>503</v>
      </c>
      <c r="I16" s="584">
        <f t="shared" si="4"/>
        <v>0</v>
      </c>
      <c r="J16" s="587" t="s">
        <v>31</v>
      </c>
      <c r="K16" s="765">
        <f t="shared" si="5"/>
        <v>0</v>
      </c>
      <c r="L16" s="565">
        <f t="shared" si="6"/>
        <v>0</v>
      </c>
      <c r="M16" s="1693">
        <v>0</v>
      </c>
      <c r="N16" s="609" t="s">
        <v>160</v>
      </c>
      <c r="O16" s="584">
        <f t="shared" si="7"/>
        <v>0</v>
      </c>
      <c r="P16" s="1696">
        <v>0</v>
      </c>
      <c r="Q16" s="1894">
        <f t="shared" si="25"/>
        <v>0</v>
      </c>
      <c r="R16" s="2371">
        <f t="shared" si="26"/>
        <v>0</v>
      </c>
      <c r="S16" s="2367">
        <f t="shared" si="8"/>
        <v>0</v>
      </c>
      <c r="T16" s="592">
        <f t="shared" si="9"/>
        <v>0</v>
      </c>
      <c r="U16" s="1311"/>
      <c r="V16" s="1281">
        <f t="shared" si="10"/>
        <v>9</v>
      </c>
      <c r="W16" s="1281" t="str">
        <f t="shared" si="11"/>
        <v>keine</v>
      </c>
      <c r="X16" s="1329"/>
      <c r="Y16" s="1330" t="s">
        <v>795</v>
      </c>
      <c r="Z16" s="1424">
        <v>0</v>
      </c>
      <c r="AA16" s="1033">
        <f>VLOOKUP(Y16,Düngemittel!$B$6:$E$64,2,FALSE)*(VLOOKUP(Y16,Düngemittel!$B$6:$E$64,3,FALSE))/100*Z16</f>
        <v>0</v>
      </c>
      <c r="AB16" s="1033">
        <f>VLOOKUP(Y16,Düngemittel!$B$6:$E$64,2,FALSE)*Z16</f>
        <v>0</v>
      </c>
      <c r="AC16" s="1033">
        <f>VLOOKUP(Y16,Düngemittel!$B$6:$E$64,4,FALSE)*Z16</f>
        <v>0</v>
      </c>
      <c r="AD16" s="1311"/>
      <c r="AE16" s="1329"/>
      <c r="AF16" s="1330" t="s">
        <v>795</v>
      </c>
      <c r="AG16" s="1424">
        <v>0</v>
      </c>
      <c r="AH16" s="1033">
        <f>VLOOKUP(AF16,Düngemittel!$B$6:$E$64,2,FALSE)*(VLOOKUP(AF16,Düngemittel!$B$6:$E$64,3,FALSE))/100*AG16</f>
        <v>0</v>
      </c>
      <c r="AI16" s="1033">
        <f>VLOOKUP(AF16,Düngemittel!$B$6:$E$64,2,FALSE)*AG16</f>
        <v>0</v>
      </c>
      <c r="AJ16" s="1033">
        <f>VLOOKUP(AF16,Düngemittel!$B$6:$E$64,4,FALSE)*AG16</f>
        <v>0</v>
      </c>
      <c r="AK16" s="1311"/>
      <c r="AL16" s="1329"/>
      <c r="AM16" s="1330" t="s">
        <v>795</v>
      </c>
      <c r="AN16" s="1424">
        <v>0</v>
      </c>
      <c r="AO16" s="1033">
        <f>VLOOKUP(AM16,Düngemittel!$B$6:$E$64,2,FALSE)*(VLOOKUP(AM16,Düngemittel!$B$6:$E$64,3,FALSE))/100*AN16</f>
        <v>0</v>
      </c>
      <c r="AP16" s="1033">
        <f>VLOOKUP(AM16,Düngemittel!$B$6:$E$64,2,FALSE)*AN16</f>
        <v>0</v>
      </c>
      <c r="AQ16" s="1033">
        <f>VLOOKUP(AM16,Düngemittel!$B$6:$E$64,4,FALSE)*AN16</f>
        <v>0</v>
      </c>
      <c r="AR16" s="1311"/>
      <c r="AS16" s="1329"/>
      <c r="AT16" s="1330" t="s">
        <v>795</v>
      </c>
      <c r="AU16" s="1424">
        <v>0</v>
      </c>
      <c r="AV16" s="1033">
        <f>VLOOKUP(AT16,Düngemittel!$B$6:$E$64,2,FALSE)*(VLOOKUP(AT16,Düngemittel!$B$6:$E$64,3,FALSE))/100*AU16</f>
        <v>0</v>
      </c>
      <c r="AW16" s="1033">
        <f>VLOOKUP(AT16,Düngemittel!$B$6:$E$64,2,FALSE)*AU16</f>
        <v>0</v>
      </c>
      <c r="AX16" s="1033">
        <f>VLOOKUP(AT16,Düngemittel!$B$6:$E$64,4,FALSE)*AU16</f>
        <v>0</v>
      </c>
      <c r="AY16" s="1311"/>
      <c r="AZ16" s="1329"/>
      <c r="BA16" s="1330" t="s">
        <v>795</v>
      </c>
      <c r="BB16" s="1424">
        <v>0</v>
      </c>
      <c r="BC16" s="1033">
        <f>VLOOKUP(BA16,Düngemittel!$B$6:$E$64,2,FALSE)*(VLOOKUP(BA16,Düngemittel!$B$6:$E$64,3,FALSE))/100*BB16</f>
        <v>0</v>
      </c>
      <c r="BD16" s="1033">
        <f>VLOOKUP(BA16,Düngemittel!$B$6:$E$64,2,FALSE)*BB16</f>
        <v>0</v>
      </c>
      <c r="BE16" s="1033">
        <f>VLOOKUP(BA16,Düngemittel!$B$6:$E$64,4,FALSE)*BB16</f>
        <v>0</v>
      </c>
      <c r="BF16" s="1311"/>
      <c r="BG16" s="1282">
        <f t="shared" si="15"/>
        <v>0</v>
      </c>
      <c r="BH16" s="1322">
        <f t="shared" si="16"/>
        <v>0</v>
      </c>
      <c r="BI16" s="1282">
        <f t="shared" si="17"/>
        <v>0</v>
      </c>
      <c r="BJ16" s="1138">
        <f t="shared" si="18"/>
        <v>0</v>
      </c>
      <c r="BK16" s="1322">
        <f t="shared" si="19"/>
        <v>0</v>
      </c>
      <c r="BL16" s="95"/>
      <c r="BM16" s="1135">
        <f t="shared" si="20"/>
        <v>0</v>
      </c>
      <c r="BN16" s="1135">
        <f t="shared" si="21"/>
        <v>0</v>
      </c>
      <c r="BO16" s="1135">
        <f t="shared" si="22"/>
        <v>0</v>
      </c>
      <c r="BP16" s="1135">
        <f t="shared" si="23"/>
        <v>0</v>
      </c>
      <c r="BQ16" s="1135">
        <f t="shared" si="24"/>
        <v>0</v>
      </c>
      <c r="BR16" s="1311"/>
      <c r="BS16" s="1311"/>
      <c r="BT16" s="528">
        <f t="shared" si="13"/>
        <v>0</v>
      </c>
      <c r="BU16" s="528">
        <f t="shared" si="14"/>
        <v>0</v>
      </c>
      <c r="BW16" s="279" t="s">
        <v>16</v>
      </c>
      <c r="BX16" s="279">
        <v>55</v>
      </c>
      <c r="BY16" s="279">
        <v>130</v>
      </c>
      <c r="BZ16" s="279">
        <v>1</v>
      </c>
      <c r="CA16" s="279">
        <v>1.5</v>
      </c>
      <c r="CB16" s="808">
        <v>60</v>
      </c>
      <c r="CC16" s="749">
        <v>0.8</v>
      </c>
      <c r="CD16" s="480">
        <f>BX16*CC16</f>
        <v>44</v>
      </c>
      <c r="CE16" s="173"/>
      <c r="CF16" s="969"/>
    </row>
    <row r="17" spans="1:84" ht="26.25" customHeight="1">
      <c r="A17" s="468">
        <v>10</v>
      </c>
      <c r="B17" s="1699">
        <v>0</v>
      </c>
      <c r="C17" s="759" t="s">
        <v>31</v>
      </c>
      <c r="D17" s="565">
        <f t="shared" si="1"/>
        <v>0</v>
      </c>
      <c r="E17" s="584">
        <f t="shared" si="2"/>
        <v>0</v>
      </c>
      <c r="F17" s="1690">
        <v>0</v>
      </c>
      <c r="G17" s="570">
        <f t="shared" si="3"/>
        <v>0</v>
      </c>
      <c r="H17" s="761" t="s">
        <v>503</v>
      </c>
      <c r="I17" s="584">
        <f t="shared" si="4"/>
        <v>0</v>
      </c>
      <c r="J17" s="587" t="s">
        <v>31</v>
      </c>
      <c r="K17" s="765">
        <f t="shared" si="5"/>
        <v>0</v>
      </c>
      <c r="L17" s="565">
        <f t="shared" si="6"/>
        <v>0</v>
      </c>
      <c r="M17" s="1693">
        <v>0</v>
      </c>
      <c r="N17" s="609" t="s">
        <v>160</v>
      </c>
      <c r="O17" s="584">
        <f t="shared" si="7"/>
        <v>0</v>
      </c>
      <c r="P17" s="1696">
        <v>0</v>
      </c>
      <c r="Q17" s="1894">
        <f t="shared" si="25"/>
        <v>0</v>
      </c>
      <c r="R17" s="2371">
        <f t="shared" si="26"/>
        <v>0</v>
      </c>
      <c r="S17" s="2367">
        <f t="shared" si="8"/>
        <v>0</v>
      </c>
      <c r="T17" s="592">
        <f t="shared" si="9"/>
        <v>0</v>
      </c>
      <c r="U17" s="1311"/>
      <c r="V17" s="1281">
        <f t="shared" si="10"/>
        <v>10</v>
      </c>
      <c r="W17" s="1281" t="str">
        <f t="shared" si="11"/>
        <v>keine</v>
      </c>
      <c r="X17" s="1329"/>
      <c r="Y17" s="1330" t="s">
        <v>795</v>
      </c>
      <c r="Z17" s="1424">
        <v>0</v>
      </c>
      <c r="AA17" s="1033">
        <f>VLOOKUP(Y17,Düngemittel!$B$6:$E$64,2,FALSE)*(VLOOKUP(Y17,Düngemittel!$B$6:$E$64,3,FALSE))/100*Z17</f>
        <v>0</v>
      </c>
      <c r="AB17" s="1033">
        <f>VLOOKUP(Y17,Düngemittel!$B$6:$E$64,2,FALSE)*Z17</f>
        <v>0</v>
      </c>
      <c r="AC17" s="1033">
        <f>VLOOKUP(Y17,Düngemittel!$B$6:$E$64,4,FALSE)*Z17</f>
        <v>0</v>
      </c>
      <c r="AD17" s="1311"/>
      <c r="AE17" s="1329"/>
      <c r="AF17" s="1330" t="s">
        <v>795</v>
      </c>
      <c r="AG17" s="1424">
        <v>0</v>
      </c>
      <c r="AH17" s="1033">
        <f>VLOOKUP(AF17,Düngemittel!$B$6:$E$64,2,FALSE)*(VLOOKUP(AF17,Düngemittel!$B$6:$E$64,3,FALSE))/100*AG17</f>
        <v>0</v>
      </c>
      <c r="AI17" s="1033">
        <f>VLOOKUP(AF17,Düngemittel!$B$6:$E$64,2,FALSE)*AG17</f>
        <v>0</v>
      </c>
      <c r="AJ17" s="1033">
        <f>VLOOKUP(AF17,Düngemittel!$B$6:$E$64,4,FALSE)*AG17</f>
        <v>0</v>
      </c>
      <c r="AK17" s="1311"/>
      <c r="AL17" s="1329"/>
      <c r="AM17" s="1330" t="s">
        <v>795</v>
      </c>
      <c r="AN17" s="1424">
        <v>0</v>
      </c>
      <c r="AO17" s="1033">
        <f>VLOOKUP(AM17,Düngemittel!$B$6:$E$64,2,FALSE)*(VLOOKUP(AM17,Düngemittel!$B$6:$E$64,3,FALSE))/100*AN17</f>
        <v>0</v>
      </c>
      <c r="AP17" s="1033">
        <f>VLOOKUP(AM17,Düngemittel!$B$6:$E$64,2,FALSE)*AN17</f>
        <v>0</v>
      </c>
      <c r="AQ17" s="1033">
        <f>VLOOKUP(AM17,Düngemittel!$B$6:$E$64,4,FALSE)*AN17</f>
        <v>0</v>
      </c>
      <c r="AR17" s="1311"/>
      <c r="AS17" s="1329"/>
      <c r="AT17" s="1330" t="s">
        <v>795</v>
      </c>
      <c r="AU17" s="1424">
        <v>0</v>
      </c>
      <c r="AV17" s="1033">
        <f>VLOOKUP(AT17,Düngemittel!$B$6:$E$64,2,FALSE)*(VLOOKUP(AT17,Düngemittel!$B$6:$E$64,3,FALSE))/100*AU17</f>
        <v>0</v>
      </c>
      <c r="AW17" s="1033">
        <f>VLOOKUP(AT17,Düngemittel!$B$6:$E$64,2,FALSE)*AU17</f>
        <v>0</v>
      </c>
      <c r="AX17" s="1033">
        <f>VLOOKUP(AT17,Düngemittel!$B$6:$E$64,4,FALSE)*AU17</f>
        <v>0</v>
      </c>
      <c r="AY17" s="1311"/>
      <c r="AZ17" s="1329"/>
      <c r="BA17" s="1330" t="s">
        <v>795</v>
      </c>
      <c r="BB17" s="1424">
        <v>0</v>
      </c>
      <c r="BC17" s="1033">
        <f>VLOOKUP(BA17,Düngemittel!$B$6:$E$64,2,FALSE)*(VLOOKUP(BA17,Düngemittel!$B$6:$E$64,3,FALSE))/100*BB17</f>
        <v>0</v>
      </c>
      <c r="BD17" s="1033">
        <f>VLOOKUP(BA17,Düngemittel!$B$6:$E$64,2,FALSE)*BB17</f>
        <v>0</v>
      </c>
      <c r="BE17" s="1033">
        <f>VLOOKUP(BA17,Düngemittel!$B$6:$E$64,4,FALSE)*BB17</f>
        <v>0</v>
      </c>
      <c r="BF17" s="1311"/>
      <c r="BG17" s="1282">
        <f t="shared" si="15"/>
        <v>0</v>
      </c>
      <c r="BH17" s="1322">
        <f t="shared" si="16"/>
        <v>0</v>
      </c>
      <c r="BI17" s="1282">
        <f t="shared" si="17"/>
        <v>0</v>
      </c>
      <c r="BJ17" s="1138">
        <f t="shared" si="18"/>
        <v>0</v>
      </c>
      <c r="BK17" s="1322">
        <f t="shared" si="19"/>
        <v>0</v>
      </c>
      <c r="BL17" s="95"/>
      <c r="BM17" s="1135">
        <f t="shared" si="20"/>
        <v>0</v>
      </c>
      <c r="BN17" s="1135">
        <f t="shared" si="21"/>
        <v>0</v>
      </c>
      <c r="BO17" s="1135">
        <f t="shared" si="22"/>
        <v>0</v>
      </c>
      <c r="BP17" s="1135">
        <f t="shared" si="23"/>
        <v>0</v>
      </c>
      <c r="BQ17" s="1135">
        <f t="shared" si="24"/>
        <v>0</v>
      </c>
      <c r="BR17" s="1311"/>
      <c r="BS17" s="1311"/>
      <c r="BT17" s="528">
        <f t="shared" si="13"/>
        <v>0</v>
      </c>
      <c r="BU17" s="528">
        <f t="shared" si="14"/>
        <v>0</v>
      </c>
      <c r="BW17" s="735" t="s">
        <v>759</v>
      </c>
      <c r="BX17" s="735">
        <v>550</v>
      </c>
      <c r="BY17" s="735">
        <v>200</v>
      </c>
      <c r="BZ17" s="735">
        <v>0.2</v>
      </c>
      <c r="CA17" s="735">
        <v>0.3</v>
      </c>
      <c r="CB17" s="750">
        <v>60</v>
      </c>
      <c r="CC17" s="749">
        <v>0.12</v>
      </c>
      <c r="CD17" s="480">
        <f t="shared" si="0"/>
        <v>66</v>
      </c>
      <c r="CE17" s="126"/>
      <c r="CF17" s="969"/>
    </row>
    <row r="18" spans="1:84" ht="26.25" customHeight="1">
      <c r="A18" s="468">
        <v>11</v>
      </c>
      <c r="B18" s="1699">
        <v>0</v>
      </c>
      <c r="C18" s="759" t="s">
        <v>31</v>
      </c>
      <c r="D18" s="565">
        <f t="shared" si="1"/>
        <v>0</v>
      </c>
      <c r="E18" s="584">
        <f t="shared" si="2"/>
        <v>0</v>
      </c>
      <c r="F18" s="1690">
        <v>0</v>
      </c>
      <c r="G18" s="570">
        <f t="shared" si="3"/>
        <v>0</v>
      </c>
      <c r="H18" s="761" t="s">
        <v>503</v>
      </c>
      <c r="I18" s="584">
        <f t="shared" si="4"/>
        <v>0</v>
      </c>
      <c r="J18" s="587" t="s">
        <v>31</v>
      </c>
      <c r="K18" s="765">
        <f t="shared" si="5"/>
        <v>0</v>
      </c>
      <c r="L18" s="565">
        <f t="shared" si="6"/>
        <v>0</v>
      </c>
      <c r="M18" s="1693">
        <v>0</v>
      </c>
      <c r="N18" s="609" t="s">
        <v>160</v>
      </c>
      <c r="O18" s="584">
        <f t="shared" si="7"/>
        <v>0</v>
      </c>
      <c r="P18" s="1696">
        <v>0</v>
      </c>
      <c r="Q18" s="1894">
        <f t="shared" si="25"/>
        <v>0</v>
      </c>
      <c r="R18" s="2371">
        <f t="shared" si="26"/>
        <v>0</v>
      </c>
      <c r="S18" s="2367">
        <f t="shared" si="8"/>
        <v>0</v>
      </c>
      <c r="T18" s="592">
        <f t="shared" si="9"/>
        <v>0</v>
      </c>
      <c r="U18" s="1311"/>
      <c r="V18" s="1281">
        <f t="shared" si="10"/>
        <v>11</v>
      </c>
      <c r="W18" s="1281" t="str">
        <f t="shared" si="11"/>
        <v>keine</v>
      </c>
      <c r="X18" s="1329"/>
      <c r="Y18" s="1330" t="s">
        <v>795</v>
      </c>
      <c r="Z18" s="1424">
        <v>0</v>
      </c>
      <c r="AA18" s="1033">
        <f>VLOOKUP(Y18,Düngemittel!$B$6:$E$64,2,FALSE)*(VLOOKUP(Y18,Düngemittel!$B$6:$E$64,3,FALSE))/100*Z18</f>
        <v>0</v>
      </c>
      <c r="AB18" s="1033">
        <f>VLOOKUP(Y18,Düngemittel!$B$6:$E$64,2,FALSE)*Z18</f>
        <v>0</v>
      </c>
      <c r="AC18" s="1033">
        <f>VLOOKUP(Y18,Düngemittel!$B$6:$E$64,4,FALSE)*Z18</f>
        <v>0</v>
      </c>
      <c r="AD18" s="1311"/>
      <c r="AE18" s="1329"/>
      <c r="AF18" s="1330" t="s">
        <v>795</v>
      </c>
      <c r="AG18" s="1424">
        <v>0</v>
      </c>
      <c r="AH18" s="1033">
        <f>VLOOKUP(AF18,Düngemittel!$B$6:$E$64,2,FALSE)*(VLOOKUP(AF18,Düngemittel!$B$6:$E$64,3,FALSE))/100*AG18</f>
        <v>0</v>
      </c>
      <c r="AI18" s="1033">
        <f>VLOOKUP(AF18,Düngemittel!$B$6:$E$64,2,FALSE)*AG18</f>
        <v>0</v>
      </c>
      <c r="AJ18" s="1033">
        <f>VLOOKUP(AF18,Düngemittel!$B$6:$E$64,4,FALSE)*AG18</f>
        <v>0</v>
      </c>
      <c r="AK18" s="1311"/>
      <c r="AL18" s="1329"/>
      <c r="AM18" s="1330" t="s">
        <v>795</v>
      </c>
      <c r="AN18" s="1424">
        <v>0</v>
      </c>
      <c r="AO18" s="1033">
        <f>VLOOKUP(AM18,Düngemittel!$B$6:$E$64,2,FALSE)*(VLOOKUP(AM18,Düngemittel!$B$6:$E$64,3,FALSE))/100*AN18</f>
        <v>0</v>
      </c>
      <c r="AP18" s="1033">
        <f>VLOOKUP(AM18,Düngemittel!$B$6:$E$64,2,FALSE)*AN18</f>
        <v>0</v>
      </c>
      <c r="AQ18" s="1033">
        <f>VLOOKUP(AM18,Düngemittel!$B$6:$E$64,4,FALSE)*AN18</f>
        <v>0</v>
      </c>
      <c r="AR18" s="1311"/>
      <c r="AS18" s="1329"/>
      <c r="AT18" s="1330" t="s">
        <v>795</v>
      </c>
      <c r="AU18" s="1424">
        <v>0</v>
      </c>
      <c r="AV18" s="1033">
        <f>VLOOKUP(AT18,Düngemittel!$B$6:$E$64,2,FALSE)*(VLOOKUP(AT18,Düngemittel!$B$6:$E$64,3,FALSE))/100*AU18</f>
        <v>0</v>
      </c>
      <c r="AW18" s="1033">
        <f>VLOOKUP(AT18,Düngemittel!$B$6:$E$64,2,FALSE)*AU18</f>
        <v>0</v>
      </c>
      <c r="AX18" s="1033">
        <f>VLOOKUP(AT18,Düngemittel!$B$6:$E$64,4,FALSE)*AU18</f>
        <v>0</v>
      </c>
      <c r="AY18" s="1311"/>
      <c r="AZ18" s="1329"/>
      <c r="BA18" s="1330" t="s">
        <v>795</v>
      </c>
      <c r="BB18" s="1424">
        <v>0</v>
      </c>
      <c r="BC18" s="1033">
        <f>VLOOKUP(BA18,Düngemittel!$B$6:$E$64,2,FALSE)*(VLOOKUP(BA18,Düngemittel!$B$6:$E$64,3,FALSE))/100*BB18</f>
        <v>0</v>
      </c>
      <c r="BD18" s="1033">
        <f>VLOOKUP(BA18,Düngemittel!$B$6:$E$64,2,FALSE)*BB18</f>
        <v>0</v>
      </c>
      <c r="BE18" s="1033">
        <f>VLOOKUP(BA18,Düngemittel!$B$6:$E$64,4,FALSE)*BB18</f>
        <v>0</v>
      </c>
      <c r="BF18" s="1311"/>
      <c r="BG18" s="1282">
        <f t="shared" si="15"/>
        <v>0</v>
      </c>
      <c r="BH18" s="1322">
        <f t="shared" si="16"/>
        <v>0</v>
      </c>
      <c r="BI18" s="1282">
        <f t="shared" si="17"/>
        <v>0</v>
      </c>
      <c r="BJ18" s="1138">
        <f t="shared" si="18"/>
        <v>0</v>
      </c>
      <c r="BK18" s="1322">
        <f t="shared" si="19"/>
        <v>0</v>
      </c>
      <c r="BL18" s="95"/>
      <c r="BM18" s="1135">
        <f t="shared" si="20"/>
        <v>0</v>
      </c>
      <c r="BN18" s="1135">
        <f t="shared" si="21"/>
        <v>0</v>
      </c>
      <c r="BO18" s="1135">
        <f t="shared" si="22"/>
        <v>0</v>
      </c>
      <c r="BP18" s="1135">
        <f t="shared" si="23"/>
        <v>0</v>
      </c>
      <c r="BQ18" s="1135">
        <f t="shared" si="24"/>
        <v>0</v>
      </c>
      <c r="BR18" s="1311"/>
      <c r="BS18" s="1311"/>
      <c r="BT18" s="528">
        <f t="shared" si="13"/>
        <v>0</v>
      </c>
      <c r="BU18" s="528">
        <f t="shared" si="14"/>
        <v>0</v>
      </c>
      <c r="BW18" s="279" t="s">
        <v>218</v>
      </c>
      <c r="BX18" s="279">
        <v>450</v>
      </c>
      <c r="BY18" s="279">
        <v>180</v>
      </c>
      <c r="BZ18" s="752">
        <v>0.2</v>
      </c>
      <c r="CA18" s="752">
        <v>0.2</v>
      </c>
      <c r="CB18" s="808">
        <v>60</v>
      </c>
      <c r="CC18" s="749">
        <v>0.14000000000000001</v>
      </c>
      <c r="CD18" s="480">
        <f t="shared" si="0"/>
        <v>63.000000000000007</v>
      </c>
      <c r="CE18" s="126"/>
      <c r="CF18" s="969"/>
    </row>
    <row r="19" spans="1:84" ht="26.25" customHeight="1">
      <c r="A19" s="468">
        <v>12</v>
      </c>
      <c r="B19" s="1699">
        <v>0</v>
      </c>
      <c r="C19" s="759" t="s">
        <v>31</v>
      </c>
      <c r="D19" s="565">
        <f t="shared" si="1"/>
        <v>0</v>
      </c>
      <c r="E19" s="584">
        <f t="shared" si="2"/>
        <v>0</v>
      </c>
      <c r="F19" s="1690">
        <v>0</v>
      </c>
      <c r="G19" s="570">
        <f t="shared" si="3"/>
        <v>0</v>
      </c>
      <c r="H19" s="761" t="s">
        <v>503</v>
      </c>
      <c r="I19" s="584">
        <f t="shared" si="4"/>
        <v>0</v>
      </c>
      <c r="J19" s="587" t="s">
        <v>31</v>
      </c>
      <c r="K19" s="765">
        <f t="shared" si="5"/>
        <v>0</v>
      </c>
      <c r="L19" s="565">
        <f t="shared" si="6"/>
        <v>0</v>
      </c>
      <c r="M19" s="1693">
        <v>0</v>
      </c>
      <c r="N19" s="609" t="s">
        <v>160</v>
      </c>
      <c r="O19" s="584">
        <f t="shared" si="7"/>
        <v>0</v>
      </c>
      <c r="P19" s="1696">
        <v>0</v>
      </c>
      <c r="Q19" s="1894">
        <f t="shared" si="25"/>
        <v>0</v>
      </c>
      <c r="R19" s="2371">
        <f t="shared" si="26"/>
        <v>0</v>
      </c>
      <c r="S19" s="2367">
        <f t="shared" si="8"/>
        <v>0</v>
      </c>
      <c r="T19" s="592">
        <f t="shared" si="9"/>
        <v>0</v>
      </c>
      <c r="U19" s="1311"/>
      <c r="V19" s="1281">
        <f t="shared" si="10"/>
        <v>12</v>
      </c>
      <c r="W19" s="1281" t="str">
        <f t="shared" si="11"/>
        <v>keine</v>
      </c>
      <c r="X19" s="1329"/>
      <c r="Y19" s="1330" t="s">
        <v>795</v>
      </c>
      <c r="Z19" s="1424">
        <v>0</v>
      </c>
      <c r="AA19" s="1033">
        <f>VLOOKUP(Y19,Düngemittel!$B$6:$E$64,2,FALSE)*(VLOOKUP(Y19,Düngemittel!$B$6:$E$64,3,FALSE))/100*Z19</f>
        <v>0</v>
      </c>
      <c r="AB19" s="1033">
        <f>VLOOKUP(Y19,Düngemittel!$B$6:$E$64,2,FALSE)*Z19</f>
        <v>0</v>
      </c>
      <c r="AC19" s="1033">
        <f>VLOOKUP(Y19,Düngemittel!$B$6:$E$64,4,FALSE)*Z19</f>
        <v>0</v>
      </c>
      <c r="AD19" s="1311"/>
      <c r="AE19" s="1329"/>
      <c r="AF19" s="1330" t="s">
        <v>795</v>
      </c>
      <c r="AG19" s="1424">
        <v>0</v>
      </c>
      <c r="AH19" s="1033">
        <f>VLOOKUP(AF19,Düngemittel!$B$6:$E$64,2,FALSE)*(VLOOKUP(AF19,Düngemittel!$B$6:$E$64,3,FALSE))/100*AG19</f>
        <v>0</v>
      </c>
      <c r="AI19" s="1033">
        <f>VLOOKUP(AF19,Düngemittel!$B$6:$E$64,2,FALSE)*AG19</f>
        <v>0</v>
      </c>
      <c r="AJ19" s="1033">
        <f>VLOOKUP(AF19,Düngemittel!$B$6:$E$64,4,FALSE)*AG19</f>
        <v>0</v>
      </c>
      <c r="AK19" s="1311"/>
      <c r="AL19" s="1329"/>
      <c r="AM19" s="1330" t="s">
        <v>795</v>
      </c>
      <c r="AN19" s="1424">
        <v>0</v>
      </c>
      <c r="AO19" s="1033">
        <f>VLOOKUP(AM19,Düngemittel!$B$6:$E$64,2,FALSE)*(VLOOKUP(AM19,Düngemittel!$B$6:$E$64,3,FALSE))/100*AN19</f>
        <v>0</v>
      </c>
      <c r="AP19" s="1033">
        <f>VLOOKUP(AM19,Düngemittel!$B$6:$E$64,2,FALSE)*AN19</f>
        <v>0</v>
      </c>
      <c r="AQ19" s="1033">
        <f>VLOOKUP(AM19,Düngemittel!$B$6:$E$64,4,FALSE)*AN19</f>
        <v>0</v>
      </c>
      <c r="AR19" s="1311"/>
      <c r="AS19" s="1329"/>
      <c r="AT19" s="1330" t="s">
        <v>795</v>
      </c>
      <c r="AU19" s="1424">
        <v>0</v>
      </c>
      <c r="AV19" s="1033">
        <f>VLOOKUP(AT19,Düngemittel!$B$6:$E$64,2,FALSE)*(VLOOKUP(AT19,Düngemittel!$B$6:$E$64,3,FALSE))/100*AU19</f>
        <v>0</v>
      </c>
      <c r="AW19" s="1033">
        <f>VLOOKUP(AT19,Düngemittel!$B$6:$E$64,2,FALSE)*AU19</f>
        <v>0</v>
      </c>
      <c r="AX19" s="1033">
        <f>VLOOKUP(AT19,Düngemittel!$B$6:$E$64,4,FALSE)*AU19</f>
        <v>0</v>
      </c>
      <c r="AY19" s="1311"/>
      <c r="AZ19" s="1329"/>
      <c r="BA19" s="1330" t="s">
        <v>795</v>
      </c>
      <c r="BB19" s="1424">
        <v>0</v>
      </c>
      <c r="BC19" s="1033">
        <f>VLOOKUP(BA19,Düngemittel!$B$6:$E$64,2,FALSE)*(VLOOKUP(BA19,Düngemittel!$B$6:$E$64,3,FALSE))/100*BB19</f>
        <v>0</v>
      </c>
      <c r="BD19" s="1033">
        <f>VLOOKUP(BA19,Düngemittel!$B$6:$E$64,2,FALSE)*BB19</f>
        <v>0</v>
      </c>
      <c r="BE19" s="1033">
        <f>VLOOKUP(BA19,Düngemittel!$B$6:$E$64,4,FALSE)*BB19</f>
        <v>0</v>
      </c>
      <c r="BF19" s="1311"/>
      <c r="BG19" s="1282">
        <f t="shared" si="15"/>
        <v>0</v>
      </c>
      <c r="BH19" s="1322">
        <f t="shared" si="16"/>
        <v>0</v>
      </c>
      <c r="BI19" s="1282">
        <f t="shared" si="17"/>
        <v>0</v>
      </c>
      <c r="BJ19" s="1138">
        <f t="shared" si="18"/>
        <v>0</v>
      </c>
      <c r="BK19" s="1322">
        <f t="shared" si="19"/>
        <v>0</v>
      </c>
      <c r="BL19" s="95"/>
      <c r="BM19" s="1135">
        <f t="shared" si="20"/>
        <v>0</v>
      </c>
      <c r="BN19" s="1135">
        <f t="shared" si="21"/>
        <v>0</v>
      </c>
      <c r="BO19" s="1135">
        <f t="shared" si="22"/>
        <v>0</v>
      </c>
      <c r="BP19" s="1135">
        <f t="shared" si="23"/>
        <v>0</v>
      </c>
      <c r="BQ19" s="1135">
        <f t="shared" si="24"/>
        <v>0</v>
      </c>
      <c r="BR19" s="1311"/>
      <c r="BS19" s="1311"/>
      <c r="BT19" s="528">
        <f t="shared" si="13"/>
        <v>0</v>
      </c>
      <c r="BU19" s="528">
        <f t="shared" si="14"/>
        <v>0</v>
      </c>
      <c r="BW19" s="279" t="s">
        <v>31</v>
      </c>
      <c r="BX19" s="279">
        <v>0</v>
      </c>
      <c r="BY19" s="279">
        <v>0</v>
      </c>
      <c r="BZ19" s="279">
        <v>0</v>
      </c>
      <c r="CA19" s="279">
        <v>0</v>
      </c>
      <c r="CB19" s="808">
        <v>0</v>
      </c>
      <c r="CC19" s="749">
        <v>0</v>
      </c>
      <c r="CD19" s="480">
        <f t="shared" si="0"/>
        <v>0</v>
      </c>
      <c r="CE19" s="126"/>
      <c r="CF19" s="969"/>
    </row>
    <row r="20" spans="1:84" ht="26.25" customHeight="1">
      <c r="A20" s="468">
        <v>13</v>
      </c>
      <c r="B20" s="1699">
        <v>0</v>
      </c>
      <c r="C20" s="759" t="s">
        <v>31</v>
      </c>
      <c r="D20" s="565">
        <f t="shared" si="1"/>
        <v>0</v>
      </c>
      <c r="E20" s="584">
        <f t="shared" si="2"/>
        <v>0</v>
      </c>
      <c r="F20" s="1690">
        <v>0</v>
      </c>
      <c r="G20" s="570">
        <f t="shared" si="3"/>
        <v>0</v>
      </c>
      <c r="H20" s="761" t="s">
        <v>503</v>
      </c>
      <c r="I20" s="584">
        <f t="shared" si="4"/>
        <v>0</v>
      </c>
      <c r="J20" s="587" t="s">
        <v>31</v>
      </c>
      <c r="K20" s="765">
        <f t="shared" si="5"/>
        <v>0</v>
      </c>
      <c r="L20" s="565">
        <f t="shared" si="6"/>
        <v>0</v>
      </c>
      <c r="M20" s="1693">
        <v>0</v>
      </c>
      <c r="N20" s="609" t="s">
        <v>160</v>
      </c>
      <c r="O20" s="584">
        <f t="shared" si="7"/>
        <v>0</v>
      </c>
      <c r="P20" s="1696">
        <v>0</v>
      </c>
      <c r="Q20" s="1894">
        <f t="shared" si="25"/>
        <v>0</v>
      </c>
      <c r="R20" s="2371">
        <f t="shared" si="26"/>
        <v>0</v>
      </c>
      <c r="S20" s="2367">
        <f t="shared" si="8"/>
        <v>0</v>
      </c>
      <c r="T20" s="592">
        <f t="shared" si="9"/>
        <v>0</v>
      </c>
      <c r="U20" s="1311"/>
      <c r="V20" s="1281">
        <f t="shared" si="10"/>
        <v>13</v>
      </c>
      <c r="W20" s="1281" t="str">
        <f t="shared" si="11"/>
        <v>keine</v>
      </c>
      <c r="X20" s="1329"/>
      <c r="Y20" s="1330" t="s">
        <v>795</v>
      </c>
      <c r="Z20" s="1424">
        <v>0</v>
      </c>
      <c r="AA20" s="1033">
        <f>VLOOKUP(Y20,Düngemittel!$B$6:$E$64,2,FALSE)*(VLOOKUP(Y20,Düngemittel!$B$6:$E$64,3,FALSE))/100*Z20</f>
        <v>0</v>
      </c>
      <c r="AB20" s="1033">
        <f>VLOOKUP(Y20,Düngemittel!$B$6:$E$64,2,FALSE)*Z20</f>
        <v>0</v>
      </c>
      <c r="AC20" s="1033">
        <f>VLOOKUP(Y20,Düngemittel!$B$6:$E$64,4,FALSE)*Z20</f>
        <v>0</v>
      </c>
      <c r="AD20" s="1311"/>
      <c r="AE20" s="1329"/>
      <c r="AF20" s="1330" t="s">
        <v>795</v>
      </c>
      <c r="AG20" s="1424">
        <v>0</v>
      </c>
      <c r="AH20" s="1033">
        <f>VLOOKUP(AF20,Düngemittel!$B$6:$E$64,2,FALSE)*(VLOOKUP(AF20,Düngemittel!$B$6:$E$64,3,FALSE))/100*AG20</f>
        <v>0</v>
      </c>
      <c r="AI20" s="1033">
        <f>VLOOKUP(AF20,Düngemittel!$B$6:$E$64,2,FALSE)*AG20</f>
        <v>0</v>
      </c>
      <c r="AJ20" s="1033">
        <f>VLOOKUP(AF20,Düngemittel!$B$6:$E$64,4,FALSE)*AG20</f>
        <v>0</v>
      </c>
      <c r="AK20" s="1311"/>
      <c r="AL20" s="1329"/>
      <c r="AM20" s="1330" t="s">
        <v>795</v>
      </c>
      <c r="AN20" s="1424">
        <v>0</v>
      </c>
      <c r="AO20" s="1033">
        <f>VLOOKUP(AM20,Düngemittel!$B$6:$E$64,2,FALSE)*(VLOOKUP(AM20,Düngemittel!$B$6:$E$64,3,FALSE))/100*AN20</f>
        <v>0</v>
      </c>
      <c r="AP20" s="1033">
        <f>VLOOKUP(AM20,Düngemittel!$B$6:$E$64,2,FALSE)*AN20</f>
        <v>0</v>
      </c>
      <c r="AQ20" s="1033">
        <f>VLOOKUP(AM20,Düngemittel!$B$6:$E$64,4,FALSE)*AN20</f>
        <v>0</v>
      </c>
      <c r="AR20" s="1311"/>
      <c r="AS20" s="1329"/>
      <c r="AT20" s="1330" t="s">
        <v>795</v>
      </c>
      <c r="AU20" s="1424">
        <v>0</v>
      </c>
      <c r="AV20" s="1033">
        <f>VLOOKUP(AT20,Düngemittel!$B$6:$E$64,2,FALSE)*(VLOOKUP(AT20,Düngemittel!$B$6:$E$64,3,FALSE))/100*AU20</f>
        <v>0</v>
      </c>
      <c r="AW20" s="1033">
        <f>VLOOKUP(AT20,Düngemittel!$B$6:$E$64,2,FALSE)*AU20</f>
        <v>0</v>
      </c>
      <c r="AX20" s="1033">
        <f>VLOOKUP(AT20,Düngemittel!$B$6:$E$64,4,FALSE)*AU20</f>
        <v>0</v>
      </c>
      <c r="AY20" s="1311"/>
      <c r="AZ20" s="1329"/>
      <c r="BA20" s="1330" t="s">
        <v>795</v>
      </c>
      <c r="BB20" s="1424">
        <v>0</v>
      </c>
      <c r="BC20" s="1033">
        <f>VLOOKUP(BA20,Düngemittel!$B$6:$E$64,2,FALSE)*(VLOOKUP(BA20,Düngemittel!$B$6:$E$64,3,FALSE))/100*BB20</f>
        <v>0</v>
      </c>
      <c r="BD20" s="1033">
        <f>VLOOKUP(BA20,Düngemittel!$B$6:$E$64,2,FALSE)*BB20</f>
        <v>0</v>
      </c>
      <c r="BE20" s="1033">
        <f>VLOOKUP(BA20,Düngemittel!$B$6:$E$64,4,FALSE)*BB20</f>
        <v>0</v>
      </c>
      <c r="BF20" s="1311"/>
      <c r="BG20" s="1282">
        <f t="shared" si="15"/>
        <v>0</v>
      </c>
      <c r="BH20" s="1322">
        <f t="shared" si="16"/>
        <v>0</v>
      </c>
      <c r="BI20" s="1282">
        <f t="shared" si="17"/>
        <v>0</v>
      </c>
      <c r="BJ20" s="1138">
        <f t="shared" si="18"/>
        <v>0</v>
      </c>
      <c r="BK20" s="1322">
        <f t="shared" si="19"/>
        <v>0</v>
      </c>
      <c r="BL20" s="95"/>
      <c r="BM20" s="1135">
        <f t="shared" si="20"/>
        <v>0</v>
      </c>
      <c r="BN20" s="1135">
        <f t="shared" si="21"/>
        <v>0</v>
      </c>
      <c r="BO20" s="1135">
        <f t="shared" si="22"/>
        <v>0</v>
      </c>
      <c r="BP20" s="1135">
        <f t="shared" si="23"/>
        <v>0</v>
      </c>
      <c r="BQ20" s="1135">
        <f t="shared" si="24"/>
        <v>0</v>
      </c>
      <c r="BR20" s="1311"/>
      <c r="BS20" s="1311"/>
      <c r="BT20" s="528">
        <f t="shared" si="13"/>
        <v>0</v>
      </c>
      <c r="BU20" s="528">
        <f t="shared" si="14"/>
        <v>0</v>
      </c>
      <c r="BW20" s="281" t="s">
        <v>681</v>
      </c>
      <c r="BX20" s="281">
        <v>250</v>
      </c>
      <c r="BY20" s="281">
        <v>185</v>
      </c>
      <c r="BZ20" s="281">
        <v>0.2</v>
      </c>
      <c r="CA20" s="281">
        <v>0.3</v>
      </c>
      <c r="CB20" s="808">
        <v>60</v>
      </c>
      <c r="CC20" s="749">
        <v>0.2</v>
      </c>
      <c r="CD20" s="480">
        <f t="shared" si="0"/>
        <v>50</v>
      </c>
      <c r="CE20" s="126"/>
      <c r="CF20" s="969"/>
    </row>
    <row r="21" spans="1:84" ht="26.25" customHeight="1">
      <c r="A21" s="468">
        <v>14</v>
      </c>
      <c r="B21" s="1699">
        <v>0</v>
      </c>
      <c r="C21" s="759" t="s">
        <v>31</v>
      </c>
      <c r="D21" s="565">
        <f t="shared" si="1"/>
        <v>0</v>
      </c>
      <c r="E21" s="584">
        <f t="shared" si="2"/>
        <v>0</v>
      </c>
      <c r="F21" s="1690">
        <v>0</v>
      </c>
      <c r="G21" s="570">
        <f t="shared" si="3"/>
        <v>0</v>
      </c>
      <c r="H21" s="761" t="s">
        <v>503</v>
      </c>
      <c r="I21" s="584">
        <f t="shared" si="4"/>
        <v>0</v>
      </c>
      <c r="J21" s="587" t="s">
        <v>31</v>
      </c>
      <c r="K21" s="765">
        <f t="shared" si="5"/>
        <v>0</v>
      </c>
      <c r="L21" s="565">
        <f t="shared" si="6"/>
        <v>0</v>
      </c>
      <c r="M21" s="1693">
        <v>0</v>
      </c>
      <c r="N21" s="609" t="s">
        <v>160</v>
      </c>
      <c r="O21" s="584">
        <f t="shared" si="7"/>
        <v>0</v>
      </c>
      <c r="P21" s="1696">
        <v>0</v>
      </c>
      <c r="Q21" s="1894">
        <f t="shared" si="25"/>
        <v>0</v>
      </c>
      <c r="R21" s="2371">
        <f t="shared" si="26"/>
        <v>0</v>
      </c>
      <c r="S21" s="2367">
        <f t="shared" si="8"/>
        <v>0</v>
      </c>
      <c r="T21" s="592">
        <f t="shared" si="9"/>
        <v>0</v>
      </c>
      <c r="U21" s="1311"/>
      <c r="V21" s="1281">
        <f t="shared" si="10"/>
        <v>14</v>
      </c>
      <c r="W21" s="1281" t="str">
        <f t="shared" si="11"/>
        <v>keine</v>
      </c>
      <c r="X21" s="1329"/>
      <c r="Y21" s="1330" t="s">
        <v>795</v>
      </c>
      <c r="Z21" s="1424">
        <v>0</v>
      </c>
      <c r="AA21" s="1033">
        <f>VLOOKUP(Y21,Düngemittel!$B$6:$E$64,2,FALSE)*(VLOOKUP(Y21,Düngemittel!$B$6:$E$64,3,FALSE))/100*Z21</f>
        <v>0</v>
      </c>
      <c r="AB21" s="1033">
        <f>VLOOKUP(Y21,Düngemittel!$B$6:$E$64,2,FALSE)*Z21</f>
        <v>0</v>
      </c>
      <c r="AC21" s="1033">
        <f>VLOOKUP(Y21,Düngemittel!$B$6:$E$64,4,FALSE)*Z21</f>
        <v>0</v>
      </c>
      <c r="AD21" s="1311"/>
      <c r="AE21" s="1329"/>
      <c r="AF21" s="1330" t="s">
        <v>795</v>
      </c>
      <c r="AG21" s="1424">
        <v>0</v>
      </c>
      <c r="AH21" s="1033">
        <f>VLOOKUP(AF21,Düngemittel!$B$6:$E$64,2,FALSE)*(VLOOKUP(AF21,Düngemittel!$B$6:$E$64,3,FALSE))/100*AG21</f>
        <v>0</v>
      </c>
      <c r="AI21" s="1033">
        <f>VLOOKUP(AF21,Düngemittel!$B$6:$E$64,2,FALSE)*AG21</f>
        <v>0</v>
      </c>
      <c r="AJ21" s="1033">
        <f>VLOOKUP(AF21,Düngemittel!$B$6:$E$64,4,FALSE)*AG21</f>
        <v>0</v>
      </c>
      <c r="AK21" s="1311"/>
      <c r="AL21" s="1329"/>
      <c r="AM21" s="1330" t="s">
        <v>795</v>
      </c>
      <c r="AN21" s="1424">
        <v>0</v>
      </c>
      <c r="AO21" s="1033">
        <f>VLOOKUP(AM21,Düngemittel!$B$6:$E$64,2,FALSE)*(VLOOKUP(AM21,Düngemittel!$B$6:$E$64,3,FALSE))/100*AN21</f>
        <v>0</v>
      </c>
      <c r="AP21" s="1033">
        <f>VLOOKUP(AM21,Düngemittel!$B$6:$E$64,2,FALSE)*AN21</f>
        <v>0</v>
      </c>
      <c r="AQ21" s="1033">
        <f>VLOOKUP(AM21,Düngemittel!$B$6:$E$64,4,FALSE)*AN21</f>
        <v>0</v>
      </c>
      <c r="AR21" s="1311"/>
      <c r="AS21" s="1329"/>
      <c r="AT21" s="1330" t="s">
        <v>795</v>
      </c>
      <c r="AU21" s="1424">
        <v>0</v>
      </c>
      <c r="AV21" s="1033">
        <f>VLOOKUP(AT21,Düngemittel!$B$6:$E$64,2,FALSE)*(VLOOKUP(AT21,Düngemittel!$B$6:$E$64,3,FALSE))/100*AU21</f>
        <v>0</v>
      </c>
      <c r="AW21" s="1033">
        <f>VLOOKUP(AT21,Düngemittel!$B$6:$E$64,2,FALSE)*AU21</f>
        <v>0</v>
      </c>
      <c r="AX21" s="1033">
        <f>VLOOKUP(AT21,Düngemittel!$B$6:$E$64,4,FALSE)*AU21</f>
        <v>0</v>
      </c>
      <c r="AY21" s="1311"/>
      <c r="AZ21" s="1329"/>
      <c r="BA21" s="1330" t="s">
        <v>795</v>
      </c>
      <c r="BB21" s="1424">
        <v>0</v>
      </c>
      <c r="BC21" s="1033">
        <f>VLOOKUP(BA21,Düngemittel!$B$6:$E$64,2,FALSE)*(VLOOKUP(BA21,Düngemittel!$B$6:$E$64,3,FALSE))/100*BB21</f>
        <v>0</v>
      </c>
      <c r="BD21" s="1033">
        <f>VLOOKUP(BA21,Düngemittel!$B$6:$E$64,2,FALSE)*BB21</f>
        <v>0</v>
      </c>
      <c r="BE21" s="1033">
        <f>VLOOKUP(BA21,Düngemittel!$B$6:$E$64,4,FALSE)*BB21</f>
        <v>0</v>
      </c>
      <c r="BF21" s="1311"/>
      <c r="BG21" s="1282">
        <f t="shared" si="15"/>
        <v>0</v>
      </c>
      <c r="BH21" s="1322">
        <f t="shared" si="16"/>
        <v>0</v>
      </c>
      <c r="BI21" s="1282">
        <f t="shared" si="17"/>
        <v>0</v>
      </c>
      <c r="BJ21" s="1138">
        <f t="shared" si="18"/>
        <v>0</v>
      </c>
      <c r="BK21" s="1322">
        <f t="shared" si="19"/>
        <v>0</v>
      </c>
      <c r="BL21" s="95"/>
      <c r="BM21" s="1135">
        <f t="shared" si="20"/>
        <v>0</v>
      </c>
      <c r="BN21" s="1135">
        <f t="shared" si="21"/>
        <v>0</v>
      </c>
      <c r="BO21" s="1135">
        <f t="shared" si="22"/>
        <v>0</v>
      </c>
      <c r="BP21" s="1135">
        <f t="shared" si="23"/>
        <v>0</v>
      </c>
      <c r="BQ21" s="1135">
        <f t="shared" si="24"/>
        <v>0</v>
      </c>
      <c r="BR21" s="1311"/>
      <c r="BS21" s="1311"/>
      <c r="BT21" s="528">
        <f t="shared" si="13"/>
        <v>0</v>
      </c>
      <c r="BU21" s="528">
        <f t="shared" si="14"/>
        <v>0</v>
      </c>
      <c r="BW21" s="748" t="s">
        <v>751</v>
      </c>
      <c r="BX21" s="748">
        <v>50</v>
      </c>
      <c r="BY21" s="748">
        <v>130</v>
      </c>
      <c r="BZ21" s="748">
        <v>1</v>
      </c>
      <c r="CA21" s="748">
        <v>1.5</v>
      </c>
      <c r="CB21" s="808">
        <v>60</v>
      </c>
      <c r="CC21" s="749">
        <v>0.8</v>
      </c>
      <c r="CD21" s="480">
        <f t="shared" si="0"/>
        <v>40</v>
      </c>
      <c r="CE21" s="126"/>
      <c r="CF21" s="969"/>
    </row>
    <row r="22" spans="1:84" ht="26.25" customHeight="1">
      <c r="A22" s="468">
        <v>15</v>
      </c>
      <c r="B22" s="1699">
        <v>0</v>
      </c>
      <c r="C22" s="759" t="s">
        <v>31</v>
      </c>
      <c r="D22" s="565">
        <f t="shared" si="1"/>
        <v>0</v>
      </c>
      <c r="E22" s="584">
        <f t="shared" si="2"/>
        <v>0</v>
      </c>
      <c r="F22" s="1690">
        <v>0</v>
      </c>
      <c r="G22" s="570">
        <f t="shared" si="3"/>
        <v>0</v>
      </c>
      <c r="H22" s="761" t="s">
        <v>503</v>
      </c>
      <c r="I22" s="584">
        <f t="shared" si="4"/>
        <v>0</v>
      </c>
      <c r="J22" s="587" t="s">
        <v>31</v>
      </c>
      <c r="K22" s="765">
        <f t="shared" si="5"/>
        <v>0</v>
      </c>
      <c r="L22" s="565">
        <f t="shared" si="6"/>
        <v>0</v>
      </c>
      <c r="M22" s="1693">
        <v>0</v>
      </c>
      <c r="N22" s="609" t="s">
        <v>160</v>
      </c>
      <c r="O22" s="584">
        <f t="shared" si="7"/>
        <v>0</v>
      </c>
      <c r="P22" s="1696">
        <v>0</v>
      </c>
      <c r="Q22" s="1894">
        <f t="shared" si="25"/>
        <v>0</v>
      </c>
      <c r="R22" s="2371">
        <f t="shared" si="26"/>
        <v>0</v>
      </c>
      <c r="S22" s="2367">
        <f t="shared" si="8"/>
        <v>0</v>
      </c>
      <c r="T22" s="592">
        <f t="shared" si="9"/>
        <v>0</v>
      </c>
      <c r="U22" s="1311"/>
      <c r="V22" s="1281">
        <f t="shared" si="10"/>
        <v>15</v>
      </c>
      <c r="W22" s="1281" t="str">
        <f t="shared" si="11"/>
        <v>keine</v>
      </c>
      <c r="X22" s="1329"/>
      <c r="Y22" s="1330" t="s">
        <v>795</v>
      </c>
      <c r="Z22" s="1424">
        <v>0</v>
      </c>
      <c r="AA22" s="1033">
        <f>VLOOKUP(Y22,Düngemittel!$B$6:$E$64,2,FALSE)*(VLOOKUP(Y22,Düngemittel!$B$6:$E$64,3,FALSE))/100*Z22</f>
        <v>0</v>
      </c>
      <c r="AB22" s="1033">
        <f>VLOOKUP(Y22,Düngemittel!$B$6:$E$64,2,FALSE)*Z22</f>
        <v>0</v>
      </c>
      <c r="AC22" s="1033">
        <f>VLOOKUP(Y22,Düngemittel!$B$6:$E$64,4,FALSE)*Z22</f>
        <v>0</v>
      </c>
      <c r="AD22" s="1311"/>
      <c r="AE22" s="1329"/>
      <c r="AF22" s="1330" t="s">
        <v>795</v>
      </c>
      <c r="AG22" s="1424">
        <v>0</v>
      </c>
      <c r="AH22" s="1033">
        <f>VLOOKUP(AF22,Düngemittel!$B$6:$E$64,2,FALSE)*(VLOOKUP(AF22,Düngemittel!$B$6:$E$64,3,FALSE))/100*AG22</f>
        <v>0</v>
      </c>
      <c r="AI22" s="1033">
        <f>VLOOKUP(AF22,Düngemittel!$B$6:$E$64,2,FALSE)*AG22</f>
        <v>0</v>
      </c>
      <c r="AJ22" s="1033">
        <f>VLOOKUP(AF22,Düngemittel!$B$6:$E$64,4,FALSE)*AG22</f>
        <v>0</v>
      </c>
      <c r="AK22" s="1311"/>
      <c r="AL22" s="1329"/>
      <c r="AM22" s="1330" t="s">
        <v>795</v>
      </c>
      <c r="AN22" s="1424">
        <v>0</v>
      </c>
      <c r="AO22" s="1033">
        <f>VLOOKUP(AM22,Düngemittel!$B$6:$E$64,2,FALSE)*(VLOOKUP(AM22,Düngemittel!$B$6:$E$64,3,FALSE))/100*AN22</f>
        <v>0</v>
      </c>
      <c r="AP22" s="1033">
        <f>VLOOKUP(AM22,Düngemittel!$B$6:$E$64,2,FALSE)*AN22</f>
        <v>0</v>
      </c>
      <c r="AQ22" s="1033">
        <f>VLOOKUP(AM22,Düngemittel!$B$6:$E$64,4,FALSE)*AN22</f>
        <v>0</v>
      </c>
      <c r="AR22" s="1311"/>
      <c r="AS22" s="1329"/>
      <c r="AT22" s="1330" t="s">
        <v>795</v>
      </c>
      <c r="AU22" s="1424">
        <v>0</v>
      </c>
      <c r="AV22" s="1033">
        <f>VLOOKUP(AT22,Düngemittel!$B$6:$E$64,2,FALSE)*(VLOOKUP(AT22,Düngemittel!$B$6:$E$64,3,FALSE))/100*AU22</f>
        <v>0</v>
      </c>
      <c r="AW22" s="1033">
        <f>VLOOKUP(AT22,Düngemittel!$B$6:$E$64,2,FALSE)*AU22</f>
        <v>0</v>
      </c>
      <c r="AX22" s="1033">
        <f>VLOOKUP(AT22,Düngemittel!$B$6:$E$64,4,FALSE)*AU22</f>
        <v>0</v>
      </c>
      <c r="AY22" s="1311"/>
      <c r="AZ22" s="1329"/>
      <c r="BA22" s="1330" t="s">
        <v>795</v>
      </c>
      <c r="BB22" s="1424">
        <v>0</v>
      </c>
      <c r="BC22" s="1033">
        <f>VLOOKUP(BA22,Düngemittel!$B$6:$E$64,2,FALSE)*(VLOOKUP(BA22,Düngemittel!$B$6:$E$64,3,FALSE))/100*BB22</f>
        <v>0</v>
      </c>
      <c r="BD22" s="1033">
        <f>VLOOKUP(BA22,Düngemittel!$B$6:$E$64,2,FALSE)*BB22</f>
        <v>0</v>
      </c>
      <c r="BE22" s="1033">
        <f>VLOOKUP(BA22,Düngemittel!$B$6:$E$64,4,FALSE)*BB22</f>
        <v>0</v>
      </c>
      <c r="BF22" s="1311"/>
      <c r="BG22" s="1282">
        <f t="shared" si="15"/>
        <v>0</v>
      </c>
      <c r="BH22" s="1322">
        <f t="shared" si="16"/>
        <v>0</v>
      </c>
      <c r="BI22" s="1282">
        <f t="shared" si="17"/>
        <v>0</v>
      </c>
      <c r="BJ22" s="1138">
        <f t="shared" si="18"/>
        <v>0</v>
      </c>
      <c r="BK22" s="1322">
        <f t="shared" si="19"/>
        <v>0</v>
      </c>
      <c r="BL22" s="95"/>
      <c r="BM22" s="1135">
        <f t="shared" si="20"/>
        <v>0</v>
      </c>
      <c r="BN22" s="1135">
        <f t="shared" si="21"/>
        <v>0</v>
      </c>
      <c r="BO22" s="1135">
        <f t="shared" si="22"/>
        <v>0</v>
      </c>
      <c r="BP22" s="1135">
        <f t="shared" si="23"/>
        <v>0</v>
      </c>
      <c r="BQ22" s="1135">
        <f t="shared" si="24"/>
        <v>0</v>
      </c>
      <c r="BR22" s="1311"/>
      <c r="BS22" s="1311"/>
      <c r="BT22" s="528">
        <f t="shared" si="13"/>
        <v>0</v>
      </c>
      <c r="BU22" s="528">
        <f t="shared" si="14"/>
        <v>0</v>
      </c>
      <c r="BW22" s="529" t="s">
        <v>695</v>
      </c>
      <c r="BX22" s="529">
        <v>40</v>
      </c>
      <c r="BY22" s="529">
        <v>60</v>
      </c>
      <c r="BZ22" s="529">
        <v>0</v>
      </c>
      <c r="CA22" s="529">
        <v>0</v>
      </c>
      <c r="CB22" s="812">
        <v>30</v>
      </c>
      <c r="CC22" s="749">
        <v>1.2</v>
      </c>
      <c r="CD22" s="480">
        <f t="shared" si="0"/>
        <v>48</v>
      </c>
      <c r="CE22" s="126"/>
      <c r="CF22" s="969"/>
    </row>
    <row r="23" spans="1:84" ht="26.25" customHeight="1">
      <c r="A23" s="468">
        <v>16</v>
      </c>
      <c r="B23" s="1699">
        <v>0</v>
      </c>
      <c r="C23" s="759" t="s">
        <v>31</v>
      </c>
      <c r="D23" s="565">
        <f t="shared" si="1"/>
        <v>0</v>
      </c>
      <c r="E23" s="584">
        <f t="shared" si="2"/>
        <v>0</v>
      </c>
      <c r="F23" s="1690">
        <v>0</v>
      </c>
      <c r="G23" s="570">
        <f t="shared" si="3"/>
        <v>0</v>
      </c>
      <c r="H23" s="761" t="s">
        <v>503</v>
      </c>
      <c r="I23" s="584">
        <f t="shared" si="4"/>
        <v>0</v>
      </c>
      <c r="J23" s="587" t="s">
        <v>31</v>
      </c>
      <c r="K23" s="765">
        <f t="shared" si="5"/>
        <v>0</v>
      </c>
      <c r="L23" s="565">
        <f t="shared" si="6"/>
        <v>0</v>
      </c>
      <c r="M23" s="1693">
        <v>0</v>
      </c>
      <c r="N23" s="609" t="s">
        <v>160</v>
      </c>
      <c r="O23" s="584">
        <f t="shared" si="7"/>
        <v>0</v>
      </c>
      <c r="P23" s="1696">
        <v>0</v>
      </c>
      <c r="Q23" s="1894">
        <f t="shared" si="25"/>
        <v>0</v>
      </c>
      <c r="R23" s="2371">
        <f t="shared" si="26"/>
        <v>0</v>
      </c>
      <c r="S23" s="2367">
        <f t="shared" si="8"/>
        <v>0</v>
      </c>
      <c r="T23" s="592">
        <f t="shared" si="9"/>
        <v>0</v>
      </c>
      <c r="U23" s="1311"/>
      <c r="V23" s="1281">
        <f t="shared" si="10"/>
        <v>16</v>
      </c>
      <c r="W23" s="1281" t="str">
        <f t="shared" si="11"/>
        <v>keine</v>
      </c>
      <c r="X23" s="1329"/>
      <c r="Y23" s="1330" t="s">
        <v>795</v>
      </c>
      <c r="Z23" s="1424">
        <v>0</v>
      </c>
      <c r="AA23" s="1033">
        <f>VLOOKUP(Y23,Düngemittel!$B$6:$E$64,2,FALSE)*(VLOOKUP(Y23,Düngemittel!$B$6:$E$64,3,FALSE))/100*Z23</f>
        <v>0</v>
      </c>
      <c r="AB23" s="1033">
        <f>VLOOKUP(Y23,Düngemittel!$B$6:$E$64,2,FALSE)*Z23</f>
        <v>0</v>
      </c>
      <c r="AC23" s="1033">
        <f>VLOOKUP(Y23,Düngemittel!$B$6:$E$64,4,FALSE)*Z23</f>
        <v>0</v>
      </c>
      <c r="AD23" s="1311"/>
      <c r="AE23" s="1329"/>
      <c r="AF23" s="1330" t="s">
        <v>795</v>
      </c>
      <c r="AG23" s="1424">
        <v>0</v>
      </c>
      <c r="AH23" s="1033">
        <f>VLOOKUP(AF23,Düngemittel!$B$6:$E$64,2,FALSE)*(VLOOKUP(AF23,Düngemittel!$B$6:$E$64,3,FALSE))/100*AG23</f>
        <v>0</v>
      </c>
      <c r="AI23" s="1033">
        <f>VLOOKUP(AF23,Düngemittel!$B$6:$E$64,2,FALSE)*AG23</f>
        <v>0</v>
      </c>
      <c r="AJ23" s="1033">
        <f>VLOOKUP(AF23,Düngemittel!$B$6:$E$64,4,FALSE)*AG23</f>
        <v>0</v>
      </c>
      <c r="AK23" s="1311"/>
      <c r="AL23" s="1329"/>
      <c r="AM23" s="1330" t="s">
        <v>795</v>
      </c>
      <c r="AN23" s="1424">
        <v>0</v>
      </c>
      <c r="AO23" s="1033">
        <f>VLOOKUP(AM23,Düngemittel!$B$6:$E$64,2,FALSE)*(VLOOKUP(AM23,Düngemittel!$B$6:$E$64,3,FALSE))/100*AN23</f>
        <v>0</v>
      </c>
      <c r="AP23" s="1033">
        <f>VLOOKUP(AM23,Düngemittel!$B$6:$E$64,2,FALSE)*AN23</f>
        <v>0</v>
      </c>
      <c r="AQ23" s="1033">
        <f>VLOOKUP(AM23,Düngemittel!$B$6:$E$64,4,FALSE)*AN23</f>
        <v>0</v>
      </c>
      <c r="AR23" s="1311"/>
      <c r="AS23" s="1329"/>
      <c r="AT23" s="1330" t="s">
        <v>795</v>
      </c>
      <c r="AU23" s="1424">
        <v>0</v>
      </c>
      <c r="AV23" s="1033">
        <f>VLOOKUP(AT23,Düngemittel!$B$6:$E$64,2,FALSE)*(VLOOKUP(AT23,Düngemittel!$B$6:$E$64,3,FALSE))/100*AU23</f>
        <v>0</v>
      </c>
      <c r="AW23" s="1033">
        <f>VLOOKUP(AT23,Düngemittel!$B$6:$E$64,2,FALSE)*AU23</f>
        <v>0</v>
      </c>
      <c r="AX23" s="1033">
        <f>VLOOKUP(AT23,Düngemittel!$B$6:$E$64,4,FALSE)*AU23</f>
        <v>0</v>
      </c>
      <c r="AY23" s="1311"/>
      <c r="AZ23" s="1329"/>
      <c r="BA23" s="1330" t="s">
        <v>795</v>
      </c>
      <c r="BB23" s="1424">
        <v>0</v>
      </c>
      <c r="BC23" s="1033">
        <f>VLOOKUP(BA23,Düngemittel!$B$6:$E$64,2,FALSE)*(VLOOKUP(BA23,Düngemittel!$B$6:$E$64,3,FALSE))/100*BB23</f>
        <v>0</v>
      </c>
      <c r="BD23" s="1033">
        <f>VLOOKUP(BA23,Düngemittel!$B$6:$E$64,2,FALSE)*BB23</f>
        <v>0</v>
      </c>
      <c r="BE23" s="1033">
        <f>VLOOKUP(BA23,Düngemittel!$B$6:$E$64,4,FALSE)*BB23</f>
        <v>0</v>
      </c>
      <c r="BF23" s="1311"/>
      <c r="BG23" s="1282">
        <f t="shared" si="15"/>
        <v>0</v>
      </c>
      <c r="BH23" s="1322">
        <f t="shared" si="16"/>
        <v>0</v>
      </c>
      <c r="BI23" s="1282">
        <f t="shared" si="17"/>
        <v>0</v>
      </c>
      <c r="BJ23" s="1138">
        <f t="shared" si="18"/>
        <v>0</v>
      </c>
      <c r="BK23" s="1322">
        <f t="shared" si="19"/>
        <v>0</v>
      </c>
      <c r="BL23" s="95"/>
      <c r="BM23" s="1135">
        <f t="shared" si="20"/>
        <v>0</v>
      </c>
      <c r="BN23" s="1135">
        <f t="shared" si="21"/>
        <v>0</v>
      </c>
      <c r="BO23" s="1135">
        <f t="shared" si="22"/>
        <v>0</v>
      </c>
      <c r="BP23" s="1135">
        <f t="shared" si="23"/>
        <v>0</v>
      </c>
      <c r="BQ23" s="1135">
        <f t="shared" si="24"/>
        <v>0</v>
      </c>
      <c r="BR23" s="1311"/>
      <c r="BS23" s="1311"/>
      <c r="BT23" s="528">
        <f t="shared" si="13"/>
        <v>0</v>
      </c>
      <c r="BU23" s="528">
        <f t="shared" si="14"/>
        <v>0</v>
      </c>
      <c r="BW23" s="279" t="s">
        <v>687</v>
      </c>
      <c r="BX23" s="279">
        <v>90</v>
      </c>
      <c r="BY23" s="279">
        <v>200</v>
      </c>
      <c r="BZ23" s="279">
        <v>1</v>
      </c>
      <c r="CA23" s="279">
        <v>1.5</v>
      </c>
      <c r="CB23" s="808">
        <v>90</v>
      </c>
      <c r="CC23" s="749">
        <v>0.8</v>
      </c>
      <c r="CD23" s="480">
        <f t="shared" si="0"/>
        <v>72</v>
      </c>
    </row>
    <row r="24" spans="1:84" ht="26.25" customHeight="1">
      <c r="A24" s="468">
        <v>17</v>
      </c>
      <c r="B24" s="1699">
        <v>0</v>
      </c>
      <c r="C24" s="759" t="s">
        <v>31</v>
      </c>
      <c r="D24" s="565">
        <f t="shared" si="1"/>
        <v>0</v>
      </c>
      <c r="E24" s="584">
        <f t="shared" si="2"/>
        <v>0</v>
      </c>
      <c r="F24" s="1690">
        <v>0</v>
      </c>
      <c r="G24" s="570">
        <f t="shared" si="3"/>
        <v>0</v>
      </c>
      <c r="H24" s="761" t="s">
        <v>503</v>
      </c>
      <c r="I24" s="584">
        <f t="shared" si="4"/>
        <v>0</v>
      </c>
      <c r="J24" s="587" t="s">
        <v>31</v>
      </c>
      <c r="K24" s="765">
        <f t="shared" si="5"/>
        <v>0</v>
      </c>
      <c r="L24" s="565">
        <f t="shared" si="6"/>
        <v>0</v>
      </c>
      <c r="M24" s="1693">
        <v>0</v>
      </c>
      <c r="N24" s="609" t="s">
        <v>160</v>
      </c>
      <c r="O24" s="584">
        <f t="shared" si="7"/>
        <v>0</v>
      </c>
      <c r="P24" s="1696">
        <v>0</v>
      </c>
      <c r="Q24" s="1894">
        <f t="shared" si="25"/>
        <v>0</v>
      </c>
      <c r="R24" s="2371">
        <f t="shared" si="26"/>
        <v>0</v>
      </c>
      <c r="S24" s="2367">
        <f t="shared" si="8"/>
        <v>0</v>
      </c>
      <c r="T24" s="592">
        <f t="shared" si="9"/>
        <v>0</v>
      </c>
      <c r="U24" s="1311"/>
      <c r="V24" s="1281">
        <f t="shared" si="10"/>
        <v>17</v>
      </c>
      <c r="W24" s="1281" t="str">
        <f t="shared" si="11"/>
        <v>keine</v>
      </c>
      <c r="X24" s="1329"/>
      <c r="Y24" s="1330" t="s">
        <v>795</v>
      </c>
      <c r="Z24" s="1424">
        <v>0</v>
      </c>
      <c r="AA24" s="1033">
        <f>VLOOKUP(Y24,Düngemittel!$B$6:$E$64,2,FALSE)*(VLOOKUP(Y24,Düngemittel!$B$6:$E$64,3,FALSE))/100*Z24</f>
        <v>0</v>
      </c>
      <c r="AB24" s="1033">
        <f>VLOOKUP(Y24,Düngemittel!$B$6:$E$64,2,FALSE)*Z24</f>
        <v>0</v>
      </c>
      <c r="AC24" s="1033">
        <f>VLOOKUP(Y24,Düngemittel!$B$6:$E$64,4,FALSE)*Z24</f>
        <v>0</v>
      </c>
      <c r="AD24" s="1311"/>
      <c r="AE24" s="1329"/>
      <c r="AF24" s="1330" t="s">
        <v>795</v>
      </c>
      <c r="AG24" s="1424">
        <v>0</v>
      </c>
      <c r="AH24" s="1033">
        <f>VLOOKUP(AF24,Düngemittel!$B$6:$E$64,2,FALSE)*(VLOOKUP(AF24,Düngemittel!$B$6:$E$64,3,FALSE))/100*AG24</f>
        <v>0</v>
      </c>
      <c r="AI24" s="1033">
        <f>VLOOKUP(AF24,Düngemittel!$B$6:$E$64,2,FALSE)*AG24</f>
        <v>0</v>
      </c>
      <c r="AJ24" s="1033">
        <f>VLOOKUP(AF24,Düngemittel!$B$6:$E$64,4,FALSE)*AG24</f>
        <v>0</v>
      </c>
      <c r="AK24" s="1311"/>
      <c r="AL24" s="1329"/>
      <c r="AM24" s="1330" t="s">
        <v>795</v>
      </c>
      <c r="AN24" s="1424">
        <v>0</v>
      </c>
      <c r="AO24" s="1033">
        <f>VLOOKUP(AM24,Düngemittel!$B$6:$E$64,2,FALSE)*(VLOOKUP(AM24,Düngemittel!$B$6:$E$64,3,FALSE))/100*AN24</f>
        <v>0</v>
      </c>
      <c r="AP24" s="1033">
        <f>VLOOKUP(AM24,Düngemittel!$B$6:$E$64,2,FALSE)*AN24</f>
        <v>0</v>
      </c>
      <c r="AQ24" s="1033">
        <f>VLOOKUP(AM24,Düngemittel!$B$6:$E$64,4,FALSE)*AN24</f>
        <v>0</v>
      </c>
      <c r="AR24" s="1311"/>
      <c r="AS24" s="1329"/>
      <c r="AT24" s="1330" t="s">
        <v>795</v>
      </c>
      <c r="AU24" s="1424">
        <v>0</v>
      </c>
      <c r="AV24" s="1033">
        <f>VLOOKUP(AT24,Düngemittel!$B$6:$E$64,2,FALSE)*(VLOOKUP(AT24,Düngemittel!$B$6:$E$64,3,FALSE))/100*AU24</f>
        <v>0</v>
      </c>
      <c r="AW24" s="1033">
        <f>VLOOKUP(AT24,Düngemittel!$B$6:$E$64,2,FALSE)*AU24</f>
        <v>0</v>
      </c>
      <c r="AX24" s="1033">
        <f>VLOOKUP(AT24,Düngemittel!$B$6:$E$64,4,FALSE)*AU24</f>
        <v>0</v>
      </c>
      <c r="AY24" s="1311"/>
      <c r="AZ24" s="1329"/>
      <c r="BA24" s="1330" t="s">
        <v>795</v>
      </c>
      <c r="BB24" s="1424">
        <v>0</v>
      </c>
      <c r="BC24" s="1033">
        <f>VLOOKUP(BA24,Düngemittel!$B$6:$E$64,2,FALSE)*(VLOOKUP(BA24,Düngemittel!$B$6:$E$64,3,FALSE))/100*BB24</f>
        <v>0</v>
      </c>
      <c r="BD24" s="1033">
        <f>VLOOKUP(BA24,Düngemittel!$B$6:$E$64,2,FALSE)*BB24</f>
        <v>0</v>
      </c>
      <c r="BE24" s="1033">
        <f>VLOOKUP(BA24,Düngemittel!$B$6:$E$64,4,FALSE)*BB24</f>
        <v>0</v>
      </c>
      <c r="BF24" s="1311"/>
      <c r="BG24" s="1282">
        <f t="shared" si="15"/>
        <v>0</v>
      </c>
      <c r="BH24" s="1322">
        <f t="shared" si="16"/>
        <v>0</v>
      </c>
      <c r="BI24" s="1282">
        <f t="shared" si="17"/>
        <v>0</v>
      </c>
      <c r="BJ24" s="1138">
        <f t="shared" si="18"/>
        <v>0</v>
      </c>
      <c r="BK24" s="1322">
        <f t="shared" si="19"/>
        <v>0</v>
      </c>
      <c r="BL24" s="95"/>
      <c r="BM24" s="1135">
        <f t="shared" si="20"/>
        <v>0</v>
      </c>
      <c r="BN24" s="1135">
        <f t="shared" si="21"/>
        <v>0</v>
      </c>
      <c r="BO24" s="1135">
        <f t="shared" si="22"/>
        <v>0</v>
      </c>
      <c r="BP24" s="1135">
        <f t="shared" si="23"/>
        <v>0</v>
      </c>
      <c r="BQ24" s="1135">
        <f t="shared" si="24"/>
        <v>0</v>
      </c>
      <c r="BR24" s="1311"/>
      <c r="BS24" s="1311"/>
      <c r="BT24" s="528">
        <f t="shared" si="13"/>
        <v>0</v>
      </c>
      <c r="BU24" s="528">
        <f t="shared" si="14"/>
        <v>0</v>
      </c>
      <c r="BV24" s="147"/>
      <c r="BW24" s="280" t="s">
        <v>696</v>
      </c>
      <c r="BX24" s="280">
        <v>20</v>
      </c>
      <c r="BY24" s="753">
        <v>110</v>
      </c>
      <c r="BZ24" s="753">
        <v>2</v>
      </c>
      <c r="CA24" s="753">
        <v>3</v>
      </c>
      <c r="CB24" s="806">
        <v>60</v>
      </c>
      <c r="CC24" s="749">
        <v>2</v>
      </c>
      <c r="CD24" s="480">
        <f t="shared" si="0"/>
        <v>40</v>
      </c>
    </row>
    <row r="25" spans="1:84" ht="26.25" customHeight="1">
      <c r="A25" s="468">
        <v>18</v>
      </c>
      <c r="B25" s="1699">
        <v>0</v>
      </c>
      <c r="C25" s="759" t="s">
        <v>31</v>
      </c>
      <c r="D25" s="565">
        <f t="shared" si="1"/>
        <v>0</v>
      </c>
      <c r="E25" s="584">
        <f t="shared" si="2"/>
        <v>0</v>
      </c>
      <c r="F25" s="1690">
        <v>0</v>
      </c>
      <c r="G25" s="570">
        <f t="shared" si="3"/>
        <v>0</v>
      </c>
      <c r="H25" s="761" t="s">
        <v>503</v>
      </c>
      <c r="I25" s="584">
        <f t="shared" si="4"/>
        <v>0</v>
      </c>
      <c r="J25" s="587" t="s">
        <v>31</v>
      </c>
      <c r="K25" s="765">
        <f t="shared" si="5"/>
        <v>0</v>
      </c>
      <c r="L25" s="565">
        <f t="shared" si="6"/>
        <v>0</v>
      </c>
      <c r="M25" s="1693">
        <v>0</v>
      </c>
      <c r="N25" s="609" t="s">
        <v>160</v>
      </c>
      <c r="O25" s="584">
        <f t="shared" si="7"/>
        <v>0</v>
      </c>
      <c r="P25" s="1696">
        <v>0</v>
      </c>
      <c r="Q25" s="1894">
        <f t="shared" si="25"/>
        <v>0</v>
      </c>
      <c r="R25" s="2371">
        <f t="shared" si="26"/>
        <v>0</v>
      </c>
      <c r="S25" s="2367">
        <f t="shared" si="8"/>
        <v>0</v>
      </c>
      <c r="T25" s="592">
        <f t="shared" si="9"/>
        <v>0</v>
      </c>
      <c r="U25" s="1311"/>
      <c r="V25" s="1281">
        <f t="shared" si="10"/>
        <v>18</v>
      </c>
      <c r="W25" s="1281" t="str">
        <f t="shared" si="11"/>
        <v>keine</v>
      </c>
      <c r="X25" s="1329"/>
      <c r="Y25" s="1330" t="s">
        <v>795</v>
      </c>
      <c r="Z25" s="1424">
        <v>0</v>
      </c>
      <c r="AA25" s="1033">
        <f>VLOOKUP(Y25,Düngemittel!$B$6:$E$64,2,FALSE)*(VLOOKUP(Y25,Düngemittel!$B$6:$E$64,3,FALSE))/100*Z25</f>
        <v>0</v>
      </c>
      <c r="AB25" s="1033">
        <f>VLOOKUP(Y25,Düngemittel!$B$6:$E$64,2,FALSE)*Z25</f>
        <v>0</v>
      </c>
      <c r="AC25" s="1033">
        <f>VLOOKUP(Y25,Düngemittel!$B$6:$E$64,4,FALSE)*Z25</f>
        <v>0</v>
      </c>
      <c r="AD25" s="1311"/>
      <c r="AE25" s="1329"/>
      <c r="AF25" s="1330" t="s">
        <v>795</v>
      </c>
      <c r="AG25" s="1424">
        <v>0</v>
      </c>
      <c r="AH25" s="1033">
        <f>VLOOKUP(AF25,Düngemittel!$B$6:$E$64,2,FALSE)*(VLOOKUP(AF25,Düngemittel!$B$6:$E$64,3,FALSE))/100*AG25</f>
        <v>0</v>
      </c>
      <c r="AI25" s="1033">
        <f>VLOOKUP(AF25,Düngemittel!$B$6:$E$64,2,FALSE)*AG25</f>
        <v>0</v>
      </c>
      <c r="AJ25" s="1033">
        <f>VLOOKUP(AF25,Düngemittel!$B$6:$E$64,4,FALSE)*AG25</f>
        <v>0</v>
      </c>
      <c r="AK25" s="1311"/>
      <c r="AL25" s="1329"/>
      <c r="AM25" s="1330" t="s">
        <v>795</v>
      </c>
      <c r="AN25" s="1424">
        <v>0</v>
      </c>
      <c r="AO25" s="1033">
        <f>VLOOKUP(AM25,Düngemittel!$B$6:$E$64,2,FALSE)*(VLOOKUP(AM25,Düngemittel!$B$6:$E$64,3,FALSE))/100*AN25</f>
        <v>0</v>
      </c>
      <c r="AP25" s="1033">
        <f>VLOOKUP(AM25,Düngemittel!$B$6:$E$64,2,FALSE)*AN25</f>
        <v>0</v>
      </c>
      <c r="AQ25" s="1033">
        <f>VLOOKUP(AM25,Düngemittel!$B$6:$E$64,4,FALSE)*AN25</f>
        <v>0</v>
      </c>
      <c r="AR25" s="1311"/>
      <c r="AS25" s="1329"/>
      <c r="AT25" s="1330" t="s">
        <v>795</v>
      </c>
      <c r="AU25" s="1424">
        <v>0</v>
      </c>
      <c r="AV25" s="1033">
        <f>VLOOKUP(AT25,Düngemittel!$B$6:$E$64,2,FALSE)*(VLOOKUP(AT25,Düngemittel!$B$6:$E$64,3,FALSE))/100*AU25</f>
        <v>0</v>
      </c>
      <c r="AW25" s="1033">
        <f>VLOOKUP(AT25,Düngemittel!$B$6:$E$64,2,FALSE)*AU25</f>
        <v>0</v>
      </c>
      <c r="AX25" s="1033">
        <f>VLOOKUP(AT25,Düngemittel!$B$6:$E$64,4,FALSE)*AU25</f>
        <v>0</v>
      </c>
      <c r="AY25" s="1311"/>
      <c r="AZ25" s="1329"/>
      <c r="BA25" s="1330" t="s">
        <v>795</v>
      </c>
      <c r="BB25" s="1424">
        <v>0</v>
      </c>
      <c r="BC25" s="1033">
        <f>VLOOKUP(BA25,Düngemittel!$B$6:$E$64,2,FALSE)*(VLOOKUP(BA25,Düngemittel!$B$6:$E$64,3,FALSE))/100*BB25</f>
        <v>0</v>
      </c>
      <c r="BD25" s="1033">
        <f>VLOOKUP(BA25,Düngemittel!$B$6:$E$64,2,FALSE)*BB25</f>
        <v>0</v>
      </c>
      <c r="BE25" s="1033">
        <f>VLOOKUP(BA25,Düngemittel!$B$6:$E$64,4,FALSE)*BB25</f>
        <v>0</v>
      </c>
      <c r="BF25" s="1311"/>
      <c r="BG25" s="1282">
        <f t="shared" si="15"/>
        <v>0</v>
      </c>
      <c r="BH25" s="1322">
        <f t="shared" si="16"/>
        <v>0</v>
      </c>
      <c r="BI25" s="1282">
        <f t="shared" si="17"/>
        <v>0</v>
      </c>
      <c r="BJ25" s="1138">
        <f t="shared" si="18"/>
        <v>0</v>
      </c>
      <c r="BK25" s="1322">
        <f t="shared" si="19"/>
        <v>0</v>
      </c>
      <c r="BL25" s="95"/>
      <c r="BM25" s="1135">
        <f t="shared" si="20"/>
        <v>0</v>
      </c>
      <c r="BN25" s="1135">
        <f t="shared" si="21"/>
        <v>0</v>
      </c>
      <c r="BO25" s="1135">
        <f t="shared" si="22"/>
        <v>0</v>
      </c>
      <c r="BP25" s="1135">
        <f t="shared" si="23"/>
        <v>0</v>
      </c>
      <c r="BQ25" s="1135">
        <f t="shared" si="24"/>
        <v>0</v>
      </c>
      <c r="BR25" s="1311"/>
      <c r="BS25" s="1311"/>
      <c r="BT25" s="528">
        <f t="shared" si="13"/>
        <v>0</v>
      </c>
      <c r="BU25" s="528">
        <f t="shared" si="14"/>
        <v>0</v>
      </c>
      <c r="BW25" s="280" t="s">
        <v>753</v>
      </c>
      <c r="BX25" s="280">
        <v>850</v>
      </c>
      <c r="BY25" s="753">
        <v>220</v>
      </c>
      <c r="BZ25" s="754">
        <v>0.18</v>
      </c>
      <c r="CA25" s="754">
        <v>0.22</v>
      </c>
      <c r="CB25" s="806">
        <v>90</v>
      </c>
      <c r="CC25" s="749">
        <v>7.0000000000000007E-2</v>
      </c>
      <c r="CD25" s="480">
        <f t="shared" si="0"/>
        <v>59.500000000000007</v>
      </c>
    </row>
    <row r="26" spans="1:84" ht="26.25" customHeight="1">
      <c r="A26" s="468">
        <v>19</v>
      </c>
      <c r="B26" s="1699">
        <v>0</v>
      </c>
      <c r="C26" s="759" t="s">
        <v>31</v>
      </c>
      <c r="D26" s="565">
        <f t="shared" si="1"/>
        <v>0</v>
      </c>
      <c r="E26" s="584">
        <f t="shared" si="2"/>
        <v>0</v>
      </c>
      <c r="F26" s="1690">
        <v>0</v>
      </c>
      <c r="G26" s="570">
        <f t="shared" si="3"/>
        <v>0</v>
      </c>
      <c r="H26" s="761" t="s">
        <v>503</v>
      </c>
      <c r="I26" s="584">
        <f t="shared" si="4"/>
        <v>0</v>
      </c>
      <c r="J26" s="587" t="s">
        <v>31</v>
      </c>
      <c r="K26" s="765">
        <f t="shared" si="5"/>
        <v>0</v>
      </c>
      <c r="L26" s="565">
        <f t="shared" si="6"/>
        <v>0</v>
      </c>
      <c r="M26" s="1693">
        <v>0</v>
      </c>
      <c r="N26" s="609" t="s">
        <v>160</v>
      </c>
      <c r="O26" s="584">
        <f t="shared" si="7"/>
        <v>0</v>
      </c>
      <c r="P26" s="1696">
        <v>0</v>
      </c>
      <c r="Q26" s="1894">
        <f t="shared" si="25"/>
        <v>0</v>
      </c>
      <c r="R26" s="2371">
        <f t="shared" si="26"/>
        <v>0</v>
      </c>
      <c r="S26" s="2367">
        <f t="shared" si="8"/>
        <v>0</v>
      </c>
      <c r="T26" s="592">
        <f t="shared" si="9"/>
        <v>0</v>
      </c>
      <c r="U26" s="1311"/>
      <c r="V26" s="1281">
        <f t="shared" si="10"/>
        <v>19</v>
      </c>
      <c r="W26" s="1281" t="str">
        <f t="shared" si="11"/>
        <v>keine</v>
      </c>
      <c r="X26" s="1329"/>
      <c r="Y26" s="1330" t="s">
        <v>795</v>
      </c>
      <c r="Z26" s="1424">
        <v>0</v>
      </c>
      <c r="AA26" s="1033">
        <f>VLOOKUP(Y26,Düngemittel!$B$6:$E$64,2,FALSE)*(VLOOKUP(Y26,Düngemittel!$B$6:$E$64,3,FALSE))/100*Z26</f>
        <v>0</v>
      </c>
      <c r="AB26" s="1033">
        <f>VLOOKUP(Y26,Düngemittel!$B$6:$E$64,2,FALSE)*Z26</f>
        <v>0</v>
      </c>
      <c r="AC26" s="1033">
        <f>VLOOKUP(Y26,Düngemittel!$B$6:$E$64,4,FALSE)*Z26</f>
        <v>0</v>
      </c>
      <c r="AD26" s="1311"/>
      <c r="AE26" s="1329"/>
      <c r="AF26" s="1330" t="s">
        <v>795</v>
      </c>
      <c r="AG26" s="1424">
        <v>0</v>
      </c>
      <c r="AH26" s="1033">
        <f>VLOOKUP(AF26,Düngemittel!$B$6:$E$64,2,FALSE)*(VLOOKUP(AF26,Düngemittel!$B$6:$E$64,3,FALSE))/100*AG26</f>
        <v>0</v>
      </c>
      <c r="AI26" s="1033">
        <f>VLOOKUP(AF26,Düngemittel!$B$6:$E$64,2,FALSE)*AG26</f>
        <v>0</v>
      </c>
      <c r="AJ26" s="1033">
        <f>VLOOKUP(AF26,Düngemittel!$B$6:$E$64,4,FALSE)*AG26</f>
        <v>0</v>
      </c>
      <c r="AK26" s="1311"/>
      <c r="AL26" s="1329"/>
      <c r="AM26" s="1330" t="s">
        <v>795</v>
      </c>
      <c r="AN26" s="1424">
        <v>0</v>
      </c>
      <c r="AO26" s="1033">
        <f>VLOOKUP(AM26,Düngemittel!$B$6:$E$64,2,FALSE)*(VLOOKUP(AM26,Düngemittel!$B$6:$E$64,3,FALSE))/100*AN26</f>
        <v>0</v>
      </c>
      <c r="AP26" s="1033">
        <f>VLOOKUP(AM26,Düngemittel!$B$6:$E$64,2,FALSE)*AN26</f>
        <v>0</v>
      </c>
      <c r="AQ26" s="1033">
        <f>VLOOKUP(AM26,Düngemittel!$B$6:$E$64,4,FALSE)*AN26</f>
        <v>0</v>
      </c>
      <c r="AR26" s="1311"/>
      <c r="AS26" s="1329"/>
      <c r="AT26" s="1330" t="s">
        <v>795</v>
      </c>
      <c r="AU26" s="1424">
        <v>0</v>
      </c>
      <c r="AV26" s="1033">
        <f>VLOOKUP(AT26,Düngemittel!$B$6:$E$64,2,FALSE)*(VLOOKUP(AT26,Düngemittel!$B$6:$E$64,3,FALSE))/100*AU26</f>
        <v>0</v>
      </c>
      <c r="AW26" s="1033">
        <f>VLOOKUP(AT26,Düngemittel!$B$6:$E$64,2,FALSE)*AU26</f>
        <v>0</v>
      </c>
      <c r="AX26" s="1033">
        <f>VLOOKUP(AT26,Düngemittel!$B$6:$E$64,4,FALSE)*AU26</f>
        <v>0</v>
      </c>
      <c r="AY26" s="1311"/>
      <c r="AZ26" s="1329"/>
      <c r="BA26" s="1330" t="s">
        <v>795</v>
      </c>
      <c r="BB26" s="1424">
        <v>0</v>
      </c>
      <c r="BC26" s="1033">
        <f>VLOOKUP(BA26,Düngemittel!$B$6:$E$64,2,FALSE)*(VLOOKUP(BA26,Düngemittel!$B$6:$E$64,3,FALSE))/100*BB26</f>
        <v>0</v>
      </c>
      <c r="BD26" s="1033">
        <f>VLOOKUP(BA26,Düngemittel!$B$6:$E$64,2,FALSE)*BB26</f>
        <v>0</v>
      </c>
      <c r="BE26" s="1033">
        <f>VLOOKUP(BA26,Düngemittel!$B$6:$E$64,4,FALSE)*BB26</f>
        <v>0</v>
      </c>
      <c r="BF26" s="1311"/>
      <c r="BG26" s="1282">
        <f t="shared" si="15"/>
        <v>0</v>
      </c>
      <c r="BH26" s="1322">
        <f t="shared" si="16"/>
        <v>0</v>
      </c>
      <c r="BI26" s="1282">
        <f t="shared" si="17"/>
        <v>0</v>
      </c>
      <c r="BJ26" s="1138">
        <f t="shared" si="18"/>
        <v>0</v>
      </c>
      <c r="BK26" s="1322">
        <f t="shared" si="19"/>
        <v>0</v>
      </c>
      <c r="BL26" s="95"/>
      <c r="BM26" s="1135">
        <f t="shared" si="20"/>
        <v>0</v>
      </c>
      <c r="BN26" s="1135">
        <f t="shared" si="21"/>
        <v>0</v>
      </c>
      <c r="BO26" s="1135">
        <f t="shared" si="22"/>
        <v>0</v>
      </c>
      <c r="BP26" s="1135">
        <f t="shared" si="23"/>
        <v>0</v>
      </c>
      <c r="BQ26" s="1135">
        <f t="shared" si="24"/>
        <v>0</v>
      </c>
      <c r="BR26" s="1311"/>
      <c r="BS26" s="1311"/>
      <c r="BT26" s="528">
        <f t="shared" si="13"/>
        <v>0</v>
      </c>
      <c r="BU26" s="528">
        <f t="shared" si="14"/>
        <v>0</v>
      </c>
      <c r="BV26" s="148"/>
      <c r="BW26" s="813" t="s">
        <v>762</v>
      </c>
      <c r="BX26" s="813">
        <v>200</v>
      </c>
      <c r="BY26" s="813">
        <v>100</v>
      </c>
      <c r="BZ26" s="813">
        <v>0.2</v>
      </c>
      <c r="CA26" s="813">
        <v>0.3</v>
      </c>
      <c r="CB26" s="808">
        <v>60</v>
      </c>
      <c r="CC26" s="749">
        <v>0.24</v>
      </c>
      <c r="CD26" s="480">
        <f t="shared" si="0"/>
        <v>48</v>
      </c>
    </row>
    <row r="27" spans="1:84" s="1421" customFormat="1" ht="26.25" customHeight="1">
      <c r="A27" s="468">
        <v>20</v>
      </c>
      <c r="B27" s="1699">
        <v>0</v>
      </c>
      <c r="C27" s="759" t="s">
        <v>31</v>
      </c>
      <c r="D27" s="565">
        <f t="shared" si="1"/>
        <v>0</v>
      </c>
      <c r="E27" s="584">
        <f t="shared" si="2"/>
        <v>0</v>
      </c>
      <c r="F27" s="1690">
        <v>0</v>
      </c>
      <c r="G27" s="570">
        <f t="shared" si="3"/>
        <v>0</v>
      </c>
      <c r="H27" s="761" t="s">
        <v>503</v>
      </c>
      <c r="I27" s="584">
        <f t="shared" si="4"/>
        <v>0</v>
      </c>
      <c r="J27" s="587" t="s">
        <v>31</v>
      </c>
      <c r="K27" s="765">
        <f t="shared" si="5"/>
        <v>0</v>
      </c>
      <c r="L27" s="565">
        <f t="shared" si="6"/>
        <v>0</v>
      </c>
      <c r="M27" s="1693">
        <v>0</v>
      </c>
      <c r="N27" s="609" t="s">
        <v>160</v>
      </c>
      <c r="O27" s="584">
        <f t="shared" si="7"/>
        <v>0</v>
      </c>
      <c r="P27" s="1696">
        <v>0</v>
      </c>
      <c r="Q27" s="1894">
        <f t="shared" si="25"/>
        <v>0</v>
      </c>
      <c r="R27" s="2371">
        <f t="shared" si="26"/>
        <v>0</v>
      </c>
      <c r="S27" s="2367">
        <f t="shared" si="8"/>
        <v>0</v>
      </c>
      <c r="T27" s="592">
        <f t="shared" si="9"/>
        <v>0</v>
      </c>
      <c r="U27" s="2324"/>
      <c r="V27" s="1281">
        <f t="shared" si="10"/>
        <v>20</v>
      </c>
      <c r="W27" s="1281" t="str">
        <f t="shared" si="11"/>
        <v>keine</v>
      </c>
      <c r="X27" s="1329"/>
      <c r="Y27" s="1330" t="s">
        <v>795</v>
      </c>
      <c r="Z27" s="1424">
        <v>0</v>
      </c>
      <c r="AA27" s="1033">
        <f>VLOOKUP(Y27,Düngemittel!$B$6:$E$64,2,FALSE)*(VLOOKUP(Y27,Düngemittel!$B$6:$E$64,3,FALSE))/100*Z27</f>
        <v>0</v>
      </c>
      <c r="AB27" s="1033">
        <f>VLOOKUP(Y27,Düngemittel!$B$6:$E$64,2,FALSE)*Z27</f>
        <v>0</v>
      </c>
      <c r="AC27" s="1033">
        <f>VLOOKUP(Y27,Düngemittel!$B$6:$E$64,4,FALSE)*Z27</f>
        <v>0</v>
      </c>
      <c r="AD27" s="2324"/>
      <c r="AE27" s="1329"/>
      <c r="AF27" s="1330" t="s">
        <v>795</v>
      </c>
      <c r="AG27" s="1424">
        <v>0</v>
      </c>
      <c r="AH27" s="1033">
        <f>VLOOKUP(AF27,Düngemittel!$B$6:$E$64,2,FALSE)*(VLOOKUP(AF27,Düngemittel!$B$6:$E$64,3,FALSE))/100*AG27</f>
        <v>0</v>
      </c>
      <c r="AI27" s="1033">
        <f>VLOOKUP(AF27,Düngemittel!$B$6:$E$64,2,FALSE)*AG27</f>
        <v>0</v>
      </c>
      <c r="AJ27" s="1033">
        <f>VLOOKUP(AF27,Düngemittel!$B$6:$E$64,4,FALSE)*AG27</f>
        <v>0</v>
      </c>
      <c r="AK27" s="2324"/>
      <c r="AL27" s="1329"/>
      <c r="AM27" s="1330" t="s">
        <v>795</v>
      </c>
      <c r="AN27" s="1424">
        <v>0</v>
      </c>
      <c r="AO27" s="1033">
        <f>VLOOKUP(AM27,Düngemittel!$B$6:$E$64,2,FALSE)*(VLOOKUP(AM27,Düngemittel!$B$6:$E$64,3,FALSE))/100*AN27</f>
        <v>0</v>
      </c>
      <c r="AP27" s="1033">
        <f>VLOOKUP(AM27,Düngemittel!$B$6:$E$64,2,FALSE)*AN27</f>
        <v>0</v>
      </c>
      <c r="AQ27" s="1033">
        <f>VLOOKUP(AM27,Düngemittel!$B$6:$E$64,4,FALSE)*AN27</f>
        <v>0</v>
      </c>
      <c r="AR27" s="2324"/>
      <c r="AS27" s="1329"/>
      <c r="AT27" s="1330" t="s">
        <v>795</v>
      </c>
      <c r="AU27" s="1424">
        <v>0</v>
      </c>
      <c r="AV27" s="1033">
        <f>VLOOKUP(AT27,Düngemittel!$B$6:$E$64,2,FALSE)*(VLOOKUP(AT27,Düngemittel!$B$6:$E$64,3,FALSE))/100*AU27</f>
        <v>0</v>
      </c>
      <c r="AW27" s="1033">
        <f>VLOOKUP(AT27,Düngemittel!$B$6:$E$64,2,FALSE)*AU27</f>
        <v>0</v>
      </c>
      <c r="AX27" s="1033">
        <f>VLOOKUP(AT27,Düngemittel!$B$6:$E$64,4,FALSE)*AU27</f>
        <v>0</v>
      </c>
      <c r="AY27" s="2324"/>
      <c r="AZ27" s="1329"/>
      <c r="BA27" s="1330" t="s">
        <v>795</v>
      </c>
      <c r="BB27" s="1424">
        <v>0</v>
      </c>
      <c r="BC27" s="1033">
        <f>VLOOKUP(BA27,Düngemittel!$B$6:$E$64,2,FALSE)*(VLOOKUP(BA27,Düngemittel!$B$6:$E$64,3,FALSE))/100*BB27</f>
        <v>0</v>
      </c>
      <c r="BD27" s="1033">
        <f>VLOOKUP(BA27,Düngemittel!$B$6:$E$64,2,FALSE)*BB27</f>
        <v>0</v>
      </c>
      <c r="BE27" s="1033">
        <f>VLOOKUP(BA27,Düngemittel!$B$6:$E$64,4,FALSE)*BB27</f>
        <v>0</v>
      </c>
      <c r="BF27" s="2324"/>
      <c r="BG27" s="1282">
        <f t="shared" ref="BG27:BG47" si="27">IF(AA27&lt;AB27,0,AA27)+IF(AH27&lt;AI27,0,AH27)+IF(AO27&lt;AP27,0,AO27)+IF(AV27&lt;AW27,0,AV27)+IF(BC27&lt;BD27,0,BC27)</f>
        <v>0</v>
      </c>
      <c r="BH27" s="2328">
        <f t="shared" ref="BH27:BH47" si="28">(AA27+AH27+AO27+AV27+BC27)</f>
        <v>0</v>
      </c>
      <c r="BI27" s="1282">
        <f t="shared" ref="BI27:BI47" si="29">(AB27+AI27+AP27+AW27+BD27)</f>
        <v>0</v>
      </c>
      <c r="BJ27" s="1138">
        <f t="shared" ref="BJ27:BJ47" si="30">IF(AA27&lt;AB27,AB27,0)+IF(AH27&lt;AI27,AI27,0)+IF(AO27&lt;AP27,AP27,0)+IF(AV27&lt;AW27,AW27,0)+IF(BC27&lt;BD27,BD27,0)</f>
        <v>0</v>
      </c>
      <c r="BK27" s="2328">
        <f t="shared" ref="BK27:BK47" si="31">(AC27+AJ27+AQ27+AX27+BE27)</f>
        <v>0</v>
      </c>
      <c r="BL27" s="95"/>
      <c r="BM27" s="1135">
        <f t="shared" ref="BM27:BM47" si="32">BG27*$B27</f>
        <v>0</v>
      </c>
      <c r="BN27" s="1135">
        <f t="shared" ref="BN27:BN47" si="33">BH27*$B27</f>
        <v>0</v>
      </c>
      <c r="BO27" s="1135">
        <f t="shared" ref="BO27:BO47" si="34">BI27*$B27</f>
        <v>0</v>
      </c>
      <c r="BP27" s="1135">
        <f t="shared" ref="BP27:BP47" si="35">BJ27*$B27</f>
        <v>0</v>
      </c>
      <c r="BQ27" s="1135">
        <f t="shared" ref="BQ27:BQ47" si="36">BK27*$B27</f>
        <v>0</v>
      </c>
      <c r="BR27" s="2324"/>
      <c r="BS27" s="2324"/>
      <c r="BT27" s="528">
        <f t="shared" si="13"/>
        <v>0</v>
      </c>
      <c r="BU27" s="528">
        <f t="shared" si="14"/>
        <v>0</v>
      </c>
      <c r="BV27" s="148"/>
      <c r="BW27" s="279" t="s">
        <v>693</v>
      </c>
      <c r="BX27" s="279">
        <v>20</v>
      </c>
      <c r="BY27" s="751">
        <v>100</v>
      </c>
      <c r="BZ27" s="807">
        <v>2</v>
      </c>
      <c r="CA27" s="807">
        <v>3</v>
      </c>
      <c r="CB27" s="806">
        <v>60</v>
      </c>
      <c r="CC27" s="749">
        <v>1.2</v>
      </c>
      <c r="CD27" s="480">
        <f t="shared" ref="CD27:CD41" si="37">BX27*CC27</f>
        <v>24</v>
      </c>
      <c r="CE27" s="1317"/>
      <c r="CF27" s="1317"/>
    </row>
    <row r="28" spans="1:84" s="1421" customFormat="1" ht="26.25" customHeight="1">
      <c r="A28" s="468">
        <v>21</v>
      </c>
      <c r="B28" s="1699">
        <v>0</v>
      </c>
      <c r="C28" s="759" t="s">
        <v>31</v>
      </c>
      <c r="D28" s="565">
        <f t="shared" si="1"/>
        <v>0</v>
      </c>
      <c r="E28" s="584">
        <f t="shared" si="2"/>
        <v>0</v>
      </c>
      <c r="F28" s="1690">
        <v>0</v>
      </c>
      <c r="G28" s="570">
        <f t="shared" si="3"/>
        <v>0</v>
      </c>
      <c r="H28" s="761" t="s">
        <v>503</v>
      </c>
      <c r="I28" s="584">
        <f t="shared" si="4"/>
        <v>0</v>
      </c>
      <c r="J28" s="587" t="s">
        <v>31</v>
      </c>
      <c r="K28" s="765">
        <f t="shared" si="5"/>
        <v>0</v>
      </c>
      <c r="L28" s="565">
        <f t="shared" si="6"/>
        <v>0</v>
      </c>
      <c r="M28" s="1693">
        <v>0</v>
      </c>
      <c r="N28" s="609" t="s">
        <v>160</v>
      </c>
      <c r="O28" s="584">
        <f t="shared" si="7"/>
        <v>0</v>
      </c>
      <c r="P28" s="1696">
        <v>0</v>
      </c>
      <c r="Q28" s="1894">
        <f t="shared" si="25"/>
        <v>0</v>
      </c>
      <c r="R28" s="2371">
        <f t="shared" si="26"/>
        <v>0</v>
      </c>
      <c r="S28" s="2367">
        <f t="shared" si="8"/>
        <v>0</v>
      </c>
      <c r="T28" s="592">
        <f t="shared" si="9"/>
        <v>0</v>
      </c>
      <c r="U28" s="2324"/>
      <c r="V28" s="1281">
        <f t="shared" si="10"/>
        <v>21</v>
      </c>
      <c r="W28" s="1281" t="str">
        <f t="shared" si="11"/>
        <v>keine</v>
      </c>
      <c r="X28" s="1329"/>
      <c r="Y28" s="1330" t="s">
        <v>795</v>
      </c>
      <c r="Z28" s="1424">
        <v>0</v>
      </c>
      <c r="AA28" s="1033">
        <f>VLOOKUP(Y28,Düngemittel!$B$6:$E$64,2,FALSE)*(VLOOKUP(Y28,Düngemittel!$B$6:$E$64,3,FALSE))/100*Z28</f>
        <v>0</v>
      </c>
      <c r="AB28" s="1033">
        <f>VLOOKUP(Y28,Düngemittel!$B$6:$E$64,2,FALSE)*Z28</f>
        <v>0</v>
      </c>
      <c r="AC28" s="1033">
        <f>VLOOKUP(Y28,Düngemittel!$B$6:$E$64,4,FALSE)*Z28</f>
        <v>0</v>
      </c>
      <c r="AD28" s="2324"/>
      <c r="AE28" s="1329"/>
      <c r="AF28" s="1330" t="s">
        <v>795</v>
      </c>
      <c r="AG28" s="1424">
        <v>0</v>
      </c>
      <c r="AH28" s="1033">
        <f>VLOOKUP(AF28,Düngemittel!$B$6:$E$64,2,FALSE)*(VLOOKUP(AF28,Düngemittel!$B$6:$E$64,3,FALSE))/100*AG28</f>
        <v>0</v>
      </c>
      <c r="AI28" s="1033">
        <f>VLOOKUP(AF28,Düngemittel!$B$6:$E$64,2,FALSE)*AG28</f>
        <v>0</v>
      </c>
      <c r="AJ28" s="1033">
        <f>VLOOKUP(AF28,Düngemittel!$B$6:$E$64,4,FALSE)*AG28</f>
        <v>0</v>
      </c>
      <c r="AK28" s="2324"/>
      <c r="AL28" s="1329"/>
      <c r="AM28" s="1330" t="s">
        <v>795</v>
      </c>
      <c r="AN28" s="1424">
        <v>0</v>
      </c>
      <c r="AO28" s="1033">
        <f>VLOOKUP(AM28,Düngemittel!$B$6:$E$64,2,FALSE)*(VLOOKUP(AM28,Düngemittel!$B$6:$E$64,3,FALSE))/100*AN28</f>
        <v>0</v>
      </c>
      <c r="AP28" s="1033">
        <f>VLOOKUP(AM28,Düngemittel!$B$6:$E$64,2,FALSE)*AN28</f>
        <v>0</v>
      </c>
      <c r="AQ28" s="1033">
        <f>VLOOKUP(AM28,Düngemittel!$B$6:$E$64,4,FALSE)*AN28</f>
        <v>0</v>
      </c>
      <c r="AR28" s="2324"/>
      <c r="AS28" s="1329"/>
      <c r="AT28" s="1330" t="s">
        <v>795</v>
      </c>
      <c r="AU28" s="1424">
        <v>0</v>
      </c>
      <c r="AV28" s="1033">
        <f>VLOOKUP(AT28,Düngemittel!$B$6:$E$64,2,FALSE)*(VLOOKUP(AT28,Düngemittel!$B$6:$E$64,3,FALSE))/100*AU28</f>
        <v>0</v>
      </c>
      <c r="AW28" s="1033">
        <f>VLOOKUP(AT28,Düngemittel!$B$6:$E$64,2,FALSE)*AU28</f>
        <v>0</v>
      </c>
      <c r="AX28" s="1033">
        <f>VLOOKUP(AT28,Düngemittel!$B$6:$E$64,4,FALSE)*AU28</f>
        <v>0</v>
      </c>
      <c r="AY28" s="2324"/>
      <c r="AZ28" s="1329"/>
      <c r="BA28" s="1330" t="s">
        <v>795</v>
      </c>
      <c r="BB28" s="1424">
        <v>0</v>
      </c>
      <c r="BC28" s="1033">
        <f>VLOOKUP(BA28,Düngemittel!$B$6:$E$64,2,FALSE)*(VLOOKUP(BA28,Düngemittel!$B$6:$E$64,3,FALSE))/100*BB28</f>
        <v>0</v>
      </c>
      <c r="BD28" s="1033">
        <f>VLOOKUP(BA28,Düngemittel!$B$6:$E$64,2,FALSE)*BB28</f>
        <v>0</v>
      </c>
      <c r="BE28" s="1033">
        <f>VLOOKUP(BA28,Düngemittel!$B$6:$E$64,4,FALSE)*BB28</f>
        <v>0</v>
      </c>
      <c r="BF28" s="2324"/>
      <c r="BG28" s="1282">
        <f t="shared" si="27"/>
        <v>0</v>
      </c>
      <c r="BH28" s="2328">
        <f t="shared" si="28"/>
        <v>0</v>
      </c>
      <c r="BI28" s="1282">
        <f t="shared" si="29"/>
        <v>0</v>
      </c>
      <c r="BJ28" s="1138">
        <f t="shared" si="30"/>
        <v>0</v>
      </c>
      <c r="BK28" s="2328">
        <f t="shared" si="31"/>
        <v>0</v>
      </c>
      <c r="BL28" s="95"/>
      <c r="BM28" s="1135">
        <f t="shared" si="32"/>
        <v>0</v>
      </c>
      <c r="BN28" s="1135">
        <f t="shared" si="33"/>
        <v>0</v>
      </c>
      <c r="BO28" s="1135">
        <f t="shared" si="34"/>
        <v>0</v>
      </c>
      <c r="BP28" s="1135">
        <f t="shared" si="35"/>
        <v>0</v>
      </c>
      <c r="BQ28" s="1135">
        <f t="shared" si="36"/>
        <v>0</v>
      </c>
      <c r="BR28" s="2324"/>
      <c r="BS28" s="2324"/>
      <c r="BT28" s="528">
        <f t="shared" si="13"/>
        <v>0</v>
      </c>
      <c r="BU28" s="528">
        <f t="shared" si="14"/>
        <v>0</v>
      </c>
      <c r="BV28" s="148"/>
      <c r="BW28" s="280" t="s">
        <v>689</v>
      </c>
      <c r="BX28" s="280">
        <v>25</v>
      </c>
      <c r="BY28" s="753">
        <v>160</v>
      </c>
      <c r="BZ28" s="807">
        <v>2</v>
      </c>
      <c r="CA28" s="807">
        <v>3</v>
      </c>
      <c r="CB28" s="806">
        <v>60</v>
      </c>
      <c r="CC28" s="749">
        <v>1.77</v>
      </c>
      <c r="CD28" s="480">
        <f t="shared" si="37"/>
        <v>44.25</v>
      </c>
      <c r="CE28" s="1317"/>
      <c r="CF28" s="1317"/>
    </row>
    <row r="29" spans="1:84" s="1421" customFormat="1" ht="26.25" customHeight="1">
      <c r="A29" s="468">
        <v>22</v>
      </c>
      <c r="B29" s="1699">
        <v>0</v>
      </c>
      <c r="C29" s="759" t="s">
        <v>31</v>
      </c>
      <c r="D29" s="565">
        <f t="shared" si="1"/>
        <v>0</v>
      </c>
      <c r="E29" s="584">
        <f t="shared" si="2"/>
        <v>0</v>
      </c>
      <c r="F29" s="1690">
        <v>0</v>
      </c>
      <c r="G29" s="570">
        <f t="shared" si="3"/>
        <v>0</v>
      </c>
      <c r="H29" s="761" t="s">
        <v>503</v>
      </c>
      <c r="I29" s="584">
        <f t="shared" si="4"/>
        <v>0</v>
      </c>
      <c r="J29" s="587" t="s">
        <v>31</v>
      </c>
      <c r="K29" s="765">
        <f t="shared" si="5"/>
        <v>0</v>
      </c>
      <c r="L29" s="565">
        <f t="shared" si="6"/>
        <v>0</v>
      </c>
      <c r="M29" s="1693">
        <v>0</v>
      </c>
      <c r="N29" s="609" t="s">
        <v>160</v>
      </c>
      <c r="O29" s="584">
        <f t="shared" si="7"/>
        <v>0</v>
      </c>
      <c r="P29" s="1696">
        <v>0</v>
      </c>
      <c r="Q29" s="1894">
        <f t="shared" si="25"/>
        <v>0</v>
      </c>
      <c r="R29" s="2371">
        <f t="shared" si="26"/>
        <v>0</v>
      </c>
      <c r="S29" s="2367">
        <f t="shared" si="8"/>
        <v>0</v>
      </c>
      <c r="T29" s="592">
        <f t="shared" si="9"/>
        <v>0</v>
      </c>
      <c r="U29" s="2324"/>
      <c r="V29" s="1281">
        <f t="shared" si="10"/>
        <v>22</v>
      </c>
      <c r="W29" s="1281" t="str">
        <f t="shared" si="11"/>
        <v>keine</v>
      </c>
      <c r="X29" s="1329"/>
      <c r="Y29" s="1330" t="s">
        <v>795</v>
      </c>
      <c r="Z29" s="1424">
        <v>0</v>
      </c>
      <c r="AA29" s="1033">
        <f>VLOOKUP(Y29,Düngemittel!$B$6:$E$64,2,FALSE)*(VLOOKUP(Y29,Düngemittel!$B$6:$E$64,3,FALSE))/100*Z29</f>
        <v>0</v>
      </c>
      <c r="AB29" s="1033">
        <f>VLOOKUP(Y29,Düngemittel!$B$6:$E$64,2,FALSE)*Z29</f>
        <v>0</v>
      </c>
      <c r="AC29" s="1033">
        <f>VLOOKUP(Y29,Düngemittel!$B$6:$E$64,4,FALSE)*Z29</f>
        <v>0</v>
      </c>
      <c r="AD29" s="2324"/>
      <c r="AE29" s="1329"/>
      <c r="AF29" s="1330" t="s">
        <v>795</v>
      </c>
      <c r="AG29" s="1424">
        <v>0</v>
      </c>
      <c r="AH29" s="1033">
        <f>VLOOKUP(AF29,Düngemittel!$B$6:$E$64,2,FALSE)*(VLOOKUP(AF29,Düngemittel!$B$6:$E$64,3,FALSE))/100*AG29</f>
        <v>0</v>
      </c>
      <c r="AI29" s="1033">
        <f>VLOOKUP(AF29,Düngemittel!$B$6:$E$64,2,FALSE)*AG29</f>
        <v>0</v>
      </c>
      <c r="AJ29" s="1033">
        <f>VLOOKUP(AF29,Düngemittel!$B$6:$E$64,4,FALSE)*AG29</f>
        <v>0</v>
      </c>
      <c r="AK29" s="2324"/>
      <c r="AL29" s="1329"/>
      <c r="AM29" s="1330" t="s">
        <v>795</v>
      </c>
      <c r="AN29" s="1424">
        <v>0</v>
      </c>
      <c r="AO29" s="1033">
        <f>VLOOKUP(AM29,Düngemittel!$B$6:$E$64,2,FALSE)*(VLOOKUP(AM29,Düngemittel!$B$6:$E$64,3,FALSE))/100*AN29</f>
        <v>0</v>
      </c>
      <c r="AP29" s="1033">
        <f>VLOOKUP(AM29,Düngemittel!$B$6:$E$64,2,FALSE)*AN29</f>
        <v>0</v>
      </c>
      <c r="AQ29" s="1033">
        <f>VLOOKUP(AM29,Düngemittel!$B$6:$E$64,4,FALSE)*AN29</f>
        <v>0</v>
      </c>
      <c r="AR29" s="2324"/>
      <c r="AS29" s="1329"/>
      <c r="AT29" s="1330" t="s">
        <v>795</v>
      </c>
      <c r="AU29" s="1424">
        <v>0</v>
      </c>
      <c r="AV29" s="1033">
        <f>VLOOKUP(AT29,Düngemittel!$B$6:$E$64,2,FALSE)*(VLOOKUP(AT29,Düngemittel!$B$6:$E$64,3,FALSE))/100*AU29</f>
        <v>0</v>
      </c>
      <c r="AW29" s="1033">
        <f>VLOOKUP(AT29,Düngemittel!$B$6:$E$64,2,FALSE)*AU29</f>
        <v>0</v>
      </c>
      <c r="AX29" s="1033">
        <f>VLOOKUP(AT29,Düngemittel!$B$6:$E$64,4,FALSE)*AU29</f>
        <v>0</v>
      </c>
      <c r="AY29" s="2324"/>
      <c r="AZ29" s="1329"/>
      <c r="BA29" s="1330" t="s">
        <v>795</v>
      </c>
      <c r="BB29" s="1424">
        <v>0</v>
      </c>
      <c r="BC29" s="1033">
        <f>VLOOKUP(BA29,Düngemittel!$B$6:$E$64,2,FALSE)*(VLOOKUP(BA29,Düngemittel!$B$6:$E$64,3,FALSE))/100*BB29</f>
        <v>0</v>
      </c>
      <c r="BD29" s="1033">
        <f>VLOOKUP(BA29,Düngemittel!$B$6:$E$64,2,FALSE)*BB29</f>
        <v>0</v>
      </c>
      <c r="BE29" s="1033">
        <f>VLOOKUP(BA29,Düngemittel!$B$6:$E$64,4,FALSE)*BB29</f>
        <v>0</v>
      </c>
      <c r="BF29" s="2324"/>
      <c r="BG29" s="1282">
        <f t="shared" si="27"/>
        <v>0</v>
      </c>
      <c r="BH29" s="2328">
        <f t="shared" si="28"/>
        <v>0</v>
      </c>
      <c r="BI29" s="1282">
        <f t="shared" si="29"/>
        <v>0</v>
      </c>
      <c r="BJ29" s="1138">
        <f t="shared" si="30"/>
        <v>0</v>
      </c>
      <c r="BK29" s="2328">
        <f t="shared" si="31"/>
        <v>0</v>
      </c>
      <c r="BL29" s="95"/>
      <c r="BM29" s="1135">
        <f t="shared" si="32"/>
        <v>0</v>
      </c>
      <c r="BN29" s="1135">
        <f t="shared" si="33"/>
        <v>0</v>
      </c>
      <c r="BO29" s="1135">
        <f t="shared" si="34"/>
        <v>0</v>
      </c>
      <c r="BP29" s="1135">
        <f t="shared" si="35"/>
        <v>0</v>
      </c>
      <c r="BQ29" s="1135">
        <f t="shared" si="36"/>
        <v>0</v>
      </c>
      <c r="BR29" s="2324"/>
      <c r="BS29" s="2324"/>
      <c r="BT29" s="528">
        <f t="shared" si="13"/>
        <v>0</v>
      </c>
      <c r="BU29" s="528">
        <f t="shared" si="14"/>
        <v>0</v>
      </c>
      <c r="BV29" s="148"/>
      <c r="BW29" s="735" t="s">
        <v>760</v>
      </c>
      <c r="BX29" s="735">
        <v>500</v>
      </c>
      <c r="BY29" s="807">
        <v>140</v>
      </c>
      <c r="BZ29" s="809">
        <v>0.2</v>
      </c>
      <c r="CA29" s="809">
        <v>0.3</v>
      </c>
      <c r="CB29" s="806">
        <v>60</v>
      </c>
      <c r="CC29" s="749">
        <v>0.14000000000000001</v>
      </c>
      <c r="CD29" s="480">
        <f t="shared" si="37"/>
        <v>70</v>
      </c>
      <c r="CE29" s="1317"/>
      <c r="CF29" s="1317"/>
    </row>
    <row r="30" spans="1:84" s="1421" customFormat="1" ht="26.25" customHeight="1">
      <c r="A30" s="468">
        <v>23</v>
      </c>
      <c r="B30" s="1699">
        <v>0</v>
      </c>
      <c r="C30" s="759" t="s">
        <v>31</v>
      </c>
      <c r="D30" s="565">
        <f t="shared" si="1"/>
        <v>0</v>
      </c>
      <c r="E30" s="584">
        <f t="shared" si="2"/>
        <v>0</v>
      </c>
      <c r="F30" s="1690">
        <v>0</v>
      </c>
      <c r="G30" s="570">
        <f t="shared" si="3"/>
        <v>0</v>
      </c>
      <c r="H30" s="761" t="s">
        <v>503</v>
      </c>
      <c r="I30" s="584">
        <f t="shared" si="4"/>
        <v>0</v>
      </c>
      <c r="J30" s="587" t="s">
        <v>31</v>
      </c>
      <c r="K30" s="765">
        <f t="shared" si="5"/>
        <v>0</v>
      </c>
      <c r="L30" s="565">
        <f t="shared" si="6"/>
        <v>0</v>
      </c>
      <c r="M30" s="1693">
        <v>0</v>
      </c>
      <c r="N30" s="609" t="s">
        <v>160</v>
      </c>
      <c r="O30" s="584">
        <f t="shared" si="7"/>
        <v>0</v>
      </c>
      <c r="P30" s="1696">
        <v>0</v>
      </c>
      <c r="Q30" s="1894">
        <f t="shared" si="25"/>
        <v>0</v>
      </c>
      <c r="R30" s="2371">
        <f t="shared" si="26"/>
        <v>0</v>
      </c>
      <c r="S30" s="2367">
        <f t="shared" si="8"/>
        <v>0</v>
      </c>
      <c r="T30" s="592">
        <f t="shared" si="9"/>
        <v>0</v>
      </c>
      <c r="U30" s="2324"/>
      <c r="V30" s="1281">
        <f t="shared" si="10"/>
        <v>23</v>
      </c>
      <c r="W30" s="1281" t="str">
        <f t="shared" si="11"/>
        <v>keine</v>
      </c>
      <c r="X30" s="1329"/>
      <c r="Y30" s="1330" t="s">
        <v>795</v>
      </c>
      <c r="Z30" s="1424">
        <v>0</v>
      </c>
      <c r="AA30" s="1033">
        <f>VLOOKUP(Y30,Düngemittel!$B$6:$E$64,2,FALSE)*(VLOOKUP(Y30,Düngemittel!$B$6:$E$64,3,FALSE))/100*Z30</f>
        <v>0</v>
      </c>
      <c r="AB30" s="1033">
        <f>VLOOKUP(Y30,Düngemittel!$B$6:$E$64,2,FALSE)*Z30</f>
        <v>0</v>
      </c>
      <c r="AC30" s="1033">
        <f>VLOOKUP(Y30,Düngemittel!$B$6:$E$64,4,FALSE)*Z30</f>
        <v>0</v>
      </c>
      <c r="AD30" s="2324"/>
      <c r="AE30" s="1329"/>
      <c r="AF30" s="1330" t="s">
        <v>795</v>
      </c>
      <c r="AG30" s="1424">
        <v>0</v>
      </c>
      <c r="AH30" s="1033">
        <f>VLOOKUP(AF30,Düngemittel!$B$6:$E$64,2,FALSE)*(VLOOKUP(AF30,Düngemittel!$B$6:$E$64,3,FALSE))/100*AG30</f>
        <v>0</v>
      </c>
      <c r="AI30" s="1033">
        <f>VLOOKUP(AF30,Düngemittel!$B$6:$E$64,2,FALSE)*AG30</f>
        <v>0</v>
      </c>
      <c r="AJ30" s="1033">
        <f>VLOOKUP(AF30,Düngemittel!$B$6:$E$64,4,FALSE)*AG30</f>
        <v>0</v>
      </c>
      <c r="AK30" s="2324"/>
      <c r="AL30" s="1329"/>
      <c r="AM30" s="1330" t="s">
        <v>795</v>
      </c>
      <c r="AN30" s="1424">
        <v>0</v>
      </c>
      <c r="AO30" s="1033">
        <f>VLOOKUP(AM30,Düngemittel!$B$6:$E$64,2,FALSE)*(VLOOKUP(AM30,Düngemittel!$B$6:$E$64,3,FALSE))/100*AN30</f>
        <v>0</v>
      </c>
      <c r="AP30" s="1033">
        <f>VLOOKUP(AM30,Düngemittel!$B$6:$E$64,2,FALSE)*AN30</f>
        <v>0</v>
      </c>
      <c r="AQ30" s="1033">
        <f>VLOOKUP(AM30,Düngemittel!$B$6:$E$64,4,FALSE)*AN30</f>
        <v>0</v>
      </c>
      <c r="AR30" s="2324"/>
      <c r="AS30" s="1329"/>
      <c r="AT30" s="1330" t="s">
        <v>795</v>
      </c>
      <c r="AU30" s="1424">
        <v>0</v>
      </c>
      <c r="AV30" s="1033">
        <f>VLOOKUP(AT30,Düngemittel!$B$6:$E$64,2,FALSE)*(VLOOKUP(AT30,Düngemittel!$B$6:$E$64,3,FALSE))/100*AU30</f>
        <v>0</v>
      </c>
      <c r="AW30" s="1033">
        <f>VLOOKUP(AT30,Düngemittel!$B$6:$E$64,2,FALSE)*AU30</f>
        <v>0</v>
      </c>
      <c r="AX30" s="1033">
        <f>VLOOKUP(AT30,Düngemittel!$B$6:$E$64,4,FALSE)*AU30</f>
        <v>0</v>
      </c>
      <c r="AY30" s="2324"/>
      <c r="AZ30" s="1329"/>
      <c r="BA30" s="1330" t="s">
        <v>795</v>
      </c>
      <c r="BB30" s="1424">
        <v>0</v>
      </c>
      <c r="BC30" s="1033">
        <f>VLOOKUP(BA30,Düngemittel!$B$6:$E$64,2,FALSE)*(VLOOKUP(BA30,Düngemittel!$B$6:$E$64,3,FALSE))/100*BB30</f>
        <v>0</v>
      </c>
      <c r="BD30" s="1033">
        <f>VLOOKUP(BA30,Düngemittel!$B$6:$E$64,2,FALSE)*BB30</f>
        <v>0</v>
      </c>
      <c r="BE30" s="1033">
        <f>VLOOKUP(BA30,Düngemittel!$B$6:$E$64,4,FALSE)*BB30</f>
        <v>0</v>
      </c>
      <c r="BF30" s="2324"/>
      <c r="BG30" s="1282">
        <f t="shared" si="27"/>
        <v>0</v>
      </c>
      <c r="BH30" s="2328">
        <f t="shared" si="28"/>
        <v>0</v>
      </c>
      <c r="BI30" s="1282">
        <f t="shared" si="29"/>
        <v>0</v>
      </c>
      <c r="BJ30" s="1138">
        <f t="shared" si="30"/>
        <v>0</v>
      </c>
      <c r="BK30" s="2328">
        <f t="shared" si="31"/>
        <v>0</v>
      </c>
      <c r="BL30" s="95"/>
      <c r="BM30" s="1135">
        <f t="shared" si="32"/>
        <v>0</v>
      </c>
      <c r="BN30" s="1135">
        <f t="shared" si="33"/>
        <v>0</v>
      </c>
      <c r="BO30" s="1135">
        <f t="shared" si="34"/>
        <v>0</v>
      </c>
      <c r="BP30" s="1135">
        <f t="shared" si="35"/>
        <v>0</v>
      </c>
      <c r="BQ30" s="1135">
        <f t="shared" si="36"/>
        <v>0</v>
      </c>
      <c r="BR30" s="2324"/>
      <c r="BS30" s="2324"/>
      <c r="BT30" s="528">
        <f t="shared" si="13"/>
        <v>0</v>
      </c>
      <c r="BU30" s="528">
        <f t="shared" si="14"/>
        <v>0</v>
      </c>
      <c r="BV30" s="148"/>
      <c r="BW30" s="279" t="s">
        <v>688</v>
      </c>
      <c r="BX30" s="279">
        <v>450</v>
      </c>
      <c r="BY30" s="751">
        <v>200</v>
      </c>
      <c r="BZ30" s="752">
        <v>0.2</v>
      </c>
      <c r="CA30" s="752">
        <v>0.3</v>
      </c>
      <c r="CB30" s="808">
        <v>90</v>
      </c>
      <c r="CC30" s="749">
        <v>0.16</v>
      </c>
      <c r="CD30" s="480">
        <f t="shared" si="37"/>
        <v>72</v>
      </c>
      <c r="CE30" s="1317"/>
      <c r="CF30" s="1317"/>
    </row>
    <row r="31" spans="1:84" s="1421" customFormat="1" ht="26.25" customHeight="1">
      <c r="A31" s="468">
        <v>24</v>
      </c>
      <c r="B31" s="1699">
        <v>0</v>
      </c>
      <c r="C31" s="759" t="s">
        <v>31</v>
      </c>
      <c r="D31" s="565">
        <f t="shared" si="1"/>
        <v>0</v>
      </c>
      <c r="E31" s="584">
        <f t="shared" si="2"/>
        <v>0</v>
      </c>
      <c r="F31" s="1690">
        <v>0</v>
      </c>
      <c r="G31" s="570">
        <f t="shared" si="3"/>
        <v>0</v>
      </c>
      <c r="H31" s="761" t="s">
        <v>503</v>
      </c>
      <c r="I31" s="584">
        <f t="shared" si="4"/>
        <v>0</v>
      </c>
      <c r="J31" s="587" t="s">
        <v>31</v>
      </c>
      <c r="K31" s="765">
        <f t="shared" si="5"/>
        <v>0</v>
      </c>
      <c r="L31" s="565">
        <f t="shared" si="6"/>
        <v>0</v>
      </c>
      <c r="M31" s="1693">
        <v>0</v>
      </c>
      <c r="N31" s="609" t="s">
        <v>160</v>
      </c>
      <c r="O31" s="584">
        <f t="shared" si="7"/>
        <v>0</v>
      </c>
      <c r="P31" s="1696">
        <v>0</v>
      </c>
      <c r="Q31" s="1894">
        <f t="shared" si="25"/>
        <v>0</v>
      </c>
      <c r="R31" s="2371">
        <f t="shared" si="26"/>
        <v>0</v>
      </c>
      <c r="S31" s="2367">
        <f t="shared" si="8"/>
        <v>0</v>
      </c>
      <c r="T31" s="592">
        <f t="shared" si="9"/>
        <v>0</v>
      </c>
      <c r="U31" s="2324"/>
      <c r="V31" s="1281">
        <f t="shared" si="10"/>
        <v>24</v>
      </c>
      <c r="W31" s="1281" t="str">
        <f t="shared" si="11"/>
        <v>keine</v>
      </c>
      <c r="X31" s="1329"/>
      <c r="Y31" s="1330" t="s">
        <v>795</v>
      </c>
      <c r="Z31" s="1424">
        <v>0</v>
      </c>
      <c r="AA31" s="1033">
        <f>VLOOKUP(Y31,Düngemittel!$B$6:$E$64,2,FALSE)*(VLOOKUP(Y31,Düngemittel!$B$6:$E$64,3,FALSE))/100*Z31</f>
        <v>0</v>
      </c>
      <c r="AB31" s="1033">
        <f>VLOOKUP(Y31,Düngemittel!$B$6:$E$64,2,FALSE)*Z31</f>
        <v>0</v>
      </c>
      <c r="AC31" s="1033">
        <f>VLOOKUP(Y31,Düngemittel!$B$6:$E$64,4,FALSE)*Z31</f>
        <v>0</v>
      </c>
      <c r="AD31" s="2324"/>
      <c r="AE31" s="1329"/>
      <c r="AF31" s="1330" t="s">
        <v>795</v>
      </c>
      <c r="AG31" s="1424">
        <v>0</v>
      </c>
      <c r="AH31" s="1033">
        <f>VLOOKUP(AF31,Düngemittel!$B$6:$E$64,2,FALSE)*(VLOOKUP(AF31,Düngemittel!$B$6:$E$64,3,FALSE))/100*AG31</f>
        <v>0</v>
      </c>
      <c r="AI31" s="1033">
        <f>VLOOKUP(AF31,Düngemittel!$B$6:$E$64,2,FALSE)*AG31</f>
        <v>0</v>
      </c>
      <c r="AJ31" s="1033">
        <f>VLOOKUP(AF31,Düngemittel!$B$6:$E$64,4,FALSE)*AG31</f>
        <v>0</v>
      </c>
      <c r="AK31" s="2324"/>
      <c r="AL31" s="1329"/>
      <c r="AM31" s="1330" t="s">
        <v>795</v>
      </c>
      <c r="AN31" s="1424">
        <v>0</v>
      </c>
      <c r="AO31" s="1033">
        <f>VLOOKUP(AM31,Düngemittel!$B$6:$E$64,2,FALSE)*(VLOOKUP(AM31,Düngemittel!$B$6:$E$64,3,FALSE))/100*AN31</f>
        <v>0</v>
      </c>
      <c r="AP31" s="1033">
        <f>VLOOKUP(AM31,Düngemittel!$B$6:$E$64,2,FALSE)*AN31</f>
        <v>0</v>
      </c>
      <c r="AQ31" s="1033">
        <f>VLOOKUP(AM31,Düngemittel!$B$6:$E$64,4,FALSE)*AN31</f>
        <v>0</v>
      </c>
      <c r="AR31" s="2324"/>
      <c r="AS31" s="1329"/>
      <c r="AT31" s="1330" t="s">
        <v>795</v>
      </c>
      <c r="AU31" s="1424">
        <v>0</v>
      </c>
      <c r="AV31" s="1033">
        <f>VLOOKUP(AT31,Düngemittel!$B$6:$E$64,2,FALSE)*(VLOOKUP(AT31,Düngemittel!$B$6:$E$64,3,FALSE))/100*AU31</f>
        <v>0</v>
      </c>
      <c r="AW31" s="1033">
        <f>VLOOKUP(AT31,Düngemittel!$B$6:$E$64,2,FALSE)*AU31</f>
        <v>0</v>
      </c>
      <c r="AX31" s="1033">
        <f>VLOOKUP(AT31,Düngemittel!$B$6:$E$64,4,FALSE)*AU31</f>
        <v>0</v>
      </c>
      <c r="AY31" s="2324"/>
      <c r="AZ31" s="1329"/>
      <c r="BA31" s="1330" t="s">
        <v>795</v>
      </c>
      <c r="BB31" s="1424">
        <v>0</v>
      </c>
      <c r="BC31" s="1033">
        <f>VLOOKUP(BA31,Düngemittel!$B$6:$E$64,2,FALSE)*(VLOOKUP(BA31,Düngemittel!$B$6:$E$64,3,FALSE))/100*BB31</f>
        <v>0</v>
      </c>
      <c r="BD31" s="1033">
        <f>VLOOKUP(BA31,Düngemittel!$B$6:$E$64,2,FALSE)*BB31</f>
        <v>0</v>
      </c>
      <c r="BE31" s="1033">
        <f>VLOOKUP(BA31,Düngemittel!$B$6:$E$64,4,FALSE)*BB31</f>
        <v>0</v>
      </c>
      <c r="BF31" s="2324"/>
      <c r="BG31" s="1282">
        <f t="shared" si="27"/>
        <v>0</v>
      </c>
      <c r="BH31" s="2328">
        <f t="shared" si="28"/>
        <v>0</v>
      </c>
      <c r="BI31" s="1282">
        <f t="shared" si="29"/>
        <v>0</v>
      </c>
      <c r="BJ31" s="1138">
        <f t="shared" si="30"/>
        <v>0</v>
      </c>
      <c r="BK31" s="2328">
        <f t="shared" si="31"/>
        <v>0</v>
      </c>
      <c r="BL31" s="95"/>
      <c r="BM31" s="1135">
        <f t="shared" si="32"/>
        <v>0</v>
      </c>
      <c r="BN31" s="1135">
        <f t="shared" si="33"/>
        <v>0</v>
      </c>
      <c r="BO31" s="1135">
        <f t="shared" si="34"/>
        <v>0</v>
      </c>
      <c r="BP31" s="1135">
        <f t="shared" si="35"/>
        <v>0</v>
      </c>
      <c r="BQ31" s="1135">
        <f t="shared" si="36"/>
        <v>0</v>
      </c>
      <c r="BR31" s="2324"/>
      <c r="BS31" s="2324"/>
      <c r="BT31" s="528">
        <f t="shared" si="13"/>
        <v>0</v>
      </c>
      <c r="BU31" s="528">
        <f t="shared" si="14"/>
        <v>0</v>
      </c>
      <c r="BV31" s="148"/>
      <c r="BW31" s="279" t="s">
        <v>41</v>
      </c>
      <c r="BX31" s="279">
        <v>50</v>
      </c>
      <c r="BY31" s="279">
        <v>140</v>
      </c>
      <c r="BZ31" s="279">
        <v>1</v>
      </c>
      <c r="CA31" s="279">
        <v>1.5</v>
      </c>
      <c r="CB31" s="808">
        <v>60</v>
      </c>
      <c r="CC31" s="749">
        <v>0.8</v>
      </c>
      <c r="CD31" s="480">
        <f t="shared" si="37"/>
        <v>40</v>
      </c>
      <c r="CE31" s="1317"/>
      <c r="CF31" s="1317"/>
    </row>
    <row r="32" spans="1:84" s="1421" customFormat="1" ht="26.25" customHeight="1">
      <c r="A32" s="468">
        <v>25</v>
      </c>
      <c r="B32" s="1699">
        <v>0</v>
      </c>
      <c r="C32" s="759" t="s">
        <v>31</v>
      </c>
      <c r="D32" s="565">
        <f t="shared" si="1"/>
        <v>0</v>
      </c>
      <c r="E32" s="584">
        <f t="shared" si="2"/>
        <v>0</v>
      </c>
      <c r="F32" s="1690">
        <v>0</v>
      </c>
      <c r="G32" s="570">
        <f t="shared" si="3"/>
        <v>0</v>
      </c>
      <c r="H32" s="761" t="s">
        <v>503</v>
      </c>
      <c r="I32" s="584">
        <f t="shared" si="4"/>
        <v>0</v>
      </c>
      <c r="J32" s="587" t="s">
        <v>31</v>
      </c>
      <c r="K32" s="765">
        <f t="shared" si="5"/>
        <v>0</v>
      </c>
      <c r="L32" s="565">
        <f t="shared" si="6"/>
        <v>0</v>
      </c>
      <c r="M32" s="1693">
        <v>0</v>
      </c>
      <c r="N32" s="609" t="s">
        <v>160</v>
      </c>
      <c r="O32" s="584">
        <f t="shared" si="7"/>
        <v>0</v>
      </c>
      <c r="P32" s="1696">
        <v>0</v>
      </c>
      <c r="Q32" s="1894">
        <f t="shared" si="25"/>
        <v>0</v>
      </c>
      <c r="R32" s="2371">
        <f t="shared" si="26"/>
        <v>0</v>
      </c>
      <c r="S32" s="2367">
        <f t="shared" si="8"/>
        <v>0</v>
      </c>
      <c r="T32" s="592">
        <f t="shared" si="9"/>
        <v>0</v>
      </c>
      <c r="U32" s="2324"/>
      <c r="V32" s="1281">
        <f t="shared" si="10"/>
        <v>25</v>
      </c>
      <c r="W32" s="1281" t="str">
        <f t="shared" si="11"/>
        <v>keine</v>
      </c>
      <c r="X32" s="1329"/>
      <c r="Y32" s="1330" t="s">
        <v>795</v>
      </c>
      <c r="Z32" s="1424">
        <v>0</v>
      </c>
      <c r="AA32" s="1033">
        <f>VLOOKUP(Y32,Düngemittel!$B$6:$E$64,2,FALSE)*(VLOOKUP(Y32,Düngemittel!$B$6:$E$64,3,FALSE))/100*Z32</f>
        <v>0</v>
      </c>
      <c r="AB32" s="1033">
        <f>VLOOKUP(Y32,Düngemittel!$B$6:$E$64,2,FALSE)*Z32</f>
        <v>0</v>
      </c>
      <c r="AC32" s="1033">
        <f>VLOOKUP(Y32,Düngemittel!$B$6:$E$64,4,FALSE)*Z32</f>
        <v>0</v>
      </c>
      <c r="AD32" s="2324"/>
      <c r="AE32" s="1329"/>
      <c r="AF32" s="1330" t="s">
        <v>795</v>
      </c>
      <c r="AG32" s="1424">
        <v>0</v>
      </c>
      <c r="AH32" s="1033">
        <f>VLOOKUP(AF32,Düngemittel!$B$6:$E$64,2,FALSE)*(VLOOKUP(AF32,Düngemittel!$B$6:$E$64,3,FALSE))/100*AG32</f>
        <v>0</v>
      </c>
      <c r="AI32" s="1033">
        <f>VLOOKUP(AF32,Düngemittel!$B$6:$E$64,2,FALSE)*AG32</f>
        <v>0</v>
      </c>
      <c r="AJ32" s="1033">
        <f>VLOOKUP(AF32,Düngemittel!$B$6:$E$64,4,FALSE)*AG32</f>
        <v>0</v>
      </c>
      <c r="AK32" s="2324"/>
      <c r="AL32" s="1329"/>
      <c r="AM32" s="1330" t="s">
        <v>795</v>
      </c>
      <c r="AN32" s="1424">
        <v>0</v>
      </c>
      <c r="AO32" s="1033">
        <f>VLOOKUP(AM32,Düngemittel!$B$6:$E$64,2,FALSE)*(VLOOKUP(AM32,Düngemittel!$B$6:$E$64,3,FALSE))/100*AN32</f>
        <v>0</v>
      </c>
      <c r="AP32" s="1033">
        <f>VLOOKUP(AM32,Düngemittel!$B$6:$E$64,2,FALSE)*AN32</f>
        <v>0</v>
      </c>
      <c r="AQ32" s="1033">
        <f>VLOOKUP(AM32,Düngemittel!$B$6:$E$64,4,FALSE)*AN32</f>
        <v>0</v>
      </c>
      <c r="AR32" s="2324"/>
      <c r="AS32" s="1329"/>
      <c r="AT32" s="1330" t="s">
        <v>795</v>
      </c>
      <c r="AU32" s="1424">
        <v>0</v>
      </c>
      <c r="AV32" s="1033">
        <f>VLOOKUP(AT32,Düngemittel!$B$6:$E$64,2,FALSE)*(VLOOKUP(AT32,Düngemittel!$B$6:$E$64,3,FALSE))/100*AU32</f>
        <v>0</v>
      </c>
      <c r="AW32" s="1033">
        <f>VLOOKUP(AT32,Düngemittel!$B$6:$E$64,2,FALSE)*AU32</f>
        <v>0</v>
      </c>
      <c r="AX32" s="1033">
        <f>VLOOKUP(AT32,Düngemittel!$B$6:$E$64,4,FALSE)*AU32</f>
        <v>0</v>
      </c>
      <c r="AY32" s="2324"/>
      <c r="AZ32" s="1329"/>
      <c r="BA32" s="1330" t="s">
        <v>795</v>
      </c>
      <c r="BB32" s="1424">
        <v>0</v>
      </c>
      <c r="BC32" s="1033">
        <f>VLOOKUP(BA32,Düngemittel!$B$6:$E$64,2,FALSE)*(VLOOKUP(BA32,Düngemittel!$B$6:$E$64,3,FALSE))/100*BB32</f>
        <v>0</v>
      </c>
      <c r="BD32" s="1033">
        <f>VLOOKUP(BA32,Düngemittel!$B$6:$E$64,2,FALSE)*BB32</f>
        <v>0</v>
      </c>
      <c r="BE32" s="1033">
        <f>VLOOKUP(BA32,Düngemittel!$B$6:$E$64,4,FALSE)*BB32</f>
        <v>0</v>
      </c>
      <c r="BF32" s="2324"/>
      <c r="BG32" s="1282">
        <f t="shared" si="27"/>
        <v>0</v>
      </c>
      <c r="BH32" s="2328">
        <f t="shared" si="28"/>
        <v>0</v>
      </c>
      <c r="BI32" s="1282">
        <f t="shared" si="29"/>
        <v>0</v>
      </c>
      <c r="BJ32" s="1138">
        <f t="shared" si="30"/>
        <v>0</v>
      </c>
      <c r="BK32" s="2328">
        <f t="shared" si="31"/>
        <v>0</v>
      </c>
      <c r="BL32" s="95"/>
      <c r="BM32" s="1135">
        <f t="shared" si="32"/>
        <v>0</v>
      </c>
      <c r="BN32" s="1135">
        <f t="shared" si="33"/>
        <v>0</v>
      </c>
      <c r="BO32" s="1135">
        <f t="shared" si="34"/>
        <v>0</v>
      </c>
      <c r="BP32" s="1135">
        <f t="shared" si="35"/>
        <v>0</v>
      </c>
      <c r="BQ32" s="1135">
        <f t="shared" si="36"/>
        <v>0</v>
      </c>
      <c r="BR32" s="2324"/>
      <c r="BS32" s="2324"/>
      <c r="BT32" s="528">
        <f t="shared" si="13"/>
        <v>0</v>
      </c>
      <c r="BU32" s="528">
        <f t="shared" si="14"/>
        <v>0</v>
      </c>
      <c r="BV32" s="148"/>
      <c r="BW32" s="735" t="s">
        <v>699</v>
      </c>
      <c r="BX32" s="735">
        <v>350</v>
      </c>
      <c r="BY32" s="735">
        <v>180</v>
      </c>
      <c r="BZ32" s="735">
        <v>0.2</v>
      </c>
      <c r="CA32" s="735">
        <v>0.3</v>
      </c>
      <c r="CB32" s="808">
        <v>60</v>
      </c>
      <c r="CC32" s="749">
        <v>0.23</v>
      </c>
      <c r="CD32" s="480">
        <f t="shared" si="37"/>
        <v>80.5</v>
      </c>
      <c r="CE32" s="1317"/>
      <c r="CF32" s="1317"/>
    </row>
    <row r="33" spans="1:84" s="1421" customFormat="1" ht="26.25" customHeight="1">
      <c r="A33" s="468">
        <v>26</v>
      </c>
      <c r="B33" s="1699">
        <v>0</v>
      </c>
      <c r="C33" s="759" t="s">
        <v>31</v>
      </c>
      <c r="D33" s="565">
        <f t="shared" si="1"/>
        <v>0</v>
      </c>
      <c r="E33" s="584">
        <f t="shared" si="2"/>
        <v>0</v>
      </c>
      <c r="F33" s="1690">
        <v>0</v>
      </c>
      <c r="G33" s="570">
        <f t="shared" si="3"/>
        <v>0</v>
      </c>
      <c r="H33" s="761" t="s">
        <v>503</v>
      </c>
      <c r="I33" s="584">
        <f t="shared" si="4"/>
        <v>0</v>
      </c>
      <c r="J33" s="587" t="s">
        <v>31</v>
      </c>
      <c r="K33" s="765">
        <f t="shared" si="5"/>
        <v>0</v>
      </c>
      <c r="L33" s="565">
        <f t="shared" si="6"/>
        <v>0</v>
      </c>
      <c r="M33" s="1693">
        <v>0</v>
      </c>
      <c r="N33" s="609" t="s">
        <v>160</v>
      </c>
      <c r="O33" s="584">
        <f t="shared" si="7"/>
        <v>0</v>
      </c>
      <c r="P33" s="1696">
        <v>0</v>
      </c>
      <c r="Q33" s="1894">
        <f t="shared" si="25"/>
        <v>0</v>
      </c>
      <c r="R33" s="2371">
        <f t="shared" si="26"/>
        <v>0</v>
      </c>
      <c r="S33" s="2367">
        <f t="shared" si="8"/>
        <v>0</v>
      </c>
      <c r="T33" s="592">
        <f t="shared" si="9"/>
        <v>0</v>
      </c>
      <c r="U33" s="2324"/>
      <c r="V33" s="1281">
        <f t="shared" si="10"/>
        <v>26</v>
      </c>
      <c r="W33" s="1281" t="str">
        <f t="shared" si="11"/>
        <v>keine</v>
      </c>
      <c r="X33" s="1329"/>
      <c r="Y33" s="1330" t="s">
        <v>795</v>
      </c>
      <c r="Z33" s="1424">
        <v>0</v>
      </c>
      <c r="AA33" s="1033">
        <f>VLOOKUP(Y33,Düngemittel!$B$6:$E$64,2,FALSE)*(VLOOKUP(Y33,Düngemittel!$B$6:$E$64,3,FALSE))/100*Z33</f>
        <v>0</v>
      </c>
      <c r="AB33" s="1033">
        <f>VLOOKUP(Y33,Düngemittel!$B$6:$E$64,2,FALSE)*Z33</f>
        <v>0</v>
      </c>
      <c r="AC33" s="1033">
        <f>VLOOKUP(Y33,Düngemittel!$B$6:$E$64,4,FALSE)*Z33</f>
        <v>0</v>
      </c>
      <c r="AD33" s="2324"/>
      <c r="AE33" s="1329"/>
      <c r="AF33" s="1330" t="s">
        <v>795</v>
      </c>
      <c r="AG33" s="1424">
        <v>0</v>
      </c>
      <c r="AH33" s="1033">
        <f>VLOOKUP(AF33,Düngemittel!$B$6:$E$64,2,FALSE)*(VLOOKUP(AF33,Düngemittel!$B$6:$E$64,3,FALSE))/100*AG33</f>
        <v>0</v>
      </c>
      <c r="AI33" s="1033">
        <f>VLOOKUP(AF33,Düngemittel!$B$6:$E$64,2,FALSE)*AG33</f>
        <v>0</v>
      </c>
      <c r="AJ33" s="1033">
        <f>VLOOKUP(AF33,Düngemittel!$B$6:$E$64,4,FALSE)*AG33</f>
        <v>0</v>
      </c>
      <c r="AK33" s="2324"/>
      <c r="AL33" s="1329"/>
      <c r="AM33" s="1330" t="s">
        <v>795</v>
      </c>
      <c r="AN33" s="1424">
        <v>0</v>
      </c>
      <c r="AO33" s="1033">
        <f>VLOOKUP(AM33,Düngemittel!$B$6:$E$64,2,FALSE)*(VLOOKUP(AM33,Düngemittel!$B$6:$E$64,3,FALSE))/100*AN33</f>
        <v>0</v>
      </c>
      <c r="AP33" s="1033">
        <f>VLOOKUP(AM33,Düngemittel!$B$6:$E$64,2,FALSE)*AN33</f>
        <v>0</v>
      </c>
      <c r="AQ33" s="1033">
        <f>VLOOKUP(AM33,Düngemittel!$B$6:$E$64,4,FALSE)*AN33</f>
        <v>0</v>
      </c>
      <c r="AR33" s="2324"/>
      <c r="AS33" s="1329"/>
      <c r="AT33" s="1330" t="s">
        <v>795</v>
      </c>
      <c r="AU33" s="1424">
        <v>0</v>
      </c>
      <c r="AV33" s="1033">
        <f>VLOOKUP(AT33,Düngemittel!$B$6:$E$64,2,FALSE)*(VLOOKUP(AT33,Düngemittel!$B$6:$E$64,3,FALSE))/100*AU33</f>
        <v>0</v>
      </c>
      <c r="AW33" s="1033">
        <f>VLOOKUP(AT33,Düngemittel!$B$6:$E$64,2,FALSE)*AU33</f>
        <v>0</v>
      </c>
      <c r="AX33" s="1033">
        <f>VLOOKUP(AT33,Düngemittel!$B$6:$E$64,4,FALSE)*AU33</f>
        <v>0</v>
      </c>
      <c r="AY33" s="2324"/>
      <c r="AZ33" s="1329"/>
      <c r="BA33" s="1330" t="s">
        <v>795</v>
      </c>
      <c r="BB33" s="1424">
        <v>0</v>
      </c>
      <c r="BC33" s="1033">
        <f>VLOOKUP(BA33,Düngemittel!$B$6:$E$64,2,FALSE)*(VLOOKUP(BA33,Düngemittel!$B$6:$E$64,3,FALSE))/100*BB33</f>
        <v>0</v>
      </c>
      <c r="BD33" s="1033">
        <f>VLOOKUP(BA33,Düngemittel!$B$6:$E$64,2,FALSE)*BB33</f>
        <v>0</v>
      </c>
      <c r="BE33" s="1033">
        <f>VLOOKUP(BA33,Düngemittel!$B$6:$E$64,4,FALSE)*BB33</f>
        <v>0</v>
      </c>
      <c r="BF33" s="2324"/>
      <c r="BG33" s="1282">
        <f t="shared" si="27"/>
        <v>0</v>
      </c>
      <c r="BH33" s="2328">
        <f t="shared" si="28"/>
        <v>0</v>
      </c>
      <c r="BI33" s="1282">
        <f t="shared" si="29"/>
        <v>0</v>
      </c>
      <c r="BJ33" s="1138">
        <f t="shared" si="30"/>
        <v>0</v>
      </c>
      <c r="BK33" s="2328">
        <f t="shared" si="31"/>
        <v>0</v>
      </c>
      <c r="BL33" s="95"/>
      <c r="BM33" s="1135">
        <f t="shared" si="32"/>
        <v>0</v>
      </c>
      <c r="BN33" s="1135">
        <f t="shared" si="33"/>
        <v>0</v>
      </c>
      <c r="BO33" s="1135">
        <f t="shared" si="34"/>
        <v>0</v>
      </c>
      <c r="BP33" s="1135">
        <f t="shared" si="35"/>
        <v>0</v>
      </c>
      <c r="BQ33" s="1135">
        <f t="shared" si="36"/>
        <v>0</v>
      </c>
      <c r="BR33" s="2324"/>
      <c r="BS33" s="2324"/>
      <c r="BT33" s="528">
        <f t="shared" si="13"/>
        <v>0</v>
      </c>
      <c r="BU33" s="528">
        <f t="shared" si="14"/>
        <v>0</v>
      </c>
      <c r="BV33" s="148"/>
      <c r="BW33" s="786" t="s">
        <v>717</v>
      </c>
      <c r="BX33" s="786">
        <v>350</v>
      </c>
      <c r="BY33" s="786">
        <v>140</v>
      </c>
      <c r="BZ33" s="786">
        <v>0.15</v>
      </c>
      <c r="CA33" s="786">
        <v>0.23</v>
      </c>
      <c r="CB33" s="808">
        <v>60</v>
      </c>
      <c r="CC33" s="749">
        <v>0.23</v>
      </c>
      <c r="CD33" s="480">
        <f t="shared" si="37"/>
        <v>80.5</v>
      </c>
      <c r="CE33" s="1317"/>
      <c r="CF33" s="1317"/>
    </row>
    <row r="34" spans="1:84" s="1421" customFormat="1" ht="26.25" customHeight="1">
      <c r="A34" s="468">
        <v>27</v>
      </c>
      <c r="B34" s="1699">
        <v>0</v>
      </c>
      <c r="C34" s="759" t="s">
        <v>31</v>
      </c>
      <c r="D34" s="565">
        <f t="shared" si="1"/>
        <v>0</v>
      </c>
      <c r="E34" s="584">
        <f t="shared" si="2"/>
        <v>0</v>
      </c>
      <c r="F34" s="1690">
        <v>0</v>
      </c>
      <c r="G34" s="570">
        <f t="shared" si="3"/>
        <v>0</v>
      </c>
      <c r="H34" s="761" t="s">
        <v>503</v>
      </c>
      <c r="I34" s="584">
        <f t="shared" si="4"/>
        <v>0</v>
      </c>
      <c r="J34" s="587" t="s">
        <v>31</v>
      </c>
      <c r="K34" s="765">
        <f t="shared" si="5"/>
        <v>0</v>
      </c>
      <c r="L34" s="565">
        <f t="shared" si="6"/>
        <v>0</v>
      </c>
      <c r="M34" s="1693">
        <v>0</v>
      </c>
      <c r="N34" s="609" t="s">
        <v>160</v>
      </c>
      <c r="O34" s="584">
        <f t="shared" si="7"/>
        <v>0</v>
      </c>
      <c r="P34" s="1696">
        <v>0</v>
      </c>
      <c r="Q34" s="1894">
        <f t="shared" si="25"/>
        <v>0</v>
      </c>
      <c r="R34" s="2371">
        <f t="shared" si="26"/>
        <v>0</v>
      </c>
      <c r="S34" s="2367">
        <f t="shared" si="8"/>
        <v>0</v>
      </c>
      <c r="T34" s="592">
        <f t="shared" si="9"/>
        <v>0</v>
      </c>
      <c r="U34" s="2324"/>
      <c r="V34" s="1281">
        <f t="shared" si="10"/>
        <v>27</v>
      </c>
      <c r="W34" s="1281" t="str">
        <f t="shared" si="11"/>
        <v>keine</v>
      </c>
      <c r="X34" s="1329"/>
      <c r="Y34" s="1330" t="s">
        <v>795</v>
      </c>
      <c r="Z34" s="1424">
        <v>0</v>
      </c>
      <c r="AA34" s="1033">
        <f>VLOOKUP(Y34,Düngemittel!$B$6:$E$64,2,FALSE)*(VLOOKUP(Y34,Düngemittel!$B$6:$E$64,3,FALSE))/100*Z34</f>
        <v>0</v>
      </c>
      <c r="AB34" s="1033">
        <f>VLOOKUP(Y34,Düngemittel!$B$6:$E$64,2,FALSE)*Z34</f>
        <v>0</v>
      </c>
      <c r="AC34" s="1033">
        <f>VLOOKUP(Y34,Düngemittel!$B$6:$E$64,4,FALSE)*Z34</f>
        <v>0</v>
      </c>
      <c r="AD34" s="2324"/>
      <c r="AE34" s="1329"/>
      <c r="AF34" s="1330" t="s">
        <v>795</v>
      </c>
      <c r="AG34" s="1424">
        <v>0</v>
      </c>
      <c r="AH34" s="1033">
        <f>VLOOKUP(AF34,Düngemittel!$B$6:$E$64,2,FALSE)*(VLOOKUP(AF34,Düngemittel!$B$6:$E$64,3,FALSE))/100*AG34</f>
        <v>0</v>
      </c>
      <c r="AI34" s="1033">
        <f>VLOOKUP(AF34,Düngemittel!$B$6:$E$64,2,FALSE)*AG34</f>
        <v>0</v>
      </c>
      <c r="AJ34" s="1033">
        <f>VLOOKUP(AF34,Düngemittel!$B$6:$E$64,4,FALSE)*AG34</f>
        <v>0</v>
      </c>
      <c r="AK34" s="2324"/>
      <c r="AL34" s="1329"/>
      <c r="AM34" s="1330" t="s">
        <v>795</v>
      </c>
      <c r="AN34" s="1424">
        <v>0</v>
      </c>
      <c r="AO34" s="1033">
        <f>VLOOKUP(AM34,Düngemittel!$B$6:$E$64,2,FALSE)*(VLOOKUP(AM34,Düngemittel!$B$6:$E$64,3,FALSE))/100*AN34</f>
        <v>0</v>
      </c>
      <c r="AP34" s="1033">
        <f>VLOOKUP(AM34,Düngemittel!$B$6:$E$64,2,FALSE)*AN34</f>
        <v>0</v>
      </c>
      <c r="AQ34" s="1033">
        <f>VLOOKUP(AM34,Düngemittel!$B$6:$E$64,4,FALSE)*AN34</f>
        <v>0</v>
      </c>
      <c r="AR34" s="2324"/>
      <c r="AS34" s="1329"/>
      <c r="AT34" s="1330" t="s">
        <v>795</v>
      </c>
      <c r="AU34" s="1424">
        <v>0</v>
      </c>
      <c r="AV34" s="1033">
        <f>VLOOKUP(AT34,Düngemittel!$B$6:$E$64,2,FALSE)*(VLOOKUP(AT34,Düngemittel!$B$6:$E$64,3,FALSE))/100*AU34</f>
        <v>0</v>
      </c>
      <c r="AW34" s="1033">
        <f>VLOOKUP(AT34,Düngemittel!$B$6:$E$64,2,FALSE)*AU34</f>
        <v>0</v>
      </c>
      <c r="AX34" s="1033">
        <f>VLOOKUP(AT34,Düngemittel!$B$6:$E$64,4,FALSE)*AU34</f>
        <v>0</v>
      </c>
      <c r="AY34" s="2324"/>
      <c r="AZ34" s="1329"/>
      <c r="BA34" s="1330" t="s">
        <v>795</v>
      </c>
      <c r="BB34" s="1424">
        <v>0</v>
      </c>
      <c r="BC34" s="1033">
        <f>VLOOKUP(BA34,Düngemittel!$B$6:$E$64,2,FALSE)*(VLOOKUP(BA34,Düngemittel!$B$6:$E$64,3,FALSE))/100*BB34</f>
        <v>0</v>
      </c>
      <c r="BD34" s="1033">
        <f>VLOOKUP(BA34,Düngemittel!$B$6:$E$64,2,FALSE)*BB34</f>
        <v>0</v>
      </c>
      <c r="BE34" s="1033">
        <f>VLOOKUP(BA34,Düngemittel!$B$6:$E$64,4,FALSE)*BB34</f>
        <v>0</v>
      </c>
      <c r="BF34" s="2324"/>
      <c r="BG34" s="1282">
        <f t="shared" si="27"/>
        <v>0</v>
      </c>
      <c r="BH34" s="2328">
        <f t="shared" si="28"/>
        <v>0</v>
      </c>
      <c r="BI34" s="1282">
        <f t="shared" si="29"/>
        <v>0</v>
      </c>
      <c r="BJ34" s="1138">
        <f t="shared" si="30"/>
        <v>0</v>
      </c>
      <c r="BK34" s="2328">
        <f t="shared" si="31"/>
        <v>0</v>
      </c>
      <c r="BL34" s="95"/>
      <c r="BM34" s="1135">
        <f t="shared" si="32"/>
        <v>0</v>
      </c>
      <c r="BN34" s="1135">
        <f t="shared" si="33"/>
        <v>0</v>
      </c>
      <c r="BO34" s="1135">
        <f t="shared" si="34"/>
        <v>0</v>
      </c>
      <c r="BP34" s="1135">
        <f t="shared" si="35"/>
        <v>0</v>
      </c>
      <c r="BQ34" s="1135">
        <f t="shared" si="36"/>
        <v>0</v>
      </c>
      <c r="BR34" s="2324"/>
      <c r="BS34" s="2324"/>
      <c r="BT34" s="528">
        <f t="shared" si="13"/>
        <v>0</v>
      </c>
      <c r="BU34" s="528">
        <f t="shared" si="14"/>
        <v>0</v>
      </c>
      <c r="BV34" s="148"/>
      <c r="BW34" s="786" t="s">
        <v>730</v>
      </c>
      <c r="BX34" s="786">
        <v>350</v>
      </c>
      <c r="BY34" s="786">
        <v>100</v>
      </c>
      <c r="BZ34" s="786">
        <v>0.1</v>
      </c>
      <c r="CA34" s="786">
        <v>0.15</v>
      </c>
      <c r="CB34" s="808">
        <v>60</v>
      </c>
      <c r="CC34" s="749">
        <v>0.23</v>
      </c>
      <c r="CD34" s="480">
        <f t="shared" si="37"/>
        <v>80.5</v>
      </c>
      <c r="CE34" s="1317"/>
      <c r="CF34" s="1317"/>
    </row>
    <row r="35" spans="1:84" s="1421" customFormat="1" ht="26.25" customHeight="1">
      <c r="A35" s="468">
        <v>28</v>
      </c>
      <c r="B35" s="1699">
        <v>0</v>
      </c>
      <c r="C35" s="759" t="s">
        <v>31</v>
      </c>
      <c r="D35" s="565">
        <f t="shared" si="1"/>
        <v>0</v>
      </c>
      <c r="E35" s="584">
        <f t="shared" si="2"/>
        <v>0</v>
      </c>
      <c r="F35" s="1690">
        <v>0</v>
      </c>
      <c r="G35" s="570">
        <f t="shared" si="3"/>
        <v>0</v>
      </c>
      <c r="H35" s="761" t="s">
        <v>503</v>
      </c>
      <c r="I35" s="584">
        <f t="shared" si="4"/>
        <v>0</v>
      </c>
      <c r="J35" s="587" t="s">
        <v>31</v>
      </c>
      <c r="K35" s="765">
        <f t="shared" si="5"/>
        <v>0</v>
      </c>
      <c r="L35" s="565">
        <f t="shared" si="6"/>
        <v>0</v>
      </c>
      <c r="M35" s="1693">
        <v>0</v>
      </c>
      <c r="N35" s="609" t="s">
        <v>160</v>
      </c>
      <c r="O35" s="584">
        <f t="shared" si="7"/>
        <v>0</v>
      </c>
      <c r="P35" s="1696">
        <v>0</v>
      </c>
      <c r="Q35" s="1894">
        <f t="shared" si="25"/>
        <v>0</v>
      </c>
      <c r="R35" s="2371">
        <f t="shared" si="26"/>
        <v>0</v>
      </c>
      <c r="S35" s="2367">
        <f t="shared" si="8"/>
        <v>0</v>
      </c>
      <c r="T35" s="592">
        <f t="shared" si="9"/>
        <v>0</v>
      </c>
      <c r="U35" s="2324"/>
      <c r="V35" s="1281">
        <f t="shared" si="10"/>
        <v>28</v>
      </c>
      <c r="W35" s="1281" t="str">
        <f t="shared" si="11"/>
        <v>keine</v>
      </c>
      <c r="X35" s="1329"/>
      <c r="Y35" s="1330" t="s">
        <v>795</v>
      </c>
      <c r="Z35" s="1424">
        <v>0</v>
      </c>
      <c r="AA35" s="1033">
        <f>VLOOKUP(Y35,Düngemittel!$B$6:$E$64,2,FALSE)*(VLOOKUP(Y35,Düngemittel!$B$6:$E$64,3,FALSE))/100*Z35</f>
        <v>0</v>
      </c>
      <c r="AB35" s="1033">
        <f>VLOOKUP(Y35,Düngemittel!$B$6:$E$64,2,FALSE)*Z35</f>
        <v>0</v>
      </c>
      <c r="AC35" s="1033">
        <f>VLOOKUP(Y35,Düngemittel!$B$6:$E$64,4,FALSE)*Z35</f>
        <v>0</v>
      </c>
      <c r="AD35" s="2324"/>
      <c r="AE35" s="1329"/>
      <c r="AF35" s="1330" t="s">
        <v>795</v>
      </c>
      <c r="AG35" s="1424">
        <v>0</v>
      </c>
      <c r="AH35" s="1033">
        <f>VLOOKUP(AF35,Düngemittel!$B$6:$E$64,2,FALSE)*(VLOOKUP(AF35,Düngemittel!$B$6:$E$64,3,FALSE))/100*AG35</f>
        <v>0</v>
      </c>
      <c r="AI35" s="1033">
        <f>VLOOKUP(AF35,Düngemittel!$B$6:$E$64,2,FALSE)*AG35</f>
        <v>0</v>
      </c>
      <c r="AJ35" s="1033">
        <f>VLOOKUP(AF35,Düngemittel!$B$6:$E$64,4,FALSE)*AG35</f>
        <v>0</v>
      </c>
      <c r="AK35" s="2324"/>
      <c r="AL35" s="1329"/>
      <c r="AM35" s="1330" t="s">
        <v>795</v>
      </c>
      <c r="AN35" s="1424">
        <v>0</v>
      </c>
      <c r="AO35" s="1033">
        <f>VLOOKUP(AM35,Düngemittel!$B$6:$E$64,2,FALSE)*(VLOOKUP(AM35,Düngemittel!$B$6:$E$64,3,FALSE))/100*AN35</f>
        <v>0</v>
      </c>
      <c r="AP35" s="1033">
        <f>VLOOKUP(AM35,Düngemittel!$B$6:$E$64,2,FALSE)*AN35</f>
        <v>0</v>
      </c>
      <c r="AQ35" s="1033">
        <f>VLOOKUP(AM35,Düngemittel!$B$6:$E$64,4,FALSE)*AN35</f>
        <v>0</v>
      </c>
      <c r="AR35" s="2324"/>
      <c r="AS35" s="1329"/>
      <c r="AT35" s="1330" t="s">
        <v>795</v>
      </c>
      <c r="AU35" s="1424">
        <v>0</v>
      </c>
      <c r="AV35" s="1033">
        <f>VLOOKUP(AT35,Düngemittel!$B$6:$E$64,2,FALSE)*(VLOOKUP(AT35,Düngemittel!$B$6:$E$64,3,FALSE))/100*AU35</f>
        <v>0</v>
      </c>
      <c r="AW35" s="1033">
        <f>VLOOKUP(AT35,Düngemittel!$B$6:$E$64,2,FALSE)*AU35</f>
        <v>0</v>
      </c>
      <c r="AX35" s="1033">
        <f>VLOOKUP(AT35,Düngemittel!$B$6:$E$64,4,FALSE)*AU35</f>
        <v>0</v>
      </c>
      <c r="AY35" s="2324"/>
      <c r="AZ35" s="1329"/>
      <c r="BA35" s="1330" t="s">
        <v>795</v>
      </c>
      <c r="BB35" s="1424">
        <v>0</v>
      </c>
      <c r="BC35" s="1033">
        <f>VLOOKUP(BA35,Düngemittel!$B$6:$E$64,2,FALSE)*(VLOOKUP(BA35,Düngemittel!$B$6:$E$64,3,FALSE))/100*BB35</f>
        <v>0</v>
      </c>
      <c r="BD35" s="1033">
        <f>VLOOKUP(BA35,Düngemittel!$B$6:$E$64,2,FALSE)*BB35</f>
        <v>0</v>
      </c>
      <c r="BE35" s="1033">
        <f>VLOOKUP(BA35,Düngemittel!$B$6:$E$64,4,FALSE)*BB35</f>
        <v>0</v>
      </c>
      <c r="BF35" s="2324"/>
      <c r="BG35" s="1282">
        <f t="shared" si="27"/>
        <v>0</v>
      </c>
      <c r="BH35" s="2328">
        <f t="shared" si="28"/>
        <v>0</v>
      </c>
      <c r="BI35" s="1282">
        <f t="shared" si="29"/>
        <v>0</v>
      </c>
      <c r="BJ35" s="1138">
        <f t="shared" si="30"/>
        <v>0</v>
      </c>
      <c r="BK35" s="2328">
        <f t="shared" si="31"/>
        <v>0</v>
      </c>
      <c r="BL35" s="95"/>
      <c r="BM35" s="1135">
        <f t="shared" si="32"/>
        <v>0</v>
      </c>
      <c r="BN35" s="1135">
        <f t="shared" si="33"/>
        <v>0</v>
      </c>
      <c r="BO35" s="1135">
        <f t="shared" si="34"/>
        <v>0</v>
      </c>
      <c r="BP35" s="1135">
        <f t="shared" si="35"/>
        <v>0</v>
      </c>
      <c r="BQ35" s="1135">
        <f t="shared" si="36"/>
        <v>0</v>
      </c>
      <c r="BR35" s="2324"/>
      <c r="BS35" s="2324"/>
      <c r="BT35" s="528">
        <f t="shared" si="13"/>
        <v>0</v>
      </c>
      <c r="BU35" s="528">
        <f t="shared" si="14"/>
        <v>0</v>
      </c>
      <c r="BV35" s="148"/>
      <c r="BW35" s="280" t="s">
        <v>752</v>
      </c>
      <c r="BX35" s="280">
        <v>30</v>
      </c>
      <c r="BY35" s="280">
        <v>190</v>
      </c>
      <c r="BZ35" s="280">
        <v>2</v>
      </c>
      <c r="CA35" s="280">
        <v>3</v>
      </c>
      <c r="CB35" s="808">
        <v>60</v>
      </c>
      <c r="CC35" s="749">
        <v>1.8</v>
      </c>
      <c r="CD35" s="480">
        <f t="shared" si="37"/>
        <v>54</v>
      </c>
      <c r="CE35" s="1317"/>
      <c r="CF35" s="1317"/>
    </row>
    <row r="36" spans="1:84" s="1421" customFormat="1" ht="26.25" customHeight="1">
      <c r="A36" s="468">
        <v>29</v>
      </c>
      <c r="B36" s="1699">
        <v>0</v>
      </c>
      <c r="C36" s="759" t="s">
        <v>31</v>
      </c>
      <c r="D36" s="565">
        <f t="shared" si="1"/>
        <v>0</v>
      </c>
      <c r="E36" s="584">
        <f t="shared" si="2"/>
        <v>0</v>
      </c>
      <c r="F36" s="1690">
        <v>0</v>
      </c>
      <c r="G36" s="570">
        <f t="shared" si="3"/>
        <v>0</v>
      </c>
      <c r="H36" s="761" t="s">
        <v>503</v>
      </c>
      <c r="I36" s="584">
        <f t="shared" si="4"/>
        <v>0</v>
      </c>
      <c r="J36" s="587" t="s">
        <v>31</v>
      </c>
      <c r="K36" s="765">
        <f t="shared" si="5"/>
        <v>0</v>
      </c>
      <c r="L36" s="565">
        <f t="shared" si="6"/>
        <v>0</v>
      </c>
      <c r="M36" s="1693">
        <v>0</v>
      </c>
      <c r="N36" s="609" t="s">
        <v>160</v>
      </c>
      <c r="O36" s="584">
        <f t="shared" si="7"/>
        <v>0</v>
      </c>
      <c r="P36" s="1696">
        <v>0</v>
      </c>
      <c r="Q36" s="1894">
        <f t="shared" si="25"/>
        <v>0</v>
      </c>
      <c r="R36" s="2371">
        <f t="shared" si="26"/>
        <v>0</v>
      </c>
      <c r="S36" s="2367">
        <f t="shared" si="8"/>
        <v>0</v>
      </c>
      <c r="T36" s="592">
        <f t="shared" si="9"/>
        <v>0</v>
      </c>
      <c r="U36" s="2324"/>
      <c r="V36" s="1281">
        <f t="shared" si="10"/>
        <v>29</v>
      </c>
      <c r="W36" s="1281" t="str">
        <f t="shared" si="11"/>
        <v>keine</v>
      </c>
      <c r="X36" s="1329"/>
      <c r="Y36" s="1330" t="s">
        <v>795</v>
      </c>
      <c r="Z36" s="1424">
        <v>0</v>
      </c>
      <c r="AA36" s="1033">
        <f>VLOOKUP(Y36,Düngemittel!$B$6:$E$64,2,FALSE)*(VLOOKUP(Y36,Düngemittel!$B$6:$E$64,3,FALSE))/100*Z36</f>
        <v>0</v>
      </c>
      <c r="AB36" s="1033">
        <f>VLOOKUP(Y36,Düngemittel!$B$6:$E$64,2,FALSE)*Z36</f>
        <v>0</v>
      </c>
      <c r="AC36" s="1033">
        <f>VLOOKUP(Y36,Düngemittel!$B$6:$E$64,4,FALSE)*Z36</f>
        <v>0</v>
      </c>
      <c r="AD36" s="2324"/>
      <c r="AE36" s="1329"/>
      <c r="AF36" s="1330" t="s">
        <v>795</v>
      </c>
      <c r="AG36" s="1424">
        <v>0</v>
      </c>
      <c r="AH36" s="1033">
        <f>VLOOKUP(AF36,Düngemittel!$B$6:$E$64,2,FALSE)*(VLOOKUP(AF36,Düngemittel!$B$6:$E$64,3,FALSE))/100*AG36</f>
        <v>0</v>
      </c>
      <c r="AI36" s="1033">
        <f>VLOOKUP(AF36,Düngemittel!$B$6:$E$64,2,FALSE)*AG36</f>
        <v>0</v>
      </c>
      <c r="AJ36" s="1033">
        <f>VLOOKUP(AF36,Düngemittel!$B$6:$E$64,4,FALSE)*AG36</f>
        <v>0</v>
      </c>
      <c r="AK36" s="2324"/>
      <c r="AL36" s="1329"/>
      <c r="AM36" s="1330" t="s">
        <v>795</v>
      </c>
      <c r="AN36" s="1424">
        <v>0</v>
      </c>
      <c r="AO36" s="1033">
        <f>VLOOKUP(AM36,Düngemittel!$B$6:$E$64,2,FALSE)*(VLOOKUP(AM36,Düngemittel!$B$6:$E$64,3,FALSE))/100*AN36</f>
        <v>0</v>
      </c>
      <c r="AP36" s="1033">
        <f>VLOOKUP(AM36,Düngemittel!$B$6:$E$64,2,FALSE)*AN36</f>
        <v>0</v>
      </c>
      <c r="AQ36" s="1033">
        <f>VLOOKUP(AM36,Düngemittel!$B$6:$E$64,4,FALSE)*AN36</f>
        <v>0</v>
      </c>
      <c r="AR36" s="2324"/>
      <c r="AS36" s="1329"/>
      <c r="AT36" s="1330" t="s">
        <v>795</v>
      </c>
      <c r="AU36" s="1424">
        <v>0</v>
      </c>
      <c r="AV36" s="1033">
        <f>VLOOKUP(AT36,Düngemittel!$B$6:$E$64,2,FALSE)*(VLOOKUP(AT36,Düngemittel!$B$6:$E$64,3,FALSE))/100*AU36</f>
        <v>0</v>
      </c>
      <c r="AW36" s="1033">
        <f>VLOOKUP(AT36,Düngemittel!$B$6:$E$64,2,FALSE)*AU36</f>
        <v>0</v>
      </c>
      <c r="AX36" s="1033">
        <f>VLOOKUP(AT36,Düngemittel!$B$6:$E$64,4,FALSE)*AU36</f>
        <v>0</v>
      </c>
      <c r="AY36" s="2324"/>
      <c r="AZ36" s="1329"/>
      <c r="BA36" s="1330" t="s">
        <v>795</v>
      </c>
      <c r="BB36" s="1424">
        <v>0</v>
      </c>
      <c r="BC36" s="1033">
        <f>VLOOKUP(BA36,Düngemittel!$B$6:$E$64,2,FALSE)*(VLOOKUP(BA36,Düngemittel!$B$6:$E$64,3,FALSE))/100*BB36</f>
        <v>0</v>
      </c>
      <c r="BD36" s="1033">
        <f>VLOOKUP(BA36,Düngemittel!$B$6:$E$64,2,FALSE)*BB36</f>
        <v>0</v>
      </c>
      <c r="BE36" s="1033">
        <f>VLOOKUP(BA36,Düngemittel!$B$6:$E$64,4,FALSE)*BB36</f>
        <v>0</v>
      </c>
      <c r="BF36" s="2324"/>
      <c r="BG36" s="1282">
        <f t="shared" si="27"/>
        <v>0</v>
      </c>
      <c r="BH36" s="2328">
        <f t="shared" si="28"/>
        <v>0</v>
      </c>
      <c r="BI36" s="1282">
        <f t="shared" si="29"/>
        <v>0</v>
      </c>
      <c r="BJ36" s="1138">
        <f t="shared" si="30"/>
        <v>0</v>
      </c>
      <c r="BK36" s="2328">
        <f t="shared" si="31"/>
        <v>0</v>
      </c>
      <c r="BL36" s="95"/>
      <c r="BM36" s="1135">
        <f t="shared" si="32"/>
        <v>0</v>
      </c>
      <c r="BN36" s="1135">
        <f t="shared" si="33"/>
        <v>0</v>
      </c>
      <c r="BO36" s="1135">
        <f t="shared" si="34"/>
        <v>0</v>
      </c>
      <c r="BP36" s="1135">
        <f t="shared" si="35"/>
        <v>0</v>
      </c>
      <c r="BQ36" s="1135">
        <f t="shared" si="36"/>
        <v>0</v>
      </c>
      <c r="BR36" s="2324"/>
      <c r="BS36" s="2324"/>
      <c r="BT36" s="528">
        <f t="shared" si="13"/>
        <v>0</v>
      </c>
      <c r="BU36" s="528">
        <f t="shared" si="14"/>
        <v>0</v>
      </c>
      <c r="BV36" s="148"/>
      <c r="BW36" s="1070" t="s">
        <v>679</v>
      </c>
      <c r="BX36" s="1070">
        <v>60</v>
      </c>
      <c r="BY36" s="756">
        <v>160</v>
      </c>
      <c r="BZ36" s="1070">
        <v>1</v>
      </c>
      <c r="CA36" s="1070">
        <v>1.5</v>
      </c>
      <c r="CB36" s="808">
        <v>60</v>
      </c>
      <c r="CC36" s="749">
        <v>0.8</v>
      </c>
      <c r="CD36" s="480">
        <f t="shared" si="37"/>
        <v>48</v>
      </c>
      <c r="CE36" s="1317"/>
      <c r="CF36" s="1317"/>
    </row>
    <row r="37" spans="1:84" s="1421" customFormat="1" ht="26.25" customHeight="1">
      <c r="A37" s="468">
        <v>30</v>
      </c>
      <c r="B37" s="1699">
        <v>0</v>
      </c>
      <c r="C37" s="759" t="s">
        <v>31</v>
      </c>
      <c r="D37" s="565">
        <f t="shared" si="1"/>
        <v>0</v>
      </c>
      <c r="E37" s="584">
        <f t="shared" si="2"/>
        <v>0</v>
      </c>
      <c r="F37" s="1690">
        <v>0</v>
      </c>
      <c r="G37" s="570">
        <f t="shared" si="3"/>
        <v>0</v>
      </c>
      <c r="H37" s="761" t="s">
        <v>503</v>
      </c>
      <c r="I37" s="584">
        <f t="shared" si="4"/>
        <v>0</v>
      </c>
      <c r="J37" s="587" t="s">
        <v>31</v>
      </c>
      <c r="K37" s="765">
        <f t="shared" si="5"/>
        <v>0</v>
      </c>
      <c r="L37" s="565">
        <f t="shared" si="6"/>
        <v>0</v>
      </c>
      <c r="M37" s="1693">
        <v>0</v>
      </c>
      <c r="N37" s="609" t="s">
        <v>160</v>
      </c>
      <c r="O37" s="584">
        <f t="shared" si="7"/>
        <v>0</v>
      </c>
      <c r="P37" s="1696">
        <v>0</v>
      </c>
      <c r="Q37" s="1894">
        <f t="shared" si="25"/>
        <v>0</v>
      </c>
      <c r="R37" s="2371">
        <f t="shared" si="26"/>
        <v>0</v>
      </c>
      <c r="S37" s="2367">
        <f t="shared" si="8"/>
        <v>0</v>
      </c>
      <c r="T37" s="592">
        <f t="shared" si="9"/>
        <v>0</v>
      </c>
      <c r="U37" s="2324"/>
      <c r="V37" s="1281">
        <f t="shared" si="10"/>
        <v>30</v>
      </c>
      <c r="W37" s="1281" t="str">
        <f t="shared" si="11"/>
        <v>keine</v>
      </c>
      <c r="X37" s="1329"/>
      <c r="Y37" s="1330" t="s">
        <v>795</v>
      </c>
      <c r="Z37" s="1424">
        <v>0</v>
      </c>
      <c r="AA37" s="1033">
        <f>VLOOKUP(Y37,Düngemittel!$B$6:$E$64,2,FALSE)*(VLOOKUP(Y37,Düngemittel!$B$6:$E$64,3,FALSE))/100*Z37</f>
        <v>0</v>
      </c>
      <c r="AB37" s="1033">
        <f>VLOOKUP(Y37,Düngemittel!$B$6:$E$64,2,FALSE)*Z37</f>
        <v>0</v>
      </c>
      <c r="AC37" s="1033">
        <f>VLOOKUP(Y37,Düngemittel!$B$6:$E$64,4,FALSE)*Z37</f>
        <v>0</v>
      </c>
      <c r="AD37" s="2324"/>
      <c r="AE37" s="1329"/>
      <c r="AF37" s="1330" t="s">
        <v>795</v>
      </c>
      <c r="AG37" s="1424">
        <v>0</v>
      </c>
      <c r="AH37" s="1033">
        <f>VLOOKUP(AF37,Düngemittel!$B$6:$E$64,2,FALSE)*(VLOOKUP(AF37,Düngemittel!$B$6:$E$64,3,FALSE))/100*AG37</f>
        <v>0</v>
      </c>
      <c r="AI37" s="1033">
        <f>VLOOKUP(AF37,Düngemittel!$B$6:$E$64,2,FALSE)*AG37</f>
        <v>0</v>
      </c>
      <c r="AJ37" s="1033">
        <f>VLOOKUP(AF37,Düngemittel!$B$6:$E$64,4,FALSE)*AG37</f>
        <v>0</v>
      </c>
      <c r="AK37" s="2324"/>
      <c r="AL37" s="1329"/>
      <c r="AM37" s="1330" t="s">
        <v>795</v>
      </c>
      <c r="AN37" s="1424">
        <v>0</v>
      </c>
      <c r="AO37" s="1033">
        <f>VLOOKUP(AM37,Düngemittel!$B$6:$E$64,2,FALSE)*(VLOOKUP(AM37,Düngemittel!$B$6:$E$64,3,FALSE))/100*AN37</f>
        <v>0</v>
      </c>
      <c r="AP37" s="1033">
        <f>VLOOKUP(AM37,Düngemittel!$B$6:$E$64,2,FALSE)*AN37</f>
        <v>0</v>
      </c>
      <c r="AQ37" s="1033">
        <f>VLOOKUP(AM37,Düngemittel!$B$6:$E$64,4,FALSE)*AN37</f>
        <v>0</v>
      </c>
      <c r="AR37" s="2324"/>
      <c r="AS37" s="1329"/>
      <c r="AT37" s="1330" t="s">
        <v>795</v>
      </c>
      <c r="AU37" s="1424">
        <v>0</v>
      </c>
      <c r="AV37" s="1033">
        <f>VLOOKUP(AT37,Düngemittel!$B$6:$E$64,2,FALSE)*(VLOOKUP(AT37,Düngemittel!$B$6:$E$64,3,FALSE))/100*AU37</f>
        <v>0</v>
      </c>
      <c r="AW37" s="1033">
        <f>VLOOKUP(AT37,Düngemittel!$B$6:$E$64,2,FALSE)*AU37</f>
        <v>0</v>
      </c>
      <c r="AX37" s="1033">
        <f>VLOOKUP(AT37,Düngemittel!$B$6:$E$64,4,FALSE)*AU37</f>
        <v>0</v>
      </c>
      <c r="AY37" s="2324"/>
      <c r="AZ37" s="1329"/>
      <c r="BA37" s="1330" t="s">
        <v>795</v>
      </c>
      <c r="BB37" s="1424">
        <v>0</v>
      </c>
      <c r="BC37" s="1033">
        <f>VLOOKUP(BA37,Düngemittel!$B$6:$E$64,2,FALSE)*(VLOOKUP(BA37,Düngemittel!$B$6:$E$64,3,FALSE))/100*BB37</f>
        <v>0</v>
      </c>
      <c r="BD37" s="1033">
        <f>VLOOKUP(BA37,Düngemittel!$B$6:$E$64,2,FALSE)*BB37</f>
        <v>0</v>
      </c>
      <c r="BE37" s="1033">
        <f>VLOOKUP(BA37,Düngemittel!$B$6:$E$64,4,FALSE)*BB37</f>
        <v>0</v>
      </c>
      <c r="BF37" s="2324"/>
      <c r="BG37" s="1282">
        <f t="shared" si="27"/>
        <v>0</v>
      </c>
      <c r="BH37" s="2328">
        <f t="shared" si="28"/>
        <v>0</v>
      </c>
      <c r="BI37" s="1282">
        <f t="shared" si="29"/>
        <v>0</v>
      </c>
      <c r="BJ37" s="1138">
        <f t="shared" si="30"/>
        <v>0</v>
      </c>
      <c r="BK37" s="2328">
        <f t="shared" si="31"/>
        <v>0</v>
      </c>
      <c r="BL37" s="95"/>
      <c r="BM37" s="1135">
        <f t="shared" si="32"/>
        <v>0</v>
      </c>
      <c r="BN37" s="1135">
        <f t="shared" si="33"/>
        <v>0</v>
      </c>
      <c r="BO37" s="1135">
        <f t="shared" si="34"/>
        <v>0</v>
      </c>
      <c r="BP37" s="1135">
        <f t="shared" si="35"/>
        <v>0</v>
      </c>
      <c r="BQ37" s="1135">
        <f t="shared" si="36"/>
        <v>0</v>
      </c>
      <c r="BR37" s="2324"/>
      <c r="BS37" s="2324"/>
      <c r="BT37" s="528">
        <f t="shared" si="13"/>
        <v>0</v>
      </c>
      <c r="BU37" s="528">
        <f t="shared" si="14"/>
        <v>0</v>
      </c>
      <c r="BV37" s="148"/>
      <c r="BW37" s="757" t="s">
        <v>680</v>
      </c>
      <c r="BX37" s="757">
        <v>60</v>
      </c>
      <c r="BY37" s="757">
        <v>180</v>
      </c>
      <c r="BZ37" s="1070">
        <v>1</v>
      </c>
      <c r="CA37" s="1070">
        <v>1.5</v>
      </c>
      <c r="CB37" s="808">
        <v>60</v>
      </c>
      <c r="CC37" s="749">
        <v>0.8</v>
      </c>
      <c r="CD37" s="480">
        <f t="shared" si="37"/>
        <v>48</v>
      </c>
      <c r="CE37" s="1317"/>
      <c r="CF37" s="1317"/>
    </row>
    <row r="38" spans="1:84" s="1421" customFormat="1" ht="26.25" customHeight="1">
      <c r="A38" s="468">
        <v>31</v>
      </c>
      <c r="B38" s="1699">
        <v>0</v>
      </c>
      <c r="C38" s="759" t="s">
        <v>31</v>
      </c>
      <c r="D38" s="565">
        <f t="shared" si="1"/>
        <v>0</v>
      </c>
      <c r="E38" s="584">
        <f t="shared" si="2"/>
        <v>0</v>
      </c>
      <c r="F38" s="1690">
        <v>0</v>
      </c>
      <c r="G38" s="570">
        <f t="shared" si="3"/>
        <v>0</v>
      </c>
      <c r="H38" s="761" t="s">
        <v>503</v>
      </c>
      <c r="I38" s="584">
        <f t="shared" si="4"/>
        <v>0</v>
      </c>
      <c r="J38" s="587" t="s">
        <v>31</v>
      </c>
      <c r="K38" s="765">
        <f t="shared" si="5"/>
        <v>0</v>
      </c>
      <c r="L38" s="565">
        <f t="shared" si="6"/>
        <v>0</v>
      </c>
      <c r="M38" s="1693">
        <v>0</v>
      </c>
      <c r="N38" s="609" t="s">
        <v>160</v>
      </c>
      <c r="O38" s="584">
        <f t="shared" si="7"/>
        <v>0</v>
      </c>
      <c r="P38" s="1696">
        <v>0</v>
      </c>
      <c r="Q38" s="1894">
        <f t="shared" si="25"/>
        <v>0</v>
      </c>
      <c r="R38" s="2371">
        <f t="shared" si="26"/>
        <v>0</v>
      </c>
      <c r="S38" s="2367">
        <f t="shared" si="8"/>
        <v>0</v>
      </c>
      <c r="T38" s="592">
        <f t="shared" si="9"/>
        <v>0</v>
      </c>
      <c r="U38" s="2324"/>
      <c r="V38" s="1281">
        <f t="shared" si="10"/>
        <v>31</v>
      </c>
      <c r="W38" s="1281" t="str">
        <f t="shared" si="11"/>
        <v>keine</v>
      </c>
      <c r="X38" s="1329"/>
      <c r="Y38" s="1330" t="s">
        <v>795</v>
      </c>
      <c r="Z38" s="1424">
        <v>0</v>
      </c>
      <c r="AA38" s="1033">
        <f>VLOOKUP(Y38,Düngemittel!$B$6:$E$64,2,FALSE)*(VLOOKUP(Y38,Düngemittel!$B$6:$E$64,3,FALSE))/100*Z38</f>
        <v>0</v>
      </c>
      <c r="AB38" s="1033">
        <f>VLOOKUP(Y38,Düngemittel!$B$6:$E$64,2,FALSE)*Z38</f>
        <v>0</v>
      </c>
      <c r="AC38" s="1033">
        <f>VLOOKUP(Y38,Düngemittel!$B$6:$E$64,4,FALSE)*Z38</f>
        <v>0</v>
      </c>
      <c r="AD38" s="2324"/>
      <c r="AE38" s="1329"/>
      <c r="AF38" s="1330" t="s">
        <v>795</v>
      </c>
      <c r="AG38" s="1424">
        <v>0</v>
      </c>
      <c r="AH38" s="1033">
        <f>VLOOKUP(AF38,Düngemittel!$B$6:$E$64,2,FALSE)*(VLOOKUP(AF38,Düngemittel!$B$6:$E$64,3,FALSE))/100*AG38</f>
        <v>0</v>
      </c>
      <c r="AI38" s="1033">
        <f>VLOOKUP(AF38,Düngemittel!$B$6:$E$64,2,FALSE)*AG38</f>
        <v>0</v>
      </c>
      <c r="AJ38" s="1033">
        <f>VLOOKUP(AF38,Düngemittel!$B$6:$E$64,4,FALSE)*AG38</f>
        <v>0</v>
      </c>
      <c r="AK38" s="2324"/>
      <c r="AL38" s="1329"/>
      <c r="AM38" s="1330" t="s">
        <v>795</v>
      </c>
      <c r="AN38" s="1424">
        <v>0</v>
      </c>
      <c r="AO38" s="1033">
        <f>VLOOKUP(AM38,Düngemittel!$B$6:$E$64,2,FALSE)*(VLOOKUP(AM38,Düngemittel!$B$6:$E$64,3,FALSE))/100*AN38</f>
        <v>0</v>
      </c>
      <c r="AP38" s="1033">
        <f>VLOOKUP(AM38,Düngemittel!$B$6:$E$64,2,FALSE)*AN38</f>
        <v>0</v>
      </c>
      <c r="AQ38" s="1033">
        <f>VLOOKUP(AM38,Düngemittel!$B$6:$E$64,4,FALSE)*AN38</f>
        <v>0</v>
      </c>
      <c r="AR38" s="2324"/>
      <c r="AS38" s="1329"/>
      <c r="AT38" s="1330" t="s">
        <v>795</v>
      </c>
      <c r="AU38" s="1424">
        <v>0</v>
      </c>
      <c r="AV38" s="1033">
        <f>VLOOKUP(AT38,Düngemittel!$B$6:$E$64,2,FALSE)*(VLOOKUP(AT38,Düngemittel!$B$6:$E$64,3,FALSE))/100*AU38</f>
        <v>0</v>
      </c>
      <c r="AW38" s="1033">
        <f>VLOOKUP(AT38,Düngemittel!$B$6:$E$64,2,FALSE)*AU38</f>
        <v>0</v>
      </c>
      <c r="AX38" s="1033">
        <f>VLOOKUP(AT38,Düngemittel!$B$6:$E$64,4,FALSE)*AU38</f>
        <v>0</v>
      </c>
      <c r="AY38" s="2324"/>
      <c r="AZ38" s="1329"/>
      <c r="BA38" s="1330" t="s">
        <v>795</v>
      </c>
      <c r="BB38" s="1424">
        <v>0</v>
      </c>
      <c r="BC38" s="1033">
        <f>VLOOKUP(BA38,Düngemittel!$B$6:$E$64,2,FALSE)*(VLOOKUP(BA38,Düngemittel!$B$6:$E$64,3,FALSE))/100*BB38</f>
        <v>0</v>
      </c>
      <c r="BD38" s="1033">
        <f>VLOOKUP(BA38,Düngemittel!$B$6:$E$64,2,FALSE)*BB38</f>
        <v>0</v>
      </c>
      <c r="BE38" s="1033">
        <f>VLOOKUP(BA38,Düngemittel!$B$6:$E$64,4,FALSE)*BB38</f>
        <v>0</v>
      </c>
      <c r="BF38" s="2324"/>
      <c r="BG38" s="1282">
        <f t="shared" si="27"/>
        <v>0</v>
      </c>
      <c r="BH38" s="2328">
        <f t="shared" si="28"/>
        <v>0</v>
      </c>
      <c r="BI38" s="1282">
        <f t="shared" si="29"/>
        <v>0</v>
      </c>
      <c r="BJ38" s="1138">
        <f t="shared" si="30"/>
        <v>0</v>
      </c>
      <c r="BK38" s="2328">
        <f t="shared" si="31"/>
        <v>0</v>
      </c>
      <c r="BL38" s="95"/>
      <c r="BM38" s="1135">
        <f t="shared" si="32"/>
        <v>0</v>
      </c>
      <c r="BN38" s="1135">
        <f t="shared" si="33"/>
        <v>0</v>
      </c>
      <c r="BO38" s="1135">
        <f t="shared" si="34"/>
        <v>0</v>
      </c>
      <c r="BP38" s="1135">
        <f t="shared" si="35"/>
        <v>0</v>
      </c>
      <c r="BQ38" s="1135">
        <f t="shared" si="36"/>
        <v>0</v>
      </c>
      <c r="BR38" s="2324"/>
      <c r="BS38" s="2324"/>
      <c r="BT38" s="528">
        <f t="shared" si="13"/>
        <v>0</v>
      </c>
      <c r="BU38" s="528">
        <f t="shared" si="14"/>
        <v>0</v>
      </c>
      <c r="BV38" s="148"/>
      <c r="BW38" s="748" t="s">
        <v>677</v>
      </c>
      <c r="BX38" s="748">
        <v>70</v>
      </c>
      <c r="BY38" s="748">
        <v>220</v>
      </c>
      <c r="BZ38" s="748">
        <v>1</v>
      </c>
      <c r="CA38" s="748">
        <v>1.5</v>
      </c>
      <c r="CB38" s="749">
        <v>60</v>
      </c>
      <c r="CC38" s="749">
        <v>0.8</v>
      </c>
      <c r="CD38" s="480">
        <f t="shared" si="37"/>
        <v>56</v>
      </c>
      <c r="CE38" s="1317"/>
      <c r="CF38" s="1317"/>
    </row>
    <row r="39" spans="1:84" s="1421" customFormat="1" ht="26.25" customHeight="1">
      <c r="A39" s="468">
        <v>32</v>
      </c>
      <c r="B39" s="1699">
        <v>0</v>
      </c>
      <c r="C39" s="759" t="s">
        <v>31</v>
      </c>
      <c r="D39" s="565">
        <f t="shared" si="1"/>
        <v>0</v>
      </c>
      <c r="E39" s="584">
        <f t="shared" si="2"/>
        <v>0</v>
      </c>
      <c r="F39" s="1690">
        <v>0</v>
      </c>
      <c r="G39" s="570">
        <f t="shared" si="3"/>
        <v>0</v>
      </c>
      <c r="H39" s="761" t="s">
        <v>503</v>
      </c>
      <c r="I39" s="584">
        <f t="shared" si="4"/>
        <v>0</v>
      </c>
      <c r="J39" s="587" t="s">
        <v>31</v>
      </c>
      <c r="K39" s="765">
        <f t="shared" si="5"/>
        <v>0</v>
      </c>
      <c r="L39" s="565">
        <f t="shared" si="6"/>
        <v>0</v>
      </c>
      <c r="M39" s="1693">
        <v>0</v>
      </c>
      <c r="N39" s="609" t="s">
        <v>160</v>
      </c>
      <c r="O39" s="584">
        <f t="shared" si="7"/>
        <v>0</v>
      </c>
      <c r="P39" s="1696">
        <v>0</v>
      </c>
      <c r="Q39" s="1894">
        <f t="shared" si="25"/>
        <v>0</v>
      </c>
      <c r="R39" s="2371">
        <f t="shared" si="26"/>
        <v>0</v>
      </c>
      <c r="S39" s="2367">
        <f t="shared" si="8"/>
        <v>0</v>
      </c>
      <c r="T39" s="592">
        <f t="shared" si="9"/>
        <v>0</v>
      </c>
      <c r="U39" s="2324"/>
      <c r="V39" s="1281">
        <f t="shared" si="10"/>
        <v>32</v>
      </c>
      <c r="W39" s="1281" t="str">
        <f t="shared" si="11"/>
        <v>keine</v>
      </c>
      <c r="X39" s="1329"/>
      <c r="Y39" s="1330" t="s">
        <v>795</v>
      </c>
      <c r="Z39" s="1424">
        <v>0</v>
      </c>
      <c r="AA39" s="1033">
        <f>VLOOKUP(Y39,Düngemittel!$B$6:$E$64,2,FALSE)*(VLOOKUP(Y39,Düngemittel!$B$6:$E$64,3,FALSE))/100*Z39</f>
        <v>0</v>
      </c>
      <c r="AB39" s="1033">
        <f>VLOOKUP(Y39,Düngemittel!$B$6:$E$64,2,FALSE)*Z39</f>
        <v>0</v>
      </c>
      <c r="AC39" s="1033">
        <f>VLOOKUP(Y39,Düngemittel!$B$6:$E$64,4,FALSE)*Z39</f>
        <v>0</v>
      </c>
      <c r="AD39" s="2324"/>
      <c r="AE39" s="1329"/>
      <c r="AF39" s="1330" t="s">
        <v>795</v>
      </c>
      <c r="AG39" s="1424">
        <v>0</v>
      </c>
      <c r="AH39" s="1033">
        <f>VLOOKUP(AF39,Düngemittel!$B$6:$E$64,2,FALSE)*(VLOOKUP(AF39,Düngemittel!$B$6:$E$64,3,FALSE))/100*AG39</f>
        <v>0</v>
      </c>
      <c r="AI39" s="1033">
        <f>VLOOKUP(AF39,Düngemittel!$B$6:$E$64,2,FALSE)*AG39</f>
        <v>0</v>
      </c>
      <c r="AJ39" s="1033">
        <f>VLOOKUP(AF39,Düngemittel!$B$6:$E$64,4,FALSE)*AG39</f>
        <v>0</v>
      </c>
      <c r="AK39" s="2324"/>
      <c r="AL39" s="1329"/>
      <c r="AM39" s="1330" t="s">
        <v>795</v>
      </c>
      <c r="AN39" s="1424">
        <v>0</v>
      </c>
      <c r="AO39" s="1033">
        <f>VLOOKUP(AM39,Düngemittel!$B$6:$E$64,2,FALSE)*(VLOOKUP(AM39,Düngemittel!$B$6:$E$64,3,FALSE))/100*AN39</f>
        <v>0</v>
      </c>
      <c r="AP39" s="1033">
        <f>VLOOKUP(AM39,Düngemittel!$B$6:$E$64,2,FALSE)*AN39</f>
        <v>0</v>
      </c>
      <c r="AQ39" s="1033">
        <f>VLOOKUP(AM39,Düngemittel!$B$6:$E$64,4,FALSE)*AN39</f>
        <v>0</v>
      </c>
      <c r="AR39" s="2324"/>
      <c r="AS39" s="1329"/>
      <c r="AT39" s="1330" t="s">
        <v>795</v>
      </c>
      <c r="AU39" s="1424">
        <v>0</v>
      </c>
      <c r="AV39" s="1033">
        <f>VLOOKUP(AT39,Düngemittel!$B$6:$E$64,2,FALSE)*(VLOOKUP(AT39,Düngemittel!$B$6:$E$64,3,FALSE))/100*AU39</f>
        <v>0</v>
      </c>
      <c r="AW39" s="1033">
        <f>VLOOKUP(AT39,Düngemittel!$B$6:$E$64,2,FALSE)*AU39</f>
        <v>0</v>
      </c>
      <c r="AX39" s="1033">
        <f>VLOOKUP(AT39,Düngemittel!$B$6:$E$64,4,FALSE)*AU39</f>
        <v>0</v>
      </c>
      <c r="AY39" s="2324"/>
      <c r="AZ39" s="1329"/>
      <c r="BA39" s="1330" t="s">
        <v>795</v>
      </c>
      <c r="BB39" s="1424">
        <v>0</v>
      </c>
      <c r="BC39" s="1033">
        <f>VLOOKUP(BA39,Düngemittel!$B$6:$E$64,2,FALSE)*(VLOOKUP(BA39,Düngemittel!$B$6:$E$64,3,FALSE))/100*BB39</f>
        <v>0</v>
      </c>
      <c r="BD39" s="1033">
        <f>VLOOKUP(BA39,Düngemittel!$B$6:$E$64,2,FALSE)*BB39</f>
        <v>0</v>
      </c>
      <c r="BE39" s="1033">
        <f>VLOOKUP(BA39,Düngemittel!$B$6:$E$64,4,FALSE)*BB39</f>
        <v>0</v>
      </c>
      <c r="BF39" s="2324"/>
      <c r="BG39" s="1282">
        <f t="shared" si="27"/>
        <v>0</v>
      </c>
      <c r="BH39" s="2328">
        <f t="shared" si="28"/>
        <v>0</v>
      </c>
      <c r="BI39" s="1282">
        <f t="shared" si="29"/>
        <v>0</v>
      </c>
      <c r="BJ39" s="1138">
        <f t="shared" si="30"/>
        <v>0</v>
      </c>
      <c r="BK39" s="2328">
        <f t="shared" si="31"/>
        <v>0</v>
      </c>
      <c r="BL39" s="95"/>
      <c r="BM39" s="1135">
        <f t="shared" si="32"/>
        <v>0</v>
      </c>
      <c r="BN39" s="1135">
        <f t="shared" si="33"/>
        <v>0</v>
      </c>
      <c r="BO39" s="1135">
        <f t="shared" si="34"/>
        <v>0</v>
      </c>
      <c r="BP39" s="1135">
        <f t="shared" si="35"/>
        <v>0</v>
      </c>
      <c r="BQ39" s="1135">
        <f t="shared" si="36"/>
        <v>0</v>
      </c>
      <c r="BR39" s="2324"/>
      <c r="BS39" s="2324"/>
      <c r="BT39" s="528">
        <f t="shared" si="13"/>
        <v>0</v>
      </c>
      <c r="BU39" s="528">
        <f t="shared" si="14"/>
        <v>0</v>
      </c>
      <c r="BV39" s="148"/>
      <c r="BW39" s="279" t="s">
        <v>686</v>
      </c>
      <c r="BX39" s="279">
        <v>30</v>
      </c>
      <c r="BY39" s="751">
        <v>120</v>
      </c>
      <c r="BZ39" s="753">
        <v>2</v>
      </c>
      <c r="CA39" s="753">
        <v>3</v>
      </c>
      <c r="CB39" s="806">
        <v>90</v>
      </c>
      <c r="CC39" s="749">
        <v>1.6</v>
      </c>
      <c r="CD39" s="480">
        <f t="shared" si="37"/>
        <v>48</v>
      </c>
      <c r="CE39" s="1317"/>
      <c r="CF39" s="1317"/>
    </row>
    <row r="40" spans="1:84" s="1421" customFormat="1" ht="26.25" customHeight="1">
      <c r="A40" s="468">
        <v>33</v>
      </c>
      <c r="B40" s="1699">
        <v>0</v>
      </c>
      <c r="C40" s="759" t="s">
        <v>31</v>
      </c>
      <c r="D40" s="565">
        <f t="shared" si="1"/>
        <v>0</v>
      </c>
      <c r="E40" s="584">
        <f t="shared" si="2"/>
        <v>0</v>
      </c>
      <c r="F40" s="1690">
        <v>0</v>
      </c>
      <c r="G40" s="570">
        <f t="shared" si="3"/>
        <v>0</v>
      </c>
      <c r="H40" s="761" t="s">
        <v>503</v>
      </c>
      <c r="I40" s="584">
        <f t="shared" si="4"/>
        <v>0</v>
      </c>
      <c r="J40" s="587" t="s">
        <v>31</v>
      </c>
      <c r="K40" s="765">
        <f t="shared" si="5"/>
        <v>0</v>
      </c>
      <c r="L40" s="565">
        <f t="shared" si="6"/>
        <v>0</v>
      </c>
      <c r="M40" s="1693">
        <v>0</v>
      </c>
      <c r="N40" s="609" t="s">
        <v>160</v>
      </c>
      <c r="O40" s="584">
        <f t="shared" si="7"/>
        <v>0</v>
      </c>
      <c r="P40" s="1696">
        <v>0</v>
      </c>
      <c r="Q40" s="1894">
        <f t="shared" si="25"/>
        <v>0</v>
      </c>
      <c r="R40" s="2371">
        <f t="shared" si="26"/>
        <v>0</v>
      </c>
      <c r="S40" s="2367">
        <f t="shared" si="8"/>
        <v>0</v>
      </c>
      <c r="T40" s="592">
        <f t="shared" si="9"/>
        <v>0</v>
      </c>
      <c r="U40" s="2324"/>
      <c r="V40" s="1281">
        <f t="shared" si="10"/>
        <v>33</v>
      </c>
      <c r="W40" s="1281" t="str">
        <f t="shared" si="11"/>
        <v>keine</v>
      </c>
      <c r="X40" s="1329"/>
      <c r="Y40" s="1330" t="s">
        <v>795</v>
      </c>
      <c r="Z40" s="1424">
        <v>0</v>
      </c>
      <c r="AA40" s="1033">
        <f>VLOOKUP(Y40,Düngemittel!$B$6:$E$64,2,FALSE)*(VLOOKUP(Y40,Düngemittel!$B$6:$E$64,3,FALSE))/100*Z40</f>
        <v>0</v>
      </c>
      <c r="AB40" s="1033">
        <f>VLOOKUP(Y40,Düngemittel!$B$6:$E$64,2,FALSE)*Z40</f>
        <v>0</v>
      </c>
      <c r="AC40" s="1033">
        <f>VLOOKUP(Y40,Düngemittel!$B$6:$E$64,4,FALSE)*Z40</f>
        <v>0</v>
      </c>
      <c r="AD40" s="2324"/>
      <c r="AE40" s="1329"/>
      <c r="AF40" s="1330" t="s">
        <v>795</v>
      </c>
      <c r="AG40" s="1424">
        <v>0</v>
      </c>
      <c r="AH40" s="1033">
        <f>VLOOKUP(AF40,Düngemittel!$B$6:$E$64,2,FALSE)*(VLOOKUP(AF40,Düngemittel!$B$6:$E$64,3,FALSE))/100*AG40</f>
        <v>0</v>
      </c>
      <c r="AI40" s="1033">
        <f>VLOOKUP(AF40,Düngemittel!$B$6:$E$64,2,FALSE)*AG40</f>
        <v>0</v>
      </c>
      <c r="AJ40" s="1033">
        <f>VLOOKUP(AF40,Düngemittel!$B$6:$E$64,4,FALSE)*AG40</f>
        <v>0</v>
      </c>
      <c r="AK40" s="2324"/>
      <c r="AL40" s="1329"/>
      <c r="AM40" s="1330" t="s">
        <v>795</v>
      </c>
      <c r="AN40" s="1424">
        <v>0</v>
      </c>
      <c r="AO40" s="1033">
        <f>VLOOKUP(AM40,Düngemittel!$B$6:$E$64,2,FALSE)*(VLOOKUP(AM40,Düngemittel!$B$6:$E$64,3,FALSE))/100*AN40</f>
        <v>0</v>
      </c>
      <c r="AP40" s="1033">
        <f>VLOOKUP(AM40,Düngemittel!$B$6:$E$64,2,FALSE)*AN40</f>
        <v>0</v>
      </c>
      <c r="AQ40" s="1033">
        <f>VLOOKUP(AM40,Düngemittel!$B$6:$E$64,4,FALSE)*AN40</f>
        <v>0</v>
      </c>
      <c r="AR40" s="2324"/>
      <c r="AS40" s="1329"/>
      <c r="AT40" s="1330" t="s">
        <v>795</v>
      </c>
      <c r="AU40" s="1424">
        <v>0</v>
      </c>
      <c r="AV40" s="1033">
        <f>VLOOKUP(AT40,Düngemittel!$B$6:$E$64,2,FALSE)*(VLOOKUP(AT40,Düngemittel!$B$6:$E$64,3,FALSE))/100*AU40</f>
        <v>0</v>
      </c>
      <c r="AW40" s="1033">
        <f>VLOOKUP(AT40,Düngemittel!$B$6:$E$64,2,FALSE)*AU40</f>
        <v>0</v>
      </c>
      <c r="AX40" s="1033">
        <f>VLOOKUP(AT40,Düngemittel!$B$6:$E$64,4,FALSE)*AU40</f>
        <v>0</v>
      </c>
      <c r="AY40" s="2324"/>
      <c r="AZ40" s="1329"/>
      <c r="BA40" s="1330" t="s">
        <v>795</v>
      </c>
      <c r="BB40" s="1424">
        <v>0</v>
      </c>
      <c r="BC40" s="1033">
        <f>VLOOKUP(BA40,Düngemittel!$B$6:$E$64,2,FALSE)*(VLOOKUP(BA40,Düngemittel!$B$6:$E$64,3,FALSE))/100*BB40</f>
        <v>0</v>
      </c>
      <c r="BD40" s="1033">
        <f>VLOOKUP(BA40,Düngemittel!$B$6:$E$64,2,FALSE)*BB40</f>
        <v>0</v>
      </c>
      <c r="BE40" s="1033">
        <f>VLOOKUP(BA40,Düngemittel!$B$6:$E$64,4,FALSE)*BB40</f>
        <v>0</v>
      </c>
      <c r="BF40" s="2324"/>
      <c r="BG40" s="1282">
        <f t="shared" si="27"/>
        <v>0</v>
      </c>
      <c r="BH40" s="2328">
        <f t="shared" si="28"/>
        <v>0</v>
      </c>
      <c r="BI40" s="1282">
        <f t="shared" si="29"/>
        <v>0</v>
      </c>
      <c r="BJ40" s="1138">
        <f t="shared" si="30"/>
        <v>0</v>
      </c>
      <c r="BK40" s="2328">
        <f t="shared" si="31"/>
        <v>0</v>
      </c>
      <c r="BL40" s="95"/>
      <c r="BM40" s="1135">
        <f t="shared" si="32"/>
        <v>0</v>
      </c>
      <c r="BN40" s="1135">
        <f t="shared" si="33"/>
        <v>0</v>
      </c>
      <c r="BO40" s="1135">
        <f t="shared" si="34"/>
        <v>0</v>
      </c>
      <c r="BP40" s="1135">
        <f t="shared" si="35"/>
        <v>0</v>
      </c>
      <c r="BQ40" s="1135">
        <f t="shared" si="36"/>
        <v>0</v>
      </c>
      <c r="BR40" s="2324"/>
      <c r="BS40" s="2324"/>
      <c r="BT40" s="528">
        <f t="shared" si="13"/>
        <v>0</v>
      </c>
      <c r="BU40" s="528">
        <f t="shared" si="14"/>
        <v>0</v>
      </c>
      <c r="BV40" s="148"/>
      <c r="BW40" s="748" t="s">
        <v>756</v>
      </c>
      <c r="BX40" s="748">
        <v>400</v>
      </c>
      <c r="BY40" s="748">
        <v>140</v>
      </c>
      <c r="BZ40" s="748">
        <v>0.2</v>
      </c>
      <c r="CA40" s="748">
        <v>0.3</v>
      </c>
      <c r="CB40" s="808">
        <v>60</v>
      </c>
      <c r="CC40" s="749">
        <v>0.2</v>
      </c>
      <c r="CD40" s="480">
        <f t="shared" si="37"/>
        <v>80</v>
      </c>
      <c r="CE40" s="1317"/>
      <c r="CF40" s="1317"/>
    </row>
    <row r="41" spans="1:84" s="1421" customFormat="1" ht="26.25" customHeight="1">
      <c r="A41" s="468">
        <v>34</v>
      </c>
      <c r="B41" s="1699">
        <v>0</v>
      </c>
      <c r="C41" s="759" t="s">
        <v>31</v>
      </c>
      <c r="D41" s="565">
        <f t="shared" si="1"/>
        <v>0</v>
      </c>
      <c r="E41" s="584">
        <f t="shared" si="2"/>
        <v>0</v>
      </c>
      <c r="F41" s="1690">
        <v>0</v>
      </c>
      <c r="G41" s="570">
        <f t="shared" si="3"/>
        <v>0</v>
      </c>
      <c r="H41" s="761" t="s">
        <v>503</v>
      </c>
      <c r="I41" s="584">
        <f t="shared" si="4"/>
        <v>0</v>
      </c>
      <c r="J41" s="587" t="s">
        <v>31</v>
      </c>
      <c r="K41" s="765">
        <f t="shared" si="5"/>
        <v>0</v>
      </c>
      <c r="L41" s="565">
        <f t="shared" si="6"/>
        <v>0</v>
      </c>
      <c r="M41" s="1693">
        <v>0</v>
      </c>
      <c r="N41" s="609" t="s">
        <v>160</v>
      </c>
      <c r="O41" s="584">
        <f t="shared" si="7"/>
        <v>0</v>
      </c>
      <c r="P41" s="1696">
        <v>0</v>
      </c>
      <c r="Q41" s="1894">
        <f t="shared" si="25"/>
        <v>0</v>
      </c>
      <c r="R41" s="2371">
        <f t="shared" si="26"/>
        <v>0</v>
      </c>
      <c r="S41" s="2367">
        <f t="shared" si="8"/>
        <v>0</v>
      </c>
      <c r="T41" s="592">
        <f t="shared" si="9"/>
        <v>0</v>
      </c>
      <c r="U41" s="2324"/>
      <c r="V41" s="1281">
        <f t="shared" si="10"/>
        <v>34</v>
      </c>
      <c r="W41" s="1281" t="str">
        <f t="shared" si="11"/>
        <v>keine</v>
      </c>
      <c r="X41" s="1329"/>
      <c r="Y41" s="1330" t="s">
        <v>795</v>
      </c>
      <c r="Z41" s="1424">
        <v>0</v>
      </c>
      <c r="AA41" s="1033">
        <f>VLOOKUP(Y41,Düngemittel!$B$6:$E$64,2,FALSE)*(VLOOKUP(Y41,Düngemittel!$B$6:$E$64,3,FALSE))/100*Z41</f>
        <v>0</v>
      </c>
      <c r="AB41" s="1033">
        <f>VLOOKUP(Y41,Düngemittel!$B$6:$E$64,2,FALSE)*Z41</f>
        <v>0</v>
      </c>
      <c r="AC41" s="1033">
        <f>VLOOKUP(Y41,Düngemittel!$B$6:$E$64,4,FALSE)*Z41</f>
        <v>0</v>
      </c>
      <c r="AD41" s="2324"/>
      <c r="AE41" s="1329"/>
      <c r="AF41" s="1330" t="s">
        <v>795</v>
      </c>
      <c r="AG41" s="1424">
        <v>0</v>
      </c>
      <c r="AH41" s="1033">
        <f>VLOOKUP(AF41,Düngemittel!$B$6:$E$64,2,FALSE)*(VLOOKUP(AF41,Düngemittel!$B$6:$E$64,3,FALSE))/100*AG41</f>
        <v>0</v>
      </c>
      <c r="AI41" s="1033">
        <f>VLOOKUP(AF41,Düngemittel!$B$6:$E$64,2,FALSE)*AG41</f>
        <v>0</v>
      </c>
      <c r="AJ41" s="1033">
        <f>VLOOKUP(AF41,Düngemittel!$B$6:$E$64,4,FALSE)*AG41</f>
        <v>0</v>
      </c>
      <c r="AK41" s="2324"/>
      <c r="AL41" s="1329"/>
      <c r="AM41" s="1330" t="s">
        <v>795</v>
      </c>
      <c r="AN41" s="1424">
        <v>0</v>
      </c>
      <c r="AO41" s="1033">
        <f>VLOOKUP(AM41,Düngemittel!$B$6:$E$64,2,FALSE)*(VLOOKUP(AM41,Düngemittel!$B$6:$E$64,3,FALSE))/100*AN41</f>
        <v>0</v>
      </c>
      <c r="AP41" s="1033">
        <f>VLOOKUP(AM41,Düngemittel!$B$6:$E$64,2,FALSE)*AN41</f>
        <v>0</v>
      </c>
      <c r="AQ41" s="1033">
        <f>VLOOKUP(AM41,Düngemittel!$B$6:$E$64,4,FALSE)*AN41</f>
        <v>0</v>
      </c>
      <c r="AR41" s="2324"/>
      <c r="AS41" s="1329"/>
      <c r="AT41" s="1330" t="s">
        <v>795</v>
      </c>
      <c r="AU41" s="1424">
        <v>0</v>
      </c>
      <c r="AV41" s="1033">
        <f>VLOOKUP(AT41,Düngemittel!$B$6:$E$64,2,FALSE)*(VLOOKUP(AT41,Düngemittel!$B$6:$E$64,3,FALSE))/100*AU41</f>
        <v>0</v>
      </c>
      <c r="AW41" s="1033">
        <f>VLOOKUP(AT41,Düngemittel!$B$6:$E$64,2,FALSE)*AU41</f>
        <v>0</v>
      </c>
      <c r="AX41" s="1033">
        <f>VLOOKUP(AT41,Düngemittel!$B$6:$E$64,4,FALSE)*AU41</f>
        <v>0</v>
      </c>
      <c r="AY41" s="2324"/>
      <c r="AZ41" s="1329"/>
      <c r="BA41" s="1330" t="s">
        <v>795</v>
      </c>
      <c r="BB41" s="1424">
        <v>0</v>
      </c>
      <c r="BC41" s="1033">
        <f>VLOOKUP(BA41,Düngemittel!$B$6:$E$64,2,FALSE)*(VLOOKUP(BA41,Düngemittel!$B$6:$E$64,3,FALSE))/100*BB41</f>
        <v>0</v>
      </c>
      <c r="BD41" s="1033">
        <f>VLOOKUP(BA41,Düngemittel!$B$6:$E$64,2,FALSE)*BB41</f>
        <v>0</v>
      </c>
      <c r="BE41" s="1033">
        <f>VLOOKUP(BA41,Düngemittel!$B$6:$E$64,4,FALSE)*BB41</f>
        <v>0</v>
      </c>
      <c r="BF41" s="2324"/>
      <c r="BG41" s="1282">
        <f t="shared" si="27"/>
        <v>0</v>
      </c>
      <c r="BH41" s="2328">
        <f t="shared" si="28"/>
        <v>0</v>
      </c>
      <c r="BI41" s="1282">
        <f t="shared" si="29"/>
        <v>0</v>
      </c>
      <c r="BJ41" s="1138">
        <f t="shared" si="30"/>
        <v>0</v>
      </c>
      <c r="BK41" s="2328">
        <f t="shared" si="31"/>
        <v>0</v>
      </c>
      <c r="BL41" s="95"/>
      <c r="BM41" s="1135">
        <f t="shared" si="32"/>
        <v>0</v>
      </c>
      <c r="BN41" s="1135">
        <f t="shared" si="33"/>
        <v>0</v>
      </c>
      <c r="BO41" s="1135">
        <f t="shared" si="34"/>
        <v>0</v>
      </c>
      <c r="BP41" s="1135">
        <f t="shared" si="35"/>
        <v>0</v>
      </c>
      <c r="BQ41" s="1135">
        <f t="shared" si="36"/>
        <v>0</v>
      </c>
      <c r="BR41" s="2324"/>
      <c r="BS41" s="2324"/>
      <c r="BT41" s="528">
        <f t="shared" si="13"/>
        <v>0</v>
      </c>
      <c r="BU41" s="528">
        <f t="shared" si="14"/>
        <v>0</v>
      </c>
      <c r="BV41" s="148"/>
      <c r="BW41" s="280" t="s">
        <v>246</v>
      </c>
      <c r="BX41" s="280">
        <v>450</v>
      </c>
      <c r="BY41" s="280">
        <v>200</v>
      </c>
      <c r="BZ41" s="280">
        <v>0.2</v>
      </c>
      <c r="CA41" s="280">
        <v>0.3</v>
      </c>
      <c r="CB41" s="808">
        <v>60</v>
      </c>
      <c r="CC41" s="749">
        <v>0.18</v>
      </c>
      <c r="CD41" s="480">
        <f t="shared" si="37"/>
        <v>81</v>
      </c>
      <c r="CE41" s="1317"/>
      <c r="CF41" s="1317"/>
    </row>
    <row r="42" spans="1:84" s="1421" customFormat="1" ht="26.25" customHeight="1">
      <c r="A42" s="468">
        <v>35</v>
      </c>
      <c r="B42" s="1699">
        <v>0</v>
      </c>
      <c r="C42" s="759" t="s">
        <v>31</v>
      </c>
      <c r="D42" s="565">
        <f t="shared" si="1"/>
        <v>0</v>
      </c>
      <c r="E42" s="584">
        <f t="shared" si="2"/>
        <v>0</v>
      </c>
      <c r="F42" s="1690">
        <v>0</v>
      </c>
      <c r="G42" s="570">
        <f t="shared" si="3"/>
        <v>0</v>
      </c>
      <c r="H42" s="761" t="s">
        <v>503</v>
      </c>
      <c r="I42" s="584">
        <f t="shared" si="4"/>
        <v>0</v>
      </c>
      <c r="J42" s="587" t="s">
        <v>31</v>
      </c>
      <c r="K42" s="765">
        <f t="shared" si="5"/>
        <v>0</v>
      </c>
      <c r="L42" s="565">
        <f t="shared" si="6"/>
        <v>0</v>
      </c>
      <c r="M42" s="1693">
        <v>0</v>
      </c>
      <c r="N42" s="609" t="s">
        <v>160</v>
      </c>
      <c r="O42" s="584">
        <f t="shared" si="7"/>
        <v>0</v>
      </c>
      <c r="P42" s="1696">
        <v>0</v>
      </c>
      <c r="Q42" s="1894">
        <f t="shared" si="25"/>
        <v>0</v>
      </c>
      <c r="R42" s="2371">
        <f t="shared" si="26"/>
        <v>0</v>
      </c>
      <c r="S42" s="2367">
        <f t="shared" si="8"/>
        <v>0</v>
      </c>
      <c r="T42" s="592">
        <f t="shared" si="9"/>
        <v>0</v>
      </c>
      <c r="U42" s="2324"/>
      <c r="V42" s="1281">
        <f t="shared" si="10"/>
        <v>35</v>
      </c>
      <c r="W42" s="1281" t="str">
        <f t="shared" si="11"/>
        <v>keine</v>
      </c>
      <c r="X42" s="1329"/>
      <c r="Y42" s="1330" t="s">
        <v>795</v>
      </c>
      <c r="Z42" s="1424">
        <v>0</v>
      </c>
      <c r="AA42" s="1033">
        <f>VLOOKUP(Y42,Düngemittel!$B$6:$E$64,2,FALSE)*(VLOOKUP(Y42,Düngemittel!$B$6:$E$64,3,FALSE))/100*Z42</f>
        <v>0</v>
      </c>
      <c r="AB42" s="1033">
        <f>VLOOKUP(Y42,Düngemittel!$B$6:$E$64,2,FALSE)*Z42</f>
        <v>0</v>
      </c>
      <c r="AC42" s="1033">
        <f>VLOOKUP(Y42,Düngemittel!$B$6:$E$64,4,FALSE)*Z42</f>
        <v>0</v>
      </c>
      <c r="AD42" s="2324"/>
      <c r="AE42" s="1329"/>
      <c r="AF42" s="1330" t="s">
        <v>795</v>
      </c>
      <c r="AG42" s="1424">
        <v>0</v>
      </c>
      <c r="AH42" s="1033">
        <f>VLOOKUP(AF42,Düngemittel!$B$6:$E$64,2,FALSE)*(VLOOKUP(AF42,Düngemittel!$B$6:$E$64,3,FALSE))/100*AG42</f>
        <v>0</v>
      </c>
      <c r="AI42" s="1033">
        <f>VLOOKUP(AF42,Düngemittel!$B$6:$E$64,2,FALSE)*AG42</f>
        <v>0</v>
      </c>
      <c r="AJ42" s="1033">
        <f>VLOOKUP(AF42,Düngemittel!$B$6:$E$64,4,FALSE)*AG42</f>
        <v>0</v>
      </c>
      <c r="AK42" s="2324"/>
      <c r="AL42" s="1329"/>
      <c r="AM42" s="1330" t="s">
        <v>795</v>
      </c>
      <c r="AN42" s="1424">
        <v>0</v>
      </c>
      <c r="AO42" s="1033">
        <f>VLOOKUP(AM42,Düngemittel!$B$6:$E$64,2,FALSE)*(VLOOKUP(AM42,Düngemittel!$B$6:$E$64,3,FALSE))/100*AN42</f>
        <v>0</v>
      </c>
      <c r="AP42" s="1033">
        <f>VLOOKUP(AM42,Düngemittel!$B$6:$E$64,2,FALSE)*AN42</f>
        <v>0</v>
      </c>
      <c r="AQ42" s="1033">
        <f>VLOOKUP(AM42,Düngemittel!$B$6:$E$64,4,FALSE)*AN42</f>
        <v>0</v>
      </c>
      <c r="AR42" s="2324"/>
      <c r="AS42" s="1329"/>
      <c r="AT42" s="1330" t="s">
        <v>795</v>
      </c>
      <c r="AU42" s="1424">
        <v>0</v>
      </c>
      <c r="AV42" s="1033">
        <f>VLOOKUP(AT42,Düngemittel!$B$6:$E$64,2,FALSE)*(VLOOKUP(AT42,Düngemittel!$B$6:$E$64,3,FALSE))/100*AU42</f>
        <v>0</v>
      </c>
      <c r="AW42" s="1033">
        <f>VLOOKUP(AT42,Düngemittel!$B$6:$E$64,2,FALSE)*AU42</f>
        <v>0</v>
      </c>
      <c r="AX42" s="1033">
        <f>VLOOKUP(AT42,Düngemittel!$B$6:$E$64,4,FALSE)*AU42</f>
        <v>0</v>
      </c>
      <c r="AY42" s="2324"/>
      <c r="AZ42" s="1329"/>
      <c r="BA42" s="1330" t="s">
        <v>795</v>
      </c>
      <c r="BB42" s="1424">
        <v>0</v>
      </c>
      <c r="BC42" s="1033">
        <f>VLOOKUP(BA42,Düngemittel!$B$6:$E$64,2,FALSE)*(VLOOKUP(BA42,Düngemittel!$B$6:$E$64,3,FALSE))/100*BB42</f>
        <v>0</v>
      </c>
      <c r="BD42" s="1033">
        <f>VLOOKUP(BA42,Düngemittel!$B$6:$E$64,2,FALSE)*BB42</f>
        <v>0</v>
      </c>
      <c r="BE42" s="1033">
        <f>VLOOKUP(BA42,Düngemittel!$B$6:$E$64,4,FALSE)*BB42</f>
        <v>0</v>
      </c>
      <c r="BF42" s="2324"/>
      <c r="BG42" s="1282">
        <f t="shared" si="27"/>
        <v>0</v>
      </c>
      <c r="BH42" s="2328">
        <f t="shared" si="28"/>
        <v>0</v>
      </c>
      <c r="BI42" s="1282">
        <f t="shared" si="29"/>
        <v>0</v>
      </c>
      <c r="BJ42" s="1138">
        <f t="shared" si="30"/>
        <v>0</v>
      </c>
      <c r="BK42" s="2328">
        <f t="shared" si="31"/>
        <v>0</v>
      </c>
      <c r="BL42" s="95"/>
      <c r="BM42" s="1135">
        <f t="shared" si="32"/>
        <v>0</v>
      </c>
      <c r="BN42" s="1135">
        <f t="shared" si="33"/>
        <v>0</v>
      </c>
      <c r="BO42" s="1135">
        <f t="shared" si="34"/>
        <v>0</v>
      </c>
      <c r="BP42" s="1135">
        <f t="shared" si="35"/>
        <v>0</v>
      </c>
      <c r="BQ42" s="1135">
        <f t="shared" si="36"/>
        <v>0</v>
      </c>
      <c r="BR42" s="2324"/>
      <c r="BS42" s="2324"/>
      <c r="BT42" s="528">
        <f t="shared" si="13"/>
        <v>0</v>
      </c>
      <c r="BU42" s="528">
        <f t="shared" si="14"/>
        <v>0</v>
      </c>
      <c r="BV42" s="148"/>
      <c r="BW42" s="281" t="s">
        <v>691</v>
      </c>
      <c r="BX42" s="281">
        <v>450</v>
      </c>
      <c r="BY42" s="281">
        <v>180</v>
      </c>
      <c r="BZ42" s="281">
        <v>0.2</v>
      </c>
      <c r="CA42" s="281">
        <v>0.3</v>
      </c>
      <c r="CB42" s="808">
        <v>90</v>
      </c>
      <c r="CC42" s="755">
        <v>0.18</v>
      </c>
      <c r="CD42" s="480">
        <f t="shared" ref="CD42:CD58" si="38">BX42*CC42</f>
        <v>81</v>
      </c>
      <c r="CE42" s="1317"/>
      <c r="CF42" s="1317"/>
    </row>
    <row r="43" spans="1:84" s="1421" customFormat="1" ht="26.25" customHeight="1">
      <c r="A43" s="468">
        <v>36</v>
      </c>
      <c r="B43" s="1699">
        <v>0</v>
      </c>
      <c r="C43" s="759" t="s">
        <v>31</v>
      </c>
      <c r="D43" s="565">
        <f t="shared" si="1"/>
        <v>0</v>
      </c>
      <c r="E43" s="584">
        <f t="shared" si="2"/>
        <v>0</v>
      </c>
      <c r="F43" s="1690">
        <v>0</v>
      </c>
      <c r="G43" s="570">
        <f t="shared" si="3"/>
        <v>0</v>
      </c>
      <c r="H43" s="761" t="s">
        <v>503</v>
      </c>
      <c r="I43" s="584">
        <f t="shared" si="4"/>
        <v>0</v>
      </c>
      <c r="J43" s="587" t="s">
        <v>31</v>
      </c>
      <c r="K43" s="765">
        <f t="shared" si="5"/>
        <v>0</v>
      </c>
      <c r="L43" s="565">
        <f t="shared" si="6"/>
        <v>0</v>
      </c>
      <c r="M43" s="1693">
        <v>0</v>
      </c>
      <c r="N43" s="609" t="s">
        <v>160</v>
      </c>
      <c r="O43" s="584">
        <f t="shared" si="7"/>
        <v>0</v>
      </c>
      <c r="P43" s="1696">
        <v>0</v>
      </c>
      <c r="Q43" s="1894">
        <f t="shared" si="25"/>
        <v>0</v>
      </c>
      <c r="R43" s="2371">
        <f t="shared" si="26"/>
        <v>0</v>
      </c>
      <c r="S43" s="2367">
        <f t="shared" si="8"/>
        <v>0</v>
      </c>
      <c r="T43" s="592">
        <f t="shared" si="9"/>
        <v>0</v>
      </c>
      <c r="U43" s="2324"/>
      <c r="V43" s="1281">
        <f t="shared" si="10"/>
        <v>36</v>
      </c>
      <c r="W43" s="1281" t="str">
        <f t="shared" si="11"/>
        <v>keine</v>
      </c>
      <c r="X43" s="1329"/>
      <c r="Y43" s="1330" t="s">
        <v>795</v>
      </c>
      <c r="Z43" s="1424">
        <v>0</v>
      </c>
      <c r="AA43" s="1033">
        <f>VLOOKUP(Y43,Düngemittel!$B$6:$E$64,2,FALSE)*(VLOOKUP(Y43,Düngemittel!$B$6:$E$64,3,FALSE))/100*Z43</f>
        <v>0</v>
      </c>
      <c r="AB43" s="1033">
        <f>VLOOKUP(Y43,Düngemittel!$B$6:$E$64,2,FALSE)*Z43</f>
        <v>0</v>
      </c>
      <c r="AC43" s="1033">
        <f>VLOOKUP(Y43,Düngemittel!$B$6:$E$64,4,FALSE)*Z43</f>
        <v>0</v>
      </c>
      <c r="AD43" s="2324"/>
      <c r="AE43" s="1329"/>
      <c r="AF43" s="1330" t="s">
        <v>795</v>
      </c>
      <c r="AG43" s="1424">
        <v>0</v>
      </c>
      <c r="AH43" s="1033">
        <f>VLOOKUP(AF43,Düngemittel!$B$6:$E$64,2,FALSE)*(VLOOKUP(AF43,Düngemittel!$B$6:$E$64,3,FALSE))/100*AG43</f>
        <v>0</v>
      </c>
      <c r="AI43" s="1033">
        <f>VLOOKUP(AF43,Düngemittel!$B$6:$E$64,2,FALSE)*AG43</f>
        <v>0</v>
      </c>
      <c r="AJ43" s="1033">
        <f>VLOOKUP(AF43,Düngemittel!$B$6:$E$64,4,FALSE)*AG43</f>
        <v>0</v>
      </c>
      <c r="AK43" s="2324"/>
      <c r="AL43" s="1329"/>
      <c r="AM43" s="1330" t="s">
        <v>795</v>
      </c>
      <c r="AN43" s="1424">
        <v>0</v>
      </c>
      <c r="AO43" s="1033">
        <f>VLOOKUP(AM43,Düngemittel!$B$6:$E$64,2,FALSE)*(VLOOKUP(AM43,Düngemittel!$B$6:$E$64,3,FALSE))/100*AN43</f>
        <v>0</v>
      </c>
      <c r="AP43" s="1033">
        <f>VLOOKUP(AM43,Düngemittel!$B$6:$E$64,2,FALSE)*AN43</f>
        <v>0</v>
      </c>
      <c r="AQ43" s="1033">
        <f>VLOOKUP(AM43,Düngemittel!$B$6:$E$64,4,FALSE)*AN43</f>
        <v>0</v>
      </c>
      <c r="AR43" s="2324"/>
      <c r="AS43" s="1329"/>
      <c r="AT43" s="1330" t="s">
        <v>795</v>
      </c>
      <c r="AU43" s="1424">
        <v>0</v>
      </c>
      <c r="AV43" s="1033">
        <f>VLOOKUP(AT43,Düngemittel!$B$6:$E$64,2,FALSE)*(VLOOKUP(AT43,Düngemittel!$B$6:$E$64,3,FALSE))/100*AU43</f>
        <v>0</v>
      </c>
      <c r="AW43" s="1033">
        <f>VLOOKUP(AT43,Düngemittel!$B$6:$E$64,2,FALSE)*AU43</f>
        <v>0</v>
      </c>
      <c r="AX43" s="1033">
        <f>VLOOKUP(AT43,Düngemittel!$B$6:$E$64,4,FALSE)*AU43</f>
        <v>0</v>
      </c>
      <c r="AY43" s="2324"/>
      <c r="AZ43" s="1329"/>
      <c r="BA43" s="1330" t="s">
        <v>795</v>
      </c>
      <c r="BB43" s="1424">
        <v>0</v>
      </c>
      <c r="BC43" s="1033">
        <f>VLOOKUP(BA43,Düngemittel!$B$6:$E$64,2,FALSE)*(VLOOKUP(BA43,Düngemittel!$B$6:$E$64,3,FALSE))/100*BB43</f>
        <v>0</v>
      </c>
      <c r="BD43" s="1033">
        <f>VLOOKUP(BA43,Düngemittel!$B$6:$E$64,2,FALSE)*BB43</f>
        <v>0</v>
      </c>
      <c r="BE43" s="1033">
        <f>VLOOKUP(BA43,Düngemittel!$B$6:$E$64,4,FALSE)*BB43</f>
        <v>0</v>
      </c>
      <c r="BF43" s="2324"/>
      <c r="BG43" s="1282">
        <f t="shared" si="27"/>
        <v>0</v>
      </c>
      <c r="BH43" s="2328">
        <f t="shared" si="28"/>
        <v>0</v>
      </c>
      <c r="BI43" s="1282">
        <f t="shared" si="29"/>
        <v>0</v>
      </c>
      <c r="BJ43" s="1138">
        <f t="shared" si="30"/>
        <v>0</v>
      </c>
      <c r="BK43" s="2328">
        <f t="shared" si="31"/>
        <v>0</v>
      </c>
      <c r="BL43" s="95"/>
      <c r="BM43" s="1135">
        <f t="shared" si="32"/>
        <v>0</v>
      </c>
      <c r="BN43" s="1135">
        <f t="shared" si="33"/>
        <v>0</v>
      </c>
      <c r="BO43" s="1135">
        <f t="shared" si="34"/>
        <v>0</v>
      </c>
      <c r="BP43" s="1135">
        <f t="shared" si="35"/>
        <v>0</v>
      </c>
      <c r="BQ43" s="1135">
        <f t="shared" si="36"/>
        <v>0</v>
      </c>
      <c r="BR43" s="2324"/>
      <c r="BS43" s="2324"/>
      <c r="BT43" s="528">
        <f t="shared" si="13"/>
        <v>0</v>
      </c>
      <c r="BU43" s="528">
        <f t="shared" si="14"/>
        <v>0</v>
      </c>
      <c r="BV43" s="148"/>
      <c r="BW43" s="814" t="s">
        <v>763</v>
      </c>
      <c r="BX43" s="814">
        <v>30</v>
      </c>
      <c r="BY43" s="814">
        <v>100</v>
      </c>
      <c r="BZ43" s="814">
        <v>2</v>
      </c>
      <c r="CA43" s="814">
        <v>3</v>
      </c>
      <c r="CB43" s="749">
        <v>60</v>
      </c>
      <c r="CC43" s="749">
        <v>1.3</v>
      </c>
      <c r="CD43" s="480">
        <f t="shared" si="38"/>
        <v>39</v>
      </c>
      <c r="CE43" s="1317"/>
      <c r="CF43" s="1317"/>
    </row>
    <row r="44" spans="1:84" s="1421" customFormat="1" ht="26.25" customHeight="1">
      <c r="A44" s="468">
        <v>37</v>
      </c>
      <c r="B44" s="1699">
        <v>0</v>
      </c>
      <c r="C44" s="759" t="s">
        <v>31</v>
      </c>
      <c r="D44" s="565">
        <f t="shared" si="1"/>
        <v>0</v>
      </c>
      <c r="E44" s="584">
        <f t="shared" si="2"/>
        <v>0</v>
      </c>
      <c r="F44" s="1690">
        <v>0</v>
      </c>
      <c r="G44" s="570">
        <f t="shared" si="3"/>
        <v>0</v>
      </c>
      <c r="H44" s="761" t="s">
        <v>503</v>
      </c>
      <c r="I44" s="584">
        <f t="shared" si="4"/>
        <v>0</v>
      </c>
      <c r="J44" s="587" t="s">
        <v>31</v>
      </c>
      <c r="K44" s="765">
        <f t="shared" si="5"/>
        <v>0</v>
      </c>
      <c r="L44" s="565">
        <f t="shared" si="6"/>
        <v>0</v>
      </c>
      <c r="M44" s="1693">
        <v>0</v>
      </c>
      <c r="N44" s="609" t="s">
        <v>160</v>
      </c>
      <c r="O44" s="584">
        <f t="shared" si="7"/>
        <v>0</v>
      </c>
      <c r="P44" s="1696">
        <v>0</v>
      </c>
      <c r="Q44" s="1894">
        <f t="shared" si="25"/>
        <v>0</v>
      </c>
      <c r="R44" s="2371">
        <f t="shared" si="26"/>
        <v>0</v>
      </c>
      <c r="S44" s="2367">
        <f t="shared" si="8"/>
        <v>0</v>
      </c>
      <c r="T44" s="592">
        <f t="shared" si="9"/>
        <v>0</v>
      </c>
      <c r="U44" s="2324"/>
      <c r="V44" s="1281">
        <f t="shared" si="10"/>
        <v>37</v>
      </c>
      <c r="W44" s="1281" t="str">
        <f t="shared" si="11"/>
        <v>keine</v>
      </c>
      <c r="X44" s="1329"/>
      <c r="Y44" s="1330" t="s">
        <v>795</v>
      </c>
      <c r="Z44" s="1424">
        <v>0</v>
      </c>
      <c r="AA44" s="1033">
        <f>VLOOKUP(Y44,Düngemittel!$B$6:$E$64,2,FALSE)*(VLOOKUP(Y44,Düngemittel!$B$6:$E$64,3,FALSE))/100*Z44</f>
        <v>0</v>
      </c>
      <c r="AB44" s="1033">
        <f>VLOOKUP(Y44,Düngemittel!$B$6:$E$64,2,FALSE)*Z44</f>
        <v>0</v>
      </c>
      <c r="AC44" s="1033">
        <f>VLOOKUP(Y44,Düngemittel!$B$6:$E$64,4,FALSE)*Z44</f>
        <v>0</v>
      </c>
      <c r="AD44" s="2324"/>
      <c r="AE44" s="1329"/>
      <c r="AF44" s="1330" t="s">
        <v>795</v>
      </c>
      <c r="AG44" s="1424">
        <v>0</v>
      </c>
      <c r="AH44" s="1033">
        <f>VLOOKUP(AF44,Düngemittel!$B$6:$E$64,2,FALSE)*(VLOOKUP(AF44,Düngemittel!$B$6:$E$64,3,FALSE))/100*AG44</f>
        <v>0</v>
      </c>
      <c r="AI44" s="1033">
        <f>VLOOKUP(AF44,Düngemittel!$B$6:$E$64,2,FALSE)*AG44</f>
        <v>0</v>
      </c>
      <c r="AJ44" s="1033">
        <f>VLOOKUP(AF44,Düngemittel!$B$6:$E$64,4,FALSE)*AG44</f>
        <v>0</v>
      </c>
      <c r="AK44" s="2324"/>
      <c r="AL44" s="1329"/>
      <c r="AM44" s="1330" t="s">
        <v>795</v>
      </c>
      <c r="AN44" s="1424">
        <v>0</v>
      </c>
      <c r="AO44" s="1033">
        <f>VLOOKUP(AM44,Düngemittel!$B$6:$E$64,2,FALSE)*(VLOOKUP(AM44,Düngemittel!$B$6:$E$64,3,FALSE))/100*AN44</f>
        <v>0</v>
      </c>
      <c r="AP44" s="1033">
        <f>VLOOKUP(AM44,Düngemittel!$B$6:$E$64,2,FALSE)*AN44</f>
        <v>0</v>
      </c>
      <c r="AQ44" s="1033">
        <f>VLOOKUP(AM44,Düngemittel!$B$6:$E$64,4,FALSE)*AN44</f>
        <v>0</v>
      </c>
      <c r="AR44" s="2324"/>
      <c r="AS44" s="1329"/>
      <c r="AT44" s="1330" t="s">
        <v>795</v>
      </c>
      <c r="AU44" s="1424">
        <v>0</v>
      </c>
      <c r="AV44" s="1033">
        <f>VLOOKUP(AT44,Düngemittel!$B$6:$E$64,2,FALSE)*(VLOOKUP(AT44,Düngemittel!$B$6:$E$64,3,FALSE))/100*AU44</f>
        <v>0</v>
      </c>
      <c r="AW44" s="1033">
        <f>VLOOKUP(AT44,Düngemittel!$B$6:$E$64,2,FALSE)*AU44</f>
        <v>0</v>
      </c>
      <c r="AX44" s="1033">
        <f>VLOOKUP(AT44,Düngemittel!$B$6:$E$64,4,FALSE)*AU44</f>
        <v>0</v>
      </c>
      <c r="AY44" s="2324"/>
      <c r="AZ44" s="1329"/>
      <c r="BA44" s="1330" t="s">
        <v>795</v>
      </c>
      <c r="BB44" s="1424">
        <v>0</v>
      </c>
      <c r="BC44" s="1033">
        <f>VLOOKUP(BA44,Düngemittel!$B$6:$E$64,2,FALSE)*(VLOOKUP(BA44,Düngemittel!$B$6:$E$64,3,FALSE))/100*BB44</f>
        <v>0</v>
      </c>
      <c r="BD44" s="1033">
        <f>VLOOKUP(BA44,Düngemittel!$B$6:$E$64,2,FALSE)*BB44</f>
        <v>0</v>
      </c>
      <c r="BE44" s="1033">
        <f>VLOOKUP(BA44,Düngemittel!$B$6:$E$64,4,FALSE)*BB44</f>
        <v>0</v>
      </c>
      <c r="BF44" s="2324"/>
      <c r="BG44" s="1282">
        <f t="shared" si="27"/>
        <v>0</v>
      </c>
      <c r="BH44" s="2328">
        <f t="shared" si="28"/>
        <v>0</v>
      </c>
      <c r="BI44" s="1282">
        <f t="shared" si="29"/>
        <v>0</v>
      </c>
      <c r="BJ44" s="1138">
        <f t="shared" si="30"/>
        <v>0</v>
      </c>
      <c r="BK44" s="2328">
        <f t="shared" si="31"/>
        <v>0</v>
      </c>
      <c r="BL44" s="95"/>
      <c r="BM44" s="1135">
        <f t="shared" si="32"/>
        <v>0</v>
      </c>
      <c r="BN44" s="1135">
        <f t="shared" si="33"/>
        <v>0</v>
      </c>
      <c r="BO44" s="1135">
        <f t="shared" si="34"/>
        <v>0</v>
      </c>
      <c r="BP44" s="1135">
        <f t="shared" si="35"/>
        <v>0</v>
      </c>
      <c r="BQ44" s="1135">
        <f t="shared" si="36"/>
        <v>0</v>
      </c>
      <c r="BR44" s="2324"/>
      <c r="BS44" s="2324"/>
      <c r="BT44" s="528">
        <f t="shared" si="13"/>
        <v>0</v>
      </c>
      <c r="BU44" s="528">
        <f t="shared" si="14"/>
        <v>0</v>
      </c>
      <c r="BV44" s="148"/>
      <c r="BW44" s="757" t="s">
        <v>765</v>
      </c>
      <c r="BX44" s="757">
        <v>30</v>
      </c>
      <c r="BY44" s="757">
        <v>260</v>
      </c>
      <c r="BZ44" s="757">
        <v>5</v>
      </c>
      <c r="CA44" s="757">
        <v>7.5</v>
      </c>
      <c r="CB44" s="757">
        <v>60</v>
      </c>
      <c r="CC44" s="757">
        <v>1.3</v>
      </c>
      <c r="CD44" s="480">
        <f t="shared" si="38"/>
        <v>39</v>
      </c>
      <c r="CE44" s="1317"/>
      <c r="CF44" s="1317"/>
    </row>
    <row r="45" spans="1:84" s="1421" customFormat="1" ht="26.25" customHeight="1">
      <c r="A45" s="468">
        <v>38</v>
      </c>
      <c r="B45" s="1699">
        <v>0</v>
      </c>
      <c r="C45" s="759" t="s">
        <v>31</v>
      </c>
      <c r="D45" s="565">
        <f t="shared" si="1"/>
        <v>0</v>
      </c>
      <c r="E45" s="584">
        <f t="shared" si="2"/>
        <v>0</v>
      </c>
      <c r="F45" s="1690">
        <v>0</v>
      </c>
      <c r="G45" s="570">
        <f t="shared" si="3"/>
        <v>0</v>
      </c>
      <c r="H45" s="761" t="s">
        <v>503</v>
      </c>
      <c r="I45" s="584">
        <f t="shared" si="4"/>
        <v>0</v>
      </c>
      <c r="J45" s="587" t="s">
        <v>31</v>
      </c>
      <c r="K45" s="765">
        <f t="shared" si="5"/>
        <v>0</v>
      </c>
      <c r="L45" s="565">
        <f t="shared" si="6"/>
        <v>0</v>
      </c>
      <c r="M45" s="1693">
        <v>0</v>
      </c>
      <c r="N45" s="609" t="s">
        <v>160</v>
      </c>
      <c r="O45" s="584">
        <f t="shared" si="7"/>
        <v>0</v>
      </c>
      <c r="P45" s="1696">
        <v>0</v>
      </c>
      <c r="Q45" s="1894">
        <f t="shared" si="25"/>
        <v>0</v>
      </c>
      <c r="R45" s="2371">
        <f t="shared" si="26"/>
        <v>0</v>
      </c>
      <c r="S45" s="2367">
        <f t="shared" si="8"/>
        <v>0</v>
      </c>
      <c r="T45" s="592">
        <f t="shared" si="9"/>
        <v>0</v>
      </c>
      <c r="U45" s="2324"/>
      <c r="V45" s="1281">
        <f t="shared" si="10"/>
        <v>38</v>
      </c>
      <c r="W45" s="1281" t="str">
        <f t="shared" si="11"/>
        <v>keine</v>
      </c>
      <c r="X45" s="1329"/>
      <c r="Y45" s="1330" t="s">
        <v>795</v>
      </c>
      <c r="Z45" s="1424">
        <v>0</v>
      </c>
      <c r="AA45" s="1033">
        <f>VLOOKUP(Y45,Düngemittel!$B$6:$E$64,2,FALSE)*(VLOOKUP(Y45,Düngemittel!$B$6:$E$64,3,FALSE))/100*Z45</f>
        <v>0</v>
      </c>
      <c r="AB45" s="1033">
        <f>VLOOKUP(Y45,Düngemittel!$B$6:$E$64,2,FALSE)*Z45</f>
        <v>0</v>
      </c>
      <c r="AC45" s="1033">
        <f>VLOOKUP(Y45,Düngemittel!$B$6:$E$64,4,FALSE)*Z45</f>
        <v>0</v>
      </c>
      <c r="AD45" s="2324"/>
      <c r="AE45" s="1329"/>
      <c r="AF45" s="1330" t="s">
        <v>795</v>
      </c>
      <c r="AG45" s="1424">
        <v>0</v>
      </c>
      <c r="AH45" s="1033">
        <f>VLOOKUP(AF45,Düngemittel!$B$6:$E$64,2,FALSE)*(VLOOKUP(AF45,Düngemittel!$B$6:$E$64,3,FALSE))/100*AG45</f>
        <v>0</v>
      </c>
      <c r="AI45" s="1033">
        <f>VLOOKUP(AF45,Düngemittel!$B$6:$E$64,2,FALSE)*AG45</f>
        <v>0</v>
      </c>
      <c r="AJ45" s="1033">
        <f>VLOOKUP(AF45,Düngemittel!$B$6:$E$64,4,FALSE)*AG45</f>
        <v>0</v>
      </c>
      <c r="AK45" s="2324"/>
      <c r="AL45" s="1329"/>
      <c r="AM45" s="1330" t="s">
        <v>795</v>
      </c>
      <c r="AN45" s="1424">
        <v>0</v>
      </c>
      <c r="AO45" s="1033">
        <f>VLOOKUP(AM45,Düngemittel!$B$6:$E$64,2,FALSE)*(VLOOKUP(AM45,Düngemittel!$B$6:$E$64,3,FALSE))/100*AN45</f>
        <v>0</v>
      </c>
      <c r="AP45" s="1033">
        <f>VLOOKUP(AM45,Düngemittel!$B$6:$E$64,2,FALSE)*AN45</f>
        <v>0</v>
      </c>
      <c r="AQ45" s="1033">
        <f>VLOOKUP(AM45,Düngemittel!$B$6:$E$64,4,FALSE)*AN45</f>
        <v>0</v>
      </c>
      <c r="AR45" s="2324"/>
      <c r="AS45" s="1329"/>
      <c r="AT45" s="1330" t="s">
        <v>795</v>
      </c>
      <c r="AU45" s="1424">
        <v>0</v>
      </c>
      <c r="AV45" s="1033">
        <f>VLOOKUP(AT45,Düngemittel!$B$6:$E$64,2,FALSE)*(VLOOKUP(AT45,Düngemittel!$B$6:$E$64,3,FALSE))/100*AU45</f>
        <v>0</v>
      </c>
      <c r="AW45" s="1033">
        <f>VLOOKUP(AT45,Düngemittel!$B$6:$E$64,2,FALSE)*AU45</f>
        <v>0</v>
      </c>
      <c r="AX45" s="1033">
        <f>VLOOKUP(AT45,Düngemittel!$B$6:$E$64,4,FALSE)*AU45</f>
        <v>0</v>
      </c>
      <c r="AY45" s="2324"/>
      <c r="AZ45" s="1329"/>
      <c r="BA45" s="1330" t="s">
        <v>795</v>
      </c>
      <c r="BB45" s="1424">
        <v>0</v>
      </c>
      <c r="BC45" s="1033">
        <f>VLOOKUP(BA45,Düngemittel!$B$6:$E$64,2,FALSE)*(VLOOKUP(BA45,Düngemittel!$B$6:$E$64,3,FALSE))/100*BB45</f>
        <v>0</v>
      </c>
      <c r="BD45" s="1033">
        <f>VLOOKUP(BA45,Düngemittel!$B$6:$E$64,2,FALSE)*BB45</f>
        <v>0</v>
      </c>
      <c r="BE45" s="1033">
        <f>VLOOKUP(BA45,Düngemittel!$B$6:$E$64,4,FALSE)*BB45</f>
        <v>0</v>
      </c>
      <c r="BF45" s="2324"/>
      <c r="BG45" s="1282">
        <f t="shared" si="27"/>
        <v>0</v>
      </c>
      <c r="BH45" s="2328">
        <f t="shared" si="28"/>
        <v>0</v>
      </c>
      <c r="BI45" s="1282">
        <f t="shared" si="29"/>
        <v>0</v>
      </c>
      <c r="BJ45" s="1138">
        <f t="shared" si="30"/>
        <v>0</v>
      </c>
      <c r="BK45" s="2328">
        <f t="shared" si="31"/>
        <v>0</v>
      </c>
      <c r="BL45" s="95"/>
      <c r="BM45" s="1135">
        <f t="shared" si="32"/>
        <v>0</v>
      </c>
      <c r="BN45" s="1135">
        <f t="shared" si="33"/>
        <v>0</v>
      </c>
      <c r="BO45" s="1135">
        <f t="shared" si="34"/>
        <v>0</v>
      </c>
      <c r="BP45" s="1135">
        <f t="shared" si="35"/>
        <v>0</v>
      </c>
      <c r="BQ45" s="1135">
        <f t="shared" si="36"/>
        <v>0</v>
      </c>
      <c r="BR45" s="2324"/>
      <c r="BS45" s="2324"/>
      <c r="BT45" s="528">
        <f t="shared" si="13"/>
        <v>0</v>
      </c>
      <c r="BU45" s="528">
        <f t="shared" si="14"/>
        <v>0</v>
      </c>
      <c r="BV45" s="148"/>
      <c r="BW45" s="281" t="s">
        <v>690</v>
      </c>
      <c r="BX45" s="281">
        <v>500</v>
      </c>
      <c r="BY45" s="281">
        <v>150</v>
      </c>
      <c r="BZ45" s="281">
        <v>0.2</v>
      </c>
      <c r="CA45" s="492">
        <v>0.3</v>
      </c>
      <c r="CB45" s="808">
        <v>90</v>
      </c>
      <c r="CC45" s="749">
        <v>0.1</v>
      </c>
      <c r="CD45" s="480">
        <f t="shared" si="38"/>
        <v>50</v>
      </c>
      <c r="CE45" s="1317"/>
      <c r="CF45" s="1317"/>
    </row>
    <row r="46" spans="1:84" s="1421" customFormat="1" ht="26.25" customHeight="1">
      <c r="A46" s="468">
        <v>39</v>
      </c>
      <c r="B46" s="1699">
        <v>0</v>
      </c>
      <c r="C46" s="759" t="s">
        <v>31</v>
      </c>
      <c r="D46" s="565">
        <f t="shared" si="1"/>
        <v>0</v>
      </c>
      <c r="E46" s="584">
        <f t="shared" si="2"/>
        <v>0</v>
      </c>
      <c r="F46" s="1690">
        <v>0</v>
      </c>
      <c r="G46" s="570">
        <f t="shared" si="3"/>
        <v>0</v>
      </c>
      <c r="H46" s="761" t="s">
        <v>503</v>
      </c>
      <c r="I46" s="584">
        <f t="shared" si="4"/>
        <v>0</v>
      </c>
      <c r="J46" s="587" t="s">
        <v>31</v>
      </c>
      <c r="K46" s="765">
        <f t="shared" si="5"/>
        <v>0</v>
      </c>
      <c r="L46" s="565">
        <f t="shared" si="6"/>
        <v>0</v>
      </c>
      <c r="M46" s="1693">
        <v>0</v>
      </c>
      <c r="N46" s="609" t="s">
        <v>160</v>
      </c>
      <c r="O46" s="584">
        <f t="shared" si="7"/>
        <v>0</v>
      </c>
      <c r="P46" s="1696">
        <v>0</v>
      </c>
      <c r="Q46" s="1894">
        <f t="shared" si="25"/>
        <v>0</v>
      </c>
      <c r="R46" s="2371">
        <f t="shared" si="26"/>
        <v>0</v>
      </c>
      <c r="S46" s="2367">
        <f t="shared" si="8"/>
        <v>0</v>
      </c>
      <c r="T46" s="592">
        <f t="shared" si="9"/>
        <v>0</v>
      </c>
      <c r="U46" s="2324"/>
      <c r="V46" s="1281">
        <f t="shared" si="10"/>
        <v>39</v>
      </c>
      <c r="W46" s="1281" t="str">
        <f t="shared" si="11"/>
        <v>keine</v>
      </c>
      <c r="X46" s="1329"/>
      <c r="Y46" s="1330" t="s">
        <v>795</v>
      </c>
      <c r="Z46" s="1424">
        <v>0</v>
      </c>
      <c r="AA46" s="1033">
        <f>VLOOKUP(Y46,Düngemittel!$B$6:$E$64,2,FALSE)*(VLOOKUP(Y46,Düngemittel!$B$6:$E$64,3,FALSE))/100*Z46</f>
        <v>0</v>
      </c>
      <c r="AB46" s="1033">
        <f>VLOOKUP(Y46,Düngemittel!$B$6:$E$64,2,FALSE)*Z46</f>
        <v>0</v>
      </c>
      <c r="AC46" s="1033">
        <f>VLOOKUP(Y46,Düngemittel!$B$6:$E$64,4,FALSE)*Z46</f>
        <v>0</v>
      </c>
      <c r="AD46" s="2324"/>
      <c r="AE46" s="1329"/>
      <c r="AF46" s="1330" t="s">
        <v>795</v>
      </c>
      <c r="AG46" s="1424">
        <v>0</v>
      </c>
      <c r="AH46" s="1033">
        <f>VLOOKUP(AF46,Düngemittel!$B$6:$E$64,2,FALSE)*(VLOOKUP(AF46,Düngemittel!$B$6:$E$64,3,FALSE))/100*AG46</f>
        <v>0</v>
      </c>
      <c r="AI46" s="1033">
        <f>VLOOKUP(AF46,Düngemittel!$B$6:$E$64,2,FALSE)*AG46</f>
        <v>0</v>
      </c>
      <c r="AJ46" s="1033">
        <f>VLOOKUP(AF46,Düngemittel!$B$6:$E$64,4,FALSE)*AG46</f>
        <v>0</v>
      </c>
      <c r="AK46" s="2324"/>
      <c r="AL46" s="1329"/>
      <c r="AM46" s="1330" t="s">
        <v>795</v>
      </c>
      <c r="AN46" s="1424">
        <v>0</v>
      </c>
      <c r="AO46" s="1033">
        <f>VLOOKUP(AM46,Düngemittel!$B$6:$E$64,2,FALSE)*(VLOOKUP(AM46,Düngemittel!$B$6:$E$64,3,FALSE))/100*AN46</f>
        <v>0</v>
      </c>
      <c r="AP46" s="1033">
        <f>VLOOKUP(AM46,Düngemittel!$B$6:$E$64,2,FALSE)*AN46</f>
        <v>0</v>
      </c>
      <c r="AQ46" s="1033">
        <f>VLOOKUP(AM46,Düngemittel!$B$6:$E$64,4,FALSE)*AN46</f>
        <v>0</v>
      </c>
      <c r="AR46" s="2324"/>
      <c r="AS46" s="1329"/>
      <c r="AT46" s="1330" t="s">
        <v>795</v>
      </c>
      <c r="AU46" s="1424">
        <v>0</v>
      </c>
      <c r="AV46" s="1033">
        <f>VLOOKUP(AT46,Düngemittel!$B$6:$E$64,2,FALSE)*(VLOOKUP(AT46,Düngemittel!$B$6:$E$64,3,FALSE))/100*AU46</f>
        <v>0</v>
      </c>
      <c r="AW46" s="1033">
        <f>VLOOKUP(AT46,Düngemittel!$B$6:$E$64,2,FALSE)*AU46</f>
        <v>0</v>
      </c>
      <c r="AX46" s="1033">
        <f>VLOOKUP(AT46,Düngemittel!$B$6:$E$64,4,FALSE)*AU46</f>
        <v>0</v>
      </c>
      <c r="AY46" s="2324"/>
      <c r="AZ46" s="1329"/>
      <c r="BA46" s="1330" t="s">
        <v>795</v>
      </c>
      <c r="BB46" s="1424">
        <v>0</v>
      </c>
      <c r="BC46" s="1033">
        <f>VLOOKUP(BA46,Düngemittel!$B$6:$E$64,2,FALSE)*(VLOOKUP(BA46,Düngemittel!$B$6:$E$64,3,FALSE))/100*BB46</f>
        <v>0</v>
      </c>
      <c r="BD46" s="1033">
        <f>VLOOKUP(BA46,Düngemittel!$B$6:$E$64,2,FALSE)*BB46</f>
        <v>0</v>
      </c>
      <c r="BE46" s="1033">
        <f>VLOOKUP(BA46,Düngemittel!$B$6:$E$64,4,FALSE)*BB46</f>
        <v>0</v>
      </c>
      <c r="BF46" s="2324"/>
      <c r="BG46" s="1282">
        <f t="shared" si="27"/>
        <v>0</v>
      </c>
      <c r="BH46" s="2328">
        <f t="shared" si="28"/>
        <v>0</v>
      </c>
      <c r="BI46" s="1282">
        <f t="shared" si="29"/>
        <v>0</v>
      </c>
      <c r="BJ46" s="1138">
        <f t="shared" si="30"/>
        <v>0</v>
      </c>
      <c r="BK46" s="2328">
        <f t="shared" si="31"/>
        <v>0</v>
      </c>
      <c r="BL46" s="95"/>
      <c r="BM46" s="1135">
        <f t="shared" si="32"/>
        <v>0</v>
      </c>
      <c r="BN46" s="1135">
        <f t="shared" si="33"/>
        <v>0</v>
      </c>
      <c r="BO46" s="1135">
        <f t="shared" si="34"/>
        <v>0</v>
      </c>
      <c r="BP46" s="1135">
        <f t="shared" si="35"/>
        <v>0</v>
      </c>
      <c r="BQ46" s="1135">
        <f t="shared" si="36"/>
        <v>0</v>
      </c>
      <c r="BR46" s="2324"/>
      <c r="BS46" s="2324"/>
      <c r="BT46" s="528">
        <f t="shared" si="13"/>
        <v>0</v>
      </c>
      <c r="BU46" s="528">
        <f t="shared" si="14"/>
        <v>0</v>
      </c>
      <c r="BV46" s="148"/>
      <c r="BW46" s="279" t="s">
        <v>92</v>
      </c>
      <c r="BX46" s="279">
        <v>70</v>
      </c>
      <c r="BY46" s="279">
        <v>180</v>
      </c>
      <c r="BZ46" s="279">
        <v>1</v>
      </c>
      <c r="CA46" s="279">
        <v>1.5</v>
      </c>
      <c r="CB46" s="808">
        <v>90</v>
      </c>
      <c r="CC46" s="749">
        <v>0.8</v>
      </c>
      <c r="CD46" s="480">
        <f t="shared" si="38"/>
        <v>56</v>
      </c>
      <c r="CE46" s="1317"/>
      <c r="CF46" s="1317"/>
    </row>
    <row r="47" spans="1:84" s="1421" customFormat="1" ht="26.25" customHeight="1">
      <c r="A47" s="468">
        <v>40</v>
      </c>
      <c r="B47" s="1699">
        <v>0</v>
      </c>
      <c r="C47" s="759" t="s">
        <v>31</v>
      </c>
      <c r="D47" s="565">
        <f t="shared" si="1"/>
        <v>0</v>
      </c>
      <c r="E47" s="584">
        <f t="shared" si="2"/>
        <v>0</v>
      </c>
      <c r="F47" s="1690">
        <v>0</v>
      </c>
      <c r="G47" s="570">
        <f t="shared" si="3"/>
        <v>0</v>
      </c>
      <c r="H47" s="761" t="s">
        <v>503</v>
      </c>
      <c r="I47" s="584">
        <f t="shared" si="4"/>
        <v>0</v>
      </c>
      <c r="J47" s="587" t="s">
        <v>31</v>
      </c>
      <c r="K47" s="765">
        <f t="shared" si="5"/>
        <v>0</v>
      </c>
      <c r="L47" s="565">
        <f t="shared" si="6"/>
        <v>0</v>
      </c>
      <c r="M47" s="1693">
        <v>0</v>
      </c>
      <c r="N47" s="609" t="s">
        <v>160</v>
      </c>
      <c r="O47" s="584">
        <f t="shared" si="7"/>
        <v>0</v>
      </c>
      <c r="P47" s="1696">
        <v>0</v>
      </c>
      <c r="Q47" s="1894">
        <f t="shared" si="25"/>
        <v>0</v>
      </c>
      <c r="R47" s="2371">
        <f t="shared" si="26"/>
        <v>0</v>
      </c>
      <c r="S47" s="2367">
        <f t="shared" si="8"/>
        <v>0</v>
      </c>
      <c r="T47" s="592">
        <f t="shared" si="9"/>
        <v>0</v>
      </c>
      <c r="U47" s="2324"/>
      <c r="V47" s="1281">
        <f t="shared" si="10"/>
        <v>40</v>
      </c>
      <c r="W47" s="1281" t="str">
        <f t="shared" si="11"/>
        <v>keine</v>
      </c>
      <c r="X47" s="1329"/>
      <c r="Y47" s="1330" t="s">
        <v>795</v>
      </c>
      <c r="Z47" s="1424">
        <v>0</v>
      </c>
      <c r="AA47" s="1033">
        <f>VLOOKUP(Y47,Düngemittel!$B$6:$E$64,2,FALSE)*(VLOOKUP(Y47,Düngemittel!$B$6:$E$64,3,FALSE))/100*Z47</f>
        <v>0</v>
      </c>
      <c r="AB47" s="1033">
        <f>VLOOKUP(Y47,Düngemittel!$B$6:$E$64,2,FALSE)*Z47</f>
        <v>0</v>
      </c>
      <c r="AC47" s="1033">
        <f>VLOOKUP(Y47,Düngemittel!$B$6:$E$64,4,FALSE)*Z47</f>
        <v>0</v>
      </c>
      <c r="AD47" s="2324"/>
      <c r="AE47" s="1329"/>
      <c r="AF47" s="1330" t="s">
        <v>795</v>
      </c>
      <c r="AG47" s="1424">
        <v>0</v>
      </c>
      <c r="AH47" s="1033">
        <f>VLOOKUP(AF47,Düngemittel!$B$6:$E$64,2,FALSE)*(VLOOKUP(AF47,Düngemittel!$B$6:$E$64,3,FALSE))/100*AG47</f>
        <v>0</v>
      </c>
      <c r="AI47" s="1033">
        <f>VLOOKUP(AF47,Düngemittel!$B$6:$E$64,2,FALSE)*AG47</f>
        <v>0</v>
      </c>
      <c r="AJ47" s="1033">
        <f>VLOOKUP(AF47,Düngemittel!$B$6:$E$64,4,FALSE)*AG47</f>
        <v>0</v>
      </c>
      <c r="AK47" s="2324"/>
      <c r="AL47" s="1329"/>
      <c r="AM47" s="1330" t="s">
        <v>795</v>
      </c>
      <c r="AN47" s="1424">
        <v>0</v>
      </c>
      <c r="AO47" s="1033">
        <f>VLOOKUP(AM47,Düngemittel!$B$6:$E$64,2,FALSE)*(VLOOKUP(AM47,Düngemittel!$B$6:$E$64,3,FALSE))/100*AN47</f>
        <v>0</v>
      </c>
      <c r="AP47" s="1033">
        <f>VLOOKUP(AM47,Düngemittel!$B$6:$E$64,2,FALSE)*AN47</f>
        <v>0</v>
      </c>
      <c r="AQ47" s="1033">
        <f>VLOOKUP(AM47,Düngemittel!$B$6:$E$64,4,FALSE)*AN47</f>
        <v>0</v>
      </c>
      <c r="AR47" s="2324"/>
      <c r="AS47" s="1329"/>
      <c r="AT47" s="1330" t="s">
        <v>795</v>
      </c>
      <c r="AU47" s="1424">
        <v>0</v>
      </c>
      <c r="AV47" s="1033">
        <f>VLOOKUP(AT47,Düngemittel!$B$6:$E$64,2,FALSE)*(VLOOKUP(AT47,Düngemittel!$B$6:$E$64,3,FALSE))/100*AU47</f>
        <v>0</v>
      </c>
      <c r="AW47" s="1033">
        <f>VLOOKUP(AT47,Düngemittel!$B$6:$E$64,2,FALSE)*AU47</f>
        <v>0</v>
      </c>
      <c r="AX47" s="1033">
        <f>VLOOKUP(AT47,Düngemittel!$B$6:$E$64,4,FALSE)*AU47</f>
        <v>0</v>
      </c>
      <c r="AY47" s="2324"/>
      <c r="AZ47" s="1329"/>
      <c r="BA47" s="1330" t="s">
        <v>795</v>
      </c>
      <c r="BB47" s="1424">
        <v>0</v>
      </c>
      <c r="BC47" s="1033">
        <f>VLOOKUP(BA47,Düngemittel!$B$6:$E$64,2,FALSE)*(VLOOKUP(BA47,Düngemittel!$B$6:$E$64,3,FALSE))/100*BB47</f>
        <v>0</v>
      </c>
      <c r="BD47" s="1033">
        <f>VLOOKUP(BA47,Düngemittel!$B$6:$E$64,2,FALSE)*BB47</f>
        <v>0</v>
      </c>
      <c r="BE47" s="1033">
        <f>VLOOKUP(BA47,Düngemittel!$B$6:$E$64,4,FALSE)*BB47</f>
        <v>0</v>
      </c>
      <c r="BF47" s="2324"/>
      <c r="BG47" s="1282">
        <f t="shared" si="27"/>
        <v>0</v>
      </c>
      <c r="BH47" s="2328">
        <f t="shared" si="28"/>
        <v>0</v>
      </c>
      <c r="BI47" s="1282">
        <f t="shared" si="29"/>
        <v>0</v>
      </c>
      <c r="BJ47" s="1138">
        <f t="shared" si="30"/>
        <v>0</v>
      </c>
      <c r="BK47" s="2328">
        <f t="shared" si="31"/>
        <v>0</v>
      </c>
      <c r="BL47" s="95"/>
      <c r="BM47" s="1135">
        <f t="shared" si="32"/>
        <v>0</v>
      </c>
      <c r="BN47" s="1135">
        <f t="shared" si="33"/>
        <v>0</v>
      </c>
      <c r="BO47" s="1135">
        <f t="shared" si="34"/>
        <v>0</v>
      </c>
      <c r="BP47" s="1135">
        <f t="shared" si="35"/>
        <v>0</v>
      </c>
      <c r="BQ47" s="1135">
        <f t="shared" si="36"/>
        <v>0</v>
      </c>
      <c r="BR47" s="2324"/>
      <c r="BS47" s="2324"/>
      <c r="BT47" s="528">
        <f t="shared" si="13"/>
        <v>0</v>
      </c>
      <c r="BU47" s="528">
        <f t="shared" si="14"/>
        <v>0</v>
      </c>
      <c r="BV47" s="148"/>
      <c r="BW47" s="735" t="s">
        <v>755</v>
      </c>
      <c r="BX47" s="735">
        <v>350</v>
      </c>
      <c r="BY47" s="735">
        <v>210</v>
      </c>
      <c r="BZ47" s="735">
        <v>0.2</v>
      </c>
      <c r="CA47" s="735">
        <v>0.3</v>
      </c>
      <c r="CB47" s="808">
        <v>90</v>
      </c>
      <c r="CC47" s="749">
        <v>0.23</v>
      </c>
      <c r="CD47" s="480">
        <f t="shared" si="38"/>
        <v>80.5</v>
      </c>
      <c r="CE47" s="1317"/>
      <c r="CF47" s="1317"/>
    </row>
    <row r="48" spans="1:84" ht="26.25" customHeight="1">
      <c r="A48" s="468">
        <v>41</v>
      </c>
      <c r="B48" s="1699">
        <v>0</v>
      </c>
      <c r="C48" s="759" t="s">
        <v>31</v>
      </c>
      <c r="D48" s="565">
        <f t="shared" si="1"/>
        <v>0</v>
      </c>
      <c r="E48" s="584">
        <f t="shared" si="2"/>
        <v>0</v>
      </c>
      <c r="F48" s="1690">
        <v>0</v>
      </c>
      <c r="G48" s="570">
        <f t="shared" si="3"/>
        <v>0</v>
      </c>
      <c r="H48" s="761" t="s">
        <v>503</v>
      </c>
      <c r="I48" s="584">
        <f t="shared" si="4"/>
        <v>0</v>
      </c>
      <c r="J48" s="587" t="s">
        <v>31</v>
      </c>
      <c r="K48" s="765">
        <f t="shared" si="5"/>
        <v>0</v>
      </c>
      <c r="L48" s="565">
        <f t="shared" si="6"/>
        <v>0</v>
      </c>
      <c r="M48" s="1693">
        <v>0</v>
      </c>
      <c r="N48" s="609" t="s">
        <v>160</v>
      </c>
      <c r="O48" s="584">
        <f t="shared" si="7"/>
        <v>0</v>
      </c>
      <c r="P48" s="1696">
        <v>0</v>
      </c>
      <c r="Q48" s="1894">
        <f t="shared" si="25"/>
        <v>0</v>
      </c>
      <c r="R48" s="2371">
        <f t="shared" si="26"/>
        <v>0</v>
      </c>
      <c r="S48" s="2367">
        <f t="shared" si="8"/>
        <v>0</v>
      </c>
      <c r="T48" s="592">
        <f t="shared" si="9"/>
        <v>0</v>
      </c>
      <c r="U48" s="1311"/>
      <c r="V48" s="1281">
        <f t="shared" si="10"/>
        <v>41</v>
      </c>
      <c r="W48" s="1281" t="str">
        <f t="shared" si="11"/>
        <v>keine</v>
      </c>
      <c r="X48" s="1329"/>
      <c r="Y48" s="1330" t="s">
        <v>795</v>
      </c>
      <c r="Z48" s="1424">
        <v>0</v>
      </c>
      <c r="AA48" s="1033">
        <f>VLOOKUP(Y48,Düngemittel!$B$6:$E$64,2,FALSE)*(VLOOKUP(Y48,Düngemittel!$B$6:$E$64,3,FALSE))/100*Z48</f>
        <v>0</v>
      </c>
      <c r="AB48" s="1033">
        <f>VLOOKUP(Y48,Düngemittel!$B$6:$E$64,2,FALSE)*Z48</f>
        <v>0</v>
      </c>
      <c r="AC48" s="1033">
        <f>VLOOKUP(Y48,Düngemittel!$B$6:$E$64,4,FALSE)*Z48</f>
        <v>0</v>
      </c>
      <c r="AD48" s="1311"/>
      <c r="AE48" s="1329"/>
      <c r="AF48" s="1330" t="s">
        <v>795</v>
      </c>
      <c r="AG48" s="1424">
        <v>0</v>
      </c>
      <c r="AH48" s="1033">
        <f>VLOOKUP(AF48,Düngemittel!$B$6:$E$64,2,FALSE)*(VLOOKUP(AF48,Düngemittel!$B$6:$E$64,3,FALSE))/100*AG48</f>
        <v>0</v>
      </c>
      <c r="AI48" s="1033">
        <f>VLOOKUP(AF48,Düngemittel!$B$6:$E$64,2,FALSE)*AG48</f>
        <v>0</v>
      </c>
      <c r="AJ48" s="1033">
        <f>VLOOKUP(AF48,Düngemittel!$B$6:$E$64,4,FALSE)*AG48</f>
        <v>0</v>
      </c>
      <c r="AK48" s="1311"/>
      <c r="AL48" s="1329"/>
      <c r="AM48" s="1330" t="s">
        <v>795</v>
      </c>
      <c r="AN48" s="1424">
        <v>0</v>
      </c>
      <c r="AO48" s="1033">
        <f>VLOOKUP(AM48,Düngemittel!$B$6:$E$64,2,FALSE)*(VLOOKUP(AM48,Düngemittel!$B$6:$E$64,3,FALSE))/100*AN48</f>
        <v>0</v>
      </c>
      <c r="AP48" s="1033">
        <f>VLOOKUP(AM48,Düngemittel!$B$6:$E$64,2,FALSE)*AN48</f>
        <v>0</v>
      </c>
      <c r="AQ48" s="1033">
        <f>VLOOKUP(AM48,Düngemittel!$B$6:$E$64,4,FALSE)*AN48</f>
        <v>0</v>
      </c>
      <c r="AR48" s="1311"/>
      <c r="AS48" s="1329"/>
      <c r="AT48" s="1330" t="s">
        <v>795</v>
      </c>
      <c r="AU48" s="1424">
        <v>0</v>
      </c>
      <c r="AV48" s="1033">
        <f>VLOOKUP(AT48,Düngemittel!$B$6:$E$64,2,FALSE)*(VLOOKUP(AT48,Düngemittel!$B$6:$E$64,3,FALSE))/100*AU48</f>
        <v>0</v>
      </c>
      <c r="AW48" s="1033">
        <f>VLOOKUP(AT48,Düngemittel!$B$6:$E$64,2,FALSE)*AU48</f>
        <v>0</v>
      </c>
      <c r="AX48" s="1033">
        <f>VLOOKUP(AT48,Düngemittel!$B$6:$E$64,4,FALSE)*AU48</f>
        <v>0</v>
      </c>
      <c r="AY48" s="1311"/>
      <c r="AZ48" s="1329"/>
      <c r="BA48" s="1330" t="s">
        <v>795</v>
      </c>
      <c r="BB48" s="1424">
        <v>0</v>
      </c>
      <c r="BC48" s="1033">
        <f>VLOOKUP(BA48,Düngemittel!$B$6:$E$64,2,FALSE)*(VLOOKUP(BA48,Düngemittel!$B$6:$E$64,3,FALSE))/100*BB48</f>
        <v>0</v>
      </c>
      <c r="BD48" s="1033">
        <f>VLOOKUP(BA48,Düngemittel!$B$6:$E$64,2,FALSE)*BB48</f>
        <v>0</v>
      </c>
      <c r="BE48" s="1033">
        <f>VLOOKUP(BA48,Düngemittel!$B$6:$E$64,4,FALSE)*BB48</f>
        <v>0</v>
      </c>
      <c r="BF48" s="1311"/>
      <c r="BG48" s="1282">
        <f t="shared" si="15"/>
        <v>0</v>
      </c>
      <c r="BH48" s="1322">
        <f t="shared" si="16"/>
        <v>0</v>
      </c>
      <c r="BI48" s="1282">
        <f t="shared" si="17"/>
        <v>0</v>
      </c>
      <c r="BJ48" s="1138">
        <f t="shared" si="18"/>
        <v>0</v>
      </c>
      <c r="BK48" s="1322">
        <f t="shared" si="19"/>
        <v>0</v>
      </c>
      <c r="BL48" s="95"/>
      <c r="BM48" s="1135">
        <f t="shared" si="20"/>
        <v>0</v>
      </c>
      <c r="BN48" s="1135">
        <f t="shared" si="21"/>
        <v>0</v>
      </c>
      <c r="BO48" s="1135">
        <f t="shared" si="22"/>
        <v>0</v>
      </c>
      <c r="BP48" s="1135">
        <f t="shared" si="23"/>
        <v>0</v>
      </c>
      <c r="BQ48" s="1135">
        <f t="shared" si="24"/>
        <v>0</v>
      </c>
      <c r="BR48" s="1311"/>
      <c r="BS48" s="1311"/>
      <c r="BT48" s="528">
        <f t="shared" si="13"/>
        <v>0</v>
      </c>
      <c r="BU48" s="528">
        <f t="shared" si="14"/>
        <v>0</v>
      </c>
      <c r="BW48" s="735" t="s">
        <v>757</v>
      </c>
      <c r="BX48" s="735">
        <v>350</v>
      </c>
      <c r="BY48" s="735">
        <v>180</v>
      </c>
      <c r="BZ48" s="735">
        <v>0.2</v>
      </c>
      <c r="CA48" s="735">
        <v>0.3</v>
      </c>
      <c r="CB48" s="808">
        <v>90</v>
      </c>
      <c r="CC48" s="749">
        <v>0.23</v>
      </c>
      <c r="CD48" s="480">
        <f t="shared" si="38"/>
        <v>80.5</v>
      </c>
    </row>
    <row r="49" spans="1:85" ht="26.25" customHeight="1">
      <c r="A49" s="468">
        <v>42</v>
      </c>
      <c r="B49" s="1699">
        <v>0</v>
      </c>
      <c r="C49" s="759" t="s">
        <v>31</v>
      </c>
      <c r="D49" s="565">
        <f t="shared" si="1"/>
        <v>0</v>
      </c>
      <c r="E49" s="584">
        <f t="shared" si="2"/>
        <v>0</v>
      </c>
      <c r="F49" s="1690">
        <v>0</v>
      </c>
      <c r="G49" s="570">
        <f t="shared" si="3"/>
        <v>0</v>
      </c>
      <c r="H49" s="761" t="s">
        <v>503</v>
      </c>
      <c r="I49" s="584">
        <f t="shared" si="4"/>
        <v>0</v>
      </c>
      <c r="J49" s="587" t="s">
        <v>31</v>
      </c>
      <c r="K49" s="765">
        <f t="shared" si="5"/>
        <v>0</v>
      </c>
      <c r="L49" s="565">
        <f t="shared" si="6"/>
        <v>0</v>
      </c>
      <c r="M49" s="1693">
        <v>0</v>
      </c>
      <c r="N49" s="609" t="s">
        <v>160</v>
      </c>
      <c r="O49" s="584">
        <f t="shared" si="7"/>
        <v>0</v>
      </c>
      <c r="P49" s="1696">
        <v>0</v>
      </c>
      <c r="Q49" s="1894">
        <f t="shared" si="25"/>
        <v>0</v>
      </c>
      <c r="R49" s="2371">
        <f t="shared" si="26"/>
        <v>0</v>
      </c>
      <c r="S49" s="2367">
        <f t="shared" si="8"/>
        <v>0</v>
      </c>
      <c r="T49" s="592">
        <f t="shared" si="9"/>
        <v>0</v>
      </c>
      <c r="U49" s="142"/>
      <c r="V49" s="1281">
        <f t="shared" si="10"/>
        <v>42</v>
      </c>
      <c r="W49" s="1281" t="str">
        <f t="shared" si="11"/>
        <v>keine</v>
      </c>
      <c r="X49" s="1329"/>
      <c r="Y49" s="1330" t="s">
        <v>795</v>
      </c>
      <c r="Z49" s="1424">
        <v>0</v>
      </c>
      <c r="AA49" s="1033">
        <f>VLOOKUP(Y49,Düngemittel!$B$6:$E$64,2,FALSE)*(VLOOKUP(Y49,Düngemittel!$B$6:$E$64,3,FALSE))/100*Z49</f>
        <v>0</v>
      </c>
      <c r="AB49" s="1033">
        <f>VLOOKUP(Y49,Düngemittel!$B$6:$E$64,2,FALSE)*Z49</f>
        <v>0</v>
      </c>
      <c r="AC49" s="1033">
        <f>VLOOKUP(Y49,Düngemittel!$B$6:$E$64,4,FALSE)*Z49</f>
        <v>0</v>
      </c>
      <c r="AD49" s="142"/>
      <c r="AE49" s="1329"/>
      <c r="AF49" s="1330" t="s">
        <v>795</v>
      </c>
      <c r="AG49" s="1424">
        <v>0</v>
      </c>
      <c r="AH49" s="1033">
        <f>VLOOKUP(AF49,Düngemittel!$B$6:$E$64,2,FALSE)*(VLOOKUP(AF49,Düngemittel!$B$6:$E$64,3,FALSE))/100*AG49</f>
        <v>0</v>
      </c>
      <c r="AI49" s="1033">
        <f>VLOOKUP(AF49,Düngemittel!$B$6:$E$64,2,FALSE)*AG49</f>
        <v>0</v>
      </c>
      <c r="AJ49" s="1033">
        <f>VLOOKUP(AF49,Düngemittel!$B$6:$E$64,4,FALSE)*AG49</f>
        <v>0</v>
      </c>
      <c r="AK49" s="142"/>
      <c r="AL49" s="1329"/>
      <c r="AM49" s="1330" t="s">
        <v>795</v>
      </c>
      <c r="AN49" s="1424">
        <v>0</v>
      </c>
      <c r="AO49" s="1033">
        <f>VLOOKUP(AM49,Düngemittel!$B$6:$E$64,2,FALSE)*(VLOOKUP(AM49,Düngemittel!$B$6:$E$64,3,FALSE))/100*AN49</f>
        <v>0</v>
      </c>
      <c r="AP49" s="1033">
        <f>VLOOKUP(AM49,Düngemittel!$B$6:$E$64,2,FALSE)*AN49</f>
        <v>0</v>
      </c>
      <c r="AQ49" s="1033">
        <f>VLOOKUP(AM49,Düngemittel!$B$6:$E$64,4,FALSE)*AN49</f>
        <v>0</v>
      </c>
      <c r="AR49" s="142"/>
      <c r="AS49" s="1329"/>
      <c r="AT49" s="1330" t="s">
        <v>795</v>
      </c>
      <c r="AU49" s="1424">
        <v>0</v>
      </c>
      <c r="AV49" s="1033">
        <f>VLOOKUP(AT49,Düngemittel!$B$6:$E$64,2,FALSE)*(VLOOKUP(AT49,Düngemittel!$B$6:$E$64,3,FALSE))/100*AU49</f>
        <v>0</v>
      </c>
      <c r="AW49" s="1033">
        <f>VLOOKUP(AT49,Düngemittel!$B$6:$E$64,2,FALSE)*AU49</f>
        <v>0</v>
      </c>
      <c r="AX49" s="1033">
        <f>VLOOKUP(AT49,Düngemittel!$B$6:$E$64,4,FALSE)*AU49</f>
        <v>0</v>
      </c>
      <c r="AY49" s="142"/>
      <c r="AZ49" s="1329"/>
      <c r="BA49" s="1330" t="s">
        <v>795</v>
      </c>
      <c r="BB49" s="1424">
        <v>0</v>
      </c>
      <c r="BC49" s="1033">
        <f>VLOOKUP(BA49,Düngemittel!$B$6:$E$64,2,FALSE)*(VLOOKUP(BA49,Düngemittel!$B$6:$E$64,3,FALSE))/100*BB49</f>
        <v>0</v>
      </c>
      <c r="BD49" s="1033">
        <f>VLOOKUP(BA49,Düngemittel!$B$6:$E$64,2,FALSE)*BB49</f>
        <v>0</v>
      </c>
      <c r="BE49" s="1033">
        <f>VLOOKUP(BA49,Düngemittel!$B$6:$E$64,4,FALSE)*BB49</f>
        <v>0</v>
      </c>
      <c r="BF49" s="142"/>
      <c r="BG49" s="1282">
        <f t="shared" si="15"/>
        <v>0</v>
      </c>
      <c r="BH49" s="1322">
        <f t="shared" si="16"/>
        <v>0</v>
      </c>
      <c r="BI49" s="1282">
        <f t="shared" si="17"/>
        <v>0</v>
      </c>
      <c r="BJ49" s="1138">
        <f t="shared" si="18"/>
        <v>0</v>
      </c>
      <c r="BK49" s="1322">
        <f t="shared" si="19"/>
        <v>0</v>
      </c>
      <c r="BL49" s="95"/>
      <c r="BM49" s="1135">
        <f t="shared" si="20"/>
        <v>0</v>
      </c>
      <c r="BN49" s="1135">
        <f t="shared" si="21"/>
        <v>0</v>
      </c>
      <c r="BO49" s="1135">
        <f t="shared" si="22"/>
        <v>0</v>
      </c>
      <c r="BP49" s="1135">
        <f t="shared" si="23"/>
        <v>0</v>
      </c>
      <c r="BQ49" s="1135">
        <f t="shared" si="24"/>
        <v>0</v>
      </c>
      <c r="BR49" s="1311"/>
      <c r="BS49" s="142"/>
      <c r="BT49" s="528">
        <f t="shared" si="13"/>
        <v>0</v>
      </c>
      <c r="BU49" s="528">
        <f t="shared" si="14"/>
        <v>0</v>
      </c>
      <c r="BW49" s="786" t="s">
        <v>716</v>
      </c>
      <c r="BX49" s="786">
        <v>350</v>
      </c>
      <c r="BY49" s="786">
        <v>140</v>
      </c>
      <c r="BZ49" s="786">
        <v>0.15</v>
      </c>
      <c r="CA49" s="786">
        <v>0.23</v>
      </c>
      <c r="CB49" s="808">
        <v>90</v>
      </c>
      <c r="CC49" s="749">
        <v>0.23</v>
      </c>
      <c r="CD49" s="480">
        <f t="shared" si="38"/>
        <v>80.5</v>
      </c>
    </row>
    <row r="50" spans="1:85" ht="20.25" customHeight="1">
      <c r="A50" s="468">
        <v>43</v>
      </c>
      <c r="B50" s="1699">
        <v>0</v>
      </c>
      <c r="C50" s="759" t="s">
        <v>31</v>
      </c>
      <c r="D50" s="565">
        <f t="shared" si="1"/>
        <v>0</v>
      </c>
      <c r="E50" s="584">
        <f t="shared" si="2"/>
        <v>0</v>
      </c>
      <c r="F50" s="1690">
        <v>0</v>
      </c>
      <c r="G50" s="570">
        <f t="shared" si="3"/>
        <v>0</v>
      </c>
      <c r="H50" s="761" t="s">
        <v>503</v>
      </c>
      <c r="I50" s="584">
        <f t="shared" si="4"/>
        <v>0</v>
      </c>
      <c r="J50" s="587" t="s">
        <v>31</v>
      </c>
      <c r="K50" s="765">
        <f t="shared" si="5"/>
        <v>0</v>
      </c>
      <c r="L50" s="565">
        <f t="shared" si="6"/>
        <v>0</v>
      </c>
      <c r="M50" s="1693">
        <v>0</v>
      </c>
      <c r="N50" s="609" t="s">
        <v>160</v>
      </c>
      <c r="O50" s="584">
        <f t="shared" si="7"/>
        <v>0</v>
      </c>
      <c r="P50" s="1696">
        <v>0</v>
      </c>
      <c r="Q50" s="1894">
        <f t="shared" si="25"/>
        <v>0</v>
      </c>
      <c r="R50" s="2371">
        <f t="shared" si="26"/>
        <v>0</v>
      </c>
      <c r="S50" s="2367">
        <f t="shared" si="8"/>
        <v>0</v>
      </c>
      <c r="T50" s="592">
        <f t="shared" si="9"/>
        <v>0</v>
      </c>
      <c r="U50" s="1311"/>
      <c r="V50" s="1281">
        <f t="shared" si="10"/>
        <v>43</v>
      </c>
      <c r="W50" s="1281" t="str">
        <f t="shared" si="11"/>
        <v>keine</v>
      </c>
      <c r="X50" s="1329"/>
      <c r="Y50" s="1330" t="s">
        <v>795</v>
      </c>
      <c r="Z50" s="1424">
        <v>0</v>
      </c>
      <c r="AA50" s="1033">
        <f>VLOOKUP(Y50,Düngemittel!$B$6:$E$64,2,FALSE)*(VLOOKUP(Y50,Düngemittel!$B$6:$E$64,3,FALSE))/100*Z50</f>
        <v>0</v>
      </c>
      <c r="AB50" s="1033">
        <f>VLOOKUP(Y50,Düngemittel!$B$6:$E$64,2,FALSE)*Z50</f>
        <v>0</v>
      </c>
      <c r="AC50" s="1033">
        <f>VLOOKUP(Y50,Düngemittel!$B$6:$E$64,4,FALSE)*Z50</f>
        <v>0</v>
      </c>
      <c r="AD50" s="1311"/>
      <c r="AE50" s="1329"/>
      <c r="AF50" s="1330" t="s">
        <v>795</v>
      </c>
      <c r="AG50" s="1424">
        <v>0</v>
      </c>
      <c r="AH50" s="1033">
        <f>VLOOKUP(AF50,Düngemittel!$B$6:$E$64,2,FALSE)*(VLOOKUP(AF50,Düngemittel!$B$6:$E$64,3,FALSE))/100*AG50</f>
        <v>0</v>
      </c>
      <c r="AI50" s="1033">
        <f>VLOOKUP(AF50,Düngemittel!$B$6:$E$64,2,FALSE)*AG50</f>
        <v>0</v>
      </c>
      <c r="AJ50" s="1033">
        <f>VLOOKUP(AF50,Düngemittel!$B$6:$E$64,4,FALSE)*AG50</f>
        <v>0</v>
      </c>
      <c r="AK50" s="1311"/>
      <c r="AL50" s="1329"/>
      <c r="AM50" s="1330" t="s">
        <v>795</v>
      </c>
      <c r="AN50" s="1424">
        <v>0</v>
      </c>
      <c r="AO50" s="1033">
        <f>VLOOKUP(AM50,Düngemittel!$B$6:$E$64,2,FALSE)*(VLOOKUP(AM50,Düngemittel!$B$6:$E$64,3,FALSE))/100*AN50</f>
        <v>0</v>
      </c>
      <c r="AP50" s="1033">
        <f>VLOOKUP(AM50,Düngemittel!$B$6:$E$64,2,FALSE)*AN50</f>
        <v>0</v>
      </c>
      <c r="AQ50" s="1033">
        <f>VLOOKUP(AM50,Düngemittel!$B$6:$E$64,4,FALSE)*AN50</f>
        <v>0</v>
      </c>
      <c r="AR50" s="1311"/>
      <c r="AS50" s="1329"/>
      <c r="AT50" s="1330" t="s">
        <v>795</v>
      </c>
      <c r="AU50" s="1424">
        <v>0</v>
      </c>
      <c r="AV50" s="1033">
        <f>VLOOKUP(AT50,Düngemittel!$B$6:$E$64,2,FALSE)*(VLOOKUP(AT50,Düngemittel!$B$6:$E$64,3,FALSE))/100*AU50</f>
        <v>0</v>
      </c>
      <c r="AW50" s="1033">
        <f>VLOOKUP(AT50,Düngemittel!$B$6:$E$64,2,FALSE)*AU50</f>
        <v>0</v>
      </c>
      <c r="AX50" s="1033">
        <f>VLOOKUP(AT50,Düngemittel!$B$6:$E$64,4,FALSE)*AU50</f>
        <v>0</v>
      </c>
      <c r="AY50" s="1311"/>
      <c r="AZ50" s="1329"/>
      <c r="BA50" s="1330" t="s">
        <v>795</v>
      </c>
      <c r="BB50" s="1424">
        <v>0</v>
      </c>
      <c r="BC50" s="1033">
        <f>VLOOKUP(BA50,Düngemittel!$B$6:$E$64,2,FALSE)*(VLOOKUP(BA50,Düngemittel!$B$6:$E$64,3,FALSE))/100*BB50</f>
        <v>0</v>
      </c>
      <c r="BD50" s="1033">
        <f>VLOOKUP(BA50,Düngemittel!$B$6:$E$64,2,FALSE)*BB50</f>
        <v>0</v>
      </c>
      <c r="BE50" s="1033">
        <f>VLOOKUP(BA50,Düngemittel!$B$6:$E$64,4,FALSE)*BB50</f>
        <v>0</v>
      </c>
      <c r="BF50" s="1311"/>
      <c r="BG50" s="1282">
        <f t="shared" si="15"/>
        <v>0</v>
      </c>
      <c r="BH50" s="1322">
        <f t="shared" si="16"/>
        <v>0</v>
      </c>
      <c r="BI50" s="1282">
        <f t="shared" si="17"/>
        <v>0</v>
      </c>
      <c r="BJ50" s="1138">
        <f t="shared" si="18"/>
        <v>0</v>
      </c>
      <c r="BK50" s="1322">
        <f t="shared" si="19"/>
        <v>0</v>
      </c>
      <c r="BL50" s="95"/>
      <c r="BM50" s="1135">
        <f t="shared" si="20"/>
        <v>0</v>
      </c>
      <c r="BN50" s="1135">
        <f t="shared" si="21"/>
        <v>0</v>
      </c>
      <c r="BO50" s="1135">
        <f t="shared" si="22"/>
        <v>0</v>
      </c>
      <c r="BP50" s="1135">
        <f t="shared" si="23"/>
        <v>0</v>
      </c>
      <c r="BQ50" s="1135">
        <f t="shared" si="24"/>
        <v>0</v>
      </c>
      <c r="BR50" s="1311"/>
      <c r="BS50" s="1311"/>
      <c r="BT50" s="528">
        <f t="shared" si="13"/>
        <v>0</v>
      </c>
      <c r="BU50" s="528">
        <f t="shared" si="14"/>
        <v>0</v>
      </c>
      <c r="BV50" s="131"/>
      <c r="BW50" s="786" t="s">
        <v>731</v>
      </c>
      <c r="BX50" s="786">
        <v>350</v>
      </c>
      <c r="BY50" s="786">
        <v>100</v>
      </c>
      <c r="BZ50" s="786">
        <v>0.1</v>
      </c>
      <c r="CA50" s="786">
        <v>0.15</v>
      </c>
      <c r="CB50" s="808">
        <v>90</v>
      </c>
      <c r="CC50" s="749">
        <v>0.23</v>
      </c>
      <c r="CD50" s="480">
        <f t="shared" si="38"/>
        <v>80.5</v>
      </c>
    </row>
    <row r="51" spans="1:85" ht="21" customHeight="1">
      <c r="A51" s="468">
        <v>44</v>
      </c>
      <c r="B51" s="1699">
        <v>0</v>
      </c>
      <c r="C51" s="759" t="s">
        <v>31</v>
      </c>
      <c r="D51" s="565">
        <f t="shared" si="1"/>
        <v>0</v>
      </c>
      <c r="E51" s="584">
        <f t="shared" si="2"/>
        <v>0</v>
      </c>
      <c r="F51" s="1690">
        <v>0</v>
      </c>
      <c r="G51" s="570">
        <f t="shared" si="3"/>
        <v>0</v>
      </c>
      <c r="H51" s="761" t="s">
        <v>503</v>
      </c>
      <c r="I51" s="584">
        <f t="shared" si="4"/>
        <v>0</v>
      </c>
      <c r="J51" s="587" t="s">
        <v>31</v>
      </c>
      <c r="K51" s="765">
        <f t="shared" si="5"/>
        <v>0</v>
      </c>
      <c r="L51" s="565">
        <f t="shared" si="6"/>
        <v>0</v>
      </c>
      <c r="M51" s="1693">
        <v>0</v>
      </c>
      <c r="N51" s="609" t="s">
        <v>160</v>
      </c>
      <c r="O51" s="584">
        <f t="shared" si="7"/>
        <v>0</v>
      </c>
      <c r="P51" s="1696">
        <v>0</v>
      </c>
      <c r="Q51" s="1894">
        <f t="shared" si="25"/>
        <v>0</v>
      </c>
      <c r="R51" s="2371">
        <f t="shared" si="26"/>
        <v>0</v>
      </c>
      <c r="S51" s="2367">
        <f t="shared" si="8"/>
        <v>0</v>
      </c>
      <c r="T51" s="592">
        <f t="shared" si="9"/>
        <v>0</v>
      </c>
      <c r="U51" s="1311"/>
      <c r="V51" s="1281">
        <f t="shared" si="10"/>
        <v>44</v>
      </c>
      <c r="W51" s="1281" t="str">
        <f t="shared" si="11"/>
        <v>keine</v>
      </c>
      <c r="X51" s="1329"/>
      <c r="Y51" s="1330" t="s">
        <v>795</v>
      </c>
      <c r="Z51" s="1424">
        <v>0</v>
      </c>
      <c r="AA51" s="1033">
        <f>VLOOKUP(Y51,Düngemittel!$B$6:$E$64,2,FALSE)*(VLOOKUP(Y51,Düngemittel!$B$6:$E$64,3,FALSE))/100*Z51</f>
        <v>0</v>
      </c>
      <c r="AB51" s="1033">
        <f>VLOOKUP(Y51,Düngemittel!$B$6:$E$64,2,FALSE)*Z51</f>
        <v>0</v>
      </c>
      <c r="AC51" s="1033">
        <f>VLOOKUP(Y51,Düngemittel!$B$6:$E$64,4,FALSE)*Z51</f>
        <v>0</v>
      </c>
      <c r="AD51" s="1311"/>
      <c r="AE51" s="1329"/>
      <c r="AF51" s="1330" t="s">
        <v>795</v>
      </c>
      <c r="AG51" s="1424">
        <v>0</v>
      </c>
      <c r="AH51" s="1033">
        <f>VLOOKUP(AF51,Düngemittel!$B$6:$E$64,2,FALSE)*(VLOOKUP(AF51,Düngemittel!$B$6:$E$64,3,FALSE))/100*AG51</f>
        <v>0</v>
      </c>
      <c r="AI51" s="1033">
        <f>VLOOKUP(AF51,Düngemittel!$B$6:$E$64,2,FALSE)*AG51</f>
        <v>0</v>
      </c>
      <c r="AJ51" s="1033">
        <f>VLOOKUP(AF51,Düngemittel!$B$6:$E$64,4,FALSE)*AG51</f>
        <v>0</v>
      </c>
      <c r="AK51" s="1311"/>
      <c r="AL51" s="1329"/>
      <c r="AM51" s="1330" t="s">
        <v>795</v>
      </c>
      <c r="AN51" s="1424">
        <v>0</v>
      </c>
      <c r="AO51" s="1033">
        <f>VLOOKUP(AM51,Düngemittel!$B$6:$E$64,2,FALSE)*(VLOOKUP(AM51,Düngemittel!$B$6:$E$64,3,FALSE))/100*AN51</f>
        <v>0</v>
      </c>
      <c r="AP51" s="1033">
        <f>VLOOKUP(AM51,Düngemittel!$B$6:$E$64,2,FALSE)*AN51</f>
        <v>0</v>
      </c>
      <c r="AQ51" s="1033">
        <f>VLOOKUP(AM51,Düngemittel!$B$6:$E$64,4,FALSE)*AN51</f>
        <v>0</v>
      </c>
      <c r="AR51" s="1311"/>
      <c r="AS51" s="1329"/>
      <c r="AT51" s="1330" t="s">
        <v>795</v>
      </c>
      <c r="AU51" s="1424">
        <v>0</v>
      </c>
      <c r="AV51" s="1033">
        <f>VLOOKUP(AT51,Düngemittel!$B$6:$E$64,2,FALSE)*(VLOOKUP(AT51,Düngemittel!$B$6:$E$64,3,FALSE))/100*AU51</f>
        <v>0</v>
      </c>
      <c r="AW51" s="1033">
        <f>VLOOKUP(AT51,Düngemittel!$B$6:$E$64,2,FALSE)*AU51</f>
        <v>0</v>
      </c>
      <c r="AX51" s="1033">
        <f>VLOOKUP(AT51,Düngemittel!$B$6:$E$64,4,FALSE)*AU51</f>
        <v>0</v>
      </c>
      <c r="AY51" s="1311"/>
      <c r="AZ51" s="1329"/>
      <c r="BA51" s="1330" t="s">
        <v>795</v>
      </c>
      <c r="BB51" s="1424">
        <v>0</v>
      </c>
      <c r="BC51" s="1033">
        <f>VLOOKUP(BA51,Düngemittel!$B$6:$E$64,2,FALSE)*(VLOOKUP(BA51,Düngemittel!$B$6:$E$64,3,FALSE))/100*BB51</f>
        <v>0</v>
      </c>
      <c r="BD51" s="1033">
        <f>VLOOKUP(BA51,Düngemittel!$B$6:$E$64,2,FALSE)*BB51</f>
        <v>0</v>
      </c>
      <c r="BE51" s="1033">
        <f>VLOOKUP(BA51,Düngemittel!$B$6:$E$64,4,FALSE)*BB51</f>
        <v>0</v>
      </c>
      <c r="BF51" s="1311"/>
      <c r="BG51" s="1282">
        <f t="shared" si="15"/>
        <v>0</v>
      </c>
      <c r="BH51" s="1322">
        <f t="shared" si="16"/>
        <v>0</v>
      </c>
      <c r="BI51" s="1282">
        <f t="shared" si="17"/>
        <v>0</v>
      </c>
      <c r="BJ51" s="1138">
        <f t="shared" si="18"/>
        <v>0</v>
      </c>
      <c r="BK51" s="1322">
        <f t="shared" si="19"/>
        <v>0</v>
      </c>
      <c r="BL51" s="95"/>
      <c r="BM51" s="1135">
        <f t="shared" si="20"/>
        <v>0</v>
      </c>
      <c r="BN51" s="1135">
        <f t="shared" si="21"/>
        <v>0</v>
      </c>
      <c r="BO51" s="1135">
        <f t="shared" si="22"/>
        <v>0</v>
      </c>
      <c r="BP51" s="1135">
        <f t="shared" si="23"/>
        <v>0</v>
      </c>
      <c r="BQ51" s="1135">
        <f t="shared" si="24"/>
        <v>0</v>
      </c>
      <c r="BR51" s="1311"/>
      <c r="BS51" s="1311"/>
      <c r="BT51" s="528">
        <f t="shared" si="13"/>
        <v>0</v>
      </c>
      <c r="BU51" s="528">
        <f t="shared" si="14"/>
        <v>0</v>
      </c>
      <c r="BV51" s="131"/>
      <c r="BW51" s="279" t="s">
        <v>694</v>
      </c>
      <c r="BX51" s="279">
        <v>40</v>
      </c>
      <c r="BY51" s="279">
        <v>200</v>
      </c>
      <c r="BZ51" s="279">
        <v>2</v>
      </c>
      <c r="CA51" s="279">
        <v>3</v>
      </c>
      <c r="CB51" s="808">
        <v>90</v>
      </c>
      <c r="CC51" s="749">
        <v>1.8</v>
      </c>
      <c r="CD51" s="480">
        <f t="shared" si="38"/>
        <v>72</v>
      </c>
    </row>
    <row r="52" spans="1:85" ht="25.5" customHeight="1" thickBot="1">
      <c r="A52" s="468">
        <v>45</v>
      </c>
      <c r="B52" s="1700">
        <v>0</v>
      </c>
      <c r="C52" s="1197" t="s">
        <v>31</v>
      </c>
      <c r="D52" s="567">
        <f>VLOOKUP(C52,BW$3:CA$56,2,FALSE)</f>
        <v>0</v>
      </c>
      <c r="E52" s="760">
        <f t="shared" si="2"/>
        <v>0</v>
      </c>
      <c r="F52" s="1691">
        <v>0</v>
      </c>
      <c r="G52" s="571">
        <f t="shared" si="3"/>
        <v>0</v>
      </c>
      <c r="H52" s="762" t="s">
        <v>503</v>
      </c>
      <c r="I52" s="585">
        <f t="shared" si="4"/>
        <v>0</v>
      </c>
      <c r="J52" s="588" t="s">
        <v>31</v>
      </c>
      <c r="K52" s="766">
        <f t="shared" si="5"/>
        <v>0</v>
      </c>
      <c r="L52" s="567">
        <f t="shared" si="6"/>
        <v>0</v>
      </c>
      <c r="M52" s="1694">
        <v>0</v>
      </c>
      <c r="N52" s="613" t="s">
        <v>160</v>
      </c>
      <c r="O52" s="585">
        <f t="shared" si="7"/>
        <v>0</v>
      </c>
      <c r="P52" s="1697">
        <v>0</v>
      </c>
      <c r="Q52" s="2372">
        <f>IF(G52-M52-P52-O52-I52-K52&lt;0,0,G52-M52-P52-O52-I52-K52)</f>
        <v>0</v>
      </c>
      <c r="R52" s="640">
        <f>IF(Q52&lt;0,0,Q52*B52)</f>
        <v>0</v>
      </c>
      <c r="S52" s="2368">
        <f>F52*VLOOKUP(C52,BW$3:CC$56,7,FALSE)</f>
        <v>0</v>
      </c>
      <c r="T52" s="640">
        <f t="shared" si="9"/>
        <v>0</v>
      </c>
      <c r="U52" s="1311"/>
      <c r="V52" s="1281">
        <f t="shared" si="10"/>
        <v>45</v>
      </c>
      <c r="W52" s="1281" t="str">
        <f t="shared" si="11"/>
        <v>keine</v>
      </c>
      <c r="X52" s="1329"/>
      <c r="Y52" s="1330" t="s">
        <v>795</v>
      </c>
      <c r="Z52" s="1424">
        <v>0</v>
      </c>
      <c r="AA52" s="1033">
        <f>VLOOKUP(Y52,Düngemittel!$B$6:$E$64,2,FALSE)*(VLOOKUP(Y52,Düngemittel!$B$6:$E$64,3,FALSE))/100*Z52</f>
        <v>0</v>
      </c>
      <c r="AB52" s="1033">
        <f>VLOOKUP(Y52,Düngemittel!$B$6:$E$64,2,FALSE)*Z52</f>
        <v>0</v>
      </c>
      <c r="AC52" s="1033">
        <f>VLOOKUP(Y52,Düngemittel!$B$6:$E$64,4,FALSE)*Z52</f>
        <v>0</v>
      </c>
      <c r="AD52" s="1311"/>
      <c r="AE52" s="1329"/>
      <c r="AF52" s="1330" t="s">
        <v>795</v>
      </c>
      <c r="AG52" s="1424">
        <v>0</v>
      </c>
      <c r="AH52" s="1033">
        <f>VLOOKUP(AF52,Düngemittel!$B$6:$E$64,2,FALSE)*(VLOOKUP(AF52,Düngemittel!$B$6:$E$64,3,FALSE))/100*AG52</f>
        <v>0</v>
      </c>
      <c r="AI52" s="1033">
        <f>VLOOKUP(AF52,Düngemittel!$B$6:$E$64,2,FALSE)*AG52</f>
        <v>0</v>
      </c>
      <c r="AJ52" s="1033">
        <f>VLOOKUP(AF52,Düngemittel!$B$6:$E$64,4,FALSE)*AG52</f>
        <v>0</v>
      </c>
      <c r="AK52" s="1311"/>
      <c r="AL52" s="1329"/>
      <c r="AM52" s="1330" t="s">
        <v>795</v>
      </c>
      <c r="AN52" s="1424">
        <v>0</v>
      </c>
      <c r="AO52" s="1033">
        <f>VLOOKUP(AM52,Düngemittel!$B$6:$E$64,2,FALSE)*(VLOOKUP(AM52,Düngemittel!$B$6:$E$64,3,FALSE))/100*AN52</f>
        <v>0</v>
      </c>
      <c r="AP52" s="1033">
        <f>VLOOKUP(AM52,Düngemittel!$B$6:$E$64,2,FALSE)*AN52</f>
        <v>0</v>
      </c>
      <c r="AQ52" s="1033">
        <f>VLOOKUP(AM52,Düngemittel!$B$6:$E$64,4,FALSE)*AN52</f>
        <v>0</v>
      </c>
      <c r="AR52" s="1311"/>
      <c r="AS52" s="1329"/>
      <c r="AT52" s="1330" t="s">
        <v>795</v>
      </c>
      <c r="AU52" s="1424">
        <v>0</v>
      </c>
      <c r="AV52" s="1033">
        <f>VLOOKUP(AT52,Düngemittel!$B$6:$E$64,2,FALSE)*(VLOOKUP(AT52,Düngemittel!$B$6:$E$64,3,FALSE))/100*AU52</f>
        <v>0</v>
      </c>
      <c r="AW52" s="1033">
        <f>VLOOKUP(AT52,Düngemittel!$B$6:$E$64,2,FALSE)*AU52</f>
        <v>0</v>
      </c>
      <c r="AX52" s="1033">
        <f>VLOOKUP(AT52,Düngemittel!$B$6:$E$64,4,FALSE)*AU52</f>
        <v>0</v>
      </c>
      <c r="AY52" s="1311"/>
      <c r="AZ52" s="1329"/>
      <c r="BA52" s="1330" t="s">
        <v>795</v>
      </c>
      <c r="BB52" s="1424">
        <v>0</v>
      </c>
      <c r="BC52" s="1033">
        <f>VLOOKUP(BA52,Düngemittel!$B$6:$E$64,2,FALSE)*(VLOOKUP(BA52,Düngemittel!$B$6:$E$64,3,FALSE))/100*BB52</f>
        <v>0</v>
      </c>
      <c r="BD52" s="1033">
        <f>VLOOKUP(BA52,Düngemittel!$B$6:$E$64,2,FALSE)*BB52</f>
        <v>0</v>
      </c>
      <c r="BE52" s="1033">
        <f>VLOOKUP(BA52,Düngemittel!$B$6:$E$64,4,FALSE)*BB52</f>
        <v>0</v>
      </c>
      <c r="BF52" s="1311"/>
      <c r="BG52" s="1282">
        <f t="shared" si="15"/>
        <v>0</v>
      </c>
      <c r="BH52" s="1322">
        <f t="shared" si="16"/>
        <v>0</v>
      </c>
      <c r="BI52" s="1282">
        <f t="shared" si="17"/>
        <v>0</v>
      </c>
      <c r="BJ52" s="1138">
        <f t="shared" si="18"/>
        <v>0</v>
      </c>
      <c r="BK52" s="1322">
        <f t="shared" si="19"/>
        <v>0</v>
      </c>
      <c r="BL52" s="95"/>
      <c r="BM52" s="1135">
        <f t="shared" si="20"/>
        <v>0</v>
      </c>
      <c r="BN52" s="1135">
        <f t="shared" si="21"/>
        <v>0</v>
      </c>
      <c r="BO52" s="1135">
        <f t="shared" si="22"/>
        <v>0</v>
      </c>
      <c r="BP52" s="1135">
        <f t="shared" si="23"/>
        <v>0</v>
      </c>
      <c r="BQ52" s="1135">
        <f t="shared" si="24"/>
        <v>0</v>
      </c>
      <c r="BR52" s="1311"/>
      <c r="BS52" s="1311"/>
      <c r="BT52" s="528">
        <f t="shared" si="13"/>
        <v>0</v>
      </c>
      <c r="BU52" s="528">
        <f t="shared" si="14"/>
        <v>0</v>
      </c>
      <c r="BV52" s="92"/>
      <c r="BW52" s="279" t="s">
        <v>157</v>
      </c>
      <c r="BX52" s="279">
        <v>70</v>
      </c>
      <c r="BY52" s="279">
        <v>170</v>
      </c>
      <c r="BZ52" s="279">
        <v>1</v>
      </c>
      <c r="CA52" s="279">
        <v>1.5</v>
      </c>
      <c r="CB52" s="808">
        <v>90</v>
      </c>
      <c r="CC52" s="749">
        <v>0.8</v>
      </c>
      <c r="CD52" s="480">
        <f t="shared" si="38"/>
        <v>56</v>
      </c>
    </row>
    <row r="53" spans="1:85" s="111" customFormat="1" ht="25.5" customHeight="1" thickBot="1">
      <c r="A53" s="516" t="s">
        <v>286</v>
      </c>
      <c r="B53" s="2349">
        <f>SUM(B8:B52)</f>
        <v>0</v>
      </c>
      <c r="C53" s="1205" t="s">
        <v>1061</v>
      </c>
      <c r="D53" s="836"/>
      <c r="E53" s="836"/>
      <c r="F53" s="503"/>
      <c r="G53" s="836"/>
      <c r="H53" s="509"/>
      <c r="I53" s="509"/>
      <c r="J53" s="509"/>
      <c r="K53" s="509"/>
      <c r="L53" s="503"/>
      <c r="M53" s="836"/>
      <c r="N53" s="849"/>
      <c r="O53" s="508"/>
      <c r="P53" s="849"/>
      <c r="Q53" s="2373" t="s">
        <v>536</v>
      </c>
      <c r="R53" s="639">
        <f>SUM(R8:R52)</f>
        <v>0</v>
      </c>
      <c r="S53" s="662"/>
      <c r="T53" s="639">
        <f>SUM(T8:T52)</f>
        <v>0</v>
      </c>
      <c r="U53" s="1311"/>
      <c r="V53" s="1311"/>
      <c r="W53" s="1311"/>
      <c r="X53" s="1311"/>
      <c r="Y53" s="835"/>
      <c r="Z53" s="835"/>
      <c r="AA53" s="1311"/>
      <c r="AB53" s="1311"/>
      <c r="AC53" s="1311"/>
      <c r="AD53" s="1311"/>
      <c r="AE53" s="835"/>
      <c r="AF53" s="835"/>
      <c r="AG53" s="835"/>
      <c r="AH53" s="1311"/>
      <c r="AI53" s="1311"/>
      <c r="AJ53" s="1311"/>
      <c r="AK53" s="1311"/>
      <c r="AL53" s="835"/>
      <c r="AM53" s="835"/>
      <c r="AN53" s="835"/>
      <c r="AO53" s="1311"/>
      <c r="AP53" s="1311"/>
      <c r="AQ53" s="1311"/>
      <c r="AR53" s="1311"/>
      <c r="AS53" s="835"/>
      <c r="AT53" s="835"/>
      <c r="AU53" s="835"/>
      <c r="AV53" s="1311"/>
      <c r="AW53" s="1311"/>
      <c r="AX53" s="1311"/>
      <c r="AY53" s="1311"/>
      <c r="AZ53" s="835"/>
      <c r="BA53" s="835"/>
      <c r="BB53" s="835"/>
      <c r="BC53" s="1311"/>
      <c r="BD53" s="1311"/>
      <c r="BE53" s="1311"/>
      <c r="BF53" s="216"/>
      <c r="BG53" s="216"/>
      <c r="BH53" s="635"/>
      <c r="BI53" s="1311"/>
      <c r="BJ53" s="1311"/>
      <c r="BK53" s="1311"/>
      <c r="BM53" s="1323">
        <f>SUM(BM8:BM52)</f>
        <v>0</v>
      </c>
      <c r="BN53" s="1323">
        <f>SUM(BN8:BN52)</f>
        <v>0</v>
      </c>
      <c r="BO53" s="1323">
        <f>SUM(BO8:BO52)</f>
        <v>0</v>
      </c>
      <c r="BP53" s="1139">
        <f>SUM(BP8:BP52)</f>
        <v>0</v>
      </c>
      <c r="BQ53" s="1323">
        <f>SUM(BQ8:BQ52)</f>
        <v>0</v>
      </c>
      <c r="BR53" s="1143" t="s">
        <v>1081</v>
      </c>
      <c r="BS53" s="635"/>
      <c r="BT53" s="524"/>
      <c r="BU53" s="524"/>
      <c r="BV53" s="92"/>
      <c r="BW53" s="279" t="s">
        <v>156</v>
      </c>
      <c r="BX53" s="279">
        <v>70</v>
      </c>
      <c r="BY53" s="279">
        <v>190</v>
      </c>
      <c r="BZ53" s="279">
        <v>1</v>
      </c>
      <c r="CA53" s="279">
        <v>1.5</v>
      </c>
      <c r="CB53" s="808">
        <v>90</v>
      </c>
      <c r="CC53" s="749">
        <v>0.8</v>
      </c>
      <c r="CD53" s="480">
        <f t="shared" si="38"/>
        <v>56</v>
      </c>
      <c r="CE53" s="1317"/>
      <c r="CF53" s="1317"/>
      <c r="CG53" s="1317"/>
    </row>
    <row r="54" spans="1:85" s="111" customFormat="1" ht="24.75" customHeight="1">
      <c r="A54" s="138"/>
      <c r="B54" s="175"/>
      <c r="C54" s="842"/>
      <c r="D54" s="842"/>
      <c r="E54" s="175"/>
      <c r="F54" s="842"/>
      <c r="G54" s="842"/>
      <c r="H54" s="842"/>
      <c r="I54" s="842"/>
      <c r="J54" s="185"/>
      <c r="K54" s="842"/>
      <c r="L54" s="842"/>
      <c r="M54" s="842"/>
      <c r="N54" s="842"/>
      <c r="O54" s="842"/>
      <c r="P54" s="842"/>
      <c r="Q54" s="22"/>
      <c r="R54" s="2493" t="s">
        <v>1100</v>
      </c>
      <c r="S54" s="638"/>
      <c r="T54" s="2493" t="s">
        <v>1101</v>
      </c>
      <c r="U54" s="1311"/>
      <c r="V54" s="1311"/>
      <c r="W54" s="1311"/>
      <c r="X54" s="1311"/>
      <c r="Y54" s="835"/>
      <c r="Z54" s="835"/>
      <c r="AA54" s="1311"/>
      <c r="AB54" s="1311"/>
      <c r="AC54" s="1311"/>
      <c r="AD54" s="1311"/>
      <c r="AE54" s="835"/>
      <c r="AF54" s="835"/>
      <c r="AG54" s="835"/>
      <c r="AH54" s="1311"/>
      <c r="AI54" s="1311"/>
      <c r="AJ54" s="1311"/>
      <c r="AK54" s="1311"/>
      <c r="AL54" s="835"/>
      <c r="AM54" s="835"/>
      <c r="AN54" s="835"/>
      <c r="AO54" s="1311"/>
      <c r="AP54" s="1311"/>
      <c r="AQ54" s="1311"/>
      <c r="AR54" s="1311"/>
      <c r="AS54" s="835"/>
      <c r="AT54" s="835"/>
      <c r="AU54" s="835"/>
      <c r="AV54" s="1311"/>
      <c r="AW54" s="1311"/>
      <c r="AX54" s="1311"/>
      <c r="AY54" s="1311"/>
      <c r="AZ54" s="835"/>
      <c r="BA54" s="835"/>
      <c r="BB54" s="835"/>
      <c r="BC54" s="1311"/>
      <c r="BD54" s="1311"/>
      <c r="BE54" s="1311"/>
      <c r="BF54" s="1311"/>
      <c r="BG54" s="622" t="e">
        <f t="shared" ref="BG54:BK54" si="39">BM54</f>
        <v>#DIV/0!</v>
      </c>
      <c r="BH54" s="622" t="e">
        <f t="shared" si="39"/>
        <v>#DIV/0!</v>
      </c>
      <c r="BI54" s="622" t="e">
        <f t="shared" si="39"/>
        <v>#DIV/0!</v>
      </c>
      <c r="BJ54" s="1138" t="e">
        <f t="shared" si="39"/>
        <v>#DIV/0!</v>
      </c>
      <c r="BK54" s="1322" t="e">
        <f t="shared" si="39"/>
        <v>#DIV/0!</v>
      </c>
      <c r="BM54" s="1140" t="e">
        <f>BM53/$B53</f>
        <v>#DIV/0!</v>
      </c>
      <c r="BN54" s="1322" t="e">
        <f>BN53/$B53</f>
        <v>#DIV/0!</v>
      </c>
      <c r="BO54" s="1140" t="e">
        <f>BO53/$B53</f>
        <v>#DIV/0!</v>
      </c>
      <c r="BP54" s="1138" t="e">
        <f>BP53/$B53</f>
        <v>#DIV/0!</v>
      </c>
      <c r="BQ54" s="1322" t="e">
        <f>BQ53/$B53</f>
        <v>#DIV/0!</v>
      </c>
      <c r="BR54" s="1143" t="s">
        <v>1060</v>
      </c>
      <c r="BS54" s="1311"/>
      <c r="BT54" s="524"/>
      <c r="BU54" s="524"/>
      <c r="BV54" s="92"/>
      <c r="BW54" s="279" t="s">
        <v>216</v>
      </c>
      <c r="BX54" s="279">
        <v>80</v>
      </c>
      <c r="BY54" s="279">
        <v>230</v>
      </c>
      <c r="BZ54" s="279">
        <v>1</v>
      </c>
      <c r="CA54" s="279">
        <v>1.5</v>
      </c>
      <c r="CB54" s="808">
        <v>90</v>
      </c>
      <c r="CC54" s="749">
        <v>0.8</v>
      </c>
      <c r="CD54" s="480">
        <f t="shared" si="38"/>
        <v>64</v>
      </c>
      <c r="CE54" s="1317"/>
      <c r="CF54" s="1317"/>
      <c r="CG54" s="1317"/>
    </row>
    <row r="55" spans="1:85" ht="56.25" customHeight="1" thickBot="1">
      <c r="A55" s="1164"/>
      <c r="B55" s="1129"/>
      <c r="C55" s="1054"/>
      <c r="D55" s="1054"/>
      <c r="E55" s="175"/>
      <c r="F55" s="1054"/>
      <c r="G55" s="1054"/>
      <c r="H55" s="1054"/>
      <c r="I55" s="1054"/>
      <c r="J55" s="185"/>
      <c r="K55" s="1054"/>
      <c r="L55" s="1054"/>
      <c r="M55" s="1054"/>
      <c r="N55" s="1054"/>
      <c r="O55" s="1054"/>
      <c r="P55" s="488"/>
      <c r="Q55" s="1192"/>
      <c r="R55" s="2494"/>
      <c r="S55" s="636"/>
      <c r="T55" s="2494"/>
      <c r="U55" s="1161"/>
      <c r="V55" s="1161"/>
      <c r="W55" s="1161"/>
      <c r="X55" s="1324"/>
      <c r="Y55" s="1162"/>
      <c r="Z55" s="851"/>
      <c r="AA55" s="1161"/>
      <c r="AB55" s="1161"/>
      <c r="AC55" s="1161"/>
      <c r="AD55" s="1161"/>
      <c r="AE55" s="851"/>
      <c r="AF55" s="851"/>
      <c r="AG55" s="851"/>
      <c r="AH55" s="1161"/>
      <c r="AI55" s="1161"/>
      <c r="AJ55" s="1161"/>
      <c r="AK55" s="1161"/>
      <c r="AL55" s="851"/>
      <c r="AM55" s="851"/>
      <c r="AN55" s="851"/>
      <c r="AO55" s="1161"/>
      <c r="AP55" s="1161"/>
      <c r="AQ55" s="1161"/>
      <c r="AR55" s="1161"/>
      <c r="AS55" s="851"/>
      <c r="AT55" s="851"/>
      <c r="AU55" s="851"/>
      <c r="AV55" s="1161"/>
      <c r="AW55" s="1161"/>
      <c r="AX55" s="1161"/>
      <c r="AY55" s="1161"/>
      <c r="AZ55" s="851"/>
      <c r="BA55" s="851"/>
      <c r="BB55" s="851"/>
      <c r="BC55" s="1161"/>
      <c r="BD55" s="1161"/>
      <c r="BE55" s="1161"/>
      <c r="BF55" s="1161"/>
      <c r="BG55" s="1134" t="s">
        <v>1080</v>
      </c>
      <c r="BH55" s="1315" t="s">
        <v>1066</v>
      </c>
      <c r="BI55" s="1315" t="s">
        <v>1067</v>
      </c>
      <c r="BJ55" s="906" t="s">
        <v>1241</v>
      </c>
      <c r="BK55" s="1315" t="s">
        <v>284</v>
      </c>
      <c r="BL55" s="1161"/>
      <c r="BM55" s="1141" t="s">
        <v>1080</v>
      </c>
      <c r="BN55" s="1315" t="s">
        <v>1066</v>
      </c>
      <c r="BO55" s="1142" t="s">
        <v>1082</v>
      </c>
      <c r="BP55" s="906" t="s">
        <v>1241</v>
      </c>
      <c r="BQ55" s="1315" t="s">
        <v>284</v>
      </c>
      <c r="BR55" s="1086"/>
      <c r="BS55" s="1161"/>
      <c r="BT55" s="1086"/>
      <c r="BU55" s="1086"/>
      <c r="BW55" s="279" t="s">
        <v>678</v>
      </c>
      <c r="BX55" s="279">
        <v>80</v>
      </c>
      <c r="BY55" s="279">
        <v>210</v>
      </c>
      <c r="BZ55" s="279">
        <v>1</v>
      </c>
      <c r="CA55" s="279">
        <v>1.5</v>
      </c>
      <c r="CB55" s="808">
        <v>90</v>
      </c>
      <c r="CC55" s="749">
        <v>0.8</v>
      </c>
      <c r="CD55" s="480">
        <f t="shared" si="38"/>
        <v>64</v>
      </c>
    </row>
    <row r="56" spans="1:85" ht="25.5" customHeight="1">
      <c r="B56" s="175"/>
      <c r="D56" s="842"/>
      <c r="E56" s="175"/>
      <c r="J56" s="185"/>
      <c r="T56" s="835"/>
      <c r="U56" s="1161"/>
      <c r="V56" s="1324"/>
      <c r="W56" s="1324"/>
      <c r="X56" s="1324"/>
      <c r="Y56" s="1162"/>
      <c r="Z56" s="832"/>
      <c r="AA56" s="1086"/>
      <c r="AB56" s="1086"/>
      <c r="AC56" s="1086"/>
      <c r="AD56" s="1086"/>
      <c r="AE56" s="832"/>
      <c r="AF56" s="832"/>
      <c r="AG56" s="832"/>
      <c r="AH56" s="1086"/>
      <c r="AI56" s="1086"/>
      <c r="AJ56" s="1086"/>
      <c r="AK56" s="1086"/>
      <c r="AL56" s="832"/>
      <c r="AM56" s="832"/>
      <c r="AN56" s="832"/>
      <c r="AO56" s="1086"/>
      <c r="AP56" s="1086"/>
      <c r="AQ56" s="1086"/>
      <c r="AR56" s="1086"/>
      <c r="AS56" s="832"/>
      <c r="AT56" s="832"/>
      <c r="AU56" s="832"/>
      <c r="AV56" s="1086"/>
      <c r="AW56" s="1086"/>
      <c r="AX56" s="1086"/>
      <c r="AY56" s="1086"/>
      <c r="AZ56" s="832"/>
      <c r="BA56" s="832"/>
      <c r="BB56" s="832"/>
      <c r="BC56" s="1086"/>
      <c r="BD56" s="1086"/>
      <c r="BE56" s="1086"/>
      <c r="BF56" s="1086"/>
      <c r="BG56" s="1086"/>
      <c r="BH56" s="1086"/>
      <c r="BI56" s="1086"/>
      <c r="BJ56" s="1086"/>
      <c r="BK56" s="1086"/>
      <c r="BL56" s="1086"/>
      <c r="BM56" s="1086"/>
      <c r="BN56" s="1086"/>
      <c r="BO56" s="1086"/>
      <c r="BP56" s="1086"/>
      <c r="BQ56" s="1086"/>
      <c r="BR56" s="1086"/>
      <c r="BS56" s="1086"/>
      <c r="BT56" s="1086"/>
      <c r="BU56" s="1086"/>
      <c r="BW56" s="279" t="s">
        <v>217</v>
      </c>
      <c r="BX56" s="279">
        <v>80</v>
      </c>
      <c r="BY56" s="279">
        <v>260</v>
      </c>
      <c r="BZ56" s="279">
        <v>1</v>
      </c>
      <c r="CA56" s="279">
        <v>1.5</v>
      </c>
      <c r="CB56" s="808">
        <v>90</v>
      </c>
      <c r="CC56" s="749">
        <v>0.8</v>
      </c>
      <c r="CD56" s="480">
        <f t="shared" si="38"/>
        <v>64</v>
      </c>
    </row>
    <row r="57" spans="1:85" ht="21" customHeight="1">
      <c r="A57" s="2459" t="s">
        <v>1068</v>
      </c>
      <c r="B57" s="2460"/>
      <c r="C57" s="2467" t="s">
        <v>1069</v>
      </c>
      <c r="D57" s="2468"/>
      <c r="E57" s="2468"/>
      <c r="F57" s="2468"/>
      <c r="G57" s="2468"/>
      <c r="H57" s="2468"/>
      <c r="I57" s="2468"/>
      <c r="J57" s="2468"/>
      <c r="K57" s="2468"/>
      <c r="L57" s="2468"/>
      <c r="M57" s="2468"/>
      <c r="N57" s="2468"/>
      <c r="O57" s="2469"/>
      <c r="P57" s="2469"/>
      <c r="Q57" s="2469"/>
      <c r="R57" s="2469"/>
      <c r="S57" s="2470"/>
      <c r="T57" s="2471"/>
      <c r="U57" s="1161"/>
      <c r="V57" s="1324"/>
      <c r="W57" s="1324"/>
      <c r="X57" s="1324"/>
      <c r="Y57" s="1162"/>
      <c r="Z57" s="832"/>
      <c r="AA57" s="1086"/>
      <c r="AB57" s="1086"/>
      <c r="AC57" s="1086"/>
      <c r="AD57" s="1086"/>
      <c r="AE57" s="832"/>
      <c r="AF57" s="832"/>
      <c r="AG57" s="832"/>
      <c r="AH57" s="1086"/>
      <c r="AI57" s="1086"/>
      <c r="AJ57" s="1086"/>
      <c r="AK57" s="1086"/>
      <c r="AL57" s="832"/>
      <c r="AM57" s="832"/>
      <c r="AN57" s="832"/>
      <c r="AO57" s="1086"/>
      <c r="AP57" s="1086"/>
      <c r="AQ57" s="1086"/>
      <c r="AR57" s="1086"/>
      <c r="AS57" s="832"/>
      <c r="AT57" s="832"/>
      <c r="AU57" s="832"/>
      <c r="AV57" s="1086"/>
      <c r="AW57" s="1086"/>
      <c r="AX57" s="1086"/>
      <c r="AY57" s="1086"/>
      <c r="AZ57" s="832"/>
      <c r="BA57" s="832"/>
      <c r="BB57" s="832"/>
      <c r="BC57" s="1086"/>
      <c r="BD57" s="1086"/>
      <c r="BE57" s="1086"/>
      <c r="BF57" s="1086"/>
      <c r="BG57" s="1086"/>
      <c r="BH57" s="1086"/>
      <c r="BI57" s="1086"/>
      <c r="BJ57" s="1086"/>
      <c r="BK57" s="1086"/>
      <c r="BL57" s="1086"/>
      <c r="BM57" s="1086"/>
      <c r="BN57" s="1086"/>
      <c r="BO57" s="1086"/>
      <c r="BP57" s="1086"/>
      <c r="BQ57" s="1086"/>
      <c r="BR57" s="1086"/>
      <c r="BS57" s="1086"/>
      <c r="BT57" s="1086"/>
      <c r="BU57" s="1086"/>
      <c r="BW57" s="735" t="s">
        <v>748</v>
      </c>
      <c r="BX57" s="748">
        <v>80</v>
      </c>
      <c r="BY57" s="748">
        <v>180</v>
      </c>
      <c r="BZ57" s="748">
        <v>1</v>
      </c>
      <c r="CA57" s="748">
        <v>1.5</v>
      </c>
      <c r="CB57" s="808">
        <v>90</v>
      </c>
      <c r="CC57" s="749">
        <v>0.8</v>
      </c>
      <c r="CD57" s="480">
        <f t="shared" si="38"/>
        <v>64</v>
      </c>
    </row>
    <row r="58" spans="1:85" s="1054" customFormat="1" ht="21" customHeight="1">
      <c r="A58" s="2461"/>
      <c r="B58" s="2462"/>
      <c r="C58" s="2472"/>
      <c r="D58" s="2473"/>
      <c r="E58" s="2473"/>
      <c r="F58" s="2473"/>
      <c r="G58" s="2473"/>
      <c r="H58" s="2473"/>
      <c r="I58" s="2473"/>
      <c r="J58" s="2473"/>
      <c r="K58" s="2473"/>
      <c r="L58" s="2473"/>
      <c r="M58" s="2473"/>
      <c r="N58" s="2473"/>
      <c r="O58" s="2474"/>
      <c r="P58" s="2474"/>
      <c r="Q58" s="2474"/>
      <c r="R58" s="2474"/>
      <c r="S58" s="2452"/>
      <c r="T58" s="2475"/>
      <c r="U58" s="1161"/>
      <c r="V58" s="1324"/>
      <c r="W58" s="1324"/>
      <c r="X58" s="1324"/>
      <c r="Y58" s="1162"/>
      <c r="Z58" s="1055"/>
      <c r="AA58" s="1086"/>
      <c r="AB58" s="1086"/>
      <c r="AC58" s="1086"/>
      <c r="AD58" s="1086"/>
      <c r="AE58" s="1055"/>
      <c r="AF58" s="1055"/>
      <c r="AG58" s="1055"/>
      <c r="AH58" s="1086"/>
      <c r="AI58" s="1086"/>
      <c r="AJ58" s="1086"/>
      <c r="AK58" s="1086"/>
      <c r="AL58" s="1055"/>
      <c r="AM58" s="1055"/>
      <c r="AN58" s="1055"/>
      <c r="AO58" s="1086"/>
      <c r="AP58" s="1086"/>
      <c r="AQ58" s="1086"/>
      <c r="AR58" s="1086"/>
      <c r="AS58" s="1055"/>
      <c r="AT58" s="1055"/>
      <c r="AU58" s="1055"/>
      <c r="AV58" s="1086"/>
      <c r="AW58" s="1086"/>
      <c r="AX58" s="1086"/>
      <c r="AY58" s="1086"/>
      <c r="AZ58" s="1055"/>
      <c r="BA58" s="1055"/>
      <c r="BB58" s="1055"/>
      <c r="BC58" s="1086"/>
      <c r="BD58" s="1086"/>
      <c r="BE58" s="1086"/>
      <c r="BF58" s="1086"/>
      <c r="BG58" s="1086"/>
      <c r="BH58" s="1086"/>
      <c r="BI58" s="1086"/>
      <c r="BJ58" s="1086"/>
      <c r="BK58" s="1086"/>
      <c r="BL58" s="1086"/>
      <c r="BM58" s="1086"/>
      <c r="BN58" s="1086"/>
      <c r="BO58" s="1086"/>
      <c r="BP58" s="1086"/>
      <c r="BQ58" s="1086"/>
      <c r="BR58" s="1086"/>
      <c r="BS58" s="1086"/>
      <c r="BT58" s="1086"/>
      <c r="BU58" s="1086"/>
      <c r="BV58" s="1317"/>
      <c r="BW58" s="279" t="s">
        <v>126</v>
      </c>
      <c r="BX58" s="279">
        <v>650</v>
      </c>
      <c r="BY58" s="279">
        <v>170</v>
      </c>
      <c r="BZ58" s="752">
        <v>0.1</v>
      </c>
      <c r="CA58" s="752">
        <v>0.15</v>
      </c>
      <c r="CB58" s="808">
        <v>90</v>
      </c>
      <c r="CC58" s="749">
        <v>0.1</v>
      </c>
      <c r="CD58" s="480">
        <f t="shared" si="38"/>
        <v>65</v>
      </c>
      <c r="CE58" s="1317"/>
      <c r="CF58" s="1317"/>
      <c r="CG58" s="1317"/>
    </row>
    <row r="59" spans="1:85" ht="21" customHeight="1">
      <c r="A59" s="2463"/>
      <c r="B59" s="2464"/>
      <c r="C59" s="2476"/>
      <c r="D59" s="2474"/>
      <c r="E59" s="2474"/>
      <c r="F59" s="2474"/>
      <c r="G59" s="2474"/>
      <c r="H59" s="2474"/>
      <c r="I59" s="2474"/>
      <c r="J59" s="2474"/>
      <c r="K59" s="2474"/>
      <c r="L59" s="2474"/>
      <c r="M59" s="2474"/>
      <c r="N59" s="2474"/>
      <c r="O59" s="2474"/>
      <c r="P59" s="2474"/>
      <c r="Q59" s="2474"/>
      <c r="R59" s="2474"/>
      <c r="S59" s="2452"/>
      <c r="T59" s="2475"/>
      <c r="U59" s="1161"/>
      <c r="V59" s="1161"/>
      <c r="W59" s="1161"/>
      <c r="X59" s="1324"/>
      <c r="Y59" s="1162"/>
      <c r="Z59" s="832"/>
      <c r="AA59" s="1086"/>
      <c r="AB59" s="1086"/>
      <c r="AC59" s="1086"/>
      <c r="AD59" s="1086"/>
      <c r="AE59" s="832"/>
      <c r="AF59" s="832"/>
      <c r="AG59" s="832"/>
      <c r="AH59" s="1086"/>
      <c r="AI59" s="1086"/>
      <c r="AJ59" s="1086"/>
      <c r="AK59" s="1086"/>
      <c r="AL59" s="832"/>
      <c r="AM59" s="832"/>
      <c r="AN59" s="832"/>
      <c r="AO59" s="1086"/>
      <c r="AP59" s="1086"/>
      <c r="AQ59" s="1086"/>
      <c r="AR59" s="1086"/>
      <c r="AS59" s="832"/>
      <c r="AT59" s="832"/>
      <c r="AU59" s="832"/>
      <c r="AV59" s="1086"/>
      <c r="AW59" s="1086"/>
      <c r="AX59" s="1086"/>
      <c r="AY59" s="1086"/>
      <c r="AZ59" s="832"/>
      <c r="BA59" s="832"/>
      <c r="BB59" s="832"/>
      <c r="BC59" s="1086"/>
      <c r="BD59" s="1086"/>
      <c r="BE59" s="1086"/>
      <c r="BF59" s="1086"/>
      <c r="BG59" s="1086"/>
      <c r="BH59" s="1086"/>
      <c r="BI59" s="1086"/>
      <c r="BJ59" s="1086"/>
      <c r="BK59" s="1086"/>
      <c r="BL59" s="1086"/>
      <c r="BM59" s="1086"/>
      <c r="BN59" s="1311"/>
      <c r="BO59" s="1311"/>
      <c r="BP59" s="1311"/>
      <c r="BQ59" s="1311"/>
      <c r="BR59" s="1311"/>
      <c r="BS59" s="1086"/>
      <c r="BT59" s="1086"/>
      <c r="BU59" s="1086"/>
      <c r="CC59" s="806"/>
    </row>
    <row r="60" spans="1:85" ht="21" customHeight="1">
      <c r="A60" s="2463"/>
      <c r="B60" s="2464"/>
      <c r="C60" s="2476"/>
      <c r="D60" s="2474"/>
      <c r="E60" s="2474"/>
      <c r="F60" s="2474"/>
      <c r="G60" s="2474"/>
      <c r="H60" s="2474"/>
      <c r="I60" s="2474"/>
      <c r="J60" s="2474"/>
      <c r="K60" s="2474"/>
      <c r="L60" s="2474"/>
      <c r="M60" s="2474"/>
      <c r="N60" s="2474"/>
      <c r="O60" s="2474"/>
      <c r="P60" s="2474"/>
      <c r="Q60" s="2474"/>
      <c r="R60" s="2474"/>
      <c r="S60" s="2452"/>
      <c r="T60" s="2475"/>
      <c r="U60" s="1311"/>
      <c r="V60" s="1311"/>
      <c r="W60" s="1311"/>
      <c r="X60" s="1311"/>
      <c r="Y60" s="835"/>
      <c r="Z60" s="835"/>
      <c r="AA60" s="1311"/>
      <c r="AB60" s="1311"/>
      <c r="AC60" s="1311"/>
      <c r="AD60" s="1311"/>
      <c r="AE60" s="835"/>
      <c r="AF60" s="835"/>
      <c r="AG60" s="835"/>
      <c r="AH60" s="1311"/>
      <c r="AI60" s="1311"/>
      <c r="AJ60" s="1311"/>
      <c r="AK60" s="1311"/>
      <c r="AL60" s="835"/>
      <c r="AM60" s="835"/>
      <c r="AN60" s="835"/>
      <c r="AO60" s="1311"/>
      <c r="AP60" s="1311"/>
      <c r="AQ60" s="1311"/>
      <c r="AR60" s="1311"/>
      <c r="AS60" s="835"/>
      <c r="AT60" s="835"/>
      <c r="AU60" s="835"/>
      <c r="AV60" s="1311"/>
      <c r="AW60" s="1311"/>
      <c r="AX60" s="1311"/>
      <c r="AY60" s="1311"/>
      <c r="AZ60" s="835"/>
      <c r="BA60" s="835"/>
      <c r="BB60" s="835"/>
      <c r="BC60" s="1311"/>
      <c r="BD60" s="1311"/>
      <c r="BE60" s="1311"/>
      <c r="BF60" s="1311"/>
      <c r="BG60" s="1311"/>
      <c r="BH60" s="1311"/>
      <c r="BI60" s="1311"/>
      <c r="BJ60" s="1311"/>
      <c r="BK60" s="1311"/>
      <c r="BL60" s="1311"/>
      <c r="BM60" s="1311"/>
      <c r="BN60" s="1311"/>
      <c r="BO60" s="1311"/>
      <c r="BP60" s="1311"/>
      <c r="BQ60" s="1311"/>
      <c r="BR60" s="1311"/>
      <c r="BS60" s="1311"/>
      <c r="BT60" s="524"/>
      <c r="BU60" s="524"/>
      <c r="BX60" s="1091" t="s">
        <v>5</v>
      </c>
      <c r="CC60" s="806"/>
    </row>
    <row r="61" spans="1:85" ht="21" customHeight="1">
      <c r="A61" s="2465"/>
      <c r="B61" s="2466"/>
      <c r="C61" s="2477"/>
      <c r="D61" s="2478"/>
      <c r="E61" s="2478"/>
      <c r="F61" s="2478"/>
      <c r="G61" s="2478"/>
      <c r="H61" s="2478"/>
      <c r="I61" s="2478"/>
      <c r="J61" s="2478"/>
      <c r="K61" s="2478"/>
      <c r="L61" s="2478"/>
      <c r="M61" s="2478"/>
      <c r="N61" s="2478"/>
      <c r="O61" s="2478"/>
      <c r="P61" s="2478"/>
      <c r="Q61" s="2478"/>
      <c r="R61" s="2478"/>
      <c r="S61" s="2479"/>
      <c r="T61" s="2480"/>
      <c r="U61" s="1311"/>
      <c r="V61" s="1311"/>
      <c r="W61" s="1311"/>
      <c r="X61" s="1311"/>
      <c r="Y61" s="835"/>
      <c r="Z61" s="835"/>
      <c r="AA61" s="1311"/>
      <c r="AB61" s="1311"/>
      <c r="AC61" s="1311"/>
      <c r="AD61" s="1311"/>
      <c r="AE61" s="835"/>
      <c r="AF61" s="835"/>
      <c r="AG61" s="835"/>
      <c r="AH61" s="1311"/>
      <c r="AI61" s="1311"/>
      <c r="AJ61" s="1311"/>
      <c r="AK61" s="1311"/>
      <c r="AL61" s="835"/>
      <c r="AM61" s="835"/>
      <c r="AN61" s="835"/>
      <c r="AO61" s="1311"/>
      <c r="AP61" s="1311"/>
      <c r="AQ61" s="1311"/>
      <c r="AR61" s="1311"/>
      <c r="AS61" s="835"/>
      <c r="AT61" s="835"/>
      <c r="AU61" s="835"/>
      <c r="AV61" s="1311"/>
      <c r="AW61" s="1311"/>
      <c r="AX61" s="1311"/>
      <c r="AY61" s="1311"/>
      <c r="AZ61" s="835"/>
      <c r="BA61" s="835"/>
      <c r="BB61" s="835"/>
      <c r="BC61" s="1311"/>
      <c r="BD61" s="1311"/>
      <c r="BE61" s="1311"/>
      <c r="BF61" s="1311"/>
      <c r="BG61" s="1311"/>
      <c r="BH61" s="1311"/>
      <c r="BI61" s="1311"/>
      <c r="BJ61" s="1311"/>
      <c r="BK61" s="1311"/>
      <c r="BL61" s="1311"/>
      <c r="BM61" s="1311"/>
      <c r="BN61" s="1311"/>
      <c r="BO61" s="1311"/>
      <c r="BP61" s="1311"/>
      <c r="BQ61" s="1311"/>
      <c r="BR61" s="1311"/>
      <c r="BS61" s="1311"/>
      <c r="BT61" s="524"/>
      <c r="BU61" s="524"/>
      <c r="BW61" s="174" t="s">
        <v>6</v>
      </c>
      <c r="CC61" s="806"/>
    </row>
    <row r="62" spans="1:85" ht="21.75" customHeight="1">
      <c r="T62" s="92"/>
      <c r="U62" s="1311"/>
      <c r="V62" s="1311"/>
      <c r="W62" s="1311"/>
      <c r="X62" s="1311"/>
      <c r="Y62" s="835"/>
      <c r="Z62" s="835"/>
      <c r="AA62" s="1311"/>
      <c r="AB62" s="1311"/>
      <c r="AC62" s="1311"/>
      <c r="AD62" s="1311"/>
      <c r="AE62" s="835"/>
      <c r="AF62" s="835"/>
      <c r="AG62" s="835"/>
      <c r="AH62" s="1311"/>
      <c r="AI62" s="1311"/>
      <c r="AJ62" s="1311"/>
      <c r="AK62" s="1311"/>
      <c r="AL62" s="835"/>
      <c r="AM62" s="835"/>
      <c r="AN62" s="835"/>
      <c r="AO62" s="1311"/>
      <c r="AP62" s="1311"/>
      <c r="AQ62" s="1311"/>
      <c r="AR62" s="1311"/>
      <c r="AS62" s="835"/>
      <c r="AT62" s="835"/>
      <c r="AU62" s="835"/>
      <c r="AV62" s="1311"/>
      <c r="AW62" s="1311"/>
      <c r="AX62" s="1311"/>
      <c r="AY62" s="1311"/>
      <c r="AZ62" s="835"/>
      <c r="BA62" s="835"/>
      <c r="BB62" s="835"/>
      <c r="BC62" s="1311"/>
      <c r="BD62" s="1311"/>
      <c r="BE62" s="1311"/>
      <c r="BF62" s="1311"/>
      <c r="BG62" s="1311"/>
      <c r="BH62" s="1311"/>
      <c r="BI62" s="1311"/>
      <c r="BJ62" s="1311"/>
      <c r="BK62" s="1311"/>
      <c r="BL62" s="1311"/>
      <c r="BM62" s="1311"/>
      <c r="BN62" s="1311"/>
      <c r="BO62" s="1311"/>
      <c r="BP62" s="1311"/>
      <c r="BQ62" s="1311"/>
      <c r="BR62" s="1311"/>
      <c r="BS62" s="1311"/>
      <c r="BT62" s="524"/>
      <c r="BU62" s="524"/>
      <c r="BW62" s="1321" t="s">
        <v>503</v>
      </c>
      <c r="BX62" s="1070">
        <v>0</v>
      </c>
      <c r="CC62" s="806"/>
    </row>
    <row r="63" spans="1:85" ht="21.75" customHeight="1">
      <c r="A63" s="2481" t="s">
        <v>609</v>
      </c>
      <c r="B63" s="2482"/>
      <c r="C63" s="2489" t="s">
        <v>1070</v>
      </c>
      <c r="D63" s="2490"/>
      <c r="E63" s="2490"/>
      <c r="F63" s="2490"/>
      <c r="G63" s="2490"/>
      <c r="H63" s="2490"/>
      <c r="I63" s="2490"/>
      <c r="J63" s="2490"/>
      <c r="K63" s="2490"/>
      <c r="L63" s="2490"/>
      <c r="M63" s="2490"/>
      <c r="N63" s="2490"/>
      <c r="O63" s="2490"/>
      <c r="P63" s="2490"/>
      <c r="Q63" s="2491"/>
      <c r="R63" s="2491"/>
      <c r="S63" s="2492"/>
      <c r="T63" s="2492"/>
      <c r="U63" s="1311"/>
      <c r="V63" s="1311"/>
      <c r="W63" s="1311"/>
      <c r="X63" s="1311"/>
      <c r="Y63" s="835"/>
      <c r="Z63" s="835"/>
      <c r="AA63" s="1311"/>
      <c r="AB63" s="1311"/>
      <c r="AC63" s="1311"/>
      <c r="AD63" s="1311"/>
      <c r="AE63" s="835"/>
      <c r="AF63" s="835"/>
      <c r="AG63" s="835"/>
      <c r="AH63" s="1311"/>
      <c r="AI63" s="1311"/>
      <c r="AJ63" s="1311"/>
      <c r="AK63" s="1311"/>
      <c r="AL63" s="835"/>
      <c r="AM63" s="835"/>
      <c r="AN63" s="835"/>
      <c r="AO63" s="1311"/>
      <c r="AP63" s="1311"/>
      <c r="AQ63" s="1311"/>
      <c r="AR63" s="1311"/>
      <c r="AS63" s="835"/>
      <c r="AT63" s="835"/>
      <c r="AU63" s="835"/>
      <c r="AV63" s="1311"/>
      <c r="AW63" s="1311"/>
      <c r="AX63" s="1311"/>
      <c r="AY63" s="1311"/>
      <c r="AZ63" s="835"/>
      <c r="BA63" s="835"/>
      <c r="BB63" s="835"/>
      <c r="BC63" s="1311"/>
      <c r="BD63" s="1311"/>
      <c r="BE63" s="1311"/>
      <c r="BF63" s="1311"/>
      <c r="BG63" s="1311"/>
      <c r="BH63" s="1311"/>
      <c r="BI63" s="1311"/>
      <c r="BJ63" s="1311"/>
      <c r="BK63" s="1311"/>
      <c r="BL63" s="1311"/>
      <c r="BM63" s="1311"/>
      <c r="BN63" s="1311"/>
      <c r="BO63" s="1311"/>
      <c r="BP63" s="1311"/>
      <c r="BQ63" s="1311"/>
      <c r="BR63" s="1311"/>
      <c r="BS63" s="1311"/>
      <c r="BT63" s="524"/>
      <c r="BU63" s="524"/>
      <c r="BW63" s="1321" t="s">
        <v>22</v>
      </c>
      <c r="BX63" s="1070">
        <v>10</v>
      </c>
    </row>
    <row r="64" spans="1:85" ht="21.75" customHeight="1">
      <c r="A64" s="2483"/>
      <c r="B64" s="2484"/>
      <c r="C64" s="2490"/>
      <c r="D64" s="2490"/>
      <c r="E64" s="2490"/>
      <c r="F64" s="2490"/>
      <c r="G64" s="2490"/>
      <c r="H64" s="2490"/>
      <c r="I64" s="2490"/>
      <c r="J64" s="2490"/>
      <c r="K64" s="2490"/>
      <c r="L64" s="2490"/>
      <c r="M64" s="2490"/>
      <c r="N64" s="2490"/>
      <c r="O64" s="2490"/>
      <c r="P64" s="2490"/>
      <c r="Q64" s="2491"/>
      <c r="R64" s="2491"/>
      <c r="S64" s="2492"/>
      <c r="T64" s="2492"/>
      <c r="U64" s="1311"/>
      <c r="V64" s="1311"/>
      <c r="W64" s="1311"/>
      <c r="X64" s="1311"/>
      <c r="Y64" s="835"/>
      <c r="Z64" s="835"/>
      <c r="AA64" s="1311"/>
      <c r="AB64" s="1311"/>
      <c r="AC64" s="1311"/>
      <c r="AD64" s="1311"/>
      <c r="AE64" s="835"/>
      <c r="AF64" s="835"/>
      <c r="AG64" s="835"/>
      <c r="AH64" s="1311"/>
      <c r="AI64" s="1311"/>
      <c r="AJ64" s="1311"/>
      <c r="AK64" s="1311"/>
      <c r="AL64" s="835"/>
      <c r="AM64" s="835"/>
      <c r="AN64" s="835"/>
      <c r="AO64" s="1311"/>
      <c r="AP64" s="1311"/>
      <c r="AQ64" s="1311"/>
      <c r="AR64" s="1311"/>
      <c r="AS64" s="835"/>
      <c r="AT64" s="835"/>
      <c r="AU64" s="835"/>
      <c r="AV64" s="1311"/>
      <c r="AW64" s="1311"/>
      <c r="AX64" s="1311"/>
      <c r="AY64" s="1311"/>
      <c r="AZ64" s="835"/>
      <c r="BA64" s="835"/>
      <c r="BB64" s="835"/>
      <c r="BC64" s="1311"/>
      <c r="BD64" s="1311"/>
      <c r="BE64" s="1311"/>
      <c r="BF64" s="1311"/>
      <c r="BG64" s="1311"/>
      <c r="BH64" s="1311"/>
      <c r="BI64" s="1311"/>
      <c r="BJ64" s="1311"/>
      <c r="BK64" s="1311"/>
      <c r="BL64" s="1311"/>
      <c r="BM64" s="1311"/>
      <c r="BN64" s="1311"/>
      <c r="BO64" s="1311"/>
      <c r="BP64" s="1311"/>
      <c r="BQ64" s="1311"/>
      <c r="BR64" s="1311"/>
      <c r="BS64" s="1311"/>
      <c r="BT64" s="524"/>
      <c r="BU64" s="524"/>
      <c r="BW64" s="1321" t="s">
        <v>528</v>
      </c>
      <c r="BX64" s="1070">
        <v>10</v>
      </c>
    </row>
    <row r="65" spans="1:78" ht="21.75" customHeight="1">
      <c r="A65" s="2485"/>
      <c r="B65" s="2486"/>
      <c r="C65" s="2490"/>
      <c r="D65" s="2490"/>
      <c r="E65" s="2490"/>
      <c r="F65" s="2490"/>
      <c r="G65" s="2490"/>
      <c r="H65" s="2490"/>
      <c r="I65" s="2490"/>
      <c r="J65" s="2490"/>
      <c r="K65" s="2490"/>
      <c r="L65" s="2490"/>
      <c r="M65" s="2490"/>
      <c r="N65" s="2490"/>
      <c r="O65" s="2490"/>
      <c r="P65" s="2490"/>
      <c r="Q65" s="2491"/>
      <c r="R65" s="2491"/>
      <c r="S65" s="2492"/>
      <c r="T65" s="2492"/>
      <c r="U65" s="1311"/>
      <c r="V65" s="1311"/>
      <c r="W65" s="1311"/>
      <c r="X65" s="1311"/>
      <c r="Y65" s="835"/>
      <c r="Z65" s="835"/>
      <c r="AA65" s="1311"/>
      <c r="AB65" s="1311"/>
      <c r="AC65" s="1311"/>
      <c r="AD65" s="1311"/>
      <c r="AE65" s="835"/>
      <c r="AF65" s="835"/>
      <c r="AG65" s="835"/>
      <c r="AH65" s="1311"/>
      <c r="AI65" s="1311"/>
      <c r="AJ65" s="1311"/>
      <c r="AK65" s="1311"/>
      <c r="AL65" s="835"/>
      <c r="AM65" s="835"/>
      <c r="AN65" s="835"/>
      <c r="AO65" s="1311"/>
      <c r="AP65" s="1311"/>
      <c r="AQ65" s="1311"/>
      <c r="AR65" s="1311"/>
      <c r="AS65" s="835"/>
      <c r="AT65" s="835"/>
      <c r="AU65" s="835"/>
      <c r="AV65" s="1311"/>
      <c r="AW65" s="1311"/>
      <c r="AX65" s="1311"/>
      <c r="AY65" s="1311"/>
      <c r="AZ65" s="835"/>
      <c r="BA65" s="835"/>
      <c r="BB65" s="835"/>
      <c r="BC65" s="1311"/>
      <c r="BD65" s="1311"/>
      <c r="BE65" s="1311"/>
      <c r="BF65" s="1311"/>
      <c r="BG65" s="1311"/>
      <c r="BH65" s="1311"/>
      <c r="BI65" s="1311"/>
      <c r="BJ65" s="1311"/>
      <c r="BK65" s="1311"/>
      <c r="BL65" s="1311"/>
      <c r="BM65" s="1311"/>
      <c r="BN65" s="1311"/>
      <c r="BO65" s="1311"/>
      <c r="BP65" s="1311"/>
      <c r="BQ65" s="1311"/>
      <c r="BR65" s="1311"/>
      <c r="BS65" s="1311"/>
      <c r="BT65" s="524"/>
      <c r="BU65" s="524"/>
      <c r="BW65" s="1321" t="s">
        <v>7</v>
      </c>
      <c r="BX65" s="1070">
        <v>10</v>
      </c>
    </row>
    <row r="66" spans="1:78" ht="15.75" customHeight="1">
      <c r="A66" s="2487"/>
      <c r="B66" s="2488"/>
      <c r="C66" s="2489" t="s">
        <v>588</v>
      </c>
      <c r="D66" s="2490"/>
      <c r="E66" s="2490"/>
      <c r="F66" s="2490"/>
      <c r="G66" s="2490"/>
      <c r="H66" s="2490"/>
      <c r="I66" s="2490"/>
      <c r="J66" s="2490"/>
      <c r="K66" s="2490"/>
      <c r="L66" s="2490"/>
      <c r="M66" s="2490"/>
      <c r="N66" s="2490"/>
      <c r="O66" s="2491"/>
      <c r="P66" s="2491"/>
      <c r="Q66" s="2491"/>
      <c r="R66" s="2491"/>
      <c r="S66" s="2492"/>
      <c r="T66" s="2492"/>
      <c r="U66" s="1311"/>
      <c r="V66" s="1311"/>
      <c r="W66" s="1311"/>
      <c r="X66" s="1311"/>
      <c r="Y66" s="835"/>
      <c r="Z66" s="835"/>
      <c r="AA66" s="1311"/>
      <c r="AB66" s="1311"/>
      <c r="AC66" s="1311"/>
      <c r="AD66" s="1311"/>
      <c r="AE66" s="835"/>
      <c r="AF66" s="835"/>
      <c r="AG66" s="835"/>
      <c r="AH66" s="1311"/>
      <c r="AI66" s="1311"/>
      <c r="AJ66" s="1311"/>
      <c r="AK66" s="1311"/>
      <c r="AL66" s="835"/>
      <c r="AM66" s="835"/>
      <c r="AN66" s="835"/>
      <c r="AO66" s="1311"/>
      <c r="AP66" s="1311"/>
      <c r="AQ66" s="1311"/>
      <c r="AR66" s="1311"/>
      <c r="AS66" s="835"/>
      <c r="AT66" s="835"/>
      <c r="AU66" s="835"/>
      <c r="AV66" s="1311"/>
      <c r="AW66" s="1311"/>
      <c r="AX66" s="1311"/>
      <c r="AY66" s="1311"/>
      <c r="AZ66" s="835"/>
      <c r="BA66" s="835"/>
      <c r="BB66" s="835"/>
      <c r="BC66" s="1311"/>
      <c r="BD66" s="1311"/>
      <c r="BE66" s="1311"/>
      <c r="BF66" s="1311"/>
      <c r="BG66" s="1311"/>
      <c r="BH66" s="1311"/>
      <c r="BI66" s="1311"/>
      <c r="BJ66" s="1311"/>
      <c r="BK66" s="1311"/>
      <c r="BL66" s="1311"/>
      <c r="BM66" s="1311"/>
      <c r="BN66" s="1311"/>
      <c r="BO66" s="1311"/>
      <c r="BP66" s="1311"/>
      <c r="BQ66" s="1311"/>
      <c r="BR66" s="1311"/>
      <c r="BS66" s="1311"/>
      <c r="BT66" s="524"/>
      <c r="BU66" s="524"/>
      <c r="BW66" s="1321" t="s">
        <v>17</v>
      </c>
      <c r="BX66" s="1070">
        <v>20</v>
      </c>
      <c r="BZ66" s="1091"/>
    </row>
    <row r="67" spans="1:78" ht="12.75" customHeight="1">
      <c r="T67" s="835"/>
      <c r="U67" s="1311"/>
      <c r="V67" s="1311"/>
      <c r="W67" s="1311"/>
      <c r="X67" s="1311"/>
      <c r="Y67" s="835"/>
      <c r="Z67" s="835"/>
      <c r="AA67" s="1311"/>
      <c r="AB67" s="1311"/>
      <c r="AC67" s="1311"/>
      <c r="AD67" s="1311"/>
      <c r="AE67" s="835"/>
      <c r="AF67" s="835"/>
      <c r="AG67" s="835"/>
      <c r="AH67" s="1311"/>
      <c r="AI67" s="1311"/>
      <c r="AJ67" s="1311"/>
      <c r="AK67" s="1311"/>
      <c r="AL67" s="835"/>
      <c r="AM67" s="835"/>
      <c r="AN67" s="835"/>
      <c r="AO67" s="1311"/>
      <c r="AP67" s="1311"/>
      <c r="AQ67" s="1311"/>
      <c r="AR67" s="1311"/>
      <c r="AS67" s="835"/>
      <c r="AT67" s="835"/>
      <c r="AU67" s="835"/>
      <c r="AV67" s="1311"/>
      <c r="AW67" s="1311"/>
      <c r="AX67" s="1311"/>
      <c r="AY67" s="1311"/>
      <c r="AZ67" s="835"/>
      <c r="BA67" s="835"/>
      <c r="BB67" s="835"/>
      <c r="BC67" s="1311"/>
      <c r="BD67" s="1311"/>
      <c r="BE67" s="1311"/>
      <c r="BF67" s="1311"/>
      <c r="BG67" s="1311"/>
      <c r="BH67" s="1311"/>
      <c r="BI67" s="1311"/>
      <c r="BJ67" s="1311"/>
      <c r="BK67" s="1311"/>
      <c r="BL67" s="1311"/>
      <c r="BM67" s="1311"/>
      <c r="BN67" s="1311"/>
      <c r="BO67" s="1311"/>
      <c r="BP67" s="1311"/>
      <c r="BQ67" s="1311"/>
      <c r="BR67" s="1311"/>
      <c r="BS67" s="1311"/>
      <c r="BT67" s="524"/>
      <c r="BU67" s="524"/>
      <c r="BW67" s="1321" t="s">
        <v>23</v>
      </c>
      <c r="BX67" s="1070">
        <v>0</v>
      </c>
    </row>
    <row r="68" spans="1:78" ht="12.75" customHeight="1">
      <c r="T68" s="835"/>
      <c r="U68" s="1311"/>
      <c r="V68" s="1311"/>
      <c r="W68" s="1311"/>
      <c r="X68" s="1311"/>
      <c r="Y68" s="835"/>
      <c r="Z68" s="835"/>
      <c r="AA68" s="1311"/>
      <c r="AB68" s="1311"/>
      <c r="AC68" s="1311"/>
      <c r="AD68" s="1311"/>
      <c r="AE68" s="835"/>
      <c r="AF68" s="835"/>
      <c r="AG68" s="835"/>
      <c r="AH68" s="1311"/>
      <c r="AI68" s="1311"/>
      <c r="AJ68" s="1311"/>
      <c r="AK68" s="1311"/>
      <c r="AL68" s="835"/>
      <c r="AM68" s="835"/>
      <c r="AN68" s="835"/>
      <c r="AO68" s="1311"/>
      <c r="AP68" s="1311"/>
      <c r="AQ68" s="1311"/>
      <c r="AR68" s="1311"/>
      <c r="AS68" s="835"/>
      <c r="AT68" s="835"/>
      <c r="AU68" s="835"/>
      <c r="AV68" s="1311"/>
      <c r="AW68" s="1311"/>
      <c r="AX68" s="1311"/>
      <c r="AY68" s="1311"/>
      <c r="AZ68" s="835"/>
      <c r="BA68" s="835"/>
      <c r="BB68" s="835"/>
      <c r="BC68" s="1311"/>
      <c r="BD68" s="1311"/>
      <c r="BE68" s="1311"/>
      <c r="BF68" s="1311"/>
      <c r="BG68" s="1311"/>
      <c r="BH68" s="1311"/>
      <c r="BI68" s="1311"/>
      <c r="BJ68" s="1311"/>
      <c r="BK68" s="1311"/>
      <c r="BL68" s="1311"/>
      <c r="BM68" s="1311"/>
      <c r="BN68" s="1311"/>
      <c r="BO68" s="1311"/>
      <c r="BP68" s="1311"/>
      <c r="BQ68" s="1311"/>
      <c r="BR68" s="1311"/>
      <c r="BS68" s="1311"/>
      <c r="BT68" s="524"/>
      <c r="BU68" s="524"/>
      <c r="BW68" s="1321" t="s">
        <v>20</v>
      </c>
      <c r="BX68" s="1070">
        <v>20</v>
      </c>
    </row>
    <row r="69" spans="1:78" ht="12.75" customHeight="1">
      <c r="T69" s="835"/>
      <c r="U69" s="1311"/>
      <c r="V69" s="1311"/>
      <c r="W69" s="1311"/>
      <c r="X69" s="1311"/>
      <c r="Y69" s="835"/>
      <c r="Z69" s="835"/>
      <c r="AA69" s="1311"/>
      <c r="AB69" s="1311"/>
      <c r="AC69" s="1311"/>
      <c r="AD69" s="1311"/>
      <c r="AE69" s="835"/>
      <c r="AF69" s="835"/>
      <c r="AG69" s="835"/>
      <c r="AH69" s="1311"/>
      <c r="AI69" s="1311"/>
      <c r="AJ69" s="1311"/>
      <c r="AK69" s="1311"/>
      <c r="AL69" s="835"/>
      <c r="AM69" s="835"/>
      <c r="AN69" s="835"/>
      <c r="AO69" s="1311"/>
      <c r="AP69" s="1311"/>
      <c r="AQ69" s="1311"/>
      <c r="AR69" s="1311"/>
      <c r="AS69" s="835"/>
      <c r="AT69" s="835"/>
      <c r="AU69" s="835"/>
      <c r="AV69" s="1311"/>
      <c r="AW69" s="1311"/>
      <c r="AX69" s="1311"/>
      <c r="AY69" s="1311"/>
      <c r="AZ69" s="835"/>
      <c r="BA69" s="835"/>
      <c r="BB69" s="835"/>
      <c r="BC69" s="1311"/>
      <c r="BD69" s="1311"/>
      <c r="BE69" s="1311"/>
      <c r="BF69" s="1311"/>
      <c r="BG69" s="1311"/>
      <c r="BH69" s="1311"/>
      <c r="BI69" s="1311"/>
      <c r="BJ69" s="1311"/>
      <c r="BK69" s="1311"/>
      <c r="BL69" s="1311"/>
      <c r="BM69" s="1311"/>
      <c r="BN69" s="1311"/>
      <c r="BO69" s="1311"/>
      <c r="BP69" s="1311"/>
      <c r="BQ69" s="1311"/>
      <c r="BR69" s="1311"/>
      <c r="BS69" s="1311"/>
      <c r="BT69" s="524"/>
      <c r="BU69" s="524"/>
      <c r="BW69" s="1321" t="s">
        <v>19</v>
      </c>
      <c r="BX69" s="1070">
        <v>10</v>
      </c>
    </row>
    <row r="70" spans="1:78" ht="17.25" customHeight="1">
      <c r="U70" s="1311"/>
      <c r="V70" s="1311"/>
      <c r="W70" s="1311"/>
      <c r="X70" s="1311"/>
      <c r="Y70" s="835"/>
      <c r="Z70" s="835"/>
      <c r="AA70" s="1311"/>
      <c r="AB70" s="1311"/>
      <c r="AC70" s="1311"/>
      <c r="AD70" s="1311"/>
      <c r="AE70" s="835"/>
      <c r="AF70" s="835"/>
      <c r="AG70" s="835"/>
      <c r="AH70" s="1311"/>
      <c r="AI70" s="1311"/>
      <c r="AJ70" s="1311"/>
      <c r="AK70" s="1311"/>
      <c r="AL70" s="835"/>
      <c r="AM70" s="835"/>
      <c r="AN70" s="835"/>
      <c r="AO70" s="1311"/>
      <c r="AP70" s="1311"/>
      <c r="AQ70" s="1311"/>
      <c r="AR70" s="1311"/>
      <c r="AS70" s="835"/>
      <c r="AT70" s="835"/>
      <c r="AU70" s="835"/>
      <c r="AV70" s="1311"/>
      <c r="AW70" s="1311"/>
      <c r="AX70" s="1311"/>
      <c r="AY70" s="1311"/>
      <c r="AZ70" s="835"/>
      <c r="BA70" s="835"/>
      <c r="BB70" s="835"/>
      <c r="BC70" s="1311"/>
      <c r="BD70" s="1311"/>
      <c r="BE70" s="1311"/>
      <c r="BF70" s="1311"/>
      <c r="BG70" s="1311"/>
      <c r="BH70" s="1311"/>
      <c r="BI70" s="1311"/>
      <c r="BJ70" s="1311"/>
      <c r="BK70" s="1311"/>
      <c r="BL70" s="1311"/>
      <c r="BM70" s="1311"/>
      <c r="BN70" s="1311"/>
      <c r="BO70" s="1311"/>
      <c r="BP70" s="1311"/>
      <c r="BQ70" s="1311"/>
      <c r="BR70" s="1311"/>
      <c r="BS70" s="1311"/>
      <c r="BT70" s="524"/>
      <c r="BU70" s="524"/>
      <c r="BW70" s="1321" t="s">
        <v>529</v>
      </c>
      <c r="BX70" s="1070">
        <v>0</v>
      </c>
    </row>
    <row r="71" spans="1:78" ht="15.75" customHeight="1">
      <c r="U71" s="1311"/>
      <c r="V71" s="1311"/>
      <c r="W71" s="1311"/>
      <c r="X71" s="1311"/>
      <c r="Y71" s="835"/>
      <c r="Z71" s="835"/>
      <c r="AA71" s="1311"/>
      <c r="AB71" s="1311"/>
      <c r="AC71" s="1311"/>
      <c r="AD71" s="1311"/>
      <c r="AE71" s="835"/>
      <c r="AF71" s="835"/>
      <c r="AG71" s="835"/>
      <c r="AH71" s="1311"/>
      <c r="AI71" s="1311"/>
      <c r="AJ71" s="1311"/>
      <c r="AK71" s="1311"/>
      <c r="AL71" s="835"/>
      <c r="AM71" s="835"/>
      <c r="AN71" s="835"/>
      <c r="AO71" s="1311"/>
      <c r="AP71" s="1311"/>
      <c r="AQ71" s="1311"/>
      <c r="AR71" s="1311"/>
      <c r="AS71" s="835"/>
      <c r="AT71" s="835"/>
      <c r="AU71" s="835"/>
      <c r="AV71" s="1311"/>
      <c r="AW71" s="1311"/>
      <c r="AX71" s="1311"/>
      <c r="AY71" s="1311"/>
      <c r="AZ71" s="835"/>
      <c r="BA71" s="835"/>
      <c r="BB71" s="835"/>
      <c r="BC71" s="1311"/>
      <c r="BD71" s="1311"/>
      <c r="BE71" s="1311"/>
      <c r="BF71" s="1311"/>
      <c r="BG71" s="1311"/>
      <c r="BH71" s="1311"/>
      <c r="BI71" s="1311"/>
      <c r="BJ71" s="1311"/>
      <c r="BK71" s="1311"/>
      <c r="BL71" s="1311"/>
      <c r="BM71" s="1311"/>
      <c r="BN71" s="1311"/>
      <c r="BO71" s="1311"/>
      <c r="BP71" s="1311"/>
      <c r="BQ71" s="1311"/>
      <c r="BR71" s="1311"/>
      <c r="BS71" s="1311"/>
      <c r="BT71" s="524"/>
      <c r="BU71" s="524"/>
      <c r="BW71" s="1321" t="s">
        <v>21</v>
      </c>
      <c r="BX71" s="1070">
        <v>10</v>
      </c>
    </row>
    <row r="72" spans="1:78" ht="15.75" customHeight="1">
      <c r="U72" s="1311"/>
      <c r="X72" s="1311"/>
      <c r="Y72" s="835"/>
      <c r="Z72" s="835"/>
      <c r="AA72" s="1311"/>
      <c r="AB72" s="1311"/>
      <c r="AC72" s="1311"/>
      <c r="AD72" s="1311"/>
      <c r="AE72" s="835"/>
      <c r="AF72" s="835"/>
      <c r="AG72" s="835"/>
      <c r="AH72" s="1311"/>
      <c r="AI72" s="1311"/>
      <c r="AJ72" s="1311"/>
      <c r="AK72" s="1311"/>
      <c r="AL72" s="835"/>
      <c r="AM72" s="835"/>
      <c r="AN72" s="835"/>
      <c r="AO72" s="1311"/>
      <c r="AP72" s="1311"/>
      <c r="AQ72" s="1311"/>
      <c r="AR72" s="1311"/>
      <c r="AS72" s="835"/>
      <c r="AT72" s="835"/>
      <c r="AU72" s="835"/>
      <c r="AV72" s="1311"/>
      <c r="AW72" s="1311"/>
      <c r="AX72" s="1311"/>
      <c r="AY72" s="1311"/>
      <c r="AZ72" s="835"/>
      <c r="BA72" s="835"/>
      <c r="BB72" s="835"/>
      <c r="BC72" s="1311"/>
      <c r="BD72" s="1311"/>
      <c r="BE72" s="1311"/>
      <c r="BF72" s="1311"/>
      <c r="BG72" s="1311"/>
      <c r="BH72" s="1311"/>
      <c r="BI72" s="1311"/>
      <c r="BJ72" s="1311"/>
      <c r="BK72" s="1311"/>
      <c r="BL72" s="1311"/>
      <c r="BM72" s="1311"/>
      <c r="BN72" s="1311"/>
      <c r="BO72" s="1311"/>
      <c r="BP72" s="1311"/>
      <c r="BQ72" s="1311"/>
      <c r="BR72" s="1311"/>
      <c r="BS72" s="1311"/>
      <c r="BT72" s="524"/>
      <c r="BU72" s="524"/>
      <c r="BW72" s="1321" t="s">
        <v>18</v>
      </c>
      <c r="BX72" s="1070">
        <v>20</v>
      </c>
    </row>
    <row r="73" spans="1:78" ht="15.75" customHeight="1">
      <c r="U73" s="1311"/>
      <c r="V73" s="861"/>
      <c r="W73" s="861"/>
      <c r="X73" s="1311"/>
      <c r="Y73" s="835"/>
      <c r="Z73" s="835"/>
      <c r="AA73" s="1311"/>
      <c r="AB73" s="1311"/>
      <c r="AC73" s="1311"/>
      <c r="AD73" s="1311"/>
      <c r="AE73" s="835"/>
      <c r="AF73" s="835"/>
      <c r="AG73" s="835"/>
      <c r="AH73" s="1311"/>
      <c r="AI73" s="1311"/>
      <c r="AJ73" s="1311"/>
      <c r="AK73" s="1311"/>
      <c r="AL73" s="835"/>
      <c r="AM73" s="835"/>
      <c r="AN73" s="835"/>
      <c r="AO73" s="1311"/>
      <c r="AP73" s="1311"/>
      <c r="AQ73" s="1311"/>
      <c r="AR73" s="1311"/>
      <c r="AS73" s="835"/>
      <c r="AT73" s="835"/>
      <c r="AU73" s="835"/>
      <c r="AV73" s="1311"/>
      <c r="AW73" s="1311"/>
      <c r="AX73" s="1311"/>
      <c r="AY73" s="1311"/>
      <c r="AZ73" s="835"/>
      <c r="BA73" s="835"/>
      <c r="BB73" s="835"/>
      <c r="BC73" s="1311"/>
      <c r="BD73" s="1311"/>
      <c r="BE73" s="1311"/>
      <c r="BF73" s="1311"/>
      <c r="BG73" s="1311"/>
      <c r="BH73" s="1311"/>
      <c r="BI73" s="1311"/>
      <c r="BJ73" s="1311"/>
      <c r="BK73" s="1311"/>
      <c r="BL73" s="1311"/>
      <c r="BM73" s="1311"/>
      <c r="BN73" s="1311"/>
      <c r="BO73" s="1311"/>
      <c r="BP73" s="1311"/>
      <c r="BQ73" s="1311"/>
      <c r="BR73" s="1311"/>
      <c r="BS73" s="1311"/>
      <c r="BT73" s="524"/>
      <c r="BU73" s="524"/>
    </row>
    <row r="74" spans="1:78" ht="15.75" customHeight="1">
      <c r="AE74" s="200"/>
      <c r="AF74" s="200"/>
      <c r="AG74" s="200"/>
      <c r="AH74" s="1311"/>
      <c r="AI74" s="1311"/>
      <c r="AJ74" s="1311"/>
      <c r="AK74" s="1311"/>
      <c r="AL74" s="835"/>
      <c r="AM74" s="835"/>
      <c r="AN74" s="835"/>
      <c r="AO74" s="1311"/>
      <c r="AP74" s="1311"/>
      <c r="AQ74" s="1311"/>
      <c r="AR74" s="1311"/>
      <c r="AS74" s="835"/>
      <c r="AT74" s="835"/>
      <c r="AU74" s="835"/>
      <c r="AV74" s="1311"/>
      <c r="AW74" s="1311"/>
      <c r="AX74" s="1311"/>
      <c r="AY74" s="1311"/>
      <c r="AZ74" s="835"/>
      <c r="BA74" s="835"/>
      <c r="BB74" s="835"/>
      <c r="BC74" s="1311"/>
      <c r="BD74" s="1311"/>
      <c r="BE74" s="1311"/>
      <c r="BF74" s="1311"/>
      <c r="BG74" s="1311"/>
      <c r="BH74" s="1311"/>
      <c r="BI74" s="1311"/>
      <c r="BJ74" s="1311"/>
      <c r="BK74" s="1311"/>
      <c r="BL74" s="1311"/>
      <c r="BM74" s="1311"/>
      <c r="BN74" s="1311"/>
      <c r="BO74" s="1311"/>
      <c r="BP74" s="1311"/>
      <c r="BQ74" s="1311"/>
      <c r="BR74" s="1311"/>
      <c r="BS74" s="1311"/>
      <c r="BT74" s="524"/>
      <c r="BU74" s="524"/>
      <c r="BW74" s="174" t="s">
        <v>8</v>
      </c>
    </row>
    <row r="75" spans="1:78" ht="15.75" customHeight="1">
      <c r="AE75" s="200"/>
      <c r="AF75" s="200"/>
      <c r="AG75" s="200"/>
      <c r="AH75" s="1311"/>
      <c r="AI75" s="1311"/>
      <c r="AJ75" s="1311"/>
      <c r="AK75" s="1311"/>
      <c r="AL75" s="835"/>
      <c r="AM75" s="835"/>
      <c r="AN75" s="835"/>
      <c r="AO75" s="1311"/>
      <c r="AP75" s="1311"/>
      <c r="AQ75" s="1311"/>
      <c r="AR75" s="1311"/>
      <c r="AS75" s="835"/>
      <c r="AT75" s="835"/>
      <c r="AU75" s="835"/>
      <c r="AV75" s="1311"/>
      <c r="AW75" s="1311"/>
      <c r="AX75" s="1311"/>
      <c r="AY75" s="1311"/>
      <c r="AZ75" s="835"/>
      <c r="BA75" s="835"/>
      <c r="BB75" s="835"/>
      <c r="BC75" s="1311"/>
      <c r="BD75" s="1311"/>
      <c r="BE75" s="1311"/>
      <c r="BF75" s="1311"/>
      <c r="BG75" s="1311"/>
      <c r="BH75" s="1311"/>
      <c r="BI75" s="1311"/>
      <c r="BJ75" s="1311"/>
      <c r="BK75" s="1311"/>
      <c r="BL75" s="1311"/>
      <c r="BM75" s="1311"/>
      <c r="BN75" s="1311"/>
      <c r="BO75" s="1311"/>
      <c r="BP75" s="1311"/>
      <c r="BQ75" s="1311"/>
      <c r="BR75" s="1311"/>
      <c r="BS75" s="1311"/>
      <c r="BT75" s="524"/>
      <c r="BU75" s="524"/>
      <c r="BW75" s="1321" t="s">
        <v>25</v>
      </c>
      <c r="BX75" s="1070">
        <v>0</v>
      </c>
    </row>
    <row r="76" spans="1:78" ht="15.75" customHeight="1">
      <c r="AE76" s="200"/>
      <c r="AF76" s="200"/>
      <c r="AG76" s="200"/>
      <c r="AH76" s="1311"/>
      <c r="AI76" s="1311"/>
      <c r="AJ76" s="1311"/>
      <c r="AK76" s="1311"/>
      <c r="AL76" s="835"/>
      <c r="AM76" s="835"/>
      <c r="AN76" s="835"/>
      <c r="AO76" s="1311"/>
      <c r="AP76" s="1311"/>
      <c r="AQ76" s="1311"/>
      <c r="AR76" s="1311"/>
      <c r="AS76" s="835"/>
      <c r="AT76" s="835"/>
      <c r="AU76" s="835"/>
      <c r="AV76" s="1311"/>
      <c r="AW76" s="1311"/>
      <c r="AX76" s="1311"/>
      <c r="AY76" s="1311"/>
      <c r="AZ76" s="835"/>
      <c r="BA76" s="835"/>
      <c r="BB76" s="835"/>
      <c r="BC76" s="1311"/>
      <c r="BD76" s="1311"/>
      <c r="BE76" s="1311"/>
      <c r="BF76" s="1311"/>
      <c r="BG76" s="1311"/>
      <c r="BH76" s="1311"/>
      <c r="BI76" s="1311"/>
      <c r="BJ76" s="1311"/>
      <c r="BK76" s="1311"/>
      <c r="BL76" s="1311"/>
      <c r="BM76" s="1311"/>
      <c r="BN76" s="1311"/>
      <c r="BO76" s="1311"/>
      <c r="BP76" s="1311"/>
      <c r="BQ76" s="1311"/>
      <c r="BR76" s="1311"/>
      <c r="BS76" s="1311"/>
      <c r="BT76" s="524"/>
      <c r="BU76" s="524"/>
      <c r="BW76" s="1321" t="s">
        <v>531</v>
      </c>
      <c r="BX76" s="1070">
        <v>0</v>
      </c>
    </row>
    <row r="77" spans="1:78" ht="15.75" customHeight="1">
      <c r="AD77" s="1311"/>
      <c r="AE77" s="200"/>
      <c r="AF77" s="200"/>
      <c r="AG77" s="200"/>
      <c r="AH77" s="1311"/>
      <c r="AI77" s="1316"/>
      <c r="AJ77" s="1316"/>
      <c r="AK77" s="1311"/>
      <c r="AL77" s="835"/>
      <c r="AM77" s="835"/>
      <c r="AN77" s="835"/>
      <c r="AO77" s="1311"/>
      <c r="AP77" s="1311"/>
      <c r="AQ77" s="1311"/>
      <c r="AR77" s="1311"/>
      <c r="AS77" s="835"/>
      <c r="AT77" s="835"/>
      <c r="AU77" s="835"/>
      <c r="AV77" s="1311"/>
      <c r="AW77" s="1311"/>
      <c r="AX77" s="1311"/>
      <c r="AY77" s="1311"/>
      <c r="AZ77" s="835"/>
      <c r="BA77" s="835"/>
      <c r="BB77" s="835"/>
      <c r="BC77" s="1311"/>
      <c r="BD77" s="1311"/>
      <c r="BE77" s="1311"/>
      <c r="BF77" s="1311"/>
      <c r="BG77" s="1311"/>
      <c r="BH77" s="1311"/>
      <c r="BI77" s="1311"/>
      <c r="BJ77" s="1311"/>
      <c r="BK77" s="1311"/>
      <c r="BL77" s="1311"/>
      <c r="BM77" s="1311"/>
      <c r="BS77" s="1311"/>
      <c r="BT77" s="524"/>
      <c r="BU77" s="524"/>
      <c r="BW77" s="1321" t="s">
        <v>530</v>
      </c>
      <c r="BX77" s="1070">
        <v>20</v>
      </c>
    </row>
    <row r="78" spans="1:78" ht="15.75" customHeight="1">
      <c r="V78" s="1311"/>
      <c r="W78" s="1311"/>
      <c r="AD78" s="1311"/>
      <c r="AE78" s="200"/>
      <c r="AF78" s="200"/>
      <c r="AG78" s="200"/>
      <c r="AH78" s="1311"/>
      <c r="AI78" s="1311"/>
      <c r="AJ78" s="1311"/>
      <c r="AK78" s="1311"/>
      <c r="AL78" s="835"/>
      <c r="AM78" s="835"/>
      <c r="AN78" s="835"/>
      <c r="BW78" s="1321" t="s">
        <v>28</v>
      </c>
      <c r="BX78" s="1070">
        <v>10</v>
      </c>
    </row>
    <row r="79" spans="1:78" ht="15.75" customHeight="1">
      <c r="V79" s="201"/>
      <c r="W79" s="201"/>
      <c r="AD79" s="1311"/>
      <c r="AE79" s="200"/>
      <c r="AF79" s="200"/>
      <c r="AG79" s="200"/>
      <c r="AH79" s="1311"/>
      <c r="AI79" s="1311"/>
      <c r="AJ79" s="1311"/>
      <c r="AK79" s="1311"/>
      <c r="AL79" s="835"/>
      <c r="AM79" s="835"/>
      <c r="AN79" s="835"/>
      <c r="BW79" s="1321" t="s">
        <v>533</v>
      </c>
      <c r="BX79" s="1070">
        <v>10</v>
      </c>
    </row>
    <row r="80" spans="1:78" ht="15.75" customHeight="1">
      <c r="V80" s="201"/>
      <c r="W80" s="201"/>
      <c r="AD80" s="1311"/>
      <c r="AE80" s="835"/>
      <c r="AF80" s="835"/>
      <c r="AG80" s="835"/>
      <c r="AH80" s="1311"/>
      <c r="AI80" s="1311"/>
      <c r="AJ80" s="1311"/>
      <c r="AK80" s="1311"/>
      <c r="AL80" s="835"/>
      <c r="AM80" s="835"/>
      <c r="AN80" s="835"/>
      <c r="BN80" s="1311"/>
      <c r="BO80" s="1311"/>
      <c r="BP80" s="1311"/>
      <c r="BQ80" s="1311"/>
      <c r="BR80" s="1311"/>
      <c r="BW80" s="1321" t="s">
        <v>671</v>
      </c>
      <c r="BX80" s="1070">
        <v>30</v>
      </c>
    </row>
    <row r="81" spans="22:84" ht="15.75" customHeight="1">
      <c r="V81" s="1311"/>
      <c r="W81" s="1311"/>
      <c r="AD81" s="1311"/>
      <c r="AI81" s="1311"/>
      <c r="AJ81" s="1311"/>
      <c r="AK81" s="1311"/>
      <c r="AL81" s="835"/>
      <c r="AM81" s="835"/>
      <c r="AN81" s="835"/>
      <c r="AO81" s="1311"/>
      <c r="AP81" s="1311"/>
      <c r="AQ81" s="1311"/>
      <c r="AR81" s="1311"/>
      <c r="AS81" s="835"/>
      <c r="AT81" s="835"/>
      <c r="AU81" s="835"/>
      <c r="AV81" s="1311"/>
      <c r="AW81" s="1311"/>
      <c r="AX81" s="1311"/>
      <c r="AY81" s="1311"/>
      <c r="AZ81" s="835"/>
      <c r="BA81" s="835"/>
      <c r="BB81" s="835"/>
      <c r="BC81" s="1311"/>
      <c r="BD81" s="1311"/>
      <c r="BE81" s="1311"/>
      <c r="BF81" s="1311"/>
      <c r="BG81" s="1311"/>
      <c r="BH81" s="1311"/>
      <c r="BI81" s="1311"/>
      <c r="BJ81" s="1311"/>
      <c r="BK81" s="1311"/>
      <c r="BL81" s="1311"/>
      <c r="BM81" s="1311"/>
      <c r="BN81" s="1311"/>
      <c r="BO81" s="1311"/>
      <c r="BP81" s="1311"/>
      <c r="BQ81" s="1311"/>
      <c r="BR81" s="1311"/>
      <c r="BS81" s="1311"/>
      <c r="BT81" s="526"/>
      <c r="BU81" s="526"/>
      <c r="BW81" s="1321" t="s">
        <v>532</v>
      </c>
      <c r="BX81" s="1070">
        <v>40</v>
      </c>
    </row>
    <row r="82" spans="22:84" ht="15.75" customHeight="1">
      <c r="V82" s="1311"/>
      <c r="W82" s="1311"/>
      <c r="AI82" s="1311"/>
      <c r="AJ82" s="1311"/>
      <c r="AK82" s="1311"/>
      <c r="AL82" s="835"/>
      <c r="AM82" s="835"/>
      <c r="AN82" s="835"/>
      <c r="AO82" s="1311"/>
      <c r="AP82" s="1311"/>
      <c r="AQ82" s="1311"/>
      <c r="AR82" s="1311"/>
      <c r="AS82" s="835"/>
      <c r="AT82" s="835"/>
      <c r="AU82" s="835"/>
      <c r="AV82" s="1311"/>
      <c r="AW82" s="1311"/>
      <c r="AX82" s="1311"/>
      <c r="AY82" s="1311"/>
      <c r="AZ82" s="835"/>
      <c r="BA82" s="835"/>
      <c r="BB82" s="835"/>
      <c r="BC82" s="1311"/>
      <c r="BD82" s="1311"/>
      <c r="BE82" s="1311"/>
      <c r="BF82" s="1311"/>
      <c r="BG82" s="1311"/>
      <c r="BH82" s="1311"/>
      <c r="BI82" s="1311"/>
      <c r="BJ82" s="1311"/>
      <c r="BK82" s="1311"/>
      <c r="BL82" s="1311"/>
      <c r="BM82" s="1311"/>
      <c r="BN82" s="1311"/>
      <c r="BO82" s="1311"/>
      <c r="BP82" s="1311"/>
      <c r="BQ82" s="1311"/>
      <c r="BR82" s="1311"/>
      <c r="BS82" s="1311"/>
      <c r="BT82" s="524"/>
      <c r="BU82" s="524"/>
      <c r="BW82" s="1321" t="s">
        <v>9</v>
      </c>
      <c r="BX82" s="1070">
        <v>0</v>
      </c>
    </row>
    <row r="83" spans="22:84" ht="15.75" customHeight="1">
      <c r="AI83" s="1311"/>
      <c r="AJ83" s="1311"/>
      <c r="AK83" s="1311"/>
      <c r="AL83" s="835"/>
      <c r="AM83" s="835"/>
      <c r="AN83" s="835"/>
      <c r="AO83" s="1311"/>
      <c r="AP83" s="1311"/>
      <c r="AQ83" s="1311"/>
      <c r="AR83" s="1311"/>
      <c r="AS83" s="835"/>
      <c r="AT83" s="835"/>
      <c r="AU83" s="835"/>
      <c r="AV83" s="1311"/>
      <c r="AW83" s="1311"/>
      <c r="AX83" s="1311"/>
      <c r="AY83" s="1311"/>
      <c r="AZ83" s="835"/>
      <c r="BA83" s="835"/>
      <c r="BB83" s="835"/>
      <c r="BC83" s="1311"/>
      <c r="BD83" s="1311"/>
      <c r="BE83" s="1311"/>
      <c r="BF83" s="1311"/>
      <c r="BG83" s="1311"/>
      <c r="BH83" s="1311"/>
      <c r="BI83" s="1311"/>
      <c r="BJ83" s="1311"/>
      <c r="BK83" s="1311"/>
      <c r="BL83" s="1311"/>
      <c r="BM83" s="1311"/>
      <c r="BS83" s="1311"/>
      <c r="BT83" s="524"/>
      <c r="BU83" s="524"/>
      <c r="BW83" s="1321" t="s">
        <v>10</v>
      </c>
      <c r="BX83" s="1070">
        <v>10</v>
      </c>
    </row>
    <row r="84" spans="22:84" ht="15.75" customHeight="1">
      <c r="AI84" s="1311"/>
      <c r="AJ84" s="1311"/>
      <c r="AK84" s="1311"/>
      <c r="AL84" s="835"/>
      <c r="AM84" s="835"/>
      <c r="AN84" s="835"/>
      <c r="BW84" s="18" t="s">
        <v>31</v>
      </c>
      <c r="BX84" s="1070">
        <v>0</v>
      </c>
    </row>
    <row r="85" spans="22:84" ht="15.75" customHeight="1">
      <c r="AI85" s="1311"/>
      <c r="AJ85" s="1311"/>
      <c r="AK85" s="1311"/>
      <c r="AL85" s="835"/>
      <c r="AM85" s="835"/>
      <c r="AN85" s="835"/>
    </row>
    <row r="86" spans="22:84" ht="15.75" customHeight="1">
      <c r="AI86" s="1311"/>
      <c r="AJ86" s="1311"/>
      <c r="AK86" s="1311"/>
      <c r="AL86" s="835"/>
      <c r="AM86" s="835"/>
      <c r="AN86" s="835"/>
      <c r="BW86" s="174" t="s">
        <v>159</v>
      </c>
    </row>
    <row r="87" spans="22:84" ht="15.75" customHeight="1">
      <c r="AI87" s="1311"/>
      <c r="AJ87" s="1311"/>
      <c r="AK87" s="1311"/>
      <c r="AL87" s="835"/>
      <c r="AM87" s="835"/>
      <c r="AN87" s="835"/>
      <c r="BW87" s="18" t="s">
        <v>224</v>
      </c>
      <c r="BX87" s="1070">
        <v>20</v>
      </c>
    </row>
    <row r="88" spans="22:84" ht="15.75" customHeight="1">
      <c r="AI88" s="1311"/>
      <c r="AJ88" s="1311"/>
      <c r="AK88" s="1311"/>
      <c r="AL88" s="835"/>
      <c r="AM88" s="835"/>
      <c r="AN88" s="835"/>
      <c r="BW88" s="18" t="s">
        <v>160</v>
      </c>
      <c r="BX88" s="1070">
        <v>0</v>
      </c>
    </row>
    <row r="89" spans="22:84" ht="15.75" customHeight="1">
      <c r="AI89" s="1311"/>
      <c r="AJ89" s="1311"/>
      <c r="AK89" s="1311"/>
      <c r="AL89" s="835"/>
      <c r="AM89" s="835"/>
      <c r="AN89" s="835"/>
    </row>
    <row r="90" spans="22:84" ht="15.75" customHeight="1">
      <c r="AI90" s="1311"/>
      <c r="AJ90" s="1311"/>
      <c r="AK90" s="1311"/>
      <c r="AL90" s="835"/>
      <c r="AM90" s="835"/>
      <c r="AN90" s="835"/>
    </row>
    <row r="91" spans="22:84" ht="15.75" customHeight="1">
      <c r="AI91" s="1311"/>
      <c r="AJ91" s="1311"/>
      <c r="AK91" s="1311"/>
      <c r="AL91" s="835"/>
      <c r="AM91" s="835"/>
      <c r="AN91" s="835"/>
    </row>
    <row r="92" spans="22:84" ht="15.75" customHeight="1">
      <c r="AI92" s="1311"/>
      <c r="AJ92" s="1311"/>
      <c r="AK92" s="1311"/>
      <c r="AL92" s="835"/>
      <c r="AM92" s="835"/>
      <c r="AN92" s="835"/>
    </row>
    <row r="93" spans="22:84" ht="15.75" customHeight="1">
      <c r="AI93" s="1311"/>
      <c r="AJ93" s="1311"/>
      <c r="AK93" s="1311"/>
      <c r="AL93" s="835"/>
      <c r="AM93" s="835"/>
      <c r="AN93" s="835"/>
    </row>
    <row r="94" spans="22:84" ht="15.75" customHeight="1">
      <c r="AI94" s="1311"/>
      <c r="AJ94" s="1311"/>
      <c r="AK94" s="1311"/>
      <c r="AL94" s="835"/>
      <c r="AM94" s="835"/>
      <c r="AN94" s="835"/>
    </row>
    <row r="95" spans="22:84" ht="15.75" customHeight="1">
      <c r="AI95" s="1311"/>
      <c r="AJ95" s="1311"/>
      <c r="AK95" s="1311"/>
      <c r="AL95" s="835"/>
      <c r="AM95" s="835"/>
      <c r="AN95" s="835"/>
      <c r="BW95" s="842"/>
      <c r="BX95" s="842"/>
      <c r="BY95" s="842"/>
      <c r="BZ95" s="842"/>
      <c r="CA95" s="842"/>
      <c r="CB95" s="842"/>
      <c r="CC95" s="842"/>
      <c r="CD95" s="842"/>
      <c r="CE95" s="842"/>
      <c r="CF95" s="842"/>
    </row>
    <row r="96" spans="22:84" ht="15.75" customHeight="1">
      <c r="AI96" s="1311"/>
      <c r="AJ96" s="1311"/>
      <c r="AK96" s="1311"/>
      <c r="AL96" s="835"/>
      <c r="AM96" s="835"/>
      <c r="AN96" s="835"/>
      <c r="BW96" s="842"/>
      <c r="BX96" s="842"/>
      <c r="BY96" s="842"/>
      <c r="BZ96" s="842"/>
      <c r="CA96" s="842"/>
      <c r="CB96" s="842"/>
      <c r="CC96" s="842"/>
      <c r="CD96" s="842"/>
      <c r="CE96" s="842"/>
      <c r="CF96" s="842"/>
    </row>
    <row r="97" spans="35:84" ht="15.75" customHeight="1">
      <c r="AI97" s="1311"/>
      <c r="AJ97" s="1311"/>
      <c r="AK97" s="1311"/>
      <c r="AL97" s="835"/>
      <c r="AM97" s="835"/>
      <c r="AN97" s="835"/>
      <c r="BW97" s="842"/>
      <c r="BX97" s="842"/>
      <c r="BY97" s="842"/>
      <c r="BZ97" s="842"/>
      <c r="CA97" s="842"/>
      <c r="CB97" s="842"/>
      <c r="CC97" s="842"/>
      <c r="CD97" s="842"/>
      <c r="CE97" s="842"/>
      <c r="CF97" s="842"/>
    </row>
    <row r="98" spans="35:84" ht="15.75" customHeight="1">
      <c r="AI98" s="1311"/>
      <c r="AJ98" s="1311"/>
      <c r="AK98" s="1311"/>
      <c r="AL98" s="835"/>
      <c r="AM98" s="835"/>
      <c r="AN98" s="835"/>
      <c r="BW98" s="842"/>
      <c r="BX98" s="842"/>
      <c r="BY98" s="842"/>
      <c r="BZ98" s="842"/>
      <c r="CA98" s="842"/>
      <c r="CB98" s="842"/>
      <c r="CC98" s="842"/>
      <c r="CD98" s="842"/>
      <c r="CE98" s="842"/>
      <c r="CF98" s="842"/>
    </row>
    <row r="99" spans="35:84" ht="15.75" customHeight="1">
      <c r="AI99" s="1311"/>
      <c r="AJ99" s="1311"/>
      <c r="AK99" s="1311"/>
      <c r="AL99" s="835"/>
      <c r="AM99" s="835"/>
      <c r="AN99" s="835"/>
      <c r="BW99" s="842"/>
      <c r="BX99" s="842"/>
      <c r="BY99" s="842"/>
      <c r="BZ99" s="842"/>
      <c r="CA99" s="842"/>
      <c r="CB99" s="842"/>
      <c r="CC99" s="842"/>
      <c r="CD99" s="842"/>
      <c r="CE99" s="842"/>
      <c r="CF99" s="842"/>
    </row>
    <row r="100" spans="35:84" ht="15.75" customHeight="1">
      <c r="AI100" s="1311"/>
      <c r="AJ100" s="1311"/>
      <c r="AK100" s="1311"/>
      <c r="AL100" s="835"/>
      <c r="AM100" s="835"/>
      <c r="AN100" s="835"/>
      <c r="BW100" s="842"/>
      <c r="BX100" s="842"/>
      <c r="BY100" s="842"/>
      <c r="BZ100" s="842"/>
      <c r="CA100" s="842"/>
      <c r="CB100" s="842"/>
      <c r="CC100" s="842"/>
      <c r="CD100" s="842"/>
      <c r="CE100" s="842"/>
      <c r="CF100" s="842"/>
    </row>
    <row r="101" spans="35:84" ht="15.75" customHeight="1">
      <c r="AI101" s="1311"/>
      <c r="AJ101" s="1311"/>
      <c r="AK101" s="1311"/>
      <c r="AL101" s="835"/>
      <c r="AM101" s="835"/>
      <c r="AN101" s="835"/>
      <c r="BV101" s="1321"/>
      <c r="BW101" s="842"/>
      <c r="BX101" s="842"/>
      <c r="BY101" s="842"/>
      <c r="BZ101" s="842"/>
      <c r="CA101" s="842"/>
      <c r="CB101" s="842"/>
      <c r="CC101" s="842"/>
      <c r="CD101" s="842"/>
      <c r="CE101" s="842"/>
      <c r="CF101" s="842"/>
    </row>
    <row r="102" spans="35:84" ht="15.75" customHeight="1">
      <c r="AI102" s="1311"/>
      <c r="AJ102" s="1311"/>
      <c r="AK102" s="1311"/>
      <c r="AL102" s="835"/>
      <c r="AM102" s="835"/>
      <c r="AN102" s="835"/>
      <c r="BV102" s="1321"/>
      <c r="BW102" s="842"/>
      <c r="BX102" s="842"/>
      <c r="BY102" s="842"/>
      <c r="BZ102" s="842"/>
      <c r="CA102" s="842"/>
      <c r="CB102" s="842"/>
      <c r="CC102" s="842"/>
      <c r="CD102" s="842"/>
      <c r="CE102" s="842"/>
      <c r="CF102" s="842"/>
    </row>
    <row r="103" spans="35:84" ht="15.75" customHeight="1">
      <c r="AI103" s="1311"/>
      <c r="AJ103" s="1311"/>
      <c r="AK103" s="1311"/>
      <c r="AL103" s="835"/>
      <c r="AM103" s="835"/>
      <c r="AN103" s="835"/>
      <c r="BW103" s="842"/>
      <c r="BX103" s="842"/>
      <c r="BY103" s="842"/>
      <c r="BZ103" s="842"/>
      <c r="CA103" s="842"/>
      <c r="CB103" s="842"/>
      <c r="CC103" s="842"/>
      <c r="CD103" s="842"/>
      <c r="CE103" s="842"/>
      <c r="CF103" s="842"/>
    </row>
    <row r="104" spans="35:84" ht="15.75" customHeight="1">
      <c r="AI104" s="1311"/>
      <c r="AJ104" s="1311"/>
      <c r="AK104" s="1311"/>
      <c r="AL104" s="835"/>
      <c r="AM104" s="835"/>
      <c r="AN104" s="835"/>
      <c r="BW104" s="842"/>
      <c r="BX104" s="842"/>
      <c r="BY104" s="842"/>
      <c r="BZ104" s="842"/>
      <c r="CA104" s="842"/>
      <c r="CB104" s="842"/>
      <c r="CC104" s="842"/>
      <c r="CD104" s="842"/>
      <c r="CE104" s="842"/>
      <c r="CF104" s="842"/>
    </row>
    <row r="105" spans="35:84" ht="15.75" customHeight="1">
      <c r="AI105" s="1311"/>
      <c r="AJ105" s="1311"/>
      <c r="AK105" s="1311"/>
      <c r="AL105" s="835"/>
      <c r="AM105" s="835"/>
      <c r="AN105" s="835"/>
      <c r="BW105" s="842"/>
      <c r="BX105" s="842"/>
      <c r="BY105" s="842"/>
      <c r="BZ105" s="842"/>
      <c r="CA105" s="842"/>
      <c r="CB105" s="842"/>
      <c r="CC105" s="842"/>
      <c r="CD105" s="842"/>
      <c r="CE105" s="842"/>
      <c r="CF105" s="842"/>
    </row>
    <row r="106" spans="35:84" ht="15.75" customHeight="1">
      <c r="AI106" s="1311"/>
      <c r="AJ106" s="1311"/>
      <c r="AK106" s="1311"/>
      <c r="AL106" s="835"/>
      <c r="AM106" s="835"/>
      <c r="AN106" s="835"/>
      <c r="BW106" s="842"/>
      <c r="BX106" s="842"/>
      <c r="BY106" s="842"/>
      <c r="BZ106" s="842"/>
      <c r="CA106" s="842"/>
      <c r="CB106" s="842"/>
      <c r="CC106" s="842"/>
      <c r="CD106" s="842"/>
      <c r="CE106" s="842"/>
      <c r="CF106" s="842"/>
    </row>
    <row r="107" spans="35:84" ht="15.75" customHeight="1">
      <c r="AI107" s="1311"/>
      <c r="AJ107" s="1311"/>
      <c r="AK107" s="1311"/>
      <c r="AL107" s="835"/>
      <c r="AM107" s="835"/>
      <c r="AN107" s="835"/>
      <c r="BW107" s="842"/>
      <c r="BX107" s="842"/>
      <c r="BY107" s="842"/>
      <c r="BZ107" s="842"/>
      <c r="CA107" s="842"/>
      <c r="CB107" s="842"/>
      <c r="CC107" s="842"/>
      <c r="CD107" s="842"/>
      <c r="CE107" s="842"/>
      <c r="CF107" s="842"/>
    </row>
    <row r="108" spans="35:84" ht="15.75" customHeight="1">
      <c r="AI108" s="1311"/>
      <c r="AJ108" s="1311"/>
      <c r="AK108" s="1311"/>
      <c r="AL108" s="835"/>
      <c r="AM108" s="835"/>
      <c r="AN108" s="835"/>
      <c r="BW108" s="842"/>
      <c r="BX108" s="842"/>
      <c r="BY108" s="842"/>
      <c r="BZ108" s="842"/>
      <c r="CA108" s="842"/>
      <c r="CB108" s="842"/>
      <c r="CC108" s="842"/>
      <c r="CD108" s="842"/>
      <c r="CE108" s="842"/>
      <c r="CF108" s="842"/>
    </row>
    <row r="109" spans="35:84" ht="15.75" customHeight="1">
      <c r="AI109" s="1311"/>
      <c r="AJ109" s="1311"/>
      <c r="AK109" s="1311"/>
      <c r="AL109" s="835"/>
      <c r="AM109" s="835"/>
      <c r="AN109" s="835"/>
      <c r="BW109" s="842"/>
      <c r="BX109" s="842"/>
      <c r="BY109" s="842"/>
      <c r="BZ109" s="842"/>
      <c r="CA109" s="842"/>
      <c r="CB109" s="842"/>
      <c r="CC109" s="842"/>
      <c r="CD109" s="842"/>
      <c r="CE109" s="842"/>
      <c r="CF109" s="842"/>
    </row>
    <row r="110" spans="35:84" ht="15.75" customHeight="1">
      <c r="AI110" s="1311"/>
      <c r="AJ110" s="1311"/>
      <c r="AK110" s="1311"/>
      <c r="AL110" s="835"/>
      <c r="AM110" s="835"/>
      <c r="AN110" s="835"/>
      <c r="BW110" s="842"/>
      <c r="BX110" s="842"/>
      <c r="BY110" s="842"/>
      <c r="BZ110" s="842"/>
      <c r="CA110" s="842"/>
      <c r="CB110" s="842"/>
      <c r="CC110" s="842"/>
      <c r="CD110" s="842"/>
      <c r="CE110" s="842"/>
      <c r="CF110" s="842"/>
    </row>
    <row r="111" spans="35:84" ht="15.75" customHeight="1">
      <c r="AI111" s="1311"/>
      <c r="AJ111" s="1311"/>
      <c r="AK111" s="1311"/>
      <c r="AL111" s="835"/>
      <c r="AM111" s="835"/>
      <c r="AN111" s="835"/>
      <c r="BW111" s="842"/>
      <c r="BX111" s="842"/>
      <c r="BY111" s="842"/>
      <c r="BZ111" s="842"/>
      <c r="CA111" s="842"/>
      <c r="CB111" s="842"/>
      <c r="CC111" s="842"/>
      <c r="CD111" s="842"/>
      <c r="CE111" s="842"/>
      <c r="CF111" s="842"/>
    </row>
    <row r="112" spans="35:84" ht="15.75" customHeight="1">
      <c r="AI112" s="1311"/>
      <c r="AJ112" s="1311"/>
      <c r="AK112" s="1311"/>
      <c r="AL112" s="835"/>
      <c r="AM112" s="835"/>
      <c r="AN112" s="835"/>
      <c r="BW112" s="842"/>
      <c r="BX112" s="842"/>
      <c r="BY112" s="842"/>
      <c r="BZ112" s="842"/>
      <c r="CA112" s="842"/>
      <c r="CB112" s="842"/>
      <c r="CC112" s="842"/>
      <c r="CD112" s="842"/>
      <c r="CE112" s="842"/>
      <c r="CF112" s="842"/>
    </row>
    <row r="113" spans="35:84" ht="15.75" customHeight="1">
      <c r="AI113" s="1311"/>
      <c r="AJ113" s="1311"/>
      <c r="AK113" s="1311"/>
      <c r="AL113" s="835"/>
      <c r="AM113" s="835"/>
      <c r="AN113" s="835"/>
      <c r="BW113" s="842"/>
      <c r="BX113" s="842"/>
      <c r="BY113" s="842"/>
      <c r="BZ113" s="842"/>
      <c r="CA113" s="842"/>
      <c r="CB113" s="842"/>
      <c r="CC113" s="842"/>
      <c r="CD113" s="842"/>
      <c r="CE113" s="842"/>
      <c r="CF113" s="842"/>
    </row>
    <row r="114" spans="35:84" ht="15" customHeight="1">
      <c r="AI114" s="1311"/>
      <c r="AJ114" s="1311"/>
      <c r="AK114" s="1311"/>
      <c r="AL114" s="835"/>
      <c r="AM114" s="835"/>
      <c r="AN114" s="835"/>
      <c r="BW114" s="842"/>
      <c r="BX114" s="842"/>
      <c r="BY114" s="842"/>
      <c r="BZ114" s="842"/>
      <c r="CA114" s="842"/>
      <c r="CB114" s="842"/>
      <c r="CC114" s="842"/>
      <c r="CD114" s="842"/>
      <c r="CE114" s="842"/>
      <c r="CF114" s="842"/>
    </row>
    <row r="115" spans="35:84" ht="58.5" customHeight="1">
      <c r="AI115" s="1311"/>
      <c r="AJ115" s="1311"/>
      <c r="AK115" s="1311"/>
      <c r="AL115" s="835"/>
      <c r="AM115" s="835"/>
      <c r="AN115" s="835"/>
      <c r="BW115" s="842"/>
      <c r="BX115" s="842"/>
      <c r="BY115" s="842"/>
      <c r="BZ115" s="842"/>
      <c r="CA115" s="842"/>
      <c r="CB115" s="842"/>
      <c r="CC115" s="842"/>
      <c r="CD115" s="842"/>
      <c r="CE115" s="842"/>
      <c r="CF115" s="842"/>
    </row>
    <row r="116" spans="35:84" ht="36" customHeight="1">
      <c r="AI116" s="1311"/>
      <c r="AJ116" s="1311"/>
      <c r="AK116" s="1311"/>
      <c r="AL116" s="835"/>
      <c r="AM116" s="835"/>
      <c r="AN116" s="835"/>
    </row>
    <row r="117" spans="35:84" ht="15.75" customHeight="1">
      <c r="AI117" s="1311"/>
      <c r="AJ117" s="1311"/>
      <c r="AK117" s="1311"/>
      <c r="AL117" s="835"/>
      <c r="AM117" s="835"/>
      <c r="AN117" s="835"/>
    </row>
    <row r="118" spans="35:84" ht="15.75" customHeight="1">
      <c r="AI118" s="1311"/>
      <c r="AJ118" s="1311"/>
      <c r="AK118" s="1311"/>
      <c r="AL118" s="835"/>
      <c r="AM118" s="835"/>
      <c r="AN118" s="835"/>
    </row>
    <row r="119" spans="35:84" ht="15.75" customHeight="1">
      <c r="AI119" s="1311"/>
      <c r="AJ119" s="1311"/>
      <c r="AK119" s="1311"/>
      <c r="AL119" s="835"/>
      <c r="AM119" s="835"/>
      <c r="AN119" s="835"/>
    </row>
    <row r="120" spans="35:84" ht="15.75" customHeight="1">
      <c r="AI120" s="1311"/>
      <c r="AJ120" s="1311"/>
      <c r="AK120" s="1311"/>
      <c r="AL120" s="835"/>
      <c r="AM120" s="835"/>
      <c r="AN120" s="835"/>
    </row>
    <row r="121" spans="35:84">
      <c r="AI121" s="1311"/>
      <c r="AJ121" s="1311"/>
      <c r="AK121" s="1311"/>
      <c r="AL121" s="835"/>
      <c r="AM121" s="835"/>
      <c r="AN121" s="835"/>
    </row>
    <row r="122" spans="35:84">
      <c r="AI122" s="1311"/>
      <c r="AJ122" s="1311"/>
      <c r="AK122" s="1311"/>
      <c r="AL122" s="835"/>
      <c r="AM122" s="835"/>
      <c r="AN122" s="835"/>
    </row>
    <row r="123" spans="35:84">
      <c r="AI123" s="1311"/>
      <c r="AJ123" s="1311"/>
      <c r="AK123" s="1311"/>
      <c r="AL123" s="835"/>
      <c r="AM123" s="835"/>
      <c r="AN123" s="835"/>
    </row>
    <row r="124" spans="35:84">
      <c r="AI124" s="1311"/>
      <c r="AJ124" s="1311"/>
      <c r="AK124" s="1311"/>
      <c r="AL124" s="835"/>
      <c r="AM124" s="835"/>
      <c r="AN124" s="835"/>
    </row>
    <row r="132" ht="17.25" customHeight="1"/>
  </sheetData>
  <sheetProtection sheet="1" formatCells="0" formatColumns="0" formatRows="0" selectLockedCells="1"/>
  <mergeCells count="44">
    <mergeCell ref="BM5:BQ6"/>
    <mergeCell ref="V4:BE4"/>
    <mergeCell ref="I6:I7"/>
    <mergeCell ref="P6:P7"/>
    <mergeCell ref="BG2:BQ4"/>
    <mergeCell ref="W6:W7"/>
    <mergeCell ref="V5:BE5"/>
    <mergeCell ref="BG5:BK6"/>
    <mergeCell ref="L1:P3"/>
    <mergeCell ref="J6:J7"/>
    <mergeCell ref="K6:K7"/>
    <mergeCell ref="L6:L7"/>
    <mergeCell ref="M6:M7"/>
    <mergeCell ref="N6:N7"/>
    <mergeCell ref="A4:T4"/>
    <mergeCell ref="A5:T5"/>
    <mergeCell ref="R54:R55"/>
    <mergeCell ref="T54:T55"/>
    <mergeCell ref="AL6:AQ6"/>
    <mergeCell ref="AS6:AX6"/>
    <mergeCell ref="AZ6:BE6"/>
    <mergeCell ref="S6:T6"/>
    <mergeCell ref="Q6:R6"/>
    <mergeCell ref="V6:V7"/>
    <mergeCell ref="X6:AC6"/>
    <mergeCell ref="AE6:AJ6"/>
    <mergeCell ref="A57:B61"/>
    <mergeCell ref="C57:T61"/>
    <mergeCell ref="A63:B66"/>
    <mergeCell ref="C63:T65"/>
    <mergeCell ref="C66:T66"/>
    <mergeCell ref="C1:D1"/>
    <mergeCell ref="I1:J1"/>
    <mergeCell ref="C2:D2"/>
    <mergeCell ref="I2:J2"/>
    <mergeCell ref="C3:D3"/>
    <mergeCell ref="E2:G3"/>
    <mergeCell ref="A6:A7"/>
    <mergeCell ref="B6:B7"/>
    <mergeCell ref="C6:C7"/>
    <mergeCell ref="D6:E6"/>
    <mergeCell ref="O6:O7"/>
    <mergeCell ref="F6:G6"/>
    <mergeCell ref="H6:H7"/>
  </mergeCells>
  <dataValidations count="4">
    <dataValidation type="list" allowBlank="1" sqref="J8:J52">
      <formula1>BW$75:BW$84</formula1>
    </dataValidation>
    <dataValidation type="list" allowBlank="1" sqref="H8:H52">
      <formula1>BW$62:BW$72</formula1>
    </dataValidation>
    <dataValidation type="list" allowBlank="1" sqref="N8:N52">
      <formula1>BW$87:BW$88</formula1>
    </dataValidation>
    <dataValidation type="list" allowBlank="1" sqref="C8:C52">
      <formula1>BW$3:BW$58</formula1>
    </dataValidation>
  </dataValidations>
  <pageMargins left="0.78740157480314965" right="0.23622047244094491" top="0.74803149606299213" bottom="0.74803149606299213" header="0.31496062992125984" footer="0.31496062992125984"/>
  <pageSetup paperSize="9" scale="59" fitToHeight="0" orientation="landscape" horizontalDpi="4294967293" verticalDpi="4294967293" r:id="rId1"/>
  <rowBreaks count="1" manualBreakCount="1">
    <brk id="53" max="56" man="1"/>
  </rowBreaks>
  <colBreaks count="1" manualBreakCount="1">
    <brk id="21" max="3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BA8:BA52 AT8:AT52 AM8:AM52 AF8:AF52 Y8:Y52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68"/>
  <sheetViews>
    <sheetView zoomScale="80" zoomScaleNormal="80" zoomScaleSheetLayoutView="100" workbookViewId="0">
      <selection activeCell="N29" sqref="N29"/>
    </sheetView>
  </sheetViews>
  <sheetFormatPr baseColWidth="10" defaultRowHeight="15.75"/>
  <cols>
    <col min="1" max="1" width="17.7109375" style="1214" customWidth="1"/>
    <col min="2" max="2" width="48.140625" style="1214" customWidth="1"/>
    <col min="3" max="3" width="15.85546875" style="1214" customWidth="1"/>
    <col min="4" max="4" width="14.5703125" style="1214" customWidth="1"/>
    <col min="5" max="5" width="12.5703125" style="1214" customWidth="1"/>
    <col min="6" max="6" width="11.28515625" style="1214" customWidth="1"/>
    <col min="7" max="7" width="10.85546875" style="1214" customWidth="1"/>
    <col min="8" max="8" width="3.85546875" style="1214" customWidth="1"/>
    <col min="9" max="9" width="10.28515625" style="1214" customWidth="1"/>
    <col min="10" max="10" width="9.85546875" style="1214" customWidth="1"/>
    <col min="11" max="11" width="11.42578125" style="1214" customWidth="1"/>
    <col min="12" max="12" width="9.7109375" style="1214" customWidth="1"/>
    <col min="13" max="13" width="9.5703125" style="1214" customWidth="1"/>
    <col min="14" max="14" width="10.42578125" style="1214" customWidth="1"/>
    <col min="15" max="16" width="10.85546875" style="1214" customWidth="1"/>
    <col min="17" max="17" width="12.28515625" style="1214" customWidth="1"/>
    <col min="18" max="18" width="11.7109375" style="1214" customWidth="1"/>
    <col min="19" max="19" width="43.5703125" style="1214" customWidth="1"/>
    <col min="20" max="16384" width="11.42578125" style="1214"/>
  </cols>
  <sheetData>
    <row r="1" spans="1:20" s="279" customFormat="1" ht="63.75" customHeight="1">
      <c r="A1" s="2972" t="s">
        <v>1262</v>
      </c>
      <c r="B1" s="2527"/>
      <c r="C1" s="2527"/>
      <c r="D1" s="2527"/>
      <c r="E1" s="2527"/>
      <c r="F1" s="2527"/>
      <c r="G1" s="2527"/>
      <c r="H1" s="2527"/>
      <c r="I1" s="2527"/>
      <c r="J1" s="2527"/>
      <c r="K1" s="2527"/>
      <c r="L1" s="2527"/>
      <c r="M1" s="2527"/>
      <c r="N1" s="2527"/>
      <c r="O1" s="2527"/>
      <c r="P1" s="2527"/>
      <c r="Q1" s="2527"/>
      <c r="R1" s="2527"/>
    </row>
    <row r="2" spans="1:20" s="1528" customFormat="1" ht="27.75" customHeight="1">
      <c r="A2" s="2973" t="s">
        <v>1211</v>
      </c>
      <c r="B2" s="2974"/>
      <c r="C2" s="2974"/>
      <c r="D2" s="2974"/>
      <c r="E2" s="2974"/>
      <c r="F2" s="2974"/>
      <c r="G2" s="2974"/>
      <c r="H2" s="2974"/>
      <c r="I2" s="2974"/>
      <c r="J2" s="2974"/>
      <c r="K2" s="2974"/>
      <c r="L2" s="2974"/>
      <c r="M2" s="2974"/>
      <c r="N2" s="2974"/>
      <c r="O2" s="2974"/>
      <c r="P2" s="2974"/>
      <c r="Q2" s="2974"/>
      <c r="R2" s="2974"/>
    </row>
    <row r="3" spans="1:20" s="878" customFormat="1" ht="49.5" customHeight="1">
      <c r="A3" s="2970" t="s">
        <v>1422</v>
      </c>
      <c r="B3" s="2971"/>
      <c r="C3" s="2971"/>
      <c r="D3" s="2971"/>
      <c r="E3" s="2971"/>
      <c r="F3" s="2971"/>
      <c r="G3" s="2971"/>
      <c r="H3" s="2971"/>
      <c r="I3" s="2971"/>
      <c r="J3" s="2971"/>
      <c r="K3" s="2971"/>
      <c r="L3" s="2971"/>
      <c r="M3" s="2971"/>
      <c r="N3" s="2971"/>
      <c r="O3" s="2971"/>
      <c r="P3" s="2971"/>
      <c r="Q3" s="2971"/>
      <c r="R3" s="2971"/>
    </row>
    <row r="4" spans="1:20" ht="66" customHeight="1">
      <c r="A4" s="2972" t="s">
        <v>1212</v>
      </c>
      <c r="B4" s="2527"/>
      <c r="C4" s="2527"/>
      <c r="D4" s="2527"/>
      <c r="E4" s="2527"/>
      <c r="F4" s="2527"/>
      <c r="G4" s="2527"/>
      <c r="H4" s="2527"/>
      <c r="I4" s="2527"/>
      <c r="J4" s="2527"/>
      <c r="K4" s="2527"/>
      <c r="L4" s="2527"/>
      <c r="M4" s="2527"/>
      <c r="N4" s="2527"/>
      <c r="O4" s="2527"/>
      <c r="P4" s="2527"/>
      <c r="Q4" s="2527"/>
      <c r="R4" s="2527"/>
      <c r="S4" s="1451"/>
    </row>
    <row r="5" spans="1:20" ht="15.75" customHeight="1">
      <c r="A5" s="1529"/>
      <c r="B5" s="1443"/>
      <c r="C5" s="1443"/>
      <c r="D5" s="1443"/>
      <c r="E5" s="1443"/>
      <c r="F5" s="1443"/>
      <c r="G5" s="1443"/>
      <c r="H5" s="1443"/>
      <c r="I5" s="1443"/>
      <c r="J5" s="1443"/>
      <c r="K5" s="1443"/>
      <c r="L5" s="1443"/>
      <c r="M5" s="1443"/>
      <c r="N5" s="1443"/>
      <c r="O5" s="1443"/>
      <c r="P5" s="1443"/>
      <c r="Q5" s="1443"/>
      <c r="R5" s="1443"/>
      <c r="S5" s="1451"/>
    </row>
    <row r="6" spans="1:20" s="1530" customFormat="1" ht="21" customHeight="1">
      <c r="B6" s="1531" t="str">
        <f>'DüV-N-Feldfutter'!C1</f>
        <v>Karl vom Land</v>
      </c>
      <c r="C6" s="1531" t="str">
        <f>'DüV-N-Feldfutter'!C2</f>
        <v>Höfen 1</v>
      </c>
      <c r="E6" s="1531" t="str">
        <f>'DüV-N-Feldfutter'!C3</f>
        <v>12345 Auf dem Feld</v>
      </c>
      <c r="G6" s="1532"/>
      <c r="H6" s="1532"/>
      <c r="I6" s="1531" t="str">
        <f>'DüV-N-Feldfutter'!E1</f>
        <v>Erntejahr</v>
      </c>
      <c r="J6" s="1531">
        <f>'DüV-N-Feldfutter'!E2</f>
        <v>2022</v>
      </c>
      <c r="M6" s="1532"/>
      <c r="N6" s="1532"/>
      <c r="O6" s="1532"/>
      <c r="P6" s="1532"/>
      <c r="Q6" s="1532"/>
      <c r="R6" s="1532"/>
    </row>
    <row r="7" spans="1:20" ht="15" customHeight="1" thickBot="1">
      <c r="B7" s="1235"/>
      <c r="C7" s="1236"/>
    </row>
    <row r="8" spans="1:20" ht="30" customHeight="1" thickBot="1">
      <c r="A8" s="2978" t="s">
        <v>1144</v>
      </c>
      <c r="B8" s="1873"/>
      <c r="C8" s="2975" t="s">
        <v>1125</v>
      </c>
      <c r="D8" s="2976"/>
      <c r="E8" s="2976"/>
      <c r="F8" s="2976"/>
      <c r="G8" s="2977"/>
      <c r="H8" s="1287"/>
      <c r="I8" s="2981" t="s">
        <v>1126</v>
      </c>
      <c r="J8" s="2982"/>
      <c r="K8" s="2982"/>
      <c r="L8" s="2982"/>
      <c r="M8" s="2982"/>
      <c r="N8" s="2982"/>
      <c r="O8" s="2982"/>
      <c r="P8" s="2982"/>
      <c r="Q8" s="2982"/>
      <c r="R8" s="2983"/>
    </row>
    <row r="9" spans="1:20" ht="20.25" customHeight="1">
      <c r="A9" s="2979"/>
      <c r="B9" s="1645"/>
      <c r="C9" s="1643" t="s">
        <v>1128</v>
      </c>
      <c r="D9" s="2699" t="s">
        <v>1127</v>
      </c>
      <c r="E9" s="2984"/>
      <c r="F9" s="2699" t="s">
        <v>322</v>
      </c>
      <c r="G9" s="2985"/>
      <c r="I9" s="2952" t="s">
        <v>1127</v>
      </c>
      <c r="J9" s="2953"/>
      <c r="K9" s="2953"/>
      <c r="L9" s="2953"/>
      <c r="M9" s="2954"/>
      <c r="N9" s="2952" t="s">
        <v>322</v>
      </c>
      <c r="O9" s="2953"/>
      <c r="P9" s="2953"/>
      <c r="Q9" s="2953"/>
      <c r="R9" s="2954"/>
    </row>
    <row r="10" spans="1:20" ht="48" thickBot="1">
      <c r="A10" s="2979"/>
      <c r="B10" s="1646"/>
      <c r="C10" s="1644" t="s">
        <v>1129</v>
      </c>
      <c r="D10" s="2033" t="s">
        <v>177</v>
      </c>
      <c r="E10" s="2034" t="s">
        <v>1256</v>
      </c>
      <c r="F10" s="1459" t="s">
        <v>177</v>
      </c>
      <c r="G10" s="1664" t="s">
        <v>1255</v>
      </c>
      <c r="H10" s="1212"/>
      <c r="I10" s="2040" t="s">
        <v>1123</v>
      </c>
      <c r="J10" s="2041" t="s">
        <v>1080</v>
      </c>
      <c r="K10" s="2096" t="s">
        <v>1242</v>
      </c>
      <c r="L10" s="2041" t="s">
        <v>1238</v>
      </c>
      <c r="M10" s="2042" t="s">
        <v>1130</v>
      </c>
      <c r="N10" s="1455" t="s">
        <v>1123</v>
      </c>
      <c r="O10" s="1456" t="s">
        <v>1080</v>
      </c>
      <c r="P10" s="1457" t="s">
        <v>1242</v>
      </c>
      <c r="Q10" s="1456" t="s">
        <v>1238</v>
      </c>
      <c r="R10" s="1640" t="s">
        <v>1130</v>
      </c>
    </row>
    <row r="11" spans="1:20" ht="21" customHeight="1">
      <c r="A11" s="2979"/>
      <c r="B11" s="1646" t="s">
        <v>1112</v>
      </c>
      <c r="C11" s="1828">
        <f>'DüV-N-Ackerbau'!B53</f>
        <v>0</v>
      </c>
      <c r="D11" s="1829">
        <f>'DüV-N-Ackerbau'!R53</f>
        <v>0</v>
      </c>
      <c r="E11" s="1851">
        <f>'DüV-N-Ackerbau'!T53</f>
        <v>0</v>
      </c>
      <c r="F11" s="1830" t="str">
        <f>IF(D11=0,"0",D11/$C11)</f>
        <v>0</v>
      </c>
      <c r="G11" s="1831" t="str">
        <f>IF(E11=0,"0",E11/$C11)</f>
        <v>0</v>
      </c>
      <c r="H11" s="1212"/>
      <c r="I11" s="2043">
        <f>'DüV-N-Ackerbau'!BN53</f>
        <v>0</v>
      </c>
      <c r="J11" s="2044">
        <f>'DüV-N-Ackerbau'!BM53</f>
        <v>0</v>
      </c>
      <c r="K11" s="2044">
        <f>'DüV-N-Ackerbau'!BP53</f>
        <v>0</v>
      </c>
      <c r="L11" s="2044">
        <f>'DüV-N-Ackerbau'!BO53</f>
        <v>0</v>
      </c>
      <c r="M11" s="2045">
        <f>'DüV-N-Ackerbau'!BQ53</f>
        <v>0</v>
      </c>
      <c r="N11" s="2029" t="str">
        <f>IF(I11=0,"0",I11/$C11)</f>
        <v>0</v>
      </c>
      <c r="O11" s="2053" t="str">
        <f t="shared" ref="O11:R18" si="0">IF(J11=0,"0",J11/$C11)</f>
        <v>0</v>
      </c>
      <c r="P11" s="2053" t="str">
        <f t="shared" si="0"/>
        <v>0</v>
      </c>
      <c r="Q11" s="2053" t="str">
        <f t="shared" si="0"/>
        <v>0</v>
      </c>
      <c r="R11" s="2054" t="str">
        <f t="shared" si="0"/>
        <v>0</v>
      </c>
      <c r="S11" s="1219"/>
      <c r="T11" s="1216"/>
    </row>
    <row r="12" spans="1:20" ht="21" customHeight="1">
      <c r="A12" s="2979"/>
      <c r="B12" s="1646" t="s">
        <v>1394</v>
      </c>
      <c r="C12" s="1828">
        <f>'DüV-N-Gemüse'!B53</f>
        <v>0</v>
      </c>
      <c r="D12" s="2036">
        <f>'DüV-N-Gemüse'!Y53</f>
        <v>0</v>
      </c>
      <c r="E12" s="1834">
        <f>'DüV-N-Gemüse'!AA53</f>
        <v>0</v>
      </c>
      <c r="F12" s="1835" t="str">
        <f t="shared" ref="F12:F13" si="1">IF(D12=0,"0",D12/$C12)</f>
        <v>0</v>
      </c>
      <c r="G12" s="1836" t="str">
        <f t="shared" ref="G12:G13" si="2">IF(E12=0,"0",E12/$C12)</f>
        <v>0</v>
      </c>
      <c r="H12" s="1212"/>
      <c r="I12" s="2046">
        <f>'DüV-N-Gemüse'!BU53</f>
        <v>0</v>
      </c>
      <c r="J12" s="2044">
        <f>'DüV-N-Gemüse'!BT53</f>
        <v>0</v>
      </c>
      <c r="K12" s="2044">
        <f>'DüV-N-Gemüse'!BW53</f>
        <v>0</v>
      </c>
      <c r="L12" s="2044">
        <f>'DüV-N-Gemüse'!BV53</f>
        <v>0</v>
      </c>
      <c r="M12" s="1586">
        <f>'DüV-N-Gemüse'!BX53</f>
        <v>0</v>
      </c>
      <c r="N12" s="1835" t="str">
        <f t="shared" ref="N12:N13" si="3">IF(I12=0,"0",I12/$C12)</f>
        <v>0</v>
      </c>
      <c r="O12" s="1837" t="str">
        <f t="shared" ref="O12:O13" si="4">IF(J12=0,"0",J12/$C12)</f>
        <v>0</v>
      </c>
      <c r="P12" s="1837" t="str">
        <f t="shared" ref="P12:P13" si="5">IF(K12=0,"0",K12/$C12)</f>
        <v>0</v>
      </c>
      <c r="Q12" s="1837" t="str">
        <f t="shared" ref="Q12:Q13" si="6">IF(L12=0,"0",L12/$C12)</f>
        <v>0</v>
      </c>
      <c r="R12" s="1838" t="str">
        <f t="shared" ref="R12:R13" si="7">IF(M12=0,"0",M12/$C12)</f>
        <v>0</v>
      </c>
      <c r="S12" s="1219"/>
      <c r="T12" s="1216"/>
    </row>
    <row r="13" spans="1:20" ht="21" customHeight="1">
      <c r="A13" s="2979"/>
      <c r="B13" s="1646" t="s">
        <v>1393</v>
      </c>
      <c r="C13" s="1828">
        <f>'DüV-N-Heil- &amp; Gewürz'!B32</f>
        <v>0</v>
      </c>
      <c r="D13" s="2036">
        <f>'DüV-N-Heil- &amp; Gewürz'!X32</f>
        <v>0</v>
      </c>
      <c r="E13" s="1834">
        <f>'DüV-N-Heil- &amp; Gewürz'!Z32</f>
        <v>0</v>
      </c>
      <c r="F13" s="1835" t="str">
        <f t="shared" si="1"/>
        <v>0</v>
      </c>
      <c r="G13" s="1836" t="str">
        <f t="shared" si="2"/>
        <v>0</v>
      </c>
      <c r="H13" s="1212"/>
      <c r="I13" s="2046">
        <f>'DüV-N-Heil- &amp; Gewürz'!BT32</f>
        <v>0</v>
      </c>
      <c r="J13" s="2044">
        <f>'DüV-N-Heil- &amp; Gewürz'!BS32</f>
        <v>0</v>
      </c>
      <c r="K13" s="2044">
        <f>'DüV-N-Heil- &amp; Gewürz'!BV32</f>
        <v>0</v>
      </c>
      <c r="L13" s="2044">
        <f>'DüV-N-Heil- &amp; Gewürz'!BU32</f>
        <v>0</v>
      </c>
      <c r="M13" s="1586">
        <f>'DüV-N-Heil- &amp; Gewürz'!BW32</f>
        <v>0</v>
      </c>
      <c r="N13" s="2025" t="str">
        <f t="shared" si="3"/>
        <v>0</v>
      </c>
      <c r="O13" s="2027" t="str">
        <f t="shared" si="4"/>
        <v>0</v>
      </c>
      <c r="P13" s="2027" t="str">
        <f t="shared" si="5"/>
        <v>0</v>
      </c>
      <c r="Q13" s="2027" t="str">
        <f t="shared" si="6"/>
        <v>0</v>
      </c>
      <c r="R13" s="2028" t="str">
        <f t="shared" si="7"/>
        <v>0</v>
      </c>
      <c r="S13" s="1219"/>
      <c r="T13" s="1216"/>
    </row>
    <row r="14" spans="1:20" ht="21" customHeight="1">
      <c r="A14" s="2979"/>
      <c r="B14" s="1832" t="s">
        <v>1171</v>
      </c>
      <c r="C14" s="1828">
        <f>'DüV-N-Zweit-Zwischenfrucht'!B53+'DüV-N-Folgekultur-Gem.-H&amp;G'!B43</f>
        <v>0</v>
      </c>
      <c r="D14" s="2036">
        <f>'DüV-N-Zweit-Zwischenfrucht'!T53+'DüV-N-Folgekultur-Gem.-H&amp;G'!V43</f>
        <v>0</v>
      </c>
      <c r="E14" s="1834">
        <f>'DüV-N-Zweit-Zwischenfrucht'!V53+'DüV-N-Folgekultur-Gem.-H&amp;G'!X8</f>
        <v>0</v>
      </c>
      <c r="F14" s="1835" t="str">
        <f t="shared" ref="F14:G18" si="8">IF(D14=0,"0",D14/$C14)</f>
        <v>0</v>
      </c>
      <c r="G14" s="1836" t="str">
        <f t="shared" si="8"/>
        <v>0</v>
      </c>
      <c r="H14" s="1585"/>
      <c r="I14" s="2046">
        <f>'DüV-N-Zweit-Zwischenfrucht'!BC53+'DüV-N-Folgekultur-Gem.-H&amp;G'!BE43</f>
        <v>0</v>
      </c>
      <c r="J14" s="1845">
        <f>'DüV-N-Zweit-Zwischenfrucht'!BB53+'DüV-N-Folgekultur-Gem.-H&amp;G'!BD43</f>
        <v>0</v>
      </c>
      <c r="K14" s="1845">
        <f>'DüV-N-Zweit-Zwischenfrucht'!BE53+'DüV-N-Folgekultur-Gem.-H&amp;G'!BG43</f>
        <v>0</v>
      </c>
      <c r="L14" s="1845">
        <f>'DüV-N-Zweit-Zwischenfrucht'!BD53+'DüV-N-Folgekultur-Gem.-H&amp;G'!BF43</f>
        <v>0</v>
      </c>
      <c r="M14" s="1586">
        <f>'DüV-N-Zweit-Zwischenfrucht'!BF53+'DüV-N-Folgekultur-Gem.-H&amp;G'!BH43</f>
        <v>0</v>
      </c>
      <c r="N14" s="1835" t="str">
        <f t="shared" ref="N14:N18" si="9">IF(I14=0,"0",I14/$C14)</f>
        <v>0</v>
      </c>
      <c r="O14" s="1837" t="str">
        <f t="shared" si="0"/>
        <v>0</v>
      </c>
      <c r="P14" s="1837" t="str">
        <f t="shared" si="0"/>
        <v>0</v>
      </c>
      <c r="Q14" s="1837" t="str">
        <f t="shared" si="0"/>
        <v>0</v>
      </c>
      <c r="R14" s="1838" t="str">
        <f t="shared" si="0"/>
        <v>0</v>
      </c>
      <c r="S14" s="1212"/>
      <c r="T14" s="1216"/>
    </row>
    <row r="15" spans="1:20" ht="21" customHeight="1">
      <c r="A15" s="2979"/>
      <c r="B15" s="1832" t="s">
        <v>1117</v>
      </c>
      <c r="C15" s="1828">
        <f>'DüV-N-Feldfutter'!B43</f>
        <v>0</v>
      </c>
      <c r="D15" s="2036">
        <f>'DüV-N-Feldfutter'!N43</f>
        <v>0</v>
      </c>
      <c r="E15" s="1834">
        <f>'DüV-N-Feldfutter'!P43</f>
        <v>0</v>
      </c>
      <c r="F15" s="1835" t="str">
        <f t="shared" si="8"/>
        <v>0</v>
      </c>
      <c r="G15" s="1836" t="str">
        <f t="shared" si="8"/>
        <v>0</v>
      </c>
      <c r="H15" s="1212"/>
      <c r="I15" s="2043">
        <f>'DüV-N-Feldfutter'!BJ43</f>
        <v>0</v>
      </c>
      <c r="J15" s="2044">
        <f>'DüV-N-Feldfutter'!BI43</f>
        <v>0</v>
      </c>
      <c r="K15" s="2044">
        <f>'DüV-N-Feldfutter'!BL43</f>
        <v>0</v>
      </c>
      <c r="L15" s="2044">
        <f>'DüV-N-Feldfutter'!BK43</f>
        <v>0</v>
      </c>
      <c r="M15" s="2045">
        <f>'DüV-N-Feldfutter'!BM43</f>
        <v>0</v>
      </c>
      <c r="N15" s="1835" t="str">
        <f t="shared" si="9"/>
        <v>0</v>
      </c>
      <c r="O15" s="1837" t="str">
        <f t="shared" si="0"/>
        <v>0</v>
      </c>
      <c r="P15" s="1837" t="str">
        <f t="shared" si="0"/>
        <v>0</v>
      </c>
      <c r="Q15" s="1837" t="str">
        <f t="shared" si="0"/>
        <v>0</v>
      </c>
      <c r="R15" s="1838" t="str">
        <f t="shared" si="0"/>
        <v>0</v>
      </c>
      <c r="S15" s="1212"/>
    </row>
    <row r="16" spans="1:20" ht="21" customHeight="1">
      <c r="A16" s="2979"/>
      <c r="B16" s="1841" t="s">
        <v>1116</v>
      </c>
      <c r="C16" s="1842">
        <f>'DüV-N-Grünland'!B43</f>
        <v>0</v>
      </c>
      <c r="D16" s="1843">
        <f>'DüV-N-Grünland'!P43</f>
        <v>0</v>
      </c>
      <c r="E16" s="1834">
        <f>'DüV-N-Grünland'!R43</f>
        <v>0</v>
      </c>
      <c r="F16" s="1835" t="str">
        <f t="shared" si="8"/>
        <v>0</v>
      </c>
      <c r="G16" s="1836" t="str">
        <f t="shared" si="8"/>
        <v>0</v>
      </c>
      <c r="H16" s="1586"/>
      <c r="I16" s="1844">
        <f>'DüV-N-Grünland'!BL43</f>
        <v>0</v>
      </c>
      <c r="J16" s="1845">
        <f>'DüV-N-Grünland'!BK43</f>
        <v>0</v>
      </c>
      <c r="K16" s="1845">
        <f>'DüV-N-Grünland'!BN43</f>
        <v>0</v>
      </c>
      <c r="L16" s="1845">
        <f>'DüV-N-Grünland'!BM43</f>
        <v>0</v>
      </c>
      <c r="M16" s="1846">
        <f>'DüV-N-Grünland'!BO43</f>
        <v>0</v>
      </c>
      <c r="N16" s="1835" t="str">
        <f t="shared" si="9"/>
        <v>0</v>
      </c>
      <c r="O16" s="1837" t="str">
        <f t="shared" si="0"/>
        <v>0</v>
      </c>
      <c r="P16" s="1837" t="str">
        <f t="shared" si="0"/>
        <v>0</v>
      </c>
      <c r="Q16" s="1837" t="str">
        <f t="shared" si="0"/>
        <v>0</v>
      </c>
      <c r="R16" s="1838" t="str">
        <f t="shared" si="0"/>
        <v>0</v>
      </c>
      <c r="S16" s="1238"/>
    </row>
    <row r="17" spans="1:19" ht="21" customHeight="1" thickBot="1">
      <c r="A17" s="2979"/>
      <c r="B17" s="1832" t="s">
        <v>1113</v>
      </c>
      <c r="C17" s="1847">
        <f>'N-Weinbau'!B55</f>
        <v>0</v>
      </c>
      <c r="D17" s="2032">
        <f>'N-Weinbau'!O55</f>
        <v>0</v>
      </c>
      <c r="E17" s="2037">
        <f>'N-Weinbau'!$Q$55</f>
        <v>0</v>
      </c>
      <c r="F17" s="2030" t="str">
        <f t="shared" si="8"/>
        <v>0</v>
      </c>
      <c r="G17" s="2031" t="str">
        <f t="shared" si="8"/>
        <v>0</v>
      </c>
      <c r="H17" s="1212"/>
      <c r="I17" s="2047">
        <f>'N-Weinbau'!AW55</f>
        <v>0</v>
      </c>
      <c r="J17" s="2048">
        <f>'N-Weinbau'!AV55</f>
        <v>0</v>
      </c>
      <c r="K17" s="2048">
        <f>'N-Weinbau'!AY55</f>
        <v>0</v>
      </c>
      <c r="L17" s="2048">
        <f>'N-Weinbau'!AX55</f>
        <v>0</v>
      </c>
      <c r="M17" s="2049">
        <f>'N-Weinbau'!AZ55</f>
        <v>0</v>
      </c>
      <c r="N17" s="2030" t="str">
        <f t="shared" si="9"/>
        <v>0</v>
      </c>
      <c r="O17" s="2055" t="str">
        <f t="shared" si="0"/>
        <v>0</v>
      </c>
      <c r="P17" s="2055" t="str">
        <f t="shared" si="0"/>
        <v>0</v>
      </c>
      <c r="Q17" s="2055" t="str">
        <f t="shared" si="0"/>
        <v>0</v>
      </c>
      <c r="R17" s="2056" t="str">
        <f t="shared" si="0"/>
        <v>0</v>
      </c>
      <c r="S17" s="1212"/>
    </row>
    <row r="18" spans="1:19" ht="21" customHeight="1" thickBot="1">
      <c r="A18" s="2979"/>
      <c r="B18" s="1660" t="s">
        <v>1421</v>
      </c>
      <c r="C18" s="1661">
        <f>SUM(C11:C13)+SUM(C15:C17)</f>
        <v>0</v>
      </c>
      <c r="D18" s="2354">
        <f>SUM(D11:D17)</f>
        <v>0</v>
      </c>
      <c r="E18" s="2035">
        <f>SUM(E11:E17)</f>
        <v>0</v>
      </c>
      <c r="F18" s="2038" t="str">
        <f t="shared" si="8"/>
        <v>0</v>
      </c>
      <c r="G18" s="2039" t="str">
        <f t="shared" si="8"/>
        <v>0</v>
      </c>
      <c r="H18" s="1662"/>
      <c r="I18" s="2355">
        <f>SUM(I11:I17)</f>
        <v>0</v>
      </c>
      <c r="J18" s="1244">
        <f>SUM(J11:J17)</f>
        <v>0</v>
      </c>
      <c r="K18" s="2358">
        <f>SUM(K11:K17)</f>
        <v>0</v>
      </c>
      <c r="L18" s="1244">
        <f t="shared" ref="L18:M18" si="10">SUM(L11:L17)</f>
        <v>0</v>
      </c>
      <c r="M18" s="1638">
        <f t="shared" si="10"/>
        <v>0</v>
      </c>
      <c r="N18" s="2359" t="str">
        <f t="shared" si="9"/>
        <v>0</v>
      </c>
      <c r="O18" s="1642" t="str">
        <f t="shared" si="0"/>
        <v>0</v>
      </c>
      <c r="P18" s="2360" t="str">
        <f t="shared" si="0"/>
        <v>0</v>
      </c>
      <c r="Q18" s="1642" t="str">
        <f t="shared" si="0"/>
        <v>0</v>
      </c>
      <c r="R18" s="1583" t="str">
        <f t="shared" si="0"/>
        <v>0</v>
      </c>
      <c r="S18" s="1212"/>
    </row>
    <row r="19" spans="1:19" ht="31.5" customHeight="1" thickBot="1">
      <c r="A19" s="2980"/>
      <c r="B19" s="1647"/>
      <c r="C19" s="1857"/>
      <c r="D19" s="1648"/>
      <c r="E19" s="1657"/>
      <c r="F19" s="1856"/>
      <c r="G19" s="1658" t="s">
        <v>1149</v>
      </c>
      <c r="H19" s="1588"/>
      <c r="I19" s="2356">
        <f>D18</f>
        <v>0</v>
      </c>
      <c r="J19" s="1860"/>
      <c r="K19" s="2357">
        <f>170*C18</f>
        <v>0</v>
      </c>
      <c r="L19" s="1861"/>
      <c r="M19" s="1861"/>
      <c r="N19" s="2356">
        <f>IF(D18=0,0,D18/C18)</f>
        <v>0</v>
      </c>
      <c r="O19" s="1862"/>
      <c r="P19" s="2356" t="s">
        <v>1148</v>
      </c>
      <c r="Q19" s="1861"/>
      <c r="R19" s="1861"/>
      <c r="S19" s="1639"/>
    </row>
    <row r="20" spans="1:19" ht="27" customHeight="1">
      <c r="A20" s="1871"/>
      <c r="C20" s="1859"/>
      <c r="D20" s="1859"/>
      <c r="E20"/>
      <c r="F20"/>
      <c r="G20"/>
      <c r="H20"/>
      <c r="I20" s="2994">
        <f>IF(AND(I18&lt;I19,K18&lt;K19),"Sie halten im Flächendurchschnitt den Düngebedarf &amp; die N-Obergrenze von 170 kg N/ha ein.",IF(AND(I18&gt;I19,K18&gt;K19),"Sie überschreiten im Flächendurchschnitt den Düngebedarf, weil I18 größer, als  I19 ist. Dazu überschreiten Sie die N-Obergrenze von 170 kg N/ha, weil K18 größer, K19 ist. Überarbeiten Sie die vorderen Tabellen.",IF(AND(I18&gt;I19,K18&lt;K19),"Sie überschreiten im Flächendurchschnitt den Düngebedarf, weil I18 größer, als I19 ist. Überarbeiten Sie die vorderen Tabellen. Sie halten die N-Obergrenze von 170 kg N/ha im Flächendurchschnitt ein.",IF(AND(I18&lt;I19,K18&gt;K19),"Sie halten im Flächendurchschnitt den Düngebedarf ein. Aber Sie überschreiten die N-Obergrenze von 170 kg N/ha im Flächendurchschnitt, weil K18 größer, als K19 ist. Überarbeiten Sie die vorderen Tabellen.",0))))</f>
        <v>0</v>
      </c>
      <c r="J20" s="2995"/>
      <c r="K20" s="2995"/>
      <c r="L20" s="2995"/>
      <c r="M20" s="2995"/>
      <c r="N20" s="2995"/>
      <c r="O20" s="2995"/>
      <c r="P20" s="2995"/>
      <c r="Q20" s="2995"/>
      <c r="R20" s="2996"/>
      <c r="S20" s="1639"/>
    </row>
    <row r="21" spans="1:19" ht="21.75" customHeight="1">
      <c r="A21" s="1871"/>
      <c r="C21" s="1859"/>
      <c r="D21" s="1859"/>
      <c r="E21"/>
      <c r="F21"/>
      <c r="G21"/>
      <c r="H21"/>
      <c r="I21" s="2997"/>
      <c r="J21" s="2998"/>
      <c r="K21" s="2998"/>
      <c r="L21" s="2998"/>
      <c r="M21" s="2998"/>
      <c r="N21" s="2998"/>
      <c r="O21" s="2998"/>
      <c r="P21" s="2998"/>
      <c r="Q21" s="2998"/>
      <c r="R21" s="2999"/>
      <c r="S21" s="1639"/>
    </row>
    <row r="22" spans="1:19" ht="21" customHeight="1" thickBot="1">
      <c r="B22" s="1212"/>
      <c r="C22" s="1212"/>
      <c r="D22" s="1212"/>
      <c r="E22" s="1212"/>
      <c r="F22" s="1212"/>
      <c r="G22" s="1212"/>
      <c r="H22" s="1212"/>
      <c r="I22" s="1285"/>
      <c r="J22" s="1285"/>
      <c r="K22" s="1285"/>
      <c r="L22" s="1285"/>
      <c r="M22" s="1285"/>
      <c r="N22" s="1238"/>
      <c r="O22" s="1237"/>
      <c r="Q22" s="1238"/>
      <c r="R22" s="1238"/>
      <c r="S22" s="1212"/>
    </row>
    <row r="23" spans="1:19" ht="30" customHeight="1" thickBot="1">
      <c r="A23" s="2967" t="s">
        <v>1145</v>
      </c>
      <c r="B23" s="1855"/>
      <c r="C23" s="2986" t="s">
        <v>1125</v>
      </c>
      <c r="D23" s="3000"/>
      <c r="E23" s="3000"/>
      <c r="F23" s="3000"/>
      <c r="G23" s="3001"/>
      <c r="H23" s="1287"/>
      <c r="I23" s="2986" t="s">
        <v>1126</v>
      </c>
      <c r="J23" s="2987"/>
      <c r="K23" s="2987"/>
      <c r="L23" s="2987"/>
      <c r="M23" s="2987"/>
      <c r="N23" s="2987"/>
      <c r="O23" s="2987"/>
      <c r="P23" s="2987"/>
      <c r="Q23" s="2987"/>
      <c r="R23" s="2988"/>
    </row>
    <row r="24" spans="1:19" ht="21" customHeight="1">
      <c r="A24" s="2968"/>
      <c r="B24" s="1217"/>
      <c r="C24" s="1240" t="s">
        <v>1128</v>
      </c>
      <c r="D24" s="2699" t="s">
        <v>1127</v>
      </c>
      <c r="E24" s="2985"/>
      <c r="F24" s="2989" t="s">
        <v>322</v>
      </c>
      <c r="G24" s="2985"/>
      <c r="I24" s="2952" t="s">
        <v>1127</v>
      </c>
      <c r="J24" s="2953"/>
      <c r="K24" s="2953"/>
      <c r="L24" s="2953"/>
      <c r="M24" s="2954"/>
      <c r="N24" s="2952" t="s">
        <v>322</v>
      </c>
      <c r="O24" s="2953"/>
      <c r="P24" s="2953"/>
      <c r="Q24" s="2953"/>
      <c r="R24" s="2954"/>
    </row>
    <row r="25" spans="1:19" ht="65.25" customHeight="1" thickBot="1">
      <c r="A25" s="2968"/>
      <c r="B25" s="1219"/>
      <c r="C25" s="1241" t="s">
        <v>1129</v>
      </c>
      <c r="D25" s="1242" t="s">
        <v>177</v>
      </c>
      <c r="E25" s="1667" t="s">
        <v>1256</v>
      </c>
      <c r="F25" s="1460" t="s">
        <v>177</v>
      </c>
      <c r="G25" s="1664" t="s">
        <v>1255</v>
      </c>
      <c r="H25" s="1212"/>
      <c r="I25" s="2040" t="s">
        <v>1123</v>
      </c>
      <c r="J25" s="2041" t="s">
        <v>1080</v>
      </c>
      <c r="K25" s="2041" t="s">
        <v>1242</v>
      </c>
      <c r="L25" s="2041" t="s">
        <v>1238</v>
      </c>
      <c r="M25" s="2042" t="s">
        <v>1130</v>
      </c>
      <c r="N25" s="1455" t="s">
        <v>1123</v>
      </c>
      <c r="O25" s="1594" t="s">
        <v>1080</v>
      </c>
      <c r="P25" s="1457" t="s">
        <v>1242</v>
      </c>
      <c r="Q25" s="1594" t="s">
        <v>1238</v>
      </c>
      <c r="R25" s="1640" t="s">
        <v>1130</v>
      </c>
    </row>
    <row r="26" spans="1:19" ht="21" customHeight="1">
      <c r="A26" s="2968"/>
      <c r="B26" s="1219" t="s">
        <v>1112</v>
      </c>
      <c r="C26" s="1850">
        <f>'DüV-N-Ackerbau NbG'!B53</f>
        <v>0</v>
      </c>
      <c r="D26" s="1829">
        <f>'DüV-N-Ackerbau NbG'!R53</f>
        <v>0</v>
      </c>
      <c r="E26" s="1851">
        <f>'DüV-N-Ackerbau NbG'!T53</f>
        <v>0</v>
      </c>
      <c r="F26" s="1830" t="str">
        <f t="shared" ref="F26" si="11">IF(D26=0,"0",D26/$C26)</f>
        <v>0</v>
      </c>
      <c r="G26" s="1831" t="str">
        <f t="shared" ref="G26" si="12">IF(E26=0,"0",E26/$C26)</f>
        <v>0</v>
      </c>
      <c r="H26" s="1212"/>
      <c r="I26" s="2043">
        <f>'DüV-N-Ackerbau NbG'!BN53</f>
        <v>0</v>
      </c>
      <c r="J26" s="2044">
        <f>'DüV-N-Ackerbau NbG'!BM53</f>
        <v>0</v>
      </c>
      <c r="K26" s="2050">
        <f>'DüV-N-Ackerbau NbG'!BP53</f>
        <v>0</v>
      </c>
      <c r="L26" s="2044">
        <f>'DüV-N-Ackerbau NbG'!BO53</f>
        <v>0</v>
      </c>
      <c r="M26" s="2045">
        <f>'DüV-N-Ackerbau NbG'!BQ53</f>
        <v>0</v>
      </c>
      <c r="N26" s="2029" t="str">
        <f>IF(I26=0,"0",I26/$C26)</f>
        <v>0</v>
      </c>
      <c r="O26" s="2053" t="str">
        <f t="shared" ref="O26:R34" si="13">IF(J26=0,"0",J26/$C26)</f>
        <v>0</v>
      </c>
      <c r="P26" s="2053" t="str">
        <f t="shared" si="13"/>
        <v>0</v>
      </c>
      <c r="Q26" s="2053" t="str">
        <f t="shared" si="13"/>
        <v>0</v>
      </c>
      <c r="R26" s="2054" t="str">
        <f t="shared" si="13"/>
        <v>0</v>
      </c>
      <c r="S26" s="1219"/>
    </row>
    <row r="27" spans="1:19" ht="21" customHeight="1">
      <c r="A27" s="2968"/>
      <c r="B27" s="1646" t="s">
        <v>1394</v>
      </c>
      <c r="C27" s="1850">
        <f>'DüV-N-Gemüse NbG'!B53</f>
        <v>0</v>
      </c>
      <c r="D27" s="1833">
        <f>'DüV-N-Gemüse NbG'!AB53</f>
        <v>0</v>
      </c>
      <c r="E27" s="1840">
        <f>'DüV-N-Gemüse NbG'!AD53</f>
        <v>0</v>
      </c>
      <c r="F27" s="1835" t="str">
        <f t="shared" ref="F27:F29" si="14">IF(D27=0,"0",D27/$C27)</f>
        <v>0</v>
      </c>
      <c r="G27" s="1836" t="str">
        <f t="shared" ref="G27:G29" si="15">IF(E27=0,"0",E27/$C27)</f>
        <v>0</v>
      </c>
      <c r="H27" s="1212"/>
      <c r="I27" s="2046">
        <f>'DüV-N-Gemüse NbG'!BX53</f>
        <v>0</v>
      </c>
      <c r="J27" s="2044">
        <f>'DüV-N-Gemüse NbG'!BW53</f>
        <v>0</v>
      </c>
      <c r="K27" s="2050">
        <f>'DüV-N-Gemüse NbG'!BZ53</f>
        <v>0</v>
      </c>
      <c r="L27" s="2044">
        <f>'DüV-N-Gemüse NbG'!BY53</f>
        <v>0</v>
      </c>
      <c r="M27" s="1586">
        <f>'DüV-N-Gemüse NbG'!CA53</f>
        <v>0</v>
      </c>
      <c r="N27" s="1835" t="str">
        <f t="shared" ref="N27:N29" si="16">IF(I27=0,"0",I27/$C27)</f>
        <v>0</v>
      </c>
      <c r="O27" s="1837" t="str">
        <f t="shared" ref="O27:O29" si="17">IF(J27=0,"0",J27/$C27)</f>
        <v>0</v>
      </c>
      <c r="P27" s="1837" t="str">
        <f t="shared" ref="P27:P29" si="18">IF(K27=0,"0",K27/$C27)</f>
        <v>0</v>
      </c>
      <c r="Q27" s="1837" t="str">
        <f t="shared" ref="Q27:Q29" si="19">IF(L27=0,"0",L27/$C27)</f>
        <v>0</v>
      </c>
      <c r="R27" s="1838" t="str">
        <f t="shared" ref="R27:R29" si="20">IF(M27=0,"0",M27/$C27)</f>
        <v>0</v>
      </c>
      <c r="S27" s="1219"/>
    </row>
    <row r="28" spans="1:19" ht="21" customHeight="1">
      <c r="A28" s="2968"/>
      <c r="B28" s="1646" t="s">
        <v>1393</v>
      </c>
      <c r="C28" s="1850">
        <f>'DüV-N-Heil- &amp; Gewürz NbG'!B32</f>
        <v>0</v>
      </c>
      <c r="D28" s="1833">
        <f>'DüV-N-Heil- &amp; Gewürz NbG'!X32</f>
        <v>0</v>
      </c>
      <c r="E28" s="1840">
        <f>'DüV-N-Heil- &amp; Gewürz NbG'!Z32</f>
        <v>0</v>
      </c>
      <c r="F28" s="2025" t="str">
        <f t="shared" si="14"/>
        <v>0</v>
      </c>
      <c r="G28" s="2026" t="str">
        <f t="shared" si="15"/>
        <v>0</v>
      </c>
      <c r="H28" s="1212"/>
      <c r="I28" s="2046">
        <f>'DüV-N-Heil- &amp; Gewürz NbG'!BT32</f>
        <v>0</v>
      </c>
      <c r="J28" s="2044">
        <f>'DüV-N-Heil- &amp; Gewürz NbG'!BS32</f>
        <v>0</v>
      </c>
      <c r="K28" s="2050">
        <f>'DüV-N-Heil- &amp; Gewürz NbG'!BV32</f>
        <v>0</v>
      </c>
      <c r="L28" s="2044">
        <f>'DüV-N-Heil- &amp; Gewürz NbG'!BU32</f>
        <v>0</v>
      </c>
      <c r="M28" s="1586">
        <f>'DüV-N-Heil- &amp; Gewürz NbG'!BW32</f>
        <v>0</v>
      </c>
      <c r="N28" s="2025" t="str">
        <f t="shared" si="16"/>
        <v>0</v>
      </c>
      <c r="O28" s="2027" t="str">
        <f t="shared" si="17"/>
        <v>0</v>
      </c>
      <c r="P28" s="2027" t="str">
        <f t="shared" si="18"/>
        <v>0</v>
      </c>
      <c r="Q28" s="2027" t="str">
        <f t="shared" si="19"/>
        <v>0</v>
      </c>
      <c r="R28" s="2028" t="str">
        <f t="shared" si="20"/>
        <v>0</v>
      </c>
      <c r="S28" s="1219"/>
    </row>
    <row r="29" spans="1:19" ht="21" customHeight="1">
      <c r="A29" s="2968"/>
      <c r="B29" s="1212" t="s">
        <v>1762</v>
      </c>
      <c r="C29" s="1850">
        <f>'DüV-N-Zweit-Zwischenfrucht NbG'!P92+'DüV-N-Folgekultur-Gemüse NbG'!B43</f>
        <v>0</v>
      </c>
      <c r="D29" s="1833">
        <f>'DüV-N-Zweit-Zwischenfrucht NbG'!Q92+'DüV-N-Folgekultur-Gemüse NbG'!V43</f>
        <v>0</v>
      </c>
      <c r="E29" s="1834">
        <f>'DüV-N-Zweit-Zwischenfrucht NbG'!Q93+'DüV-N-Folgekultur-Gemüse NbG'!X43</f>
        <v>0</v>
      </c>
      <c r="F29" s="1835" t="str">
        <f t="shared" si="14"/>
        <v>0</v>
      </c>
      <c r="G29" s="1836" t="str">
        <f t="shared" si="15"/>
        <v>0</v>
      </c>
      <c r="H29" s="1212"/>
      <c r="I29" s="2046">
        <f>'DüV-N-Zweit-Zwischenfrucht NbG'!IC119+'DüV-N-Folgekultur-Gemüse NbG'!BE43</f>
        <v>0</v>
      </c>
      <c r="J29" s="1845">
        <f>'DüV-N-Zweit-Zwischenfrucht NbG'!O119+'DüV-N-Folgekultur-Gemüse NbG'!BD43</f>
        <v>0</v>
      </c>
      <c r="K29" s="2051">
        <f>'DüV-N-Zweit-Zwischenfrucht NbG'!R119+'DüV-N-Folgekultur-Gemüse NbG'!BG43</f>
        <v>0</v>
      </c>
      <c r="L29" s="1845">
        <f>'DüV-N-Zweit-Zwischenfrucht NbG'!Q119+'DüV-N-Folgekultur-Gemüse NbG'!BF43</f>
        <v>0</v>
      </c>
      <c r="M29" s="1586">
        <f>'DüV-N-Zweit-Zwischenfrucht NbG'!S119+'DüV-N-Folgekultur-Gemüse NbG'!BH43</f>
        <v>0</v>
      </c>
      <c r="N29" s="1835" t="str">
        <f t="shared" si="16"/>
        <v>0</v>
      </c>
      <c r="O29" s="1837" t="str">
        <f t="shared" si="17"/>
        <v>0</v>
      </c>
      <c r="P29" s="1837" t="str">
        <f t="shared" si="18"/>
        <v>0</v>
      </c>
      <c r="Q29" s="1837" t="str">
        <f t="shared" si="19"/>
        <v>0</v>
      </c>
      <c r="R29" s="1838" t="str">
        <f t="shared" si="20"/>
        <v>0</v>
      </c>
      <c r="S29" s="1219"/>
    </row>
    <row r="30" spans="1:19" ht="21" customHeight="1">
      <c r="A30" s="2968"/>
      <c r="B30" s="1212" t="s">
        <v>1763</v>
      </c>
      <c r="C30" s="1850">
        <f>'DüV-N-Zweit-Zwischenfrucht NbG'!M92</f>
        <v>0</v>
      </c>
      <c r="D30" s="1833">
        <f>'DüV-N-Zweit-Zwischenfrucht NbG'!N92</f>
        <v>0</v>
      </c>
      <c r="E30" s="1834">
        <f>'DüV-N-Zweit-Zwischenfrucht NbG'!P92</f>
        <v>0</v>
      </c>
      <c r="F30" s="1835" t="str">
        <f t="shared" ref="F30:F34" si="21">IF(D30=0,"0",D30/$C30)</f>
        <v>0</v>
      </c>
      <c r="G30" s="1836" t="str">
        <f t="shared" ref="G30:G34" si="22">IF(E30=0,"0",E30/$C30)</f>
        <v>0</v>
      </c>
      <c r="H30" s="1585"/>
      <c r="I30" s="2046">
        <f>'DüV-N-Zweit-Zwischenfrucht NbG'!U119</f>
        <v>0</v>
      </c>
      <c r="J30" s="1845">
        <f>'DüV-N-Zweit-Zwischenfrucht NbG'!T119</f>
        <v>0</v>
      </c>
      <c r="K30" s="2051">
        <f>'DüV-N-Zweit-Zwischenfrucht NbG'!W119</f>
        <v>0</v>
      </c>
      <c r="L30" s="1845">
        <f>'DüV-N-Zweit-Zwischenfrucht NbG'!V119</f>
        <v>0</v>
      </c>
      <c r="M30" s="1586">
        <f>'DüV-N-Zweit-Zwischenfrucht NbG'!X119</f>
        <v>0</v>
      </c>
      <c r="N30" s="1835" t="str">
        <f t="shared" ref="N30:N34" si="23">IF(I30=0,"0",I30/$C30)</f>
        <v>0</v>
      </c>
      <c r="O30" s="1837" t="str">
        <f t="shared" si="13"/>
        <v>0</v>
      </c>
      <c r="P30" s="1837" t="str">
        <f t="shared" si="13"/>
        <v>0</v>
      </c>
      <c r="Q30" s="1837" t="str">
        <f t="shared" si="13"/>
        <v>0</v>
      </c>
      <c r="R30" s="1838" t="str">
        <f t="shared" si="13"/>
        <v>0</v>
      </c>
      <c r="S30" s="1212"/>
    </row>
    <row r="31" spans="1:19" ht="21" customHeight="1">
      <c r="A31" s="2968"/>
      <c r="B31" s="1212" t="s">
        <v>1117</v>
      </c>
      <c r="C31" s="1850">
        <f>'DüV-N-Feldfutter NbG'!B43</f>
        <v>0</v>
      </c>
      <c r="D31" s="1839">
        <f>'DüV-N-Feldfutter NbG'!N43</f>
        <v>0</v>
      </c>
      <c r="E31" s="1840">
        <f>'DüV-N-Feldfutter NbG'!P43</f>
        <v>0</v>
      </c>
      <c r="F31" s="1835" t="str">
        <f t="shared" si="21"/>
        <v>0</v>
      </c>
      <c r="G31" s="1836" t="str">
        <f t="shared" si="22"/>
        <v>0</v>
      </c>
      <c r="H31" s="1212"/>
      <c r="I31" s="2043">
        <f>'DüV-N-Feldfutter NbG'!BJ43</f>
        <v>0</v>
      </c>
      <c r="J31" s="2044">
        <f>'DüV-N-Feldfutter NbG'!BI43</f>
        <v>0</v>
      </c>
      <c r="K31" s="2050">
        <f>'DüV-N-Feldfutter NbG'!BL43</f>
        <v>0</v>
      </c>
      <c r="L31" s="2044">
        <f>'DüV-N-Feldfutter NbG'!BK43</f>
        <v>0</v>
      </c>
      <c r="M31" s="2045">
        <f>'DüV-N-Feldfutter NbG'!BM43</f>
        <v>0</v>
      </c>
      <c r="N31" s="1835" t="str">
        <f t="shared" si="23"/>
        <v>0</v>
      </c>
      <c r="O31" s="1837" t="str">
        <f t="shared" si="13"/>
        <v>0</v>
      </c>
      <c r="P31" s="1837" t="str">
        <f t="shared" si="13"/>
        <v>0</v>
      </c>
      <c r="Q31" s="1837" t="str">
        <f t="shared" si="13"/>
        <v>0</v>
      </c>
      <c r="R31" s="1838" t="str">
        <f t="shared" si="13"/>
        <v>0</v>
      </c>
      <c r="S31" s="1212"/>
    </row>
    <row r="32" spans="1:19" ht="21" customHeight="1">
      <c r="A32" s="2968"/>
      <c r="B32" s="1212" t="s">
        <v>1116</v>
      </c>
      <c r="C32" s="1852">
        <f>'DüV-N-Grünland NbG'!B43</f>
        <v>0</v>
      </c>
      <c r="D32" s="1853">
        <f>'DüV-N-Grünland NbG'!P43</f>
        <v>0</v>
      </c>
      <c r="E32" s="1834">
        <f>'DüV-N-Grünland NbG'!R43</f>
        <v>0</v>
      </c>
      <c r="F32" s="1835" t="str">
        <f t="shared" si="21"/>
        <v>0</v>
      </c>
      <c r="G32" s="1836" t="str">
        <f t="shared" si="22"/>
        <v>0</v>
      </c>
      <c r="H32" s="1585"/>
      <c r="I32" s="1844">
        <f>'DüV-N-Grünland NbG'!BK43</f>
        <v>0</v>
      </c>
      <c r="J32" s="1845">
        <f>'DüV-N-Grünland NbG'!BJ43</f>
        <v>0</v>
      </c>
      <c r="K32" s="2051">
        <f>'DüV-N-Grünland NbG'!BM43</f>
        <v>0</v>
      </c>
      <c r="L32" s="1845">
        <f>'DüV-N-Grünland NbG'!BL43</f>
        <v>0</v>
      </c>
      <c r="M32" s="1846">
        <f>'DüV-N-Grünland NbG'!BN43</f>
        <v>0</v>
      </c>
      <c r="N32" s="1835" t="str">
        <f t="shared" si="23"/>
        <v>0</v>
      </c>
      <c r="O32" s="1837" t="str">
        <f t="shared" si="13"/>
        <v>0</v>
      </c>
      <c r="P32" s="1837" t="str">
        <f t="shared" si="13"/>
        <v>0</v>
      </c>
      <c r="Q32" s="1837" t="str">
        <f t="shared" si="13"/>
        <v>0</v>
      </c>
      <c r="R32" s="1838" t="str">
        <f t="shared" si="13"/>
        <v>0</v>
      </c>
      <c r="S32" s="1212"/>
    </row>
    <row r="33" spans="1:19" ht="21" customHeight="1" thickBot="1">
      <c r="A33" s="2968"/>
      <c r="B33" s="1212" t="s">
        <v>1113</v>
      </c>
      <c r="C33" s="1854">
        <f>'N-Weinbau NbG'!B55</f>
        <v>0</v>
      </c>
      <c r="D33" s="1848">
        <f>'N-Weinbau NbG'!O55</f>
        <v>0</v>
      </c>
      <c r="E33" s="1849">
        <f>'N-Weinbau NbG'!Q55</f>
        <v>0</v>
      </c>
      <c r="F33" s="2030" t="str">
        <f t="shared" si="21"/>
        <v>0</v>
      </c>
      <c r="G33" s="2031" t="str">
        <f t="shared" si="22"/>
        <v>0</v>
      </c>
      <c r="H33" s="1212"/>
      <c r="I33" s="2047">
        <f>'N-Weinbau NbG'!AW55</f>
        <v>0</v>
      </c>
      <c r="J33" s="2048">
        <f>'N-Weinbau NbG'!AV55</f>
        <v>0</v>
      </c>
      <c r="K33" s="2052">
        <f>'N-Weinbau NbG'!AY55</f>
        <v>0</v>
      </c>
      <c r="L33" s="2048">
        <f>'N-Weinbau NbG'!AX55</f>
        <v>0</v>
      </c>
      <c r="M33" s="2049">
        <f>'N-Weinbau NbG'!AZ55</f>
        <v>0</v>
      </c>
      <c r="N33" s="2030" t="str">
        <f t="shared" si="23"/>
        <v>0</v>
      </c>
      <c r="O33" s="2055" t="str">
        <f t="shared" si="13"/>
        <v>0</v>
      </c>
      <c r="P33" s="2055" t="str">
        <f t="shared" si="13"/>
        <v>0</v>
      </c>
      <c r="Q33" s="2055" t="str">
        <f t="shared" si="13"/>
        <v>0</v>
      </c>
      <c r="R33" s="2056" t="str">
        <f t="shared" si="13"/>
        <v>0</v>
      </c>
      <c r="S33" s="1212"/>
    </row>
    <row r="34" spans="1:19" ht="21" customHeight="1" thickBot="1">
      <c r="A34" s="2968"/>
      <c r="B34" s="1660" t="s">
        <v>1421</v>
      </c>
      <c r="C34" s="1580">
        <f>SUM(C26:C28)+SUM(C31:C33)</f>
        <v>0</v>
      </c>
      <c r="D34" s="1243">
        <f>SUM(D31:D33,D26:D29)</f>
        <v>0</v>
      </c>
      <c r="E34" s="1666">
        <f>SUM(E26:E33)</f>
        <v>0</v>
      </c>
      <c r="F34" s="1582" t="str">
        <f t="shared" si="21"/>
        <v>0</v>
      </c>
      <c r="G34" s="1665" t="str">
        <f t="shared" si="22"/>
        <v>0</v>
      </c>
      <c r="H34" s="1662"/>
      <c r="I34" s="1653">
        <f>SUM(I26:I33)</f>
        <v>0</v>
      </c>
      <c r="J34" s="1899">
        <f>SUM(J26:J33)</f>
        <v>0</v>
      </c>
      <c r="K34" s="1652">
        <f>SUM(K26:K33)</f>
        <v>0</v>
      </c>
      <c r="L34" s="1899">
        <f t="shared" ref="L34:M34" si="24">SUM(L26:L33)</f>
        <v>0</v>
      </c>
      <c r="M34" s="1458">
        <f t="shared" si="24"/>
        <v>0</v>
      </c>
      <c r="N34" s="1872" t="str">
        <f t="shared" si="23"/>
        <v>0</v>
      </c>
      <c r="O34" s="1903" t="str">
        <f t="shared" si="13"/>
        <v>0</v>
      </c>
      <c r="P34" s="1858" t="str">
        <f t="shared" si="13"/>
        <v>0</v>
      </c>
      <c r="Q34" s="1902" t="str">
        <f t="shared" si="13"/>
        <v>0</v>
      </c>
      <c r="R34" s="1583" t="str">
        <f t="shared" si="13"/>
        <v>0</v>
      </c>
      <c r="S34" s="1212"/>
    </row>
    <row r="35" spans="1:19" s="1288" customFormat="1" ht="37.5" customHeight="1" thickBot="1">
      <c r="A35" s="2969"/>
      <c r="B35" s="1870" t="s">
        <v>1313</v>
      </c>
      <c r="C35" s="1655" t="s">
        <v>1237</v>
      </c>
      <c r="D35" s="1651">
        <f>(D34*0.8)+D30</f>
        <v>0</v>
      </c>
      <c r="E35" s="1650"/>
      <c r="F35" s="1650"/>
      <c r="G35" s="1650"/>
      <c r="H35" s="1650"/>
      <c r="I35" s="1656">
        <f>D35</f>
        <v>0</v>
      </c>
      <c r="J35" s="1866"/>
      <c r="K35" s="1651">
        <f>170*C34</f>
        <v>0</v>
      </c>
      <c r="L35" s="1659"/>
      <c r="M35" s="1659"/>
      <c r="N35" s="1654">
        <f>IF(I35=0,0,I35/C34)</f>
        <v>0</v>
      </c>
      <c r="O35" s="1865"/>
      <c r="P35" s="1651" t="s">
        <v>1148</v>
      </c>
      <c r="Q35" s="1659"/>
      <c r="R35" s="2202"/>
      <c r="S35" s="2203"/>
    </row>
    <row r="36" spans="1:19" s="1288" customFormat="1" ht="40.5" customHeight="1" thickBot="1">
      <c r="A36" s="2969"/>
      <c r="B36" s="1904" t="s">
        <v>1312</v>
      </c>
      <c r="C36" s="1641"/>
      <c r="D36" s="1859"/>
      <c r="E36" s="1639"/>
      <c r="F36" s="1639"/>
      <c r="G36" s="1639"/>
      <c r="H36" s="1588"/>
      <c r="I36" s="1649" t="s">
        <v>1253</v>
      </c>
      <c r="J36" s="1900">
        <f>80*C34</f>
        <v>0</v>
      </c>
      <c r="K36" s="1589"/>
      <c r="L36" s="1900">
        <f>160*C34</f>
        <v>0</v>
      </c>
      <c r="M36" s="1589"/>
      <c r="N36" s="1867" t="s">
        <v>190</v>
      </c>
      <c r="O36" s="1901" t="s">
        <v>1146</v>
      </c>
      <c r="P36" s="1868" t="s">
        <v>189</v>
      </c>
      <c r="Q36" s="1901" t="s">
        <v>1147</v>
      </c>
      <c r="R36" s="1869" t="s">
        <v>4</v>
      </c>
      <c r="S36" s="1534"/>
    </row>
    <row r="37" spans="1:19" s="1288" customFormat="1" ht="45.75" customHeight="1">
      <c r="A37" s="2088"/>
      <c r="B37" s="1864"/>
      <c r="C37" s="1863"/>
      <c r="D37" s="2990" t="s">
        <v>1423</v>
      </c>
      <c r="E37" s="2990"/>
      <c r="F37" s="2990"/>
      <c r="G37" s="2990"/>
      <c r="H37" s="1639"/>
      <c r="I37" s="3003">
        <f>IF(AND(I34&lt;I35,K34&lt;K35),"Sie halten im Flächendurchschnitt den Düngebedarf &amp; die N-Obergrenze von 170 kg N/ha ein.",IF(AND(I34&gt;I35,K34&gt;K35),"Sie überschreiten im Flächendurchschnitt den Düngebedarf, weil der Wert in I18 größer, als der Wert in I19 ist. Dazu überschreiten Sie die N-Obergrenze von 170 kg N/ha, weil der Wert in K18 größer, als in K19 ist. Überarbeiten Sie die vorderen Tabellen.",IF(AND(I34&gt;I35,K34&lt;K35),"Sie überschreiten im Flächendurchschnitt den Düngebedarf, weil der Wert in I18 größer, als der Wert in I19 ist. Überarbeiten Sie die vorderen Tabellen. Sie halten die N-Obergrenze von 170 kg N/ha im Flächendurchschnitt ein.",IF(AND(I34&lt;I35,K34&gt;K35),"Sie halten im Flächendurchschnitt den Düngebedarf ein. Aber Sie überschreiten die N-Obergrenze von 170 kg N/ha im Flächendurchschnitt, weil der Wert in K18 größer, als in K19 ist. Überarbeiten Sie die vorderen Tabellen.",0))))</f>
        <v>0</v>
      </c>
      <c r="J37" s="3004"/>
      <c r="K37" s="3004"/>
      <c r="L37" s="3004"/>
      <c r="M37" s="3004"/>
      <c r="N37" s="3004"/>
      <c r="O37" s="3004"/>
      <c r="P37" s="3004"/>
      <c r="Q37" s="3004"/>
      <c r="R37" s="3005"/>
      <c r="S37" s="1534"/>
    </row>
    <row r="38" spans="1:19" s="1288" customFormat="1" ht="39" customHeight="1">
      <c r="A38" s="1825"/>
      <c r="B38" s="1864"/>
      <c r="C38" s="1863"/>
      <c r="D38" s="2991" t="s">
        <v>1424</v>
      </c>
      <c r="E38" s="2991"/>
      <c r="F38" s="2991"/>
      <c r="G38" s="2991"/>
      <c r="H38" s="1639"/>
      <c r="I38" s="3002">
        <f>IF(AND(I34&lt;I35,K34&lt;K35),"Sie halten mit -20 % im Flächendurchschnitt den Düngebedarf &amp; die N-Obergrenze von 170 kg N/ha ein.",IF(AND(I34&gt;I35,K34&gt;K35),"Sie überschreiten mit -20 %  im Flächendurchschnitt den Düngebedarf, da I33 größer, als I34 ist. Dazu überschreiten Sie im Flächendurchschnitt die N-Obergrenze von 170 kg N/ha, da K33 größer, als K34 ist. Überarbeiten Sie die vorderen Tabellen.",IF(AND(I34&gt;I35,K34&lt;K35),"Sie überschreiten mit -20 % im Flächendurchschnitt den Düngebedarf, da I33 größer, als I34 ist. Sie müssen die vorderen Tabellen überarbeiten. Die N-Obergrenze von 170 kg N/ha wird im Flächendurchschnitt eingehalten.",IF(AND(I34&lt;I35,K34&gt;K35),"Sie halten mit -20 % den Düngebedarf im Flächendurchschnitt ein. Aber die N-Obergrenze von 170 kg N/ha wird  im Flächendurchschnitt überschritten, da K33 größer, als K34 ist. Überarbeiten Sie die vorderen Tabellen.",0))))</f>
        <v>0</v>
      </c>
      <c r="J38" s="3002"/>
      <c r="K38" s="3002"/>
      <c r="L38" s="3002"/>
      <c r="M38" s="3002"/>
      <c r="N38" s="3002"/>
      <c r="O38" s="3002"/>
      <c r="P38" s="3002"/>
      <c r="Q38" s="3002"/>
      <c r="R38" s="3002"/>
      <c r="S38" s="1534"/>
    </row>
    <row r="39" spans="1:19" s="1288" customFormat="1" ht="39" customHeight="1">
      <c r="A39" s="1871"/>
      <c r="B39" s="1864"/>
      <c r="C39" s="1863"/>
      <c r="D39" s="2992" t="s">
        <v>1765</v>
      </c>
      <c r="E39" s="2992"/>
      <c r="F39" s="2992"/>
      <c r="G39" s="2992"/>
      <c r="H39" s="1639"/>
      <c r="I39" s="2993">
        <f>IF(AND(J34&lt;J36,L34&lt;L36),"Sie halten im Flächendurchschnitt die 160/80-Regel ein.",IF(AND(J34&gt;J36,L34&gt;L36),"Im Flächendurchschnitt  düngen Sie mehr als 80 kg N/ha min, da J33 größer, als J35 ist und Sie überschreiten die N-Obergrenze von 160 kg N/ha mit den eingesetzten Düngern, da L33 größer, als L35 ist. Überarbeiten Sie die vorderen Tabellen.",IF(AND(J34&lt;J36,L34&gt;L36),"Sie düngen im Flächendurchschnitt max. 80 kg N/ha min. Aber Sie überschreiten im Flächendurchschnitt die N-Obergrenze von 160 kg N/ha mit den eingesetzten Düngern, da L33 größer, als L35 ist. Überarbeiten Sie die vorderen Tabellen.",IF(AND(J34&gt;L36,L34&lt;L36),"Sie düngen im Flächendurchschnitt mehr als 80 kg N/ha min, da J33 größer, als J35 ist. Sie halten die N-Obergrenze von 160 kg N/ha ein. Überarbeiten Sie die vorderen Tabellen.",0))))</f>
        <v>0</v>
      </c>
      <c r="J39" s="2993"/>
      <c r="K39" s="2993"/>
      <c r="L39" s="2993"/>
      <c r="M39" s="2993"/>
      <c r="N39" s="2993"/>
      <c r="O39" s="2993"/>
      <c r="P39" s="2993"/>
      <c r="Q39" s="2993"/>
      <c r="R39" s="2993"/>
      <c r="S39" s="1534"/>
    </row>
    <row r="40" spans="1:19" s="1288" customFormat="1" ht="29.25" customHeight="1" thickBot="1">
      <c r="A40" s="1539"/>
      <c r="B40" s="1540"/>
      <c r="C40" s="1533"/>
      <c r="D40" s="1538"/>
      <c r="E40" s="1534"/>
      <c r="F40" s="1534"/>
      <c r="G40" s="1534"/>
      <c r="H40" s="1534"/>
      <c r="I40" s="1538"/>
      <c r="J40" s="1535"/>
      <c r="K40" s="1536"/>
      <c r="L40" s="1536"/>
      <c r="M40" s="1536"/>
      <c r="N40" s="1537"/>
      <c r="O40" s="1537"/>
      <c r="P40" s="1537"/>
      <c r="Q40" s="1537"/>
      <c r="R40" s="1537"/>
      <c r="S40" s="1534"/>
    </row>
    <row r="41" spans="1:19" s="1288" customFormat="1" ht="20.25" customHeight="1" thickBot="1">
      <c r="A41" s="2964" t="s">
        <v>1236</v>
      </c>
      <c r="B41" s="1615"/>
      <c r="C41" s="1663" t="s">
        <v>562</v>
      </c>
      <c r="D41" s="1619"/>
      <c r="E41" s="1619"/>
      <c r="F41" s="2951"/>
      <c r="G41" s="2951"/>
      <c r="H41" s="1287"/>
      <c r="I41" s="2952" t="s">
        <v>1252</v>
      </c>
      <c r="J41" s="2953"/>
      <c r="K41" s="2953"/>
      <c r="L41" s="2953"/>
      <c r="M41" s="2954"/>
      <c r="N41" s="2955"/>
      <c r="O41" s="2956"/>
      <c r="P41" s="2956"/>
      <c r="Q41" s="2956"/>
      <c r="R41" s="2957"/>
      <c r="S41" s="1534"/>
    </row>
    <row r="42" spans="1:19" s="1288" customFormat="1" ht="48.75" customHeight="1" thickBot="1">
      <c r="A42" s="2965"/>
      <c r="B42" s="1616"/>
      <c r="C42" s="1605">
        <f>C18+C34</f>
        <v>0</v>
      </c>
      <c r="D42" s="1679" t="s">
        <v>1245</v>
      </c>
      <c r="E42" s="1681" t="s">
        <v>1257</v>
      </c>
      <c r="F42" s="2949" t="s">
        <v>1258</v>
      </c>
      <c r="G42" s="1678"/>
      <c r="H42" s="1212"/>
      <c r="I42" s="1592" t="s">
        <v>1123</v>
      </c>
      <c r="J42" s="1587" t="s">
        <v>1080</v>
      </c>
      <c r="K42" s="1284" t="s">
        <v>1242</v>
      </c>
      <c r="L42" s="1587" t="s">
        <v>1124</v>
      </c>
      <c r="M42" s="1593" t="s">
        <v>1141</v>
      </c>
      <c r="N42" s="1590"/>
      <c r="O42" s="1595"/>
      <c r="P42" s="1591"/>
      <c r="Q42" s="1618"/>
      <c r="R42" s="1620"/>
      <c r="S42" s="1534"/>
    </row>
    <row r="43" spans="1:19" s="1288" customFormat="1" ht="41.25" customHeight="1" thickBot="1">
      <c r="A43" s="2965"/>
      <c r="B43" s="2962" t="s">
        <v>1254</v>
      </c>
      <c r="C43" s="2963"/>
      <c r="D43" s="1680">
        <f>D18+D35</f>
        <v>0</v>
      </c>
      <c r="E43" s="1682">
        <f>E18+E34</f>
        <v>0</v>
      </c>
      <c r="F43" s="2950"/>
      <c r="G43" s="1678"/>
      <c r="H43" s="1534"/>
      <c r="I43" s="1598">
        <f>I18+I34</f>
        <v>0</v>
      </c>
      <c r="J43" s="1599">
        <f>J18+J34</f>
        <v>0</v>
      </c>
      <c r="K43" s="1732">
        <f>K18+K34</f>
        <v>0</v>
      </c>
      <c r="L43" s="1599">
        <f>L18+L34</f>
        <v>0</v>
      </c>
      <c r="M43" s="1600">
        <f>M18+M34</f>
        <v>0</v>
      </c>
      <c r="N43" s="1238"/>
      <c r="O43" s="1238"/>
      <c r="P43" s="1238"/>
      <c r="Q43" s="1238"/>
      <c r="R43" s="1621"/>
      <c r="S43" s="1584"/>
    </row>
    <row r="44" spans="1:19" s="1288" customFormat="1" ht="8.25" customHeight="1" thickBot="1">
      <c r="A44" s="2965"/>
      <c r="B44" s="1625"/>
      <c r="C44" s="1626"/>
      <c r="F44" s="1220"/>
      <c r="G44" s="1220"/>
      <c r="H44" s="1534"/>
      <c r="I44" s="1627"/>
      <c r="J44" s="1627"/>
      <c r="K44" s="1733"/>
      <c r="L44" s="1627"/>
      <c r="M44" s="1627"/>
      <c r="N44" s="1238"/>
      <c r="O44" s="1238"/>
      <c r="P44" s="1238"/>
      <c r="Q44" s="1238"/>
      <c r="R44" s="1621"/>
      <c r="S44" s="1584"/>
    </row>
    <row r="45" spans="1:19" s="1288" customFormat="1" ht="31.5" customHeight="1" thickBot="1">
      <c r="A45" s="2966"/>
      <c r="B45" s="1683"/>
      <c r="C45" s="1684"/>
      <c r="D45" s="1686" t="s">
        <v>1245</v>
      </c>
      <c r="E45" s="1685" t="s">
        <v>1257</v>
      </c>
      <c r="G45" s="2958" t="s">
        <v>1247</v>
      </c>
      <c r="H45" s="1669"/>
      <c r="I45" s="1670">
        <f>I50</f>
        <v>0</v>
      </c>
      <c r="J45" s="1671"/>
      <c r="K45" s="1734">
        <f>K50</f>
        <v>0</v>
      </c>
      <c r="L45" s="1672"/>
      <c r="M45" s="1670">
        <f>M50</f>
        <v>0</v>
      </c>
      <c r="N45" s="1673">
        <f>IF(C42=0,0,I45/C42)</f>
        <v>0</v>
      </c>
      <c r="O45" s="1674"/>
      <c r="P45" s="1673">
        <f>IF(C42=0,0,K45/C42)</f>
        <v>0</v>
      </c>
      <c r="Q45" s="1619"/>
      <c r="R45" s="1675">
        <f>IF(C42=0,0,M45/C42)</f>
        <v>0</v>
      </c>
      <c r="S45" s="1534"/>
    </row>
    <row r="46" spans="1:19" s="1288" customFormat="1" ht="57" customHeight="1" thickBot="1">
      <c r="A46" s="2966"/>
      <c r="B46" s="2960" t="s">
        <v>1265</v>
      </c>
      <c r="C46" s="2961"/>
      <c r="D46" s="1680">
        <f>D43-I45</f>
        <v>0</v>
      </c>
      <c r="E46" s="2945">
        <f>E18+E34-M50</f>
        <v>0</v>
      </c>
      <c r="F46" s="1534"/>
      <c r="G46" s="2959"/>
      <c r="H46" s="1534"/>
      <c r="I46" s="1617" t="s">
        <v>1249</v>
      </c>
      <c r="J46" s="1535"/>
      <c r="K46" s="1577" t="s">
        <v>1246</v>
      </c>
      <c r="L46" s="1536"/>
      <c r="M46" s="1606" t="s">
        <v>1239</v>
      </c>
      <c r="N46" s="1676" t="s">
        <v>1250</v>
      </c>
      <c r="O46" s="1668"/>
      <c r="P46" s="1676" t="s">
        <v>1251</v>
      </c>
      <c r="Q46" s="1668"/>
      <c r="R46" s="1677" t="s">
        <v>1259</v>
      </c>
      <c r="S46" s="1534"/>
    </row>
    <row r="47" spans="1:19" ht="63.75" customHeight="1" thickBot="1">
      <c r="A47" s="2966"/>
      <c r="B47" s="2947" t="s">
        <v>1261</v>
      </c>
      <c r="C47" s="2948"/>
      <c r="D47" s="2948"/>
      <c r="E47" s="2946"/>
      <c r="G47" s="1635" t="s">
        <v>1260</v>
      </c>
      <c r="H47" s="1628"/>
      <c r="I47" s="1629">
        <f>Tierhaltung!P43</f>
        <v>0</v>
      </c>
      <c r="J47" s="1630"/>
      <c r="K47" s="1629">
        <f>Tierhaltung!M43</f>
        <v>0</v>
      </c>
      <c r="L47" s="1630"/>
      <c r="M47" s="1629">
        <f>Tierhaltung!Q43</f>
        <v>0</v>
      </c>
      <c r="N47" s="2941" t="s">
        <v>1264</v>
      </c>
      <c r="O47" s="2527"/>
      <c r="P47" s="2527"/>
      <c r="Q47" s="2527"/>
      <c r="R47" s="2942"/>
    </row>
    <row r="48" spans="1:19" s="1221" customFormat="1" ht="29.25" customHeight="1">
      <c r="A48" s="2966"/>
      <c r="B48" s="526"/>
      <c r="D48" s="1286"/>
      <c r="E48" s="1578"/>
      <c r="F48" s="1578"/>
      <c r="G48" s="1636" t="s">
        <v>1121</v>
      </c>
      <c r="H48" s="1628"/>
      <c r="I48" s="1631">
        <f>'Organ. Dünger'!H27</f>
        <v>0</v>
      </c>
      <c r="J48" s="1630"/>
      <c r="K48" s="1631">
        <f>'Organ. Dünger'!G27</f>
        <v>0</v>
      </c>
      <c r="L48" s="1630"/>
      <c r="M48" s="1631">
        <f>'Organ. Dünger'!I27</f>
        <v>0</v>
      </c>
      <c r="N48" s="2485"/>
      <c r="O48" s="2527"/>
      <c r="P48" s="2527"/>
      <c r="Q48" s="2527"/>
      <c r="R48" s="2942"/>
    </row>
    <row r="49" spans="1:18" s="1221" customFormat="1" ht="30" customHeight="1">
      <c r="A49" s="2966"/>
      <c r="B49" s="526"/>
      <c r="D49" s="1286"/>
      <c r="E49" s="1578"/>
      <c r="F49" s="1578"/>
      <c r="G49" s="1635" t="s">
        <v>1122</v>
      </c>
      <c r="H49" s="1628"/>
      <c r="I49" s="1629">
        <f>'Organ. Dünger'!H54</f>
        <v>0</v>
      </c>
      <c r="J49" s="1630"/>
      <c r="K49" s="1629">
        <f>'Organ. Dünger'!G54</f>
        <v>0</v>
      </c>
      <c r="L49" s="1630"/>
      <c r="M49" s="1629">
        <f>'Organ. Dünger'!I54</f>
        <v>0</v>
      </c>
      <c r="N49" s="2485"/>
      <c r="O49" s="2527"/>
      <c r="P49" s="2527"/>
      <c r="Q49" s="2527"/>
      <c r="R49" s="2942"/>
    </row>
    <row r="50" spans="1:18" s="1221" customFormat="1" ht="21.75" customHeight="1" thickBot="1">
      <c r="A50" s="2494"/>
      <c r="B50" s="1622"/>
      <c r="C50" s="1623"/>
      <c r="D50" s="1624"/>
      <c r="E50" s="1579"/>
      <c r="F50" s="1579"/>
      <c r="G50" s="1637" t="s">
        <v>286</v>
      </c>
      <c r="H50" s="1632"/>
      <c r="I50" s="1633">
        <f>I47+I48-I49</f>
        <v>0</v>
      </c>
      <c r="J50" s="1634"/>
      <c r="K50" s="1633">
        <f>K47+K48-K49</f>
        <v>0</v>
      </c>
      <c r="L50" s="1634"/>
      <c r="M50" s="1633">
        <f t="shared" ref="M50" si="25">M47+M48-M49</f>
        <v>0</v>
      </c>
      <c r="N50" s="2943"/>
      <c r="O50" s="2528"/>
      <c r="P50" s="2528"/>
      <c r="Q50" s="2528"/>
      <c r="R50" s="2944"/>
    </row>
    <row r="51" spans="1:18" s="1221" customFormat="1" ht="14.25" customHeight="1">
      <c r="B51" s="1578"/>
      <c r="C51" s="1607"/>
      <c r="D51" s="1237"/>
      <c r="E51" s="1608"/>
      <c r="F51" s="1578"/>
      <c r="G51" s="1237"/>
      <c r="H51" s="1213"/>
      <c r="J51" s="1239"/>
      <c r="K51" s="1239"/>
      <c r="L51" s="1239"/>
      <c r="M51" s="1239"/>
      <c r="N51" s="1239"/>
      <c r="O51" s="1239"/>
      <c r="P51" s="1239"/>
      <c r="Q51" s="1239"/>
    </row>
    <row r="52" spans="1:18" s="1221" customFormat="1" ht="23.25" customHeight="1">
      <c r="B52" s="1597"/>
      <c r="C52" s="1597"/>
      <c r="D52" s="1609"/>
      <c r="F52" s="1237"/>
      <c r="G52" s="1609"/>
      <c r="H52" s="1213"/>
      <c r="J52" s="1239"/>
      <c r="K52" s="1239"/>
      <c r="L52" s="1239"/>
      <c r="M52" s="1239"/>
      <c r="N52" s="1239"/>
      <c r="O52" s="1239"/>
      <c r="P52" s="1239"/>
      <c r="Q52" s="1239"/>
    </row>
    <row r="53" spans="1:18" s="1221" customFormat="1" ht="33" customHeight="1">
      <c r="D53" s="1610"/>
      <c r="F53" s="1212"/>
      <c r="H53" s="1213"/>
      <c r="I53" s="1213"/>
      <c r="J53" s="1238"/>
      <c r="K53" s="1238"/>
      <c r="L53" s="1238"/>
      <c r="M53" s="1238"/>
      <c r="N53" s="1239"/>
      <c r="O53" s="1239"/>
      <c r="P53" s="1239"/>
      <c r="Q53" s="1239"/>
    </row>
    <row r="54" spans="1:18" s="1221" customFormat="1" ht="24.75" customHeight="1">
      <c r="B54" s="1611"/>
      <c r="C54" s="1612"/>
      <c r="D54" s="1612"/>
      <c r="E54" s="1612"/>
      <c r="F54" s="1613"/>
      <c r="G54" s="1614"/>
      <c r="H54" s="1212"/>
      <c r="I54" s="1218"/>
      <c r="J54" s="1218"/>
      <c r="K54" s="1218"/>
      <c r="L54" s="1218"/>
      <c r="M54" s="1218"/>
      <c r="N54" s="1238"/>
      <c r="O54" s="1238"/>
      <c r="P54" s="1239"/>
      <c r="Q54" s="1239"/>
    </row>
    <row r="55" spans="1:18" ht="27.75" customHeight="1">
      <c r="B55" s="1222"/>
      <c r="C55" s="1222"/>
      <c r="D55" s="1222"/>
      <c r="E55" s="1222"/>
      <c r="F55" s="1614"/>
      <c r="I55" s="1223"/>
      <c r="J55" s="1223"/>
      <c r="K55" s="1223"/>
      <c r="L55" s="1223"/>
      <c r="M55" s="1223"/>
      <c r="N55" s="1218"/>
      <c r="O55" s="1218"/>
    </row>
    <row r="56" spans="1:18" ht="21" customHeight="1">
      <c r="B56" s="1222"/>
      <c r="C56" s="1222"/>
      <c r="D56" s="1224"/>
      <c r="E56" s="1224"/>
      <c r="I56" s="1225"/>
      <c r="J56" s="1225"/>
      <c r="K56" s="1225"/>
      <c r="L56" s="1225"/>
      <c r="M56" s="1225"/>
      <c r="N56" s="1223"/>
      <c r="O56" s="1223"/>
    </row>
    <row r="57" spans="1:18" ht="21" customHeight="1">
      <c r="F57" s="1215"/>
      <c r="I57" s="1218"/>
      <c r="J57" s="1218"/>
      <c r="K57" s="1218"/>
      <c r="L57" s="1218"/>
      <c r="M57" s="1218"/>
      <c r="N57" s="1225"/>
      <c r="O57" s="1225"/>
      <c r="Q57" s="1228"/>
    </row>
    <row r="58" spans="1:18">
      <c r="D58" s="1226"/>
      <c r="E58" s="1226"/>
      <c r="I58" s="1218"/>
      <c r="J58" s="1218"/>
      <c r="K58" s="1218"/>
      <c r="L58" s="1218"/>
      <c r="M58" s="1218"/>
      <c r="N58" s="1218"/>
      <c r="O58" s="1218"/>
    </row>
    <row r="59" spans="1:18">
      <c r="B59" s="1227"/>
      <c r="C59" s="1227"/>
      <c r="I59" s="1218"/>
      <c r="J59" s="1218"/>
      <c r="K59" s="1218"/>
      <c r="L59" s="1218"/>
      <c r="M59" s="1218"/>
      <c r="N59" s="1218"/>
      <c r="O59" s="1218"/>
    </row>
    <row r="60" spans="1:18">
      <c r="D60" s="1226"/>
      <c r="E60" s="1226"/>
      <c r="N60" s="1218"/>
      <c r="O60" s="1218"/>
    </row>
    <row r="61" spans="1:18">
      <c r="B61" s="1222"/>
      <c r="C61" s="1222"/>
    </row>
    <row r="62" spans="1:18">
      <c r="B62" s="1228"/>
      <c r="C62" s="1228"/>
      <c r="D62" s="1228"/>
      <c r="E62" s="1228"/>
      <c r="G62" s="1229"/>
      <c r="H62" s="1229"/>
      <c r="I62" s="1229"/>
      <c r="J62" s="1230"/>
      <c r="K62" s="1230"/>
      <c r="L62" s="1228"/>
      <c r="M62" s="1228"/>
    </row>
    <row r="63" spans="1:18">
      <c r="B63" s="1228"/>
      <c r="C63" s="1228"/>
      <c r="D63" s="150"/>
      <c r="E63" s="150"/>
      <c r="F63" s="1229"/>
      <c r="G63" s="1231"/>
      <c r="H63" s="1231"/>
      <c r="I63" s="1231"/>
      <c r="J63" s="1231"/>
      <c r="K63" s="1231"/>
      <c r="L63" s="150"/>
      <c r="M63" s="150"/>
      <c r="N63" s="1228"/>
      <c r="O63" s="1228"/>
    </row>
    <row r="64" spans="1:18">
      <c r="B64" s="1228"/>
      <c r="C64" s="1228"/>
      <c r="D64" s="1232"/>
      <c r="E64" s="1232"/>
      <c r="F64" s="1231"/>
      <c r="G64" s="1228"/>
      <c r="H64" s="1228"/>
      <c r="I64" s="1228"/>
      <c r="J64" s="1228"/>
      <c r="K64" s="1228"/>
      <c r="L64" s="1233"/>
      <c r="M64" s="1233"/>
      <c r="N64" s="150"/>
      <c r="O64" s="150"/>
    </row>
    <row r="65" spans="2:15">
      <c r="B65" s="1229"/>
      <c r="C65" s="1229"/>
      <c r="D65" s="1234"/>
      <c r="E65" s="1234"/>
      <c r="F65" s="1228"/>
      <c r="G65" s="1228"/>
      <c r="H65" s="1228"/>
      <c r="I65" s="1228"/>
      <c r="J65" s="1228"/>
      <c r="K65" s="1228"/>
      <c r="L65" s="1228"/>
      <c r="M65" s="1228"/>
      <c r="N65" s="1233"/>
      <c r="O65" s="1233"/>
    </row>
    <row r="66" spans="2:15">
      <c r="B66" s="1228"/>
      <c r="C66" s="1228"/>
      <c r="D66" s="1232"/>
      <c r="E66" s="1232"/>
      <c r="F66" s="1228"/>
      <c r="G66" s="1228"/>
      <c r="H66" s="1228"/>
      <c r="I66" s="1228"/>
      <c r="J66" s="1228"/>
      <c r="K66" s="1228"/>
      <c r="L66" s="1228"/>
      <c r="M66" s="1228"/>
      <c r="N66" s="1228"/>
      <c r="O66" s="1228"/>
    </row>
    <row r="67" spans="2:15">
      <c r="B67" s="1228"/>
      <c r="C67" s="1228"/>
      <c r="D67" s="1228"/>
      <c r="E67" s="1228"/>
      <c r="F67" s="1228"/>
      <c r="G67" s="1228"/>
      <c r="H67" s="1228"/>
      <c r="I67" s="1228"/>
      <c r="J67" s="1228"/>
      <c r="K67" s="1228"/>
      <c r="L67" s="1228"/>
      <c r="M67" s="1228"/>
      <c r="N67" s="1228"/>
      <c r="O67" s="1228"/>
    </row>
    <row r="68" spans="2:15">
      <c r="F68" s="1228"/>
      <c r="N68" s="1228"/>
      <c r="O68" s="1228"/>
    </row>
  </sheetData>
  <sheetProtection sheet="1" formatCells="0" formatColumns="0" formatRows="0" selectLockedCells="1" selectUnlockedCells="1"/>
  <mergeCells count="36">
    <mergeCell ref="D37:G37"/>
    <mergeCell ref="D38:G38"/>
    <mergeCell ref="D39:G39"/>
    <mergeCell ref="I39:R39"/>
    <mergeCell ref="I20:R21"/>
    <mergeCell ref="I24:M24"/>
    <mergeCell ref="N24:R24"/>
    <mergeCell ref="C23:G23"/>
    <mergeCell ref="I38:R38"/>
    <mergeCell ref="I37:R37"/>
    <mergeCell ref="A41:A50"/>
    <mergeCell ref="A23:A36"/>
    <mergeCell ref="A3:R3"/>
    <mergeCell ref="A1:R1"/>
    <mergeCell ref="A2:R2"/>
    <mergeCell ref="A4:R4"/>
    <mergeCell ref="C8:G8"/>
    <mergeCell ref="A8:A19"/>
    <mergeCell ref="I9:M9"/>
    <mergeCell ref="N9:R9"/>
    <mergeCell ref="I8:R8"/>
    <mergeCell ref="D9:E9"/>
    <mergeCell ref="F9:G9"/>
    <mergeCell ref="I23:R23"/>
    <mergeCell ref="D24:E24"/>
    <mergeCell ref="F24:G24"/>
    <mergeCell ref="N47:R50"/>
    <mergeCell ref="E46:E47"/>
    <mergeCell ref="B47:D47"/>
    <mergeCell ref="F42:F43"/>
    <mergeCell ref="F41:G41"/>
    <mergeCell ref="I41:M41"/>
    <mergeCell ref="N41:R41"/>
    <mergeCell ref="G45:G46"/>
    <mergeCell ref="B46:C46"/>
    <mergeCell ref="B43:C43"/>
  </mergeCells>
  <pageMargins left="0.51181102362204722" right="0.31496062992125984" top="0.39370078740157483" bottom="0.59055118110236227" header="0.31496062992125984" footer="0.31496062992125984"/>
  <pageSetup paperSize="9" scale="55" orientation="landscape" r:id="rId1"/>
  <rowBreaks count="1" manualBreakCount="1">
    <brk id="40" max="17" man="1"/>
  </rowBreaks>
  <colBreaks count="1" manualBreakCount="1">
    <brk id="18" min="3" max="3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89"/>
  <sheetViews>
    <sheetView zoomScaleNormal="100" workbookViewId="0">
      <selection activeCell="I49" sqref="I49"/>
    </sheetView>
  </sheetViews>
  <sheetFormatPr baseColWidth="10" defaultRowHeight="15"/>
  <cols>
    <col min="1" max="1" width="3.5703125" style="1097" customWidth="1"/>
    <col min="2" max="2" width="40.85546875" style="1103" customWidth="1"/>
    <col min="3" max="3" width="11.42578125" style="1097"/>
    <col min="4" max="4" width="11.42578125" style="2080"/>
    <col min="5" max="5" width="14.42578125" style="1097" customWidth="1"/>
    <col min="6" max="6" width="11.42578125" style="1097"/>
    <col min="7" max="7" width="25.7109375" style="1097" customWidth="1"/>
    <col min="8" max="8" width="21.85546875" style="1097" customWidth="1"/>
    <col min="9" max="15" width="1.5703125" style="1097" customWidth="1"/>
    <col min="16" max="16" width="5.28515625" style="1097" customWidth="1"/>
    <col min="17" max="17" width="38.42578125" style="1103" customWidth="1"/>
    <col min="18" max="18" width="11.42578125" style="1097"/>
    <col min="19" max="19" width="11.42578125" style="2093"/>
    <col min="20" max="20" width="15.5703125" style="1097" customWidth="1"/>
    <col min="21" max="16384" width="11.42578125" style="1097"/>
  </cols>
  <sheetData>
    <row r="2" spans="2:22" ht="72.75" customHeight="1">
      <c r="B2" s="1103" t="s">
        <v>1054</v>
      </c>
      <c r="C2" s="3009" t="s">
        <v>1157</v>
      </c>
      <c r="D2" s="3009"/>
      <c r="E2" s="3009"/>
      <c r="F2" s="3009"/>
      <c r="G2" s="3009"/>
      <c r="Q2" s="1112" t="s">
        <v>1053</v>
      </c>
    </row>
    <row r="4" spans="2:22" ht="15.75">
      <c r="B4" s="199" t="s">
        <v>819</v>
      </c>
      <c r="C4" s="3006" t="s">
        <v>821</v>
      </c>
      <c r="D4" s="2726"/>
      <c r="E4" s="3007"/>
      <c r="F4" s="3007"/>
      <c r="G4" s="3008"/>
      <c r="I4" s="1101"/>
      <c r="J4" s="1101"/>
      <c r="Q4" s="199" t="s">
        <v>819</v>
      </c>
      <c r="R4" s="3006" t="s">
        <v>821</v>
      </c>
      <c r="S4" s="2726"/>
      <c r="T4" s="3007"/>
      <c r="U4" s="3007"/>
      <c r="V4" s="3008"/>
    </row>
    <row r="5" spans="2:22" ht="63">
      <c r="B5" s="199"/>
      <c r="C5" s="1099" t="s">
        <v>177</v>
      </c>
      <c r="D5" s="1098" t="s">
        <v>1723</v>
      </c>
      <c r="E5" s="1099" t="s">
        <v>284</v>
      </c>
      <c r="F5" s="1099" t="s">
        <v>285</v>
      </c>
      <c r="H5" s="1101"/>
      <c r="I5" s="1101"/>
      <c r="Q5" s="199"/>
      <c r="R5" s="2091" t="s">
        <v>177</v>
      </c>
      <c r="S5" s="1098" t="s">
        <v>1723</v>
      </c>
      <c r="T5" s="2091" t="s">
        <v>284</v>
      </c>
      <c r="U5" s="2091" t="s">
        <v>285</v>
      </c>
    </row>
    <row r="6" spans="2:22" ht="15.75">
      <c r="B6" s="198" t="s">
        <v>795</v>
      </c>
      <c r="C6" s="1096">
        <v>0</v>
      </c>
      <c r="D6" s="210">
        <v>0</v>
      </c>
      <c r="E6" s="1096">
        <v>0</v>
      </c>
      <c r="F6" s="1102">
        <v>0</v>
      </c>
      <c r="H6" s="1101"/>
      <c r="I6" s="1101"/>
      <c r="Q6" s="198" t="s">
        <v>795</v>
      </c>
      <c r="R6" s="2090">
        <v>0</v>
      </c>
      <c r="S6" s="210">
        <v>0</v>
      </c>
      <c r="T6" s="2090">
        <v>0</v>
      </c>
      <c r="U6" s="1102">
        <v>0</v>
      </c>
    </row>
    <row r="7" spans="2:22" ht="15.75">
      <c r="B7" s="1331" t="s">
        <v>287</v>
      </c>
      <c r="C7" s="1332">
        <v>15.5</v>
      </c>
      <c r="D7" s="1333">
        <v>100</v>
      </c>
      <c r="E7" s="1332">
        <v>0</v>
      </c>
      <c r="F7" s="1334">
        <v>0</v>
      </c>
      <c r="G7" s="2485" t="s">
        <v>1718</v>
      </c>
      <c r="H7" s="1101"/>
      <c r="I7" s="1101"/>
      <c r="Q7" s="198" t="s">
        <v>287</v>
      </c>
      <c r="R7" s="1332">
        <v>15.5</v>
      </c>
      <c r="S7" s="1333">
        <v>100</v>
      </c>
      <c r="T7" s="1332">
        <v>0</v>
      </c>
      <c r="U7" s="1334">
        <v>0</v>
      </c>
    </row>
    <row r="8" spans="2:22" ht="15.75">
      <c r="B8" s="1331" t="s">
        <v>830</v>
      </c>
      <c r="C8" s="1332">
        <v>27</v>
      </c>
      <c r="D8" s="1333">
        <v>100</v>
      </c>
      <c r="E8" s="1332">
        <v>0</v>
      </c>
      <c r="F8" s="1334">
        <v>0</v>
      </c>
      <c r="G8" s="2485"/>
      <c r="H8" s="1101"/>
      <c r="I8" s="1101"/>
      <c r="Q8" s="198" t="s">
        <v>830</v>
      </c>
      <c r="R8" s="1332">
        <v>27</v>
      </c>
      <c r="S8" s="1333">
        <v>100</v>
      </c>
      <c r="T8" s="1332">
        <v>0</v>
      </c>
      <c r="U8" s="1334">
        <v>0</v>
      </c>
    </row>
    <row r="9" spans="2:22" ht="15.75">
      <c r="B9" s="1331" t="s">
        <v>834</v>
      </c>
      <c r="C9" s="1332">
        <v>24</v>
      </c>
      <c r="D9" s="1333">
        <v>100</v>
      </c>
      <c r="E9" s="1332">
        <v>0</v>
      </c>
      <c r="F9" s="1334">
        <v>0</v>
      </c>
      <c r="G9" s="2485"/>
      <c r="H9" s="782"/>
      <c r="I9" s="1101"/>
      <c r="Q9" s="198" t="s">
        <v>834</v>
      </c>
      <c r="R9" s="1332">
        <v>24</v>
      </c>
      <c r="S9" s="1333">
        <v>100</v>
      </c>
      <c r="T9" s="1332">
        <v>0</v>
      </c>
      <c r="U9" s="1334">
        <v>0</v>
      </c>
    </row>
    <row r="10" spans="2:22" ht="15.75">
      <c r="B10" s="1331" t="s">
        <v>288</v>
      </c>
      <c r="C10" s="1332">
        <v>24</v>
      </c>
      <c r="D10" s="1333">
        <v>100</v>
      </c>
      <c r="E10" s="1332">
        <v>0</v>
      </c>
      <c r="F10" s="1334">
        <v>0</v>
      </c>
      <c r="G10" s="2485"/>
      <c r="H10" s="1101"/>
      <c r="I10" s="1101"/>
      <c r="Q10" s="198" t="s">
        <v>288</v>
      </c>
      <c r="R10" s="1332">
        <v>24</v>
      </c>
      <c r="S10" s="1333">
        <v>100</v>
      </c>
      <c r="T10" s="1332">
        <v>0</v>
      </c>
      <c r="U10" s="1334">
        <v>0</v>
      </c>
    </row>
    <row r="11" spans="2:22" ht="15.75">
      <c r="B11" s="1331" t="s">
        <v>831</v>
      </c>
      <c r="C11" s="1332">
        <v>26</v>
      </c>
      <c r="D11" s="1333">
        <v>100</v>
      </c>
      <c r="E11" s="1332">
        <v>0</v>
      </c>
      <c r="F11" s="1334">
        <v>0</v>
      </c>
      <c r="G11" s="2485"/>
      <c r="H11" s="1101"/>
      <c r="I11" s="1101"/>
      <c r="Q11" s="198" t="s">
        <v>831</v>
      </c>
      <c r="R11" s="1332">
        <v>26</v>
      </c>
      <c r="S11" s="1333">
        <v>100</v>
      </c>
      <c r="T11" s="1332">
        <v>0</v>
      </c>
      <c r="U11" s="1334">
        <v>0</v>
      </c>
    </row>
    <row r="12" spans="2:22" ht="15.75">
      <c r="B12" s="1331" t="s">
        <v>835</v>
      </c>
      <c r="C12" s="1332">
        <v>21</v>
      </c>
      <c r="D12" s="1333">
        <v>100</v>
      </c>
      <c r="E12" s="1332">
        <v>0</v>
      </c>
      <c r="F12" s="1334">
        <v>0</v>
      </c>
      <c r="G12" s="2485"/>
      <c r="H12" s="782"/>
      <c r="I12" s="1101"/>
      <c r="Q12" s="198" t="s">
        <v>835</v>
      </c>
      <c r="R12" s="1332">
        <v>21</v>
      </c>
      <c r="S12" s="1333">
        <v>100</v>
      </c>
      <c r="T12" s="1332">
        <v>0</v>
      </c>
      <c r="U12" s="1334">
        <v>0</v>
      </c>
    </row>
    <row r="13" spans="2:22" ht="15.75">
      <c r="B13" s="1331" t="s">
        <v>832</v>
      </c>
      <c r="C13" s="1332">
        <v>33</v>
      </c>
      <c r="D13" s="1333">
        <v>100</v>
      </c>
      <c r="E13" s="1332">
        <v>0</v>
      </c>
      <c r="F13" s="1334">
        <v>0</v>
      </c>
      <c r="G13" s="2485"/>
      <c r="H13" s="1101"/>
      <c r="I13" s="1101"/>
      <c r="Q13" s="198" t="s">
        <v>832</v>
      </c>
      <c r="R13" s="1332">
        <v>33</v>
      </c>
      <c r="S13" s="1333">
        <v>100</v>
      </c>
      <c r="T13" s="1332">
        <v>0</v>
      </c>
      <c r="U13" s="1334">
        <v>0</v>
      </c>
    </row>
    <row r="14" spans="2:22" ht="15.75">
      <c r="B14" s="1331" t="s">
        <v>833</v>
      </c>
      <c r="C14" s="1335">
        <v>38</v>
      </c>
      <c r="D14" s="1333">
        <v>100</v>
      </c>
      <c r="E14" s="1332">
        <v>0</v>
      </c>
      <c r="F14" s="1334">
        <v>0</v>
      </c>
      <c r="G14" s="2485"/>
      <c r="H14" s="1101"/>
      <c r="I14" s="1101"/>
      <c r="Q14" s="198" t="s">
        <v>833</v>
      </c>
      <c r="R14" s="1335">
        <v>38</v>
      </c>
      <c r="S14" s="1333">
        <v>100</v>
      </c>
      <c r="T14" s="1332">
        <v>0</v>
      </c>
      <c r="U14" s="1334">
        <v>0</v>
      </c>
    </row>
    <row r="15" spans="2:22" ht="15.75">
      <c r="B15" s="1331" t="s">
        <v>289</v>
      </c>
      <c r="C15" s="1332">
        <v>46</v>
      </c>
      <c r="D15" s="1333">
        <v>100</v>
      </c>
      <c r="E15" s="1332">
        <v>0</v>
      </c>
      <c r="F15" s="1334">
        <v>0</v>
      </c>
      <c r="G15" s="2485"/>
      <c r="H15" s="1101"/>
      <c r="I15" s="1101"/>
      <c r="Q15" s="198" t="s">
        <v>289</v>
      </c>
      <c r="R15" s="1332">
        <v>46</v>
      </c>
      <c r="S15" s="1333">
        <v>100</v>
      </c>
      <c r="T15" s="1332">
        <v>0</v>
      </c>
      <c r="U15" s="1334">
        <v>0</v>
      </c>
    </row>
    <row r="16" spans="2:22" ht="15.75">
      <c r="B16" s="1331" t="s">
        <v>796</v>
      </c>
      <c r="C16" s="1332">
        <v>28</v>
      </c>
      <c r="D16" s="1333">
        <v>100</v>
      </c>
      <c r="E16" s="1332">
        <v>0</v>
      </c>
      <c r="F16" s="1334">
        <v>0</v>
      </c>
      <c r="G16" s="2485"/>
      <c r="H16" s="1101"/>
      <c r="I16" s="1101"/>
      <c r="Q16" s="198" t="s">
        <v>796</v>
      </c>
      <c r="R16" s="1332">
        <v>28</v>
      </c>
      <c r="S16" s="1333">
        <v>100</v>
      </c>
      <c r="T16" s="1332">
        <v>0</v>
      </c>
      <c r="U16" s="1334">
        <v>0</v>
      </c>
    </row>
    <row r="17" spans="2:21" ht="15.75">
      <c r="B17" s="1331" t="s">
        <v>797</v>
      </c>
      <c r="C17" s="1335">
        <v>30</v>
      </c>
      <c r="D17" s="1333">
        <v>100</v>
      </c>
      <c r="E17" s="1332">
        <v>0</v>
      </c>
      <c r="F17" s="1334">
        <v>0</v>
      </c>
      <c r="G17" s="2485"/>
      <c r="H17" s="1101"/>
      <c r="I17" s="1101"/>
      <c r="Q17" s="198" t="s">
        <v>797</v>
      </c>
      <c r="R17" s="1335">
        <v>30</v>
      </c>
      <c r="S17" s="1333">
        <v>100</v>
      </c>
      <c r="T17" s="1332">
        <v>0</v>
      </c>
      <c r="U17" s="1334">
        <v>0</v>
      </c>
    </row>
    <row r="18" spans="2:21" ht="15.75">
      <c r="B18" s="1331" t="s">
        <v>290</v>
      </c>
      <c r="C18" s="1332">
        <v>8</v>
      </c>
      <c r="D18" s="1333">
        <v>100</v>
      </c>
      <c r="E18" s="1332">
        <v>0</v>
      </c>
      <c r="F18" s="1334">
        <v>0</v>
      </c>
      <c r="G18" s="2485"/>
      <c r="H18" s="1101"/>
      <c r="I18" s="1101"/>
      <c r="Q18" s="198" t="s">
        <v>290</v>
      </c>
      <c r="R18" s="1332">
        <v>8</v>
      </c>
      <c r="S18" s="1333">
        <v>100</v>
      </c>
      <c r="T18" s="1332">
        <v>0</v>
      </c>
      <c r="U18" s="1334">
        <v>0</v>
      </c>
    </row>
    <row r="19" spans="2:21" ht="15.75">
      <c r="B19" s="1331" t="s">
        <v>836</v>
      </c>
      <c r="C19" s="1332">
        <v>15</v>
      </c>
      <c r="D19" s="1333">
        <v>100</v>
      </c>
      <c r="E19" s="1332">
        <v>0</v>
      </c>
      <c r="F19" s="1334">
        <v>0</v>
      </c>
      <c r="G19" s="2485"/>
      <c r="H19" s="1101"/>
      <c r="I19" s="1101"/>
      <c r="Q19" s="198" t="s">
        <v>836</v>
      </c>
      <c r="R19" s="1332">
        <v>15</v>
      </c>
      <c r="S19" s="1333">
        <v>100</v>
      </c>
      <c r="T19" s="1332">
        <v>0</v>
      </c>
      <c r="U19" s="1334">
        <v>0</v>
      </c>
    </row>
    <row r="20" spans="2:21" ht="15.75">
      <c r="B20" s="1331" t="s">
        <v>291</v>
      </c>
      <c r="C20" s="1332">
        <v>19.8</v>
      </c>
      <c r="D20" s="1333">
        <v>100</v>
      </c>
      <c r="E20" s="1332">
        <v>0</v>
      </c>
      <c r="F20" s="1334">
        <v>0</v>
      </c>
      <c r="G20" s="2485"/>
      <c r="H20" s="782"/>
      <c r="I20" s="1101"/>
      <c r="Q20" s="198" t="s">
        <v>291</v>
      </c>
      <c r="R20" s="1332">
        <v>19.8</v>
      </c>
      <c r="S20" s="1333">
        <v>100</v>
      </c>
      <c r="T20" s="1332">
        <v>0</v>
      </c>
      <c r="U20" s="1334">
        <v>0</v>
      </c>
    </row>
    <row r="21" spans="2:21" ht="15.75">
      <c r="B21" s="1331" t="s">
        <v>798</v>
      </c>
      <c r="C21" s="1332">
        <v>20</v>
      </c>
      <c r="D21" s="1333">
        <v>100</v>
      </c>
      <c r="E21" s="1332">
        <v>20</v>
      </c>
      <c r="F21" s="1334">
        <v>0</v>
      </c>
      <c r="G21" s="2485"/>
      <c r="H21" s="782"/>
      <c r="I21" s="1101"/>
      <c r="Q21" s="198" t="s">
        <v>798</v>
      </c>
      <c r="R21" s="1332">
        <v>20</v>
      </c>
      <c r="S21" s="1333">
        <v>100</v>
      </c>
      <c r="T21" s="1332">
        <v>20</v>
      </c>
      <c r="U21" s="1334">
        <v>0</v>
      </c>
    </row>
    <row r="22" spans="2:21" ht="15.75">
      <c r="B22" s="1331" t="s">
        <v>799</v>
      </c>
      <c r="C22" s="1332">
        <v>10</v>
      </c>
      <c r="D22" s="1333">
        <v>100</v>
      </c>
      <c r="E22" s="1332">
        <v>34</v>
      </c>
      <c r="F22" s="1334">
        <v>0</v>
      </c>
      <c r="G22" s="2485"/>
      <c r="H22" s="782"/>
      <c r="I22" s="1101"/>
      <c r="Q22" s="198" t="s">
        <v>799</v>
      </c>
      <c r="R22" s="1332">
        <v>10</v>
      </c>
      <c r="S22" s="1333">
        <v>100</v>
      </c>
      <c r="T22" s="1332">
        <v>34</v>
      </c>
      <c r="U22" s="1334">
        <v>0</v>
      </c>
    </row>
    <row r="23" spans="2:21" ht="15.75">
      <c r="B23" s="1331" t="s">
        <v>837</v>
      </c>
      <c r="C23" s="1332">
        <v>18</v>
      </c>
      <c r="D23" s="1333">
        <v>100</v>
      </c>
      <c r="E23" s="1332">
        <v>46</v>
      </c>
      <c r="F23" s="1334">
        <v>0</v>
      </c>
      <c r="G23" s="2485"/>
      <c r="H23" s="782"/>
      <c r="I23" s="1101"/>
      <c r="Q23" s="198" t="s">
        <v>837</v>
      </c>
      <c r="R23" s="1332">
        <v>18</v>
      </c>
      <c r="S23" s="1333">
        <v>100</v>
      </c>
      <c r="T23" s="1332">
        <v>46</v>
      </c>
      <c r="U23" s="1334">
        <v>0</v>
      </c>
    </row>
    <row r="24" spans="2:21" ht="15.75">
      <c r="B24" s="1331" t="s">
        <v>800</v>
      </c>
      <c r="C24" s="1332">
        <v>15</v>
      </c>
      <c r="D24" s="1333">
        <v>100</v>
      </c>
      <c r="E24" s="1332">
        <v>15</v>
      </c>
      <c r="F24" s="1334">
        <v>0</v>
      </c>
      <c r="G24" s="2485"/>
      <c r="H24" s="782"/>
      <c r="I24" s="1101"/>
      <c r="Q24" s="198" t="s">
        <v>800</v>
      </c>
      <c r="R24" s="1332">
        <v>15</v>
      </c>
      <c r="S24" s="1333">
        <v>100</v>
      </c>
      <c r="T24" s="1332">
        <v>15</v>
      </c>
      <c r="U24" s="1334">
        <v>0</v>
      </c>
    </row>
    <row r="25" spans="2:21" ht="15.75">
      <c r="B25" s="1331" t="s">
        <v>801</v>
      </c>
      <c r="C25" s="1335">
        <v>13</v>
      </c>
      <c r="D25" s="1333">
        <v>100</v>
      </c>
      <c r="E25" s="1335">
        <v>13</v>
      </c>
      <c r="F25" s="1334">
        <v>0</v>
      </c>
      <c r="G25" s="2485"/>
      <c r="Q25" s="198" t="s">
        <v>801</v>
      </c>
      <c r="R25" s="1335">
        <v>13</v>
      </c>
      <c r="S25" s="1333">
        <v>100</v>
      </c>
      <c r="T25" s="1335">
        <v>13</v>
      </c>
      <c r="U25" s="1334">
        <v>0</v>
      </c>
    </row>
    <row r="26" spans="2:21" ht="15.75">
      <c r="B26" s="1331" t="s">
        <v>802</v>
      </c>
      <c r="C26" s="1336">
        <v>20</v>
      </c>
      <c r="D26" s="1333">
        <v>100</v>
      </c>
      <c r="E26" s="1336">
        <v>8</v>
      </c>
      <c r="F26" s="1334">
        <v>0</v>
      </c>
      <c r="G26" s="2485"/>
      <c r="Q26" s="198" t="s">
        <v>802</v>
      </c>
      <c r="R26" s="1336">
        <v>20</v>
      </c>
      <c r="S26" s="1333">
        <v>100</v>
      </c>
      <c r="T26" s="1336">
        <v>8</v>
      </c>
      <c r="U26" s="1334">
        <v>0</v>
      </c>
    </row>
    <row r="27" spans="2:21" ht="15.75">
      <c r="B27" s="1331" t="s">
        <v>292</v>
      </c>
      <c r="C27" s="1332">
        <v>0</v>
      </c>
      <c r="D27" s="1333">
        <v>100</v>
      </c>
      <c r="E27" s="1332">
        <v>18</v>
      </c>
      <c r="F27" s="1334">
        <v>0</v>
      </c>
      <c r="G27" s="2485"/>
      <c r="Q27" s="198" t="s">
        <v>292</v>
      </c>
      <c r="R27" s="1332">
        <v>0</v>
      </c>
      <c r="S27" s="1333">
        <v>100</v>
      </c>
      <c r="T27" s="1332">
        <v>18</v>
      </c>
      <c r="U27" s="1334">
        <v>0</v>
      </c>
    </row>
    <row r="28" spans="2:21" ht="15.75">
      <c r="B28" s="1331" t="s">
        <v>838</v>
      </c>
      <c r="C28" s="1332">
        <v>0</v>
      </c>
      <c r="D28" s="1333">
        <v>100</v>
      </c>
      <c r="E28" s="1332">
        <v>46</v>
      </c>
      <c r="F28" s="1334">
        <v>0</v>
      </c>
      <c r="G28" s="2485"/>
      <c r="Q28" s="198" t="s">
        <v>838</v>
      </c>
      <c r="R28" s="1332">
        <v>0</v>
      </c>
      <c r="S28" s="1333">
        <v>100</v>
      </c>
      <c r="T28" s="1332">
        <v>46</v>
      </c>
      <c r="U28" s="1334">
        <v>0</v>
      </c>
    </row>
    <row r="29" spans="2:21" ht="15.75">
      <c r="B29" s="1331" t="s">
        <v>1714</v>
      </c>
      <c r="C29" s="1332">
        <v>0</v>
      </c>
      <c r="D29" s="1333">
        <v>100</v>
      </c>
      <c r="E29" s="1332">
        <v>0</v>
      </c>
      <c r="F29" s="1334">
        <v>0</v>
      </c>
      <c r="G29" s="2485"/>
      <c r="Q29" s="198" t="s">
        <v>1107</v>
      </c>
      <c r="R29" s="1332">
        <v>0</v>
      </c>
      <c r="S29" s="1333">
        <v>100</v>
      </c>
      <c r="T29" s="1332">
        <v>0</v>
      </c>
      <c r="U29" s="1334">
        <v>0</v>
      </c>
    </row>
    <row r="30" spans="2:21" ht="15.75">
      <c r="B30" s="1331" t="s">
        <v>1715</v>
      </c>
      <c r="C30" s="1332">
        <v>0</v>
      </c>
      <c r="D30" s="1333">
        <v>100</v>
      </c>
      <c r="E30" s="1332">
        <v>0</v>
      </c>
      <c r="F30" s="1334">
        <v>0</v>
      </c>
      <c r="G30" s="2485"/>
      <c r="Q30" s="198" t="s">
        <v>1108</v>
      </c>
      <c r="R30" s="1332">
        <v>0</v>
      </c>
      <c r="S30" s="1333">
        <v>100</v>
      </c>
      <c r="T30" s="1332">
        <v>0</v>
      </c>
      <c r="U30" s="1334">
        <v>0</v>
      </c>
    </row>
    <row r="31" spans="2:21" ht="15.75">
      <c r="B31" s="1331" t="s">
        <v>1716</v>
      </c>
      <c r="C31" s="1332">
        <v>0</v>
      </c>
      <c r="D31" s="1333">
        <v>100</v>
      </c>
      <c r="E31" s="1332">
        <v>0</v>
      </c>
      <c r="F31" s="1334">
        <v>0</v>
      </c>
      <c r="G31" s="2485"/>
      <c r="Q31" s="198" t="s">
        <v>1109</v>
      </c>
      <c r="R31" s="1332">
        <v>0</v>
      </c>
      <c r="S31" s="1333">
        <v>100</v>
      </c>
      <c r="T31" s="1332">
        <v>0</v>
      </c>
      <c r="U31" s="1334">
        <v>0</v>
      </c>
    </row>
    <row r="32" spans="2:21" ht="15.75">
      <c r="B32" s="1331" t="s">
        <v>1717</v>
      </c>
      <c r="C32" s="1332">
        <v>0</v>
      </c>
      <c r="D32" s="1333">
        <v>100</v>
      </c>
      <c r="E32" s="1332">
        <v>0</v>
      </c>
      <c r="F32" s="1334">
        <v>0</v>
      </c>
      <c r="G32" s="2485"/>
      <c r="Q32" s="198" t="s">
        <v>1110</v>
      </c>
      <c r="R32" s="1332">
        <v>0</v>
      </c>
      <c r="S32" s="1333">
        <v>100</v>
      </c>
      <c r="T32" s="1332">
        <v>0</v>
      </c>
      <c r="U32" s="1334">
        <v>0</v>
      </c>
    </row>
    <row r="33" spans="2:21" s="1183" customFormat="1" ht="15.75">
      <c r="B33" s="198" t="s">
        <v>795</v>
      </c>
      <c r="C33" s="1182">
        <v>0</v>
      </c>
      <c r="D33" s="210">
        <v>0</v>
      </c>
      <c r="E33" s="1182">
        <v>0</v>
      </c>
      <c r="F33" s="1102">
        <v>0</v>
      </c>
      <c r="Q33" s="198" t="s">
        <v>795</v>
      </c>
      <c r="R33" s="2090">
        <v>0</v>
      </c>
      <c r="S33" s="210">
        <v>0</v>
      </c>
      <c r="T33" s="2090">
        <v>0</v>
      </c>
      <c r="U33" s="1102">
        <v>0</v>
      </c>
    </row>
    <row r="34" spans="2:21" ht="15.75">
      <c r="B34" s="1331" t="s">
        <v>1038</v>
      </c>
      <c r="C34" s="1332">
        <v>0.36</v>
      </c>
      <c r="D34" s="1333">
        <v>60</v>
      </c>
      <c r="E34" s="1332">
        <v>0.15</v>
      </c>
      <c r="F34" s="1334">
        <v>0.47</v>
      </c>
      <c r="G34" s="3010" t="s">
        <v>1730</v>
      </c>
      <c r="Q34" s="198" t="s">
        <v>1038</v>
      </c>
      <c r="R34" s="1332">
        <v>0.36</v>
      </c>
      <c r="S34" s="1333">
        <v>60</v>
      </c>
      <c r="T34" s="1332">
        <v>0.15</v>
      </c>
      <c r="U34" s="1334">
        <v>0.47</v>
      </c>
    </row>
    <row r="35" spans="2:21" ht="15.75">
      <c r="B35" s="1331" t="s">
        <v>1031</v>
      </c>
      <c r="C35" s="1332">
        <v>0.47</v>
      </c>
      <c r="D35" s="1333">
        <v>70</v>
      </c>
      <c r="E35" s="1332">
        <v>0.17</v>
      </c>
      <c r="F35" s="1334">
        <v>0.31</v>
      </c>
      <c r="G35" s="2485"/>
      <c r="Q35" s="198" t="s">
        <v>1031</v>
      </c>
      <c r="R35" s="1332">
        <v>0.47</v>
      </c>
      <c r="S35" s="1333">
        <v>70</v>
      </c>
      <c r="T35" s="1332">
        <v>0.17</v>
      </c>
      <c r="U35" s="1334">
        <v>0.31</v>
      </c>
    </row>
    <row r="36" spans="2:21" ht="15.75">
      <c r="B36" s="1331" t="s">
        <v>1029</v>
      </c>
      <c r="C36" s="1332">
        <v>0.61</v>
      </c>
      <c r="D36" s="1333">
        <v>25</v>
      </c>
      <c r="E36" s="1332">
        <v>0.33</v>
      </c>
      <c r="F36" s="1334">
        <v>1</v>
      </c>
      <c r="G36" s="2485"/>
      <c r="Q36" s="198" t="s">
        <v>1029</v>
      </c>
      <c r="R36" s="1332">
        <v>0.61</v>
      </c>
      <c r="S36" s="1333">
        <v>25</v>
      </c>
      <c r="T36" s="1332">
        <v>0.33</v>
      </c>
      <c r="U36" s="1334">
        <v>1</v>
      </c>
    </row>
    <row r="37" spans="2:21" ht="15.75">
      <c r="B37" s="1331" t="s">
        <v>1030</v>
      </c>
      <c r="C37" s="1332">
        <v>0.26</v>
      </c>
      <c r="D37" s="1333">
        <v>90</v>
      </c>
      <c r="E37" s="1332">
        <v>0.02</v>
      </c>
      <c r="F37" s="1334">
        <v>0.79</v>
      </c>
      <c r="G37" s="2485"/>
      <c r="Q37" s="198" t="s">
        <v>1030</v>
      </c>
      <c r="R37" s="1332">
        <v>0.26</v>
      </c>
      <c r="S37" s="1333">
        <v>90</v>
      </c>
      <c r="T37" s="1332">
        <v>0.02</v>
      </c>
      <c r="U37" s="1334">
        <v>0.79</v>
      </c>
    </row>
    <row r="38" spans="2:21" ht="15.75">
      <c r="B38" s="1331" t="s">
        <v>1032</v>
      </c>
      <c r="C38" s="1332">
        <v>0.76</v>
      </c>
      <c r="D38" s="1333">
        <v>30</v>
      </c>
      <c r="E38" s="1332">
        <v>0.66</v>
      </c>
      <c r="F38" s="1334">
        <v>0.65</v>
      </c>
      <c r="G38" s="2485"/>
      <c r="Q38" s="198" t="s">
        <v>1032</v>
      </c>
      <c r="R38" s="1332">
        <v>0.76</v>
      </c>
      <c r="S38" s="1333">
        <v>30</v>
      </c>
      <c r="T38" s="1332">
        <v>0.66</v>
      </c>
      <c r="U38" s="1334">
        <v>0.65</v>
      </c>
    </row>
    <row r="39" spans="2:21" ht="15.75">
      <c r="B39" s="1331" t="s">
        <v>1033</v>
      </c>
      <c r="C39" s="1332">
        <v>0.45</v>
      </c>
      <c r="D39" s="1333">
        <v>25</v>
      </c>
      <c r="E39" s="1332">
        <v>0.3</v>
      </c>
      <c r="F39" s="1334">
        <v>0.72</v>
      </c>
      <c r="G39" s="2485"/>
      <c r="Q39" s="198" t="s">
        <v>1033</v>
      </c>
      <c r="R39" s="1332">
        <v>0.45</v>
      </c>
      <c r="S39" s="1333">
        <v>25</v>
      </c>
      <c r="T39" s="1332">
        <v>0.3</v>
      </c>
      <c r="U39" s="1334">
        <v>0.72</v>
      </c>
    </row>
    <row r="40" spans="2:21" ht="15.75">
      <c r="B40" s="1331" t="s">
        <v>1052</v>
      </c>
      <c r="C40" s="1332">
        <v>0.83</v>
      </c>
      <c r="D40" s="1333">
        <v>25</v>
      </c>
      <c r="E40" s="1332">
        <v>0.43</v>
      </c>
      <c r="F40" s="1334">
        <v>1.34</v>
      </c>
      <c r="G40" s="2485"/>
      <c r="Q40" s="198" t="s">
        <v>1052</v>
      </c>
      <c r="R40" s="1332">
        <v>0.83</v>
      </c>
      <c r="S40" s="1333">
        <v>25</v>
      </c>
      <c r="T40" s="1332">
        <v>0.43</v>
      </c>
      <c r="U40" s="1334">
        <v>1.34</v>
      </c>
    </row>
    <row r="41" spans="2:21" ht="15.75">
      <c r="B41" s="1331" t="s">
        <v>1037</v>
      </c>
      <c r="C41" s="1332">
        <v>2</v>
      </c>
      <c r="D41" s="1333">
        <v>30</v>
      </c>
      <c r="E41" s="1332">
        <v>1.62</v>
      </c>
      <c r="F41" s="1334">
        <v>1.8</v>
      </c>
      <c r="G41" s="2485"/>
      <c r="Q41" s="198" t="s">
        <v>1037</v>
      </c>
      <c r="R41" s="1332">
        <v>2</v>
      </c>
      <c r="S41" s="1333">
        <v>30</v>
      </c>
      <c r="T41" s="1332">
        <v>1.62</v>
      </c>
      <c r="U41" s="1334">
        <v>1.8</v>
      </c>
    </row>
    <row r="42" spans="2:21" ht="15.75">
      <c r="B42" s="1331" t="s">
        <v>1034</v>
      </c>
      <c r="C42" s="1332">
        <v>2</v>
      </c>
      <c r="D42" s="1333">
        <v>60</v>
      </c>
      <c r="E42" s="1332">
        <v>1.65</v>
      </c>
      <c r="F42" s="1334">
        <v>1.4</v>
      </c>
      <c r="G42" s="2485"/>
      <c r="Q42" s="198" t="s">
        <v>1034</v>
      </c>
      <c r="R42" s="1332">
        <v>2</v>
      </c>
      <c r="S42" s="1333">
        <v>60</v>
      </c>
      <c r="T42" s="1332">
        <v>1.65</v>
      </c>
      <c r="U42" s="1334">
        <v>1.4</v>
      </c>
    </row>
    <row r="43" spans="2:21" ht="15.75">
      <c r="B43" s="1331" t="s">
        <v>1036</v>
      </c>
      <c r="C43" s="1332">
        <v>2.6</v>
      </c>
      <c r="D43" s="1333">
        <v>60</v>
      </c>
      <c r="E43" s="1332">
        <v>2.1</v>
      </c>
      <c r="F43" s="1334">
        <v>1.8</v>
      </c>
      <c r="G43" s="2485"/>
      <c r="Q43" s="198" t="s">
        <v>1036</v>
      </c>
      <c r="R43" s="1332">
        <v>2.6</v>
      </c>
      <c r="S43" s="1333">
        <v>60</v>
      </c>
      <c r="T43" s="1332">
        <v>2.1</v>
      </c>
      <c r="U43" s="1334">
        <v>1.8</v>
      </c>
    </row>
    <row r="44" spans="2:21" ht="15.75">
      <c r="B44" s="1331" t="s">
        <v>1035</v>
      </c>
      <c r="C44" s="1332">
        <v>3</v>
      </c>
      <c r="D44" s="1333">
        <v>60</v>
      </c>
      <c r="E44" s="1332">
        <v>2.5</v>
      </c>
      <c r="F44" s="1337">
        <v>2.2000000000000002</v>
      </c>
      <c r="G44" s="2485"/>
      <c r="Q44" s="198" t="s">
        <v>1035</v>
      </c>
      <c r="R44" s="1332">
        <v>3</v>
      </c>
      <c r="S44" s="1333">
        <v>60</v>
      </c>
      <c r="T44" s="1332">
        <v>2.5</v>
      </c>
      <c r="U44" s="1337">
        <v>2.2000000000000002</v>
      </c>
    </row>
    <row r="45" spans="2:21" ht="15.75">
      <c r="B45" s="1331" t="s">
        <v>1043</v>
      </c>
      <c r="C45" s="1332">
        <v>12.8</v>
      </c>
      <c r="D45" s="1333">
        <v>70</v>
      </c>
      <c r="E45" s="1332">
        <v>1.1000000000000001</v>
      </c>
      <c r="F45" s="1338">
        <v>0.31</v>
      </c>
      <c r="G45" s="2485"/>
      <c r="Q45" s="198" t="s">
        <v>1043</v>
      </c>
      <c r="R45" s="1332">
        <v>12.8</v>
      </c>
      <c r="S45" s="1333">
        <v>70</v>
      </c>
      <c r="T45" s="1332">
        <v>1.1000000000000001</v>
      </c>
      <c r="U45" s="1338">
        <v>0.31</v>
      </c>
    </row>
    <row r="46" spans="2:21" ht="15.75" customHeight="1">
      <c r="B46" s="1331" t="s">
        <v>1044</v>
      </c>
      <c r="C46" s="1332">
        <v>13</v>
      </c>
      <c r="D46" s="1333">
        <v>70</v>
      </c>
      <c r="E46" s="1332">
        <v>0.77</v>
      </c>
      <c r="F46" s="1337">
        <v>0.3</v>
      </c>
      <c r="G46" s="2485"/>
      <c r="Q46" s="198" t="s">
        <v>1044</v>
      </c>
      <c r="R46" s="1332">
        <v>13</v>
      </c>
      <c r="S46" s="1333">
        <v>70</v>
      </c>
      <c r="T46" s="1332">
        <v>0.77</v>
      </c>
      <c r="U46" s="1337">
        <v>0.3</v>
      </c>
    </row>
    <row r="47" spans="2:21" ht="15.75">
      <c r="B47" s="1331" t="s">
        <v>1045</v>
      </c>
      <c r="C47" s="1332">
        <v>9.1999999999999993</v>
      </c>
      <c r="D47" s="1333">
        <v>70</v>
      </c>
      <c r="E47" s="1332">
        <v>7.5</v>
      </c>
      <c r="F47" s="1337">
        <v>0.7</v>
      </c>
      <c r="G47" s="2485"/>
      <c r="Q47" s="198" t="s">
        <v>1045</v>
      </c>
      <c r="R47" s="1332">
        <v>9.1999999999999993</v>
      </c>
      <c r="S47" s="1333">
        <v>70</v>
      </c>
      <c r="T47" s="1332">
        <v>7.5</v>
      </c>
      <c r="U47" s="1337">
        <v>0.7</v>
      </c>
    </row>
    <row r="48" spans="2:21" ht="15.75">
      <c r="B48" s="1331" t="s">
        <v>1046</v>
      </c>
      <c r="C48" s="1332">
        <v>0.25</v>
      </c>
      <c r="D48" s="1333">
        <v>30</v>
      </c>
      <c r="E48" s="1332">
        <v>7.0000000000000007E-2</v>
      </c>
      <c r="F48" s="1337">
        <v>0.48</v>
      </c>
      <c r="G48" s="2485"/>
      <c r="Q48" s="198" t="s">
        <v>1046</v>
      </c>
      <c r="R48" s="1332">
        <v>0.25</v>
      </c>
      <c r="S48" s="1333">
        <v>30</v>
      </c>
      <c r="T48" s="1332">
        <v>7.0000000000000007E-2</v>
      </c>
      <c r="U48" s="1337">
        <v>0.48</v>
      </c>
    </row>
    <row r="49" spans="2:21" ht="15.75">
      <c r="B49" s="1331" t="s">
        <v>1047</v>
      </c>
      <c r="C49" s="1332">
        <v>4.2</v>
      </c>
      <c r="D49" s="1333">
        <v>40</v>
      </c>
      <c r="E49" s="1332">
        <v>1.4</v>
      </c>
      <c r="F49" s="1337">
        <v>1.5</v>
      </c>
      <c r="G49" s="2485"/>
      <c r="Q49" s="198" t="s">
        <v>1047</v>
      </c>
      <c r="R49" s="1332">
        <v>4.2</v>
      </c>
      <c r="S49" s="1333">
        <v>40</v>
      </c>
      <c r="T49" s="1332">
        <v>1.4</v>
      </c>
      <c r="U49" s="1337">
        <v>1.5</v>
      </c>
    </row>
    <row r="50" spans="2:21" ht="15.75">
      <c r="B50" s="1331" t="s">
        <v>1016</v>
      </c>
      <c r="C50" s="1332">
        <v>5.43</v>
      </c>
      <c r="D50" s="1333">
        <v>40</v>
      </c>
      <c r="E50" s="1332">
        <v>2.4500000000000002</v>
      </c>
      <c r="F50" s="1337">
        <v>1.37</v>
      </c>
      <c r="G50" s="2485"/>
      <c r="Q50" s="198" t="s">
        <v>1016</v>
      </c>
      <c r="R50" s="1332">
        <v>5.43</v>
      </c>
      <c r="S50" s="1333">
        <v>40</v>
      </c>
      <c r="T50" s="1332">
        <v>2.4500000000000002</v>
      </c>
      <c r="U50" s="1337">
        <v>1.37</v>
      </c>
    </row>
    <row r="51" spans="2:21" ht="15.75">
      <c r="B51" s="1331" t="s">
        <v>1048</v>
      </c>
      <c r="C51" s="1332">
        <v>3.8</v>
      </c>
      <c r="D51" s="1333">
        <v>70</v>
      </c>
      <c r="E51" s="1332">
        <v>0.21</v>
      </c>
      <c r="F51" s="1337">
        <v>5.8</v>
      </c>
      <c r="G51" s="2485"/>
      <c r="Q51" s="198" t="s">
        <v>1048</v>
      </c>
      <c r="R51" s="1332">
        <v>3.8</v>
      </c>
      <c r="S51" s="1333">
        <v>70</v>
      </c>
      <c r="T51" s="1332">
        <v>0.21</v>
      </c>
      <c r="U51" s="1337">
        <v>5.8</v>
      </c>
    </row>
    <row r="52" spans="2:21" ht="15.75">
      <c r="B52" s="1331" t="s">
        <v>1049</v>
      </c>
      <c r="C52" s="1332">
        <v>0.91</v>
      </c>
      <c r="D52" s="1333">
        <v>5</v>
      </c>
      <c r="E52" s="1332">
        <v>0.48</v>
      </c>
      <c r="F52" s="1337">
        <v>0.79</v>
      </c>
      <c r="G52" s="2485"/>
      <c r="Q52" s="198" t="s">
        <v>1049</v>
      </c>
      <c r="R52" s="1332">
        <v>0.91</v>
      </c>
      <c r="S52" s="1333">
        <v>5</v>
      </c>
      <c r="T52" s="1332">
        <v>0.48</v>
      </c>
      <c r="U52" s="1337">
        <v>0.79</v>
      </c>
    </row>
    <row r="53" spans="2:21" ht="15.75">
      <c r="B53" s="1331" t="s">
        <v>1050</v>
      </c>
      <c r="C53" s="1332">
        <v>0.68</v>
      </c>
      <c r="D53" s="1333">
        <v>3</v>
      </c>
      <c r="E53" s="1332">
        <v>0.3</v>
      </c>
      <c r="F53" s="1337">
        <v>0.51</v>
      </c>
      <c r="G53" s="2485"/>
      <c r="Q53" s="198" t="s">
        <v>1050</v>
      </c>
      <c r="R53" s="1332">
        <v>0.68</v>
      </c>
      <c r="S53" s="1333">
        <v>3</v>
      </c>
      <c r="T53" s="1332">
        <v>0.3</v>
      </c>
      <c r="U53" s="1337">
        <v>0.51</v>
      </c>
    </row>
    <row r="54" spans="2:21" ht="15.75">
      <c r="B54" s="1331" t="s">
        <v>1051</v>
      </c>
      <c r="C54" s="1332">
        <v>0.86</v>
      </c>
      <c r="D54" s="1333">
        <v>10</v>
      </c>
      <c r="E54" s="1332">
        <v>0.4</v>
      </c>
      <c r="F54" s="1337">
        <v>0.6</v>
      </c>
      <c r="G54" s="2485"/>
      <c r="Q54" s="198" t="s">
        <v>1051</v>
      </c>
      <c r="R54" s="1332">
        <v>0.86</v>
      </c>
      <c r="S54" s="1333">
        <v>10</v>
      </c>
      <c r="T54" s="1332">
        <v>0.4</v>
      </c>
      <c r="U54" s="1337">
        <v>0.6</v>
      </c>
    </row>
    <row r="55" spans="2:21" ht="15.75">
      <c r="B55" s="1339" t="s">
        <v>1039</v>
      </c>
      <c r="C55" s="1332">
        <v>0.74</v>
      </c>
      <c r="D55" s="1333">
        <v>10</v>
      </c>
      <c r="E55" s="1332">
        <v>0.23</v>
      </c>
      <c r="F55" s="1337">
        <v>0.78</v>
      </c>
      <c r="G55" s="2485"/>
      <c r="Q55" s="905" t="s">
        <v>1039</v>
      </c>
      <c r="R55" s="1332">
        <v>0.74</v>
      </c>
      <c r="S55" s="1333">
        <v>10</v>
      </c>
      <c r="T55" s="1332">
        <v>0.23</v>
      </c>
      <c r="U55" s="1337">
        <v>0.78</v>
      </c>
    </row>
    <row r="56" spans="2:21" ht="15.75">
      <c r="B56" s="1339" t="s">
        <v>1040</v>
      </c>
      <c r="C56" s="1332">
        <v>1.2</v>
      </c>
      <c r="D56" s="1333">
        <v>10</v>
      </c>
      <c r="E56" s="1332">
        <v>0.5</v>
      </c>
      <c r="F56" s="1337">
        <v>1.7</v>
      </c>
      <c r="G56" s="2485"/>
      <c r="Q56" s="905" t="s">
        <v>1040</v>
      </c>
      <c r="R56" s="1332">
        <v>1.2</v>
      </c>
      <c r="S56" s="1333">
        <v>10</v>
      </c>
      <c r="T56" s="1332">
        <v>0.5</v>
      </c>
      <c r="U56" s="1337">
        <v>1.7</v>
      </c>
    </row>
    <row r="57" spans="2:21" ht="15.75">
      <c r="B57" s="1339" t="s">
        <v>1017</v>
      </c>
      <c r="C57" s="1332">
        <v>0.5</v>
      </c>
      <c r="D57" s="1333">
        <v>80</v>
      </c>
      <c r="E57" s="1332">
        <v>0.03</v>
      </c>
      <c r="F57" s="1337">
        <v>0.3</v>
      </c>
      <c r="G57" s="2485"/>
      <c r="Q57" s="905" t="s">
        <v>1017</v>
      </c>
      <c r="R57" s="1332">
        <v>0.5</v>
      </c>
      <c r="S57" s="1333">
        <v>80</v>
      </c>
      <c r="T57" s="1332">
        <v>0.03</v>
      </c>
      <c r="U57" s="1337">
        <v>0.3</v>
      </c>
    </row>
    <row r="58" spans="2:21" ht="15.75">
      <c r="B58" s="1339" t="s">
        <v>1041</v>
      </c>
      <c r="C58" s="1332">
        <v>0.8</v>
      </c>
      <c r="D58" s="1333">
        <v>80</v>
      </c>
      <c r="E58" s="1332">
        <v>0.3</v>
      </c>
      <c r="F58" s="1337">
        <v>1.2</v>
      </c>
      <c r="G58" s="2485"/>
      <c r="Q58" s="905" t="s">
        <v>1041</v>
      </c>
      <c r="R58" s="1332">
        <v>0.8</v>
      </c>
      <c r="S58" s="1333">
        <v>80</v>
      </c>
      <c r="T58" s="1332">
        <v>0.3</v>
      </c>
      <c r="U58" s="1337">
        <v>1.2</v>
      </c>
    </row>
    <row r="59" spans="2:21" ht="15.75" customHeight="1">
      <c r="B59" s="1339" t="s">
        <v>1042</v>
      </c>
      <c r="C59" s="1332">
        <v>1.6</v>
      </c>
      <c r="D59" s="1333">
        <v>80</v>
      </c>
      <c r="E59" s="1332">
        <v>0.6</v>
      </c>
      <c r="F59" s="1337">
        <v>2.4</v>
      </c>
      <c r="G59" s="2485"/>
      <c r="Q59" s="905" t="s">
        <v>1042</v>
      </c>
      <c r="R59" s="1332">
        <v>1.6</v>
      </c>
      <c r="S59" s="1333">
        <v>80</v>
      </c>
      <c r="T59" s="1332">
        <v>0.6</v>
      </c>
      <c r="U59" s="1337">
        <v>2.4</v>
      </c>
    </row>
    <row r="60" spans="2:21" s="1183" customFormat="1" ht="15.75">
      <c r="B60" s="1340" t="s">
        <v>1719</v>
      </c>
      <c r="C60" s="1332">
        <v>0</v>
      </c>
      <c r="D60" s="1333"/>
      <c r="E60" s="1332">
        <v>0</v>
      </c>
      <c r="F60" s="1337">
        <v>0</v>
      </c>
      <c r="G60" s="2485"/>
      <c r="Q60" s="1111" t="s">
        <v>825</v>
      </c>
      <c r="R60" s="1332">
        <v>0</v>
      </c>
      <c r="S60" s="1333"/>
      <c r="T60" s="1332">
        <v>0</v>
      </c>
      <c r="U60" s="1337">
        <v>0</v>
      </c>
    </row>
    <row r="61" spans="2:21" s="1183" customFormat="1" ht="15.75">
      <c r="B61" s="1340" t="s">
        <v>1720</v>
      </c>
      <c r="C61" s="1332">
        <v>0</v>
      </c>
      <c r="D61" s="1333"/>
      <c r="E61" s="1332">
        <v>0</v>
      </c>
      <c r="F61" s="1337">
        <v>0</v>
      </c>
      <c r="G61" s="2485"/>
      <c r="Q61" s="1111" t="s">
        <v>826</v>
      </c>
      <c r="R61" s="1332">
        <v>0</v>
      </c>
      <c r="S61" s="1333"/>
      <c r="T61" s="1332">
        <v>0</v>
      </c>
      <c r="U61" s="1337">
        <v>0</v>
      </c>
    </row>
    <row r="62" spans="2:21" ht="15.75">
      <c r="B62" s="1340" t="s">
        <v>1721</v>
      </c>
      <c r="C62" s="1332">
        <v>0</v>
      </c>
      <c r="D62" s="1333"/>
      <c r="E62" s="1332">
        <v>0</v>
      </c>
      <c r="F62" s="1337">
        <v>0</v>
      </c>
      <c r="G62" s="2485"/>
      <c r="Q62" s="1111" t="s">
        <v>827</v>
      </c>
      <c r="R62" s="1332">
        <v>0</v>
      </c>
      <c r="S62" s="1333"/>
      <c r="T62" s="1332">
        <v>0</v>
      </c>
      <c r="U62" s="1337">
        <v>0</v>
      </c>
    </row>
    <row r="63" spans="2:21" ht="15.75">
      <c r="B63" s="1340" t="s">
        <v>1722</v>
      </c>
      <c r="C63" s="1332">
        <v>0</v>
      </c>
      <c r="D63" s="1333"/>
      <c r="E63" s="1332">
        <v>0</v>
      </c>
      <c r="F63" s="1337">
        <v>0</v>
      </c>
      <c r="G63" s="2485"/>
      <c r="Q63" s="1111" t="s">
        <v>1105</v>
      </c>
      <c r="R63" s="1332">
        <v>0</v>
      </c>
      <c r="S63" s="1333"/>
      <c r="T63" s="1332">
        <v>0</v>
      </c>
      <c r="U63" s="1337">
        <v>0</v>
      </c>
    </row>
    <row r="64" spans="2:21" ht="15.75">
      <c r="B64" s="1340" t="s">
        <v>1203</v>
      </c>
      <c r="C64" s="1332">
        <v>0.6</v>
      </c>
      <c r="D64" s="1333">
        <v>60</v>
      </c>
      <c r="E64" s="1332">
        <v>0.2</v>
      </c>
      <c r="F64" s="1337">
        <v>0.4</v>
      </c>
      <c r="G64" s="2485"/>
      <c r="Q64" s="1111" t="s">
        <v>1106</v>
      </c>
      <c r="R64" s="1332">
        <v>0</v>
      </c>
      <c r="S64" s="1333"/>
      <c r="T64" s="1096">
        <v>0</v>
      </c>
      <c r="U64" s="1104">
        <v>0</v>
      </c>
    </row>
    <row r="65" spans="1:7">
      <c r="G65" s="732"/>
    </row>
    <row r="67" spans="1:7" ht="15" customHeight="1">
      <c r="D67" s="2906" t="s">
        <v>1413</v>
      </c>
      <c r="E67" s="2906"/>
    </row>
    <row r="68" spans="1:7" ht="45.75" customHeight="1">
      <c r="D68" s="2906"/>
      <c r="E68" s="2906"/>
    </row>
    <row r="69" spans="1:7" ht="15.75">
      <c r="A69" s="842"/>
      <c r="B69" s="842"/>
      <c r="C69" s="140" t="s">
        <v>183</v>
      </c>
      <c r="D69" s="2906"/>
      <c r="E69" s="2906"/>
      <c r="F69" s="141"/>
      <c r="G69" s="842"/>
    </row>
    <row r="70" spans="1:7" ht="15.75">
      <c r="A70" s="842"/>
      <c r="B70" s="842"/>
      <c r="C70" s="140" t="s">
        <v>179</v>
      </c>
      <c r="D70" s="492">
        <v>90</v>
      </c>
      <c r="F70" s="867"/>
      <c r="G70" s="842"/>
    </row>
    <row r="71" spans="1:7" ht="15.75">
      <c r="A71" s="842"/>
      <c r="B71" s="842"/>
      <c r="C71" s="140" t="s">
        <v>804</v>
      </c>
      <c r="D71" s="492">
        <v>70</v>
      </c>
      <c r="F71" s="867"/>
      <c r="G71" s="842"/>
    </row>
    <row r="72" spans="1:7" ht="15.75">
      <c r="A72" s="842"/>
      <c r="B72" s="842"/>
      <c r="C72" s="140" t="s">
        <v>805</v>
      </c>
      <c r="D72" s="492">
        <v>70</v>
      </c>
      <c r="F72" s="867"/>
      <c r="G72" s="842"/>
    </row>
    <row r="73" spans="1:7" ht="16.5" customHeight="1">
      <c r="A73" s="835"/>
      <c r="B73" s="835"/>
      <c r="C73" s="140" t="s">
        <v>809</v>
      </c>
      <c r="D73" s="1193">
        <v>70</v>
      </c>
      <c r="E73" s="489" t="s">
        <v>1204</v>
      </c>
      <c r="G73" s="842"/>
    </row>
    <row r="74" spans="1:7" ht="15.75">
      <c r="A74" s="835"/>
      <c r="B74" s="200"/>
      <c r="C74" s="168" t="s">
        <v>810</v>
      </c>
      <c r="D74" s="1193">
        <v>60</v>
      </c>
      <c r="E74" s="489" t="s">
        <v>1205</v>
      </c>
      <c r="G74" s="842"/>
    </row>
    <row r="75" spans="1:7" ht="15.75">
      <c r="A75" s="835"/>
      <c r="B75" s="200"/>
      <c r="C75" s="140" t="s">
        <v>48</v>
      </c>
      <c r="D75" s="1193">
        <v>60</v>
      </c>
      <c r="F75" s="868"/>
      <c r="G75" s="842"/>
    </row>
    <row r="76" spans="1:7" ht="15.75">
      <c r="A76" s="835"/>
      <c r="B76" s="835"/>
      <c r="C76" s="140" t="s">
        <v>811</v>
      </c>
      <c r="D76" s="492">
        <v>45</v>
      </c>
      <c r="F76" s="867"/>
      <c r="G76" s="842"/>
    </row>
    <row r="77" spans="1:7" ht="15.75">
      <c r="A77" s="835"/>
      <c r="B77" s="835"/>
      <c r="C77" s="168" t="s">
        <v>806</v>
      </c>
      <c r="D77" s="1193">
        <v>30</v>
      </c>
      <c r="F77" s="868"/>
      <c r="G77" s="842"/>
    </row>
    <row r="78" spans="1:7" ht="15.75">
      <c r="A78" s="842"/>
      <c r="B78" s="842"/>
      <c r="C78" s="140" t="s">
        <v>812</v>
      </c>
      <c r="D78" s="1193">
        <v>30</v>
      </c>
      <c r="F78" s="868"/>
      <c r="G78" s="842"/>
    </row>
    <row r="79" spans="1:7" ht="15.75">
      <c r="A79" s="842"/>
      <c r="B79" s="842"/>
      <c r="C79" s="140" t="s">
        <v>187</v>
      </c>
      <c r="D79" s="1193">
        <v>30</v>
      </c>
      <c r="F79" s="868"/>
      <c r="G79" s="842"/>
    </row>
    <row r="80" spans="1:7" ht="15.75">
      <c r="A80" s="842"/>
      <c r="B80" s="842"/>
      <c r="C80" s="140" t="s">
        <v>813</v>
      </c>
      <c r="D80" s="1193">
        <v>30</v>
      </c>
      <c r="F80" s="868"/>
      <c r="G80" s="842"/>
    </row>
    <row r="81" spans="1:7" ht="15.75">
      <c r="A81" s="842"/>
      <c r="B81" s="842"/>
      <c r="C81" s="140" t="s">
        <v>814</v>
      </c>
      <c r="D81" s="1193">
        <v>30</v>
      </c>
      <c r="F81" s="868"/>
      <c r="G81" s="842"/>
    </row>
    <row r="82" spans="1:7" ht="15.75">
      <c r="A82" s="842"/>
      <c r="B82" s="842"/>
      <c r="C82" s="140" t="s">
        <v>815</v>
      </c>
      <c r="D82" s="1193">
        <v>30</v>
      </c>
      <c r="F82" s="868"/>
      <c r="G82" s="842"/>
    </row>
    <row r="83" spans="1:7" ht="15.75">
      <c r="A83" s="842"/>
      <c r="B83" s="842"/>
      <c r="C83" s="140" t="s">
        <v>180</v>
      </c>
      <c r="D83" s="1193">
        <v>25</v>
      </c>
      <c r="F83" s="868"/>
      <c r="G83" s="842"/>
    </row>
    <row r="84" spans="1:7" ht="15.75">
      <c r="A84" s="842"/>
      <c r="B84" s="842"/>
      <c r="C84" s="140" t="s">
        <v>807</v>
      </c>
      <c r="D84" s="1193">
        <v>25</v>
      </c>
      <c r="F84" s="868"/>
      <c r="G84" s="842"/>
    </row>
    <row r="85" spans="1:7" ht="15.75">
      <c r="A85" s="842"/>
      <c r="B85" s="842"/>
      <c r="C85" s="168" t="s">
        <v>808</v>
      </c>
      <c r="D85" s="1193">
        <v>25</v>
      </c>
      <c r="F85" s="868"/>
      <c r="G85" s="842"/>
    </row>
    <row r="86" spans="1:7" ht="15.75">
      <c r="A86" s="842"/>
      <c r="B86" s="842"/>
      <c r="C86" s="168" t="s">
        <v>816</v>
      </c>
      <c r="D86" s="1193">
        <v>10</v>
      </c>
      <c r="F86" s="868"/>
      <c r="G86" s="842"/>
    </row>
    <row r="87" spans="1:7" ht="15.75">
      <c r="A87" s="842"/>
      <c r="B87" s="842"/>
      <c r="C87" s="168" t="s">
        <v>181</v>
      </c>
      <c r="D87" s="1193">
        <v>10</v>
      </c>
      <c r="F87" s="868"/>
      <c r="G87" s="842"/>
    </row>
    <row r="88" spans="1:7" ht="15.75">
      <c r="A88" s="842"/>
      <c r="B88" s="842"/>
      <c r="C88" s="168" t="s">
        <v>188</v>
      </c>
      <c r="D88" s="1193">
        <v>5</v>
      </c>
      <c r="F88" s="868"/>
      <c r="G88" s="842"/>
    </row>
    <row r="89" spans="1:7" ht="15.75">
      <c r="A89" s="842"/>
      <c r="B89" s="842"/>
      <c r="C89" s="168" t="s">
        <v>182</v>
      </c>
      <c r="D89" s="1193">
        <v>3</v>
      </c>
      <c r="F89" s="868"/>
      <c r="G89" s="842"/>
    </row>
  </sheetData>
  <sheetProtection selectLockedCells="1"/>
  <mergeCells count="6">
    <mergeCell ref="D67:E69"/>
    <mergeCell ref="C4:G4"/>
    <mergeCell ref="R4:V4"/>
    <mergeCell ref="C2:G2"/>
    <mergeCell ref="G7:G32"/>
    <mergeCell ref="G34:G64"/>
  </mergeCells>
  <phoneticPr fontId="92" type="noConversion"/>
  <pageMargins left="0.51181102362204722" right="0.31496062992125984" top="0.39370078740157483" bottom="0.39370078740157483" header="0.31496062992125984" footer="0.31496062992125984"/>
  <pageSetup paperSize="9" scale="74" orientation="portrait" r:id="rId1"/>
  <rowBreaks count="1" manualBreakCount="1">
    <brk id="65" max="6" man="1"/>
  </rowBreaks>
  <colBreaks count="1" manualBreakCount="1">
    <brk id="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2:AC145"/>
  <sheetViews>
    <sheetView workbookViewId="0"/>
  </sheetViews>
  <sheetFormatPr baseColWidth="10" defaultRowHeight="15"/>
  <cols>
    <col min="1" max="1" width="1.140625" style="7" customWidth="1"/>
    <col min="2" max="2" width="53.42578125" style="7" customWidth="1"/>
    <col min="3" max="3" width="11" style="7" customWidth="1"/>
    <col min="4" max="4" width="15.140625" style="7" customWidth="1"/>
    <col min="5" max="5" width="7.28515625" style="7" customWidth="1"/>
    <col min="6" max="6" width="8.7109375" style="7" customWidth="1"/>
    <col min="7" max="7" width="9.140625" style="7" customWidth="1"/>
    <col min="8" max="8" width="19.28515625" style="7" customWidth="1"/>
    <col min="9" max="9" width="21.28515625" style="7" customWidth="1"/>
    <col min="10" max="10" width="23.5703125" style="7" customWidth="1"/>
    <col min="11" max="11" width="23.5703125" style="322" customWidth="1"/>
    <col min="12" max="12" width="13.85546875" style="7" customWidth="1"/>
    <col min="13" max="13" width="34.85546875" style="7" bestFit="1" customWidth="1"/>
    <col min="14" max="14" width="16.85546875" style="7" customWidth="1"/>
    <col min="15" max="15" width="21" style="7" customWidth="1"/>
    <col min="16" max="16" width="18.5703125" style="7" customWidth="1"/>
    <col min="17" max="17" width="17" style="7" customWidth="1"/>
    <col min="18" max="19" width="24.85546875" style="7" bestFit="1" customWidth="1"/>
    <col min="20" max="20" width="31" style="7" bestFit="1" customWidth="1"/>
    <col min="21" max="21" width="30.5703125" style="7" bestFit="1" customWidth="1"/>
    <col min="22" max="22" width="18.140625" style="7" bestFit="1" customWidth="1"/>
    <col min="23" max="23" width="17.140625" style="7" bestFit="1" customWidth="1"/>
    <col min="24" max="29" width="17.5703125" style="7" customWidth="1"/>
    <col min="30" max="16384" width="11.42578125" style="7"/>
  </cols>
  <sheetData>
    <row r="2" spans="1:21" s="1186" customFormat="1" ht="12.75">
      <c r="B2" s="148">
        <v>1</v>
      </c>
      <c r="C2" s="148">
        <v>2</v>
      </c>
      <c r="D2" s="148">
        <v>3</v>
      </c>
      <c r="E2" s="1186">
        <v>4</v>
      </c>
      <c r="F2" s="1186">
        <v>5</v>
      </c>
      <c r="G2" s="1186">
        <v>6</v>
      </c>
      <c r="H2" s="148">
        <v>7</v>
      </c>
      <c r="I2" s="148">
        <v>8</v>
      </c>
      <c r="J2" s="1186">
        <v>9</v>
      </c>
      <c r="K2" s="1601">
        <v>10</v>
      </c>
    </row>
    <row r="3" spans="1:21">
      <c r="B3" s="186"/>
      <c r="C3" s="186"/>
      <c r="E3" s="904"/>
      <c r="F3" s="904"/>
      <c r="G3" s="904"/>
    </row>
    <row r="4" spans="1:21" ht="24.75" customHeight="1">
      <c r="B4" s="3026" t="s">
        <v>1192</v>
      </c>
      <c r="C4" s="3027"/>
      <c r="D4" s="3027"/>
      <c r="E4" s="3027"/>
      <c r="F4" s="3027"/>
      <c r="G4" s="3027"/>
      <c r="H4" s="3027"/>
      <c r="I4" s="3027"/>
      <c r="J4" s="3027"/>
      <c r="K4" s="3027"/>
    </row>
    <row r="5" spans="1:21" ht="64.5" customHeight="1">
      <c r="A5" s="3022" t="s">
        <v>1194</v>
      </c>
      <c r="B5" s="3025" t="s">
        <v>260</v>
      </c>
      <c r="C5" s="869"/>
      <c r="D5" s="2768" t="s">
        <v>261</v>
      </c>
      <c r="E5" s="2511" t="s">
        <v>840</v>
      </c>
      <c r="F5" s="2511"/>
      <c r="G5" s="2511"/>
      <c r="H5" s="2511" t="s">
        <v>1091</v>
      </c>
      <c r="I5" s="2511"/>
      <c r="J5" s="3021" t="s">
        <v>1243</v>
      </c>
      <c r="K5" s="3021"/>
      <c r="L5" s="1191" t="s">
        <v>1092</v>
      </c>
      <c r="Q5" s="904"/>
      <c r="R5" s="904"/>
      <c r="S5" s="904"/>
      <c r="T5" s="904"/>
    </row>
    <row r="6" spans="1:21" ht="31.5" customHeight="1">
      <c r="A6" s="3023"/>
      <c r="B6" s="2697"/>
      <c r="C6" s="189" t="s">
        <v>841</v>
      </c>
      <c r="D6" s="2771"/>
      <c r="E6" s="1172" t="s">
        <v>262</v>
      </c>
      <c r="F6" s="1172" t="s">
        <v>263</v>
      </c>
      <c r="G6" s="1173" t="s">
        <v>264</v>
      </c>
      <c r="H6" s="187" t="s">
        <v>723</v>
      </c>
      <c r="I6" s="187" t="s">
        <v>842</v>
      </c>
      <c r="J6" s="870" t="s">
        <v>723</v>
      </c>
      <c r="K6" s="1581" t="s">
        <v>727</v>
      </c>
      <c r="L6" s="1167"/>
      <c r="N6" s="3015" t="s">
        <v>1086</v>
      </c>
      <c r="O6" s="3016"/>
      <c r="P6" s="3015" t="s">
        <v>1244</v>
      </c>
      <c r="Q6" s="3016"/>
      <c r="R6" s="1174"/>
      <c r="S6" s="2474"/>
      <c r="T6" s="2474"/>
      <c r="U6" s="2474"/>
    </row>
    <row r="7" spans="1:21" ht="15.75" customHeight="1">
      <c r="B7" s="871" t="s">
        <v>795</v>
      </c>
      <c r="C7" s="189">
        <v>0</v>
      </c>
      <c r="D7" s="872">
        <v>0</v>
      </c>
      <c r="E7" s="1165">
        <v>0</v>
      </c>
      <c r="F7" s="1165">
        <v>0</v>
      </c>
      <c r="G7" s="1166">
        <v>0</v>
      </c>
      <c r="H7" s="873">
        <v>0</v>
      </c>
      <c r="I7" s="873">
        <v>0</v>
      </c>
      <c r="J7" s="194">
        <v>0</v>
      </c>
      <c r="K7" s="1602">
        <v>0</v>
      </c>
      <c r="L7" s="935"/>
      <c r="N7" s="3017"/>
      <c r="O7" s="3018"/>
      <c r="P7" s="3017"/>
      <c r="Q7" s="3018"/>
      <c r="R7" s="1174"/>
      <c r="S7" s="2474"/>
      <c r="T7" s="2474"/>
      <c r="U7" s="2474"/>
    </row>
    <row r="8" spans="1:21" ht="15.75">
      <c r="B8" s="188" t="s">
        <v>843</v>
      </c>
      <c r="C8" s="189">
        <v>2</v>
      </c>
      <c r="D8" s="189" t="s">
        <v>265</v>
      </c>
      <c r="E8" s="1165">
        <v>57</v>
      </c>
      <c r="F8" s="1165">
        <v>16.399999999999999</v>
      </c>
      <c r="G8" s="191">
        <f>159/27*12</f>
        <v>70.666666666666671</v>
      </c>
      <c r="H8" s="873">
        <v>0.85</v>
      </c>
      <c r="I8" s="873">
        <v>0.7</v>
      </c>
      <c r="J8" s="1166">
        <v>0.51</v>
      </c>
      <c r="K8" s="1603">
        <v>0.17499999999999999</v>
      </c>
      <c r="L8" s="935"/>
      <c r="M8" s="192"/>
      <c r="N8" s="3019"/>
      <c r="O8" s="3020"/>
      <c r="P8" s="3019"/>
      <c r="Q8" s="3020"/>
      <c r="R8" s="1174"/>
      <c r="S8" s="2474"/>
      <c r="T8" s="2474"/>
      <c r="U8" s="2474"/>
    </row>
    <row r="9" spans="1:21" ht="16.5" customHeight="1">
      <c r="B9" s="188" t="s">
        <v>844</v>
      </c>
      <c r="C9" s="189">
        <v>3</v>
      </c>
      <c r="D9" s="189" t="s">
        <v>265</v>
      </c>
      <c r="E9" s="1165">
        <v>54</v>
      </c>
      <c r="F9" s="1165">
        <v>16</v>
      </c>
      <c r="G9" s="1166">
        <f>135/27*12</f>
        <v>60</v>
      </c>
      <c r="H9" s="873">
        <v>0.85</v>
      </c>
      <c r="I9" s="873">
        <v>0.7</v>
      </c>
      <c r="J9" s="1576">
        <v>0.51</v>
      </c>
      <c r="K9" s="1603">
        <v>0.17499999999999999</v>
      </c>
      <c r="L9" s="935"/>
      <c r="M9" s="1102" t="s">
        <v>267</v>
      </c>
      <c r="N9" s="193" t="s">
        <v>1090</v>
      </c>
      <c r="O9" s="193" t="s">
        <v>1097</v>
      </c>
      <c r="P9" s="193" t="s">
        <v>1089</v>
      </c>
      <c r="Q9" s="193" t="s">
        <v>282</v>
      </c>
      <c r="R9" s="1174"/>
      <c r="S9" s="1169"/>
      <c r="T9" s="2545"/>
      <c r="U9" s="2545"/>
    </row>
    <row r="10" spans="1:21" ht="15.75">
      <c r="B10" s="188" t="s">
        <v>845</v>
      </c>
      <c r="C10" s="189">
        <v>4</v>
      </c>
      <c r="D10" s="189" t="s">
        <v>265</v>
      </c>
      <c r="E10" s="1165">
        <v>48</v>
      </c>
      <c r="F10" s="1165">
        <v>15.5</v>
      </c>
      <c r="G10" s="191">
        <f>133/27*12</f>
        <v>59.111111111111107</v>
      </c>
      <c r="H10" s="873">
        <v>0.85</v>
      </c>
      <c r="I10" s="873">
        <v>0.7</v>
      </c>
      <c r="J10" s="1576">
        <v>0.51</v>
      </c>
      <c r="K10" s="1603">
        <v>0.17499999999999999</v>
      </c>
      <c r="L10" s="935"/>
      <c r="M10" s="1168" t="s">
        <v>268</v>
      </c>
      <c r="N10" s="1102">
        <v>0.85</v>
      </c>
      <c r="O10" s="1102">
        <v>0.7</v>
      </c>
      <c r="P10" s="1102">
        <v>0.6</v>
      </c>
      <c r="Q10" s="1102">
        <v>0.25</v>
      </c>
      <c r="R10" s="1174"/>
      <c r="S10" s="1163"/>
      <c r="T10" s="2545"/>
      <c r="U10" s="2545"/>
    </row>
    <row r="11" spans="1:21" ht="15.75">
      <c r="B11" s="188" t="s">
        <v>846</v>
      </c>
      <c r="C11" s="189">
        <v>5</v>
      </c>
      <c r="D11" s="189" t="s">
        <v>265</v>
      </c>
      <c r="E11" s="1165">
        <v>45</v>
      </c>
      <c r="F11" s="1165">
        <v>15</v>
      </c>
      <c r="G11" s="191">
        <f>124/27*12</f>
        <v>55.111111111111114</v>
      </c>
      <c r="H11" s="873">
        <v>0.85</v>
      </c>
      <c r="I11" s="873">
        <v>0.7</v>
      </c>
      <c r="J11" s="1576">
        <v>0.51</v>
      </c>
      <c r="K11" s="1603">
        <v>0.17499999999999999</v>
      </c>
      <c r="L11" s="935"/>
      <c r="M11" s="1168" t="s">
        <v>269</v>
      </c>
      <c r="N11" s="1102">
        <v>0.8</v>
      </c>
      <c r="O11" s="1102">
        <v>0.7</v>
      </c>
      <c r="P11" s="1102">
        <v>0.7</v>
      </c>
      <c r="Q11" s="1102">
        <v>0.3</v>
      </c>
      <c r="R11" s="1174"/>
      <c r="S11" s="1163"/>
      <c r="T11" s="2545"/>
      <c r="U11" s="2545"/>
    </row>
    <row r="12" spans="1:21" ht="15.75">
      <c r="A12" s="7">
        <v>10</v>
      </c>
      <c r="B12" s="188" t="s">
        <v>847</v>
      </c>
      <c r="C12" s="189">
        <v>6</v>
      </c>
      <c r="D12" s="189" t="s">
        <v>265</v>
      </c>
      <c r="E12" s="1165">
        <v>114</v>
      </c>
      <c r="F12" s="1165">
        <v>36</v>
      </c>
      <c r="G12" s="1166">
        <v>134</v>
      </c>
      <c r="H12" s="873">
        <v>0.85</v>
      </c>
      <c r="I12" s="873">
        <v>0.7</v>
      </c>
      <c r="J12" s="1576">
        <v>0.51</v>
      </c>
      <c r="K12" s="1603">
        <v>0.17499999999999999</v>
      </c>
      <c r="L12" s="935"/>
      <c r="M12" s="1168" t="s">
        <v>270</v>
      </c>
      <c r="N12" s="195"/>
      <c r="O12" s="1102">
        <v>0.6</v>
      </c>
      <c r="P12" s="1102">
        <v>0.6</v>
      </c>
      <c r="Q12" s="1102">
        <v>0.3</v>
      </c>
      <c r="R12" s="1174"/>
      <c r="S12" s="1169"/>
      <c r="T12" s="2545"/>
      <c r="U12" s="2545"/>
    </row>
    <row r="13" spans="1:21" ht="15.75">
      <c r="A13" s="7">
        <v>13</v>
      </c>
      <c r="B13" s="188" t="s">
        <v>848</v>
      </c>
      <c r="C13" s="189">
        <v>7</v>
      </c>
      <c r="D13" s="189" t="s">
        <v>265</v>
      </c>
      <c r="E13" s="1165">
        <v>109</v>
      </c>
      <c r="F13" s="1165">
        <v>37</v>
      </c>
      <c r="G13" s="1166">
        <v>129</v>
      </c>
      <c r="H13" s="873">
        <v>0.85</v>
      </c>
      <c r="I13" s="873">
        <v>0.7</v>
      </c>
      <c r="J13" s="1576">
        <v>0.51</v>
      </c>
      <c r="K13" s="1603">
        <v>0.17499999999999999</v>
      </c>
      <c r="L13" s="935"/>
      <c r="M13" s="1168" t="s">
        <v>271</v>
      </c>
      <c r="N13" s="1102"/>
      <c r="O13" s="1102">
        <v>0.55000000000000004</v>
      </c>
      <c r="P13" s="1102"/>
      <c r="Q13" s="1102">
        <v>0.25</v>
      </c>
      <c r="R13" s="1174"/>
      <c r="S13" s="1169"/>
      <c r="T13" s="2545"/>
      <c r="U13" s="2545"/>
    </row>
    <row r="14" spans="1:21" ht="15.75">
      <c r="A14" s="7">
        <v>17</v>
      </c>
      <c r="B14" s="188" t="s">
        <v>849</v>
      </c>
      <c r="C14" s="189">
        <v>8</v>
      </c>
      <c r="D14" s="189" t="s">
        <v>265</v>
      </c>
      <c r="E14" s="1165">
        <v>103</v>
      </c>
      <c r="F14" s="1165">
        <v>37</v>
      </c>
      <c r="G14" s="1166">
        <v>109</v>
      </c>
      <c r="H14" s="873">
        <v>0.85</v>
      </c>
      <c r="I14" s="873">
        <v>0.7</v>
      </c>
      <c r="J14" s="1576">
        <v>0.51</v>
      </c>
      <c r="K14" s="1603">
        <v>0.17499999999999999</v>
      </c>
      <c r="L14" s="935"/>
      <c r="M14" s="1168" t="s">
        <v>1087</v>
      </c>
      <c r="N14" s="1102">
        <v>0.95</v>
      </c>
      <c r="O14" s="1102"/>
      <c r="P14" s="1102">
        <v>0.6</v>
      </c>
      <c r="Q14" s="1102"/>
      <c r="R14" s="1174"/>
      <c r="S14" s="1169"/>
      <c r="T14" s="2545"/>
      <c r="U14" s="2545"/>
    </row>
    <row r="15" spans="1:21" ht="15.75">
      <c r="A15" s="7">
        <v>21</v>
      </c>
      <c r="B15" s="188" t="s">
        <v>850</v>
      </c>
      <c r="C15" s="189">
        <v>9</v>
      </c>
      <c r="D15" s="189" t="s">
        <v>265</v>
      </c>
      <c r="E15" s="1165">
        <v>100</v>
      </c>
      <c r="F15" s="1165">
        <v>36</v>
      </c>
      <c r="G15" s="1166">
        <v>104</v>
      </c>
      <c r="H15" s="873">
        <v>0.85</v>
      </c>
      <c r="I15" s="873">
        <v>0.7</v>
      </c>
      <c r="J15" s="1576">
        <v>0.51</v>
      </c>
      <c r="K15" s="1603">
        <v>0.17499999999999999</v>
      </c>
      <c r="L15" s="935"/>
      <c r="M15" s="1168" t="s">
        <v>1088</v>
      </c>
      <c r="N15" s="1102">
        <v>0.95</v>
      </c>
      <c r="O15" s="1102"/>
      <c r="P15" s="1102">
        <v>0.3</v>
      </c>
      <c r="Q15" s="1102"/>
      <c r="R15" s="904"/>
      <c r="S15" s="2545"/>
      <c r="T15" s="2545"/>
      <c r="U15" s="2545"/>
    </row>
    <row r="16" spans="1:21" ht="15.75">
      <c r="A16" s="7">
        <v>25</v>
      </c>
      <c r="B16" s="188" t="s">
        <v>851</v>
      </c>
      <c r="C16" s="189">
        <v>10</v>
      </c>
      <c r="D16" s="189" t="s">
        <v>265</v>
      </c>
      <c r="E16" s="1165">
        <v>76</v>
      </c>
      <c r="F16" s="1165">
        <v>27</v>
      </c>
      <c r="G16" s="1166">
        <v>84</v>
      </c>
      <c r="H16" s="873">
        <v>0.85</v>
      </c>
      <c r="I16" s="873">
        <v>0.7</v>
      </c>
      <c r="J16" s="1576">
        <v>0.51</v>
      </c>
      <c r="K16" s="1603">
        <v>0.17499999999999999</v>
      </c>
      <c r="L16" s="935"/>
      <c r="M16" s="935"/>
      <c r="N16" s="904"/>
      <c r="O16" s="904"/>
      <c r="P16" s="904"/>
      <c r="Q16" s="904"/>
      <c r="R16" s="904"/>
      <c r="S16" s="904"/>
      <c r="T16" s="904"/>
    </row>
    <row r="17" spans="1:29" ht="15.75">
      <c r="A17" s="7">
        <v>3</v>
      </c>
      <c r="B17" s="188" t="s">
        <v>852</v>
      </c>
      <c r="C17" s="189">
        <v>1</v>
      </c>
      <c r="D17" s="189" t="s">
        <v>265</v>
      </c>
      <c r="E17" s="1165">
        <v>16.600000000000001</v>
      </c>
      <c r="F17" s="1165">
        <v>6.4</v>
      </c>
      <c r="G17" s="1166">
        <v>15.3</v>
      </c>
      <c r="H17" s="873">
        <v>0.85</v>
      </c>
      <c r="I17" s="873">
        <v>0.7</v>
      </c>
      <c r="J17" s="1576">
        <v>0.51</v>
      </c>
      <c r="K17" s="1603">
        <v>0.17499999999999999</v>
      </c>
      <c r="L17" s="935"/>
      <c r="M17" s="935"/>
      <c r="N17" s="904"/>
      <c r="O17" s="904"/>
      <c r="P17" s="904"/>
      <c r="Q17" s="904"/>
      <c r="R17" s="904"/>
      <c r="S17" s="904"/>
      <c r="T17" s="904"/>
    </row>
    <row r="18" spans="1:29" ht="15.75">
      <c r="A18" s="7">
        <v>30</v>
      </c>
      <c r="B18" s="188" t="s">
        <v>853</v>
      </c>
      <c r="C18" s="189">
        <v>11</v>
      </c>
      <c r="D18" s="189" t="s">
        <v>265</v>
      </c>
      <c r="E18" s="1165">
        <v>31</v>
      </c>
      <c r="F18" s="1165">
        <v>12.7</v>
      </c>
      <c r="G18" s="1166">
        <v>23</v>
      </c>
      <c r="H18" s="873">
        <v>0.85</v>
      </c>
      <c r="I18" s="873">
        <v>0.7</v>
      </c>
      <c r="J18" s="1576">
        <v>0.51</v>
      </c>
      <c r="K18" s="1603">
        <v>0.17499999999999999</v>
      </c>
      <c r="L18" s="935"/>
      <c r="M18" s="935"/>
      <c r="N18" s="904"/>
      <c r="O18" s="904"/>
      <c r="P18" s="904"/>
      <c r="Q18" s="904"/>
      <c r="R18" s="904"/>
      <c r="S18" s="904"/>
      <c r="T18" s="904"/>
    </row>
    <row r="19" spans="1:29" ht="15.75">
      <c r="A19" s="7">
        <v>31</v>
      </c>
      <c r="B19" s="188" t="s">
        <v>854</v>
      </c>
      <c r="C19" s="189">
        <v>12</v>
      </c>
      <c r="D19" s="189" t="s">
        <v>265</v>
      </c>
      <c r="E19" s="1165">
        <v>13</v>
      </c>
      <c r="F19" s="1165">
        <v>6.5</v>
      </c>
      <c r="G19" s="1166">
        <v>13</v>
      </c>
      <c r="H19" s="873">
        <v>0.85</v>
      </c>
      <c r="I19" s="873">
        <v>0.7</v>
      </c>
      <c r="J19" s="1576">
        <v>0.51</v>
      </c>
      <c r="K19" s="1603">
        <v>0.17499999999999999</v>
      </c>
      <c r="L19" s="935"/>
      <c r="M19" s="3011" t="s">
        <v>855</v>
      </c>
      <c r="N19" s="3011"/>
      <c r="O19" s="3011"/>
      <c r="P19" s="3011"/>
      <c r="Q19" s="3011"/>
      <c r="R19" s="3011"/>
      <c r="S19" s="3011"/>
      <c r="T19" s="3011"/>
      <c r="U19" s="3011"/>
      <c r="V19" s="3011"/>
      <c r="W19" s="3011"/>
    </row>
    <row r="20" spans="1:29" ht="15.75" customHeight="1">
      <c r="A20" s="7">
        <v>32</v>
      </c>
      <c r="B20" s="188" t="s">
        <v>856</v>
      </c>
      <c r="C20" s="189">
        <v>13</v>
      </c>
      <c r="D20" s="189" t="s">
        <v>265</v>
      </c>
      <c r="E20" s="1165">
        <v>15.9</v>
      </c>
      <c r="F20" s="1165">
        <v>7.3</v>
      </c>
      <c r="G20" s="1166">
        <v>14</v>
      </c>
      <c r="H20" s="873">
        <v>0.85</v>
      </c>
      <c r="I20" s="873">
        <v>0.7</v>
      </c>
      <c r="J20" s="1576">
        <v>0.51</v>
      </c>
      <c r="K20" s="1603">
        <v>0.17499999999999999</v>
      </c>
      <c r="L20" s="935"/>
      <c r="M20" s="874"/>
      <c r="N20" s="3012" t="s">
        <v>857</v>
      </c>
      <c r="O20" s="3013"/>
      <c r="P20" s="3013"/>
      <c r="Q20" s="3013"/>
      <c r="R20" s="3013"/>
      <c r="S20" s="3014"/>
      <c r="T20" s="3012"/>
      <c r="U20" s="3013"/>
      <c r="V20" s="3013"/>
      <c r="W20" s="3013"/>
      <c r="X20" s="3013"/>
      <c r="Y20" s="3014"/>
      <c r="Z20" s="3024" t="s">
        <v>858</v>
      </c>
      <c r="AA20" s="3024"/>
      <c r="AB20" s="3024"/>
      <c r="AC20" s="3024"/>
    </row>
    <row r="21" spans="1:29" ht="15.75" customHeight="1">
      <c r="A21" s="7">
        <v>33</v>
      </c>
      <c r="B21" s="188" t="s">
        <v>859</v>
      </c>
      <c r="C21" s="189">
        <v>14</v>
      </c>
      <c r="D21" s="189" t="s">
        <v>265</v>
      </c>
      <c r="E21" s="1165">
        <v>15.7</v>
      </c>
      <c r="F21" s="1165">
        <v>5.4</v>
      </c>
      <c r="G21" s="1166">
        <v>15</v>
      </c>
      <c r="H21" s="873">
        <v>0.85</v>
      </c>
      <c r="I21" s="873">
        <v>0.7</v>
      </c>
      <c r="J21" s="1576">
        <v>0.51</v>
      </c>
      <c r="K21" s="1603">
        <v>0.17499999999999999</v>
      </c>
      <c r="L21" s="935"/>
      <c r="M21" s="1187" t="s">
        <v>860</v>
      </c>
      <c r="N21" s="1187" t="s">
        <v>861</v>
      </c>
      <c r="O21" s="1187" t="s">
        <v>862</v>
      </c>
      <c r="P21" s="875" t="s">
        <v>1093</v>
      </c>
      <c r="Q21" s="875" t="s">
        <v>1094</v>
      </c>
      <c r="R21" s="1187" t="s">
        <v>1095</v>
      </c>
      <c r="S21" s="1187" t="s">
        <v>1096</v>
      </c>
      <c r="T21" s="1187"/>
      <c r="U21" s="1187"/>
      <c r="V21" s="875"/>
      <c r="W21" s="875"/>
      <c r="X21" s="1187"/>
      <c r="Y21" s="1187"/>
      <c r="Z21" s="1187" t="s">
        <v>863</v>
      </c>
      <c r="AA21" s="1187" t="s">
        <v>864</v>
      </c>
      <c r="AB21" s="1187" t="s">
        <v>865</v>
      </c>
      <c r="AC21" s="1187" t="s">
        <v>866</v>
      </c>
    </row>
    <row r="22" spans="1:29" ht="15.75" customHeight="1">
      <c r="A22" s="7">
        <v>34</v>
      </c>
      <c r="B22" s="188" t="s">
        <v>867</v>
      </c>
      <c r="C22" s="189">
        <v>15</v>
      </c>
      <c r="D22" s="189" t="s">
        <v>265</v>
      </c>
      <c r="E22" s="1165">
        <v>14.6</v>
      </c>
      <c r="F22" s="1165">
        <v>4.5</v>
      </c>
      <c r="G22" s="1166">
        <v>15</v>
      </c>
      <c r="H22" s="873">
        <v>0.85</v>
      </c>
      <c r="I22" s="873">
        <v>0.7</v>
      </c>
      <c r="J22" s="1576">
        <v>0.51</v>
      </c>
      <c r="K22" s="1603">
        <v>0.17499999999999999</v>
      </c>
      <c r="L22" s="935"/>
      <c r="M22" s="1187" t="s">
        <v>868</v>
      </c>
      <c r="N22" s="1187" t="s">
        <v>869</v>
      </c>
      <c r="O22" s="1187" t="s">
        <v>870</v>
      </c>
      <c r="P22" s="1187" t="s">
        <v>871</v>
      </c>
      <c r="Q22" s="1187" t="s">
        <v>872</v>
      </c>
      <c r="R22" s="1187" t="s">
        <v>873</v>
      </c>
      <c r="S22" s="1187" t="s">
        <v>873</v>
      </c>
      <c r="T22" s="1187"/>
      <c r="U22" s="1187"/>
      <c r="V22" s="1187"/>
      <c r="W22" s="1187"/>
      <c r="X22" s="1187"/>
      <c r="Y22" s="1187"/>
      <c r="Z22" s="1187" t="s">
        <v>874</v>
      </c>
      <c r="AA22" s="1187" t="s">
        <v>875</v>
      </c>
      <c r="AB22" s="1187" t="s">
        <v>876</v>
      </c>
      <c r="AC22" s="1187" t="s">
        <v>877</v>
      </c>
    </row>
    <row r="23" spans="1:29" ht="15.75" customHeight="1">
      <c r="A23" s="7">
        <v>36</v>
      </c>
      <c r="B23" s="188" t="s">
        <v>878</v>
      </c>
      <c r="C23" s="189">
        <v>16</v>
      </c>
      <c r="D23" s="189" t="s">
        <v>265</v>
      </c>
      <c r="E23" s="1165">
        <v>36.6</v>
      </c>
      <c r="F23" s="1165">
        <v>14.2</v>
      </c>
      <c r="G23" s="1166">
        <v>30.3</v>
      </c>
      <c r="H23" s="873">
        <v>0.85</v>
      </c>
      <c r="I23" s="873">
        <v>0.7</v>
      </c>
      <c r="J23" s="1576">
        <v>0.51</v>
      </c>
      <c r="K23" s="1603">
        <v>0.17499999999999999</v>
      </c>
      <c r="L23" s="935"/>
      <c r="M23" s="1187" t="s">
        <v>879</v>
      </c>
      <c r="N23" s="1187" t="s">
        <v>880</v>
      </c>
      <c r="O23" s="1187" t="s">
        <v>881</v>
      </c>
      <c r="P23" s="1187" t="s">
        <v>882</v>
      </c>
      <c r="Q23" s="1187" t="s">
        <v>883</v>
      </c>
      <c r="R23" s="1187" t="s">
        <v>884</v>
      </c>
      <c r="S23" s="1187" t="s">
        <v>885</v>
      </c>
      <c r="T23" s="1187"/>
      <c r="U23" s="1187"/>
      <c r="V23" s="1187"/>
      <c r="W23" s="1187"/>
      <c r="X23" s="1187"/>
      <c r="Y23" s="1187"/>
      <c r="Z23" s="1187" t="s">
        <v>874</v>
      </c>
      <c r="AA23" s="1187" t="s">
        <v>875</v>
      </c>
      <c r="AB23" s="1187" t="s">
        <v>876</v>
      </c>
      <c r="AC23" s="1187" t="s">
        <v>877</v>
      </c>
    </row>
    <row r="24" spans="1:29" ht="15.75" customHeight="1">
      <c r="A24" s="7">
        <v>37</v>
      </c>
      <c r="B24" s="188" t="s">
        <v>886</v>
      </c>
      <c r="C24" s="189">
        <v>17</v>
      </c>
      <c r="D24" s="189" t="s">
        <v>265</v>
      </c>
      <c r="E24" s="1165">
        <v>39.1</v>
      </c>
      <c r="F24" s="1165">
        <v>14.3</v>
      </c>
      <c r="G24" s="1166">
        <v>31.6</v>
      </c>
      <c r="H24" s="873">
        <v>0.85</v>
      </c>
      <c r="I24" s="873">
        <v>0.7</v>
      </c>
      <c r="J24" s="1576">
        <v>0.51</v>
      </c>
      <c r="K24" s="1603">
        <v>0.17499999999999999</v>
      </c>
      <c r="L24" s="935"/>
      <c r="M24" s="1187" t="s">
        <v>849</v>
      </c>
      <c r="N24" s="1187" t="s">
        <v>887</v>
      </c>
      <c r="O24" s="1187" t="s">
        <v>888</v>
      </c>
      <c r="P24" s="1187" t="s">
        <v>889</v>
      </c>
      <c r="Q24" s="1187" t="s">
        <v>889</v>
      </c>
      <c r="R24" s="1187" t="s">
        <v>890</v>
      </c>
      <c r="S24" s="1187" t="s">
        <v>891</v>
      </c>
      <c r="T24" s="1187"/>
      <c r="U24" s="1187"/>
      <c r="V24" s="1187"/>
      <c r="W24" s="1187"/>
      <c r="X24" s="1187"/>
      <c r="Y24" s="1187"/>
      <c r="Z24" s="1187" t="s">
        <v>874</v>
      </c>
      <c r="AA24" s="1187" t="s">
        <v>875</v>
      </c>
      <c r="AB24" s="1187" t="s">
        <v>876</v>
      </c>
      <c r="AC24" s="1187" t="s">
        <v>877</v>
      </c>
    </row>
    <row r="25" spans="1:29" ht="15.75" customHeight="1">
      <c r="A25" s="7">
        <v>38</v>
      </c>
      <c r="B25" s="188" t="s">
        <v>892</v>
      </c>
      <c r="C25" s="189">
        <v>18</v>
      </c>
      <c r="D25" s="189" t="s">
        <v>265</v>
      </c>
      <c r="E25" s="1165">
        <v>40.700000000000003</v>
      </c>
      <c r="F25" s="1165">
        <v>14.7</v>
      </c>
      <c r="G25" s="1166">
        <v>30.9</v>
      </c>
      <c r="H25" s="873">
        <v>0.85</v>
      </c>
      <c r="I25" s="873">
        <v>0.7</v>
      </c>
      <c r="J25" s="1576">
        <v>0.51</v>
      </c>
      <c r="K25" s="1603">
        <v>0.17499999999999999</v>
      </c>
      <c r="L25" s="935"/>
      <c r="M25" s="1187" t="s">
        <v>893</v>
      </c>
      <c r="N25" s="1187" t="s">
        <v>894</v>
      </c>
      <c r="O25" s="1187" t="s">
        <v>895</v>
      </c>
      <c r="P25" s="1187" t="s">
        <v>896</v>
      </c>
      <c r="Q25" s="1187" t="s">
        <v>889</v>
      </c>
      <c r="R25" s="1187" t="s">
        <v>897</v>
      </c>
      <c r="S25" s="1187" t="s">
        <v>898</v>
      </c>
      <c r="T25" s="1187"/>
      <c r="U25" s="1187"/>
      <c r="V25" s="1187"/>
      <c r="W25" s="1187"/>
      <c r="X25" s="1187"/>
      <c r="Y25" s="1187"/>
      <c r="Z25" s="1187" t="s">
        <v>874</v>
      </c>
      <c r="AA25" s="1187" t="s">
        <v>875</v>
      </c>
      <c r="AB25" s="1187" t="s">
        <v>876</v>
      </c>
      <c r="AC25" s="1187" t="s">
        <v>877</v>
      </c>
    </row>
    <row r="26" spans="1:29" ht="15.75" customHeight="1">
      <c r="A26" s="7">
        <v>39</v>
      </c>
      <c r="B26" s="188" t="s">
        <v>899</v>
      </c>
      <c r="C26" s="189">
        <v>19</v>
      </c>
      <c r="D26" s="189" t="s">
        <v>265</v>
      </c>
      <c r="E26" s="1165">
        <v>41.3</v>
      </c>
      <c r="F26" s="1165">
        <v>14.8</v>
      </c>
      <c r="G26" s="1166">
        <v>27.8</v>
      </c>
      <c r="H26" s="873">
        <v>0.85</v>
      </c>
      <c r="I26" s="873">
        <v>0.7</v>
      </c>
      <c r="J26" s="1576">
        <v>0.51</v>
      </c>
      <c r="K26" s="1603">
        <v>0.17499999999999999</v>
      </c>
      <c r="L26" s="935"/>
      <c r="M26" s="1187" t="s">
        <v>900</v>
      </c>
      <c r="N26" s="1187" t="s">
        <v>901</v>
      </c>
      <c r="O26" s="1187" t="s">
        <v>902</v>
      </c>
      <c r="P26" s="1187" t="s">
        <v>903</v>
      </c>
      <c r="Q26" s="1187" t="s">
        <v>904</v>
      </c>
      <c r="R26" s="1187" t="s">
        <v>905</v>
      </c>
      <c r="S26" s="1187" t="s">
        <v>905</v>
      </c>
      <c r="T26" s="1187"/>
      <c r="U26" s="1187"/>
      <c r="V26" s="1187"/>
      <c r="W26" s="1187"/>
      <c r="X26" s="1187"/>
      <c r="Y26" s="1187"/>
      <c r="Z26" s="1187" t="s">
        <v>906</v>
      </c>
      <c r="AA26" s="1187" t="s">
        <v>906</v>
      </c>
      <c r="AB26" s="1187" t="s">
        <v>876</v>
      </c>
      <c r="AC26" s="1187" t="s">
        <v>877</v>
      </c>
    </row>
    <row r="27" spans="1:29" ht="15.75">
      <c r="A27" s="7">
        <v>41</v>
      </c>
      <c r="B27" s="188" t="s">
        <v>907</v>
      </c>
      <c r="C27" s="189">
        <v>20</v>
      </c>
      <c r="D27" s="189" t="s">
        <v>265</v>
      </c>
      <c r="E27" s="1165">
        <v>88</v>
      </c>
      <c r="F27" s="1165">
        <v>26</v>
      </c>
      <c r="G27" s="1166">
        <v>104</v>
      </c>
      <c r="H27" s="873">
        <v>0.85</v>
      </c>
      <c r="I27" s="873">
        <v>0.7</v>
      </c>
      <c r="J27" s="1576">
        <v>0.51</v>
      </c>
      <c r="K27" s="1603">
        <v>0.17499999999999999</v>
      </c>
      <c r="L27" s="935"/>
      <c r="N27" s="2889" t="s">
        <v>908</v>
      </c>
      <c r="O27" s="2890"/>
      <c r="P27" s="2891"/>
      <c r="Q27" s="904"/>
      <c r="R27" s="904"/>
      <c r="S27" s="904"/>
      <c r="T27" s="904"/>
    </row>
    <row r="28" spans="1:29" ht="18.75">
      <c r="A28" s="7">
        <v>42</v>
      </c>
      <c r="B28" s="188" t="s">
        <v>909</v>
      </c>
      <c r="C28" s="189">
        <v>21</v>
      </c>
      <c r="D28" s="189" t="s">
        <v>265</v>
      </c>
      <c r="E28" s="1165">
        <v>105</v>
      </c>
      <c r="F28" s="1165">
        <v>31</v>
      </c>
      <c r="G28" s="1166">
        <v>129</v>
      </c>
      <c r="H28" s="873">
        <v>0.85</v>
      </c>
      <c r="I28" s="873">
        <v>0.7</v>
      </c>
      <c r="J28" s="1576">
        <v>0.51</v>
      </c>
      <c r="K28" s="1603">
        <v>0.17499999999999999</v>
      </c>
      <c r="L28" s="935"/>
      <c r="M28" s="1102" t="s">
        <v>910</v>
      </c>
      <c r="N28" s="1102" t="s">
        <v>262</v>
      </c>
      <c r="O28" s="1102" t="s">
        <v>911</v>
      </c>
      <c r="P28" s="1102" t="s">
        <v>912</v>
      </c>
      <c r="Q28" s="904"/>
      <c r="R28" s="904"/>
      <c r="S28" s="904"/>
      <c r="T28" s="904"/>
    </row>
    <row r="29" spans="1:29" ht="18" customHeight="1">
      <c r="A29" s="7">
        <v>43</v>
      </c>
      <c r="B29" s="876" t="s">
        <v>913</v>
      </c>
      <c r="C29" s="189">
        <v>22</v>
      </c>
      <c r="D29" s="189" t="s">
        <v>265</v>
      </c>
      <c r="E29" s="1165">
        <v>114</v>
      </c>
      <c r="F29" s="1165">
        <v>33</v>
      </c>
      <c r="G29" s="1166">
        <v>142</v>
      </c>
      <c r="H29" s="873">
        <v>0.85</v>
      </c>
      <c r="I29" s="873">
        <v>0.7</v>
      </c>
      <c r="J29" s="1576">
        <v>0.51</v>
      </c>
      <c r="K29" s="1603">
        <v>0.17499999999999999</v>
      </c>
      <c r="L29" s="935"/>
      <c r="M29" s="1102" t="s">
        <v>914</v>
      </c>
      <c r="N29" s="1102" t="s">
        <v>915</v>
      </c>
      <c r="O29" s="1102" t="s">
        <v>916</v>
      </c>
      <c r="P29" s="1102" t="s">
        <v>917</v>
      </c>
      <c r="Q29" s="904"/>
      <c r="R29" s="904"/>
      <c r="S29" s="904"/>
      <c r="T29" s="904"/>
    </row>
    <row r="30" spans="1:29" ht="16.5" customHeight="1">
      <c r="A30" s="7">
        <v>46</v>
      </c>
      <c r="B30" s="198" t="s">
        <v>304</v>
      </c>
      <c r="C30" s="189">
        <v>23</v>
      </c>
      <c r="D30" s="1165" t="s">
        <v>265</v>
      </c>
      <c r="E30" s="1165">
        <v>27.1</v>
      </c>
      <c r="F30" s="1165">
        <v>12.6</v>
      </c>
      <c r="G30" s="1166">
        <v>12.8</v>
      </c>
      <c r="H30" s="873">
        <v>0.8</v>
      </c>
      <c r="I30" s="873">
        <v>0.7</v>
      </c>
      <c r="J30" s="1166">
        <v>0.56000000000000005</v>
      </c>
      <c r="K30" s="1603">
        <v>0.21</v>
      </c>
      <c r="L30" s="935"/>
      <c r="M30" s="1102" t="s">
        <v>918</v>
      </c>
      <c r="N30" s="1102" t="s">
        <v>919</v>
      </c>
      <c r="O30" s="1102" t="s">
        <v>920</v>
      </c>
      <c r="P30" s="1102" t="s">
        <v>921</v>
      </c>
      <c r="Q30" s="904"/>
      <c r="R30" s="904"/>
      <c r="S30" s="904"/>
      <c r="T30" s="904"/>
    </row>
    <row r="31" spans="1:29" ht="16.5" customHeight="1">
      <c r="A31" s="7">
        <v>47</v>
      </c>
      <c r="B31" s="198" t="s">
        <v>305</v>
      </c>
      <c r="C31" s="189">
        <v>24</v>
      </c>
      <c r="D31" s="1165" t="s">
        <v>265</v>
      </c>
      <c r="E31" s="1165">
        <v>24</v>
      </c>
      <c r="F31" s="1165">
        <v>11</v>
      </c>
      <c r="G31" s="1166">
        <v>11.6</v>
      </c>
      <c r="H31" s="873">
        <v>0.8</v>
      </c>
      <c r="I31" s="873">
        <v>0.7</v>
      </c>
      <c r="J31" s="1576">
        <v>0.56000000000000005</v>
      </c>
      <c r="K31" s="1603">
        <v>0.21</v>
      </c>
      <c r="L31" s="935"/>
      <c r="M31" s="1102" t="s">
        <v>922</v>
      </c>
      <c r="N31" s="1102" t="s">
        <v>923</v>
      </c>
      <c r="O31" s="1102" t="s">
        <v>924</v>
      </c>
      <c r="P31" s="1102" t="s">
        <v>925</v>
      </c>
      <c r="Q31" s="904"/>
      <c r="R31" s="904"/>
      <c r="S31" s="904"/>
      <c r="T31" s="904"/>
    </row>
    <row r="32" spans="1:29" ht="15.75">
      <c r="A32" s="7">
        <v>48</v>
      </c>
      <c r="B32" s="198" t="s">
        <v>306</v>
      </c>
      <c r="C32" s="189">
        <v>25</v>
      </c>
      <c r="D32" s="1165" t="s">
        <v>265</v>
      </c>
      <c r="E32" s="1165">
        <v>23</v>
      </c>
      <c r="F32" s="1165">
        <v>10.3</v>
      </c>
      <c r="G32" s="1166">
        <v>11.6</v>
      </c>
      <c r="H32" s="873">
        <v>0.8</v>
      </c>
      <c r="I32" s="873">
        <v>0.7</v>
      </c>
      <c r="J32" s="1576">
        <v>0.56000000000000005</v>
      </c>
      <c r="K32" s="1603">
        <v>0.21</v>
      </c>
      <c r="L32" s="935"/>
      <c r="M32" s="935"/>
      <c r="N32" s="904"/>
      <c r="O32" s="904"/>
      <c r="P32" s="904"/>
      <c r="Q32" s="904"/>
      <c r="R32" s="904"/>
      <c r="S32" s="904"/>
      <c r="T32" s="904"/>
    </row>
    <row r="33" spans="1:20" ht="15.75">
      <c r="A33" s="7">
        <v>49</v>
      </c>
      <c r="B33" s="198" t="s">
        <v>307</v>
      </c>
      <c r="C33" s="189">
        <v>26</v>
      </c>
      <c r="D33" s="1165" t="s">
        <v>265</v>
      </c>
      <c r="E33" s="1165">
        <v>27.3</v>
      </c>
      <c r="F33" s="1165">
        <v>12.6</v>
      </c>
      <c r="G33" s="1166">
        <v>12.8</v>
      </c>
      <c r="H33" s="873">
        <v>0.8</v>
      </c>
      <c r="I33" s="873">
        <v>0.7</v>
      </c>
      <c r="J33" s="1576">
        <v>0.56000000000000005</v>
      </c>
      <c r="K33" s="1603">
        <v>0.21</v>
      </c>
      <c r="L33" s="935"/>
      <c r="M33" s="935"/>
      <c r="N33" s="904"/>
      <c r="O33" s="904"/>
      <c r="P33" s="904"/>
      <c r="Q33" s="904"/>
      <c r="R33" s="904"/>
      <c r="S33" s="904"/>
      <c r="T33" s="904"/>
    </row>
    <row r="34" spans="1:20" ht="15.75">
      <c r="A34" s="7">
        <v>50</v>
      </c>
      <c r="B34" s="198" t="s">
        <v>309</v>
      </c>
      <c r="C34" s="189">
        <v>27</v>
      </c>
      <c r="D34" s="1165" t="s">
        <v>265</v>
      </c>
      <c r="E34" s="1165">
        <v>24.1</v>
      </c>
      <c r="F34" s="1165">
        <v>11.2</v>
      </c>
      <c r="G34" s="1166">
        <v>11.6</v>
      </c>
      <c r="H34" s="873">
        <v>0.8</v>
      </c>
      <c r="I34" s="873">
        <v>0.7</v>
      </c>
      <c r="J34" s="1576">
        <v>0.56000000000000005</v>
      </c>
      <c r="K34" s="1603">
        <v>0.21</v>
      </c>
      <c r="L34" s="935"/>
    </row>
    <row r="35" spans="1:20" ht="15.75">
      <c r="A35" s="7">
        <v>51</v>
      </c>
      <c r="B35" s="198" t="s">
        <v>308</v>
      </c>
      <c r="C35" s="189">
        <v>28</v>
      </c>
      <c r="D35" s="1165" t="s">
        <v>265</v>
      </c>
      <c r="E35" s="1165">
        <v>23.1</v>
      </c>
      <c r="F35" s="1165">
        <v>10.3</v>
      </c>
      <c r="G35" s="1166">
        <v>11.6</v>
      </c>
      <c r="H35" s="873">
        <v>0.8</v>
      </c>
      <c r="I35" s="873">
        <v>0.7</v>
      </c>
      <c r="J35" s="1576">
        <v>0.56000000000000005</v>
      </c>
      <c r="K35" s="1603">
        <v>0.21</v>
      </c>
      <c r="L35" s="935"/>
    </row>
    <row r="36" spans="1:20" ht="15.75">
      <c r="A36" s="7">
        <v>52</v>
      </c>
      <c r="B36" s="198" t="s">
        <v>310</v>
      </c>
      <c r="C36" s="189">
        <v>29</v>
      </c>
      <c r="D36" s="1165" t="s">
        <v>265</v>
      </c>
      <c r="E36" s="1165">
        <v>27.5</v>
      </c>
      <c r="F36" s="1165">
        <v>12.8</v>
      </c>
      <c r="G36" s="1166">
        <v>13.1</v>
      </c>
      <c r="H36" s="873">
        <v>0.8</v>
      </c>
      <c r="I36" s="873">
        <v>0.7</v>
      </c>
      <c r="J36" s="1576">
        <v>0.56000000000000005</v>
      </c>
      <c r="K36" s="1603">
        <v>0.21</v>
      </c>
      <c r="L36" s="935"/>
    </row>
    <row r="37" spans="1:20" ht="15.75">
      <c r="A37" s="7">
        <v>53</v>
      </c>
      <c r="B37" s="198" t="s">
        <v>311</v>
      </c>
      <c r="C37" s="189">
        <v>30</v>
      </c>
      <c r="D37" s="1165" t="s">
        <v>265</v>
      </c>
      <c r="E37" s="1165">
        <v>24.2</v>
      </c>
      <c r="F37" s="1165">
        <v>11.2</v>
      </c>
      <c r="G37" s="1166">
        <v>11.8</v>
      </c>
      <c r="H37" s="873">
        <v>0.8</v>
      </c>
      <c r="I37" s="873">
        <v>0.7</v>
      </c>
      <c r="J37" s="1576">
        <v>0.56000000000000005</v>
      </c>
      <c r="K37" s="1603">
        <v>0.21</v>
      </c>
      <c r="L37" s="935"/>
    </row>
    <row r="38" spans="1:20" ht="15.75">
      <c r="A38" s="7">
        <v>54</v>
      </c>
      <c r="B38" s="198" t="s">
        <v>312</v>
      </c>
      <c r="C38" s="189">
        <v>31</v>
      </c>
      <c r="D38" s="1165" t="s">
        <v>265</v>
      </c>
      <c r="E38" s="1165">
        <v>23.2</v>
      </c>
      <c r="F38" s="1165">
        <v>10.3</v>
      </c>
      <c r="G38" s="1166">
        <v>11.8</v>
      </c>
      <c r="H38" s="873">
        <v>0.8</v>
      </c>
      <c r="I38" s="873">
        <v>0.7</v>
      </c>
      <c r="J38" s="1576">
        <v>0.56000000000000005</v>
      </c>
      <c r="K38" s="1603">
        <v>0.21</v>
      </c>
      <c r="L38" s="935"/>
    </row>
    <row r="39" spans="1:20" ht="15.75">
      <c r="A39" s="7">
        <v>55</v>
      </c>
      <c r="B39" s="198" t="s">
        <v>313</v>
      </c>
      <c r="C39" s="189">
        <v>32</v>
      </c>
      <c r="D39" s="1165" t="s">
        <v>265</v>
      </c>
      <c r="E39" s="1165">
        <v>39.200000000000003</v>
      </c>
      <c r="F39" s="1165">
        <v>17.2</v>
      </c>
      <c r="G39" s="1166">
        <v>19.899999999999999</v>
      </c>
      <c r="H39" s="873">
        <v>0.8</v>
      </c>
      <c r="I39" s="873">
        <v>0.7</v>
      </c>
      <c r="J39" s="1576">
        <v>0.56000000000000005</v>
      </c>
      <c r="K39" s="1603">
        <v>0.21</v>
      </c>
      <c r="L39" s="935"/>
    </row>
    <row r="40" spans="1:20" ht="15.75">
      <c r="A40" s="7">
        <v>56</v>
      </c>
      <c r="B40" s="198" t="s">
        <v>314</v>
      </c>
      <c r="C40" s="189">
        <v>33</v>
      </c>
      <c r="D40" s="1165" t="s">
        <v>265</v>
      </c>
      <c r="E40" s="1165">
        <v>35.1</v>
      </c>
      <c r="F40" s="1165">
        <v>15.3</v>
      </c>
      <c r="G40" s="1166">
        <v>18.3</v>
      </c>
      <c r="H40" s="873">
        <v>0.8</v>
      </c>
      <c r="I40" s="873">
        <v>0.7</v>
      </c>
      <c r="J40" s="1576">
        <v>0.56000000000000005</v>
      </c>
      <c r="K40" s="1603">
        <v>0.21</v>
      </c>
      <c r="L40" s="935"/>
    </row>
    <row r="41" spans="1:20" ht="16.5" customHeight="1">
      <c r="A41" s="7">
        <v>57</v>
      </c>
      <c r="B41" s="198" t="s">
        <v>315</v>
      </c>
      <c r="C41" s="189">
        <v>34</v>
      </c>
      <c r="D41" s="1165" t="s">
        <v>265</v>
      </c>
      <c r="E41" s="1165">
        <v>33.5</v>
      </c>
      <c r="F41" s="1165">
        <v>14</v>
      </c>
      <c r="G41" s="1166">
        <v>18.3</v>
      </c>
      <c r="H41" s="873">
        <v>0.8</v>
      </c>
      <c r="I41" s="873">
        <v>0.7</v>
      </c>
      <c r="J41" s="1576">
        <v>0.56000000000000005</v>
      </c>
      <c r="K41" s="1603">
        <v>0.21</v>
      </c>
      <c r="L41" s="935"/>
      <c r="M41" s="935"/>
      <c r="N41" s="904"/>
      <c r="O41" s="904"/>
      <c r="P41" s="904"/>
      <c r="Q41" s="904"/>
      <c r="R41" s="904"/>
      <c r="S41" s="904"/>
      <c r="T41" s="904"/>
    </row>
    <row r="42" spans="1:20" ht="15.75">
      <c r="A42" s="7">
        <v>58</v>
      </c>
      <c r="B42" s="198" t="s">
        <v>316</v>
      </c>
      <c r="C42" s="189">
        <v>35</v>
      </c>
      <c r="D42" s="1165" t="s">
        <v>265</v>
      </c>
      <c r="E42" s="1165">
        <v>41.1</v>
      </c>
      <c r="F42" s="1165">
        <v>17.899999999999999</v>
      </c>
      <c r="G42" s="1166">
        <v>21.1</v>
      </c>
      <c r="H42" s="873">
        <v>0.8</v>
      </c>
      <c r="I42" s="873">
        <v>0.7</v>
      </c>
      <c r="J42" s="1576">
        <v>0.56000000000000005</v>
      </c>
      <c r="K42" s="1603">
        <v>0.21</v>
      </c>
      <c r="L42" s="935"/>
      <c r="M42" s="935"/>
      <c r="N42" s="904"/>
      <c r="O42" s="904"/>
      <c r="P42" s="904"/>
      <c r="Q42" s="904"/>
      <c r="R42" s="904"/>
      <c r="S42" s="904"/>
      <c r="T42" s="904"/>
    </row>
    <row r="43" spans="1:20" ht="15.75">
      <c r="A43" s="7">
        <v>59</v>
      </c>
      <c r="B43" s="198" t="s">
        <v>317</v>
      </c>
      <c r="C43" s="189">
        <v>36</v>
      </c>
      <c r="D43" s="1165" t="s">
        <v>265</v>
      </c>
      <c r="E43" s="1165">
        <v>36.799999999999997</v>
      </c>
      <c r="F43" s="1165">
        <v>16</v>
      </c>
      <c r="G43" s="1166">
        <v>19.5</v>
      </c>
      <c r="H43" s="873">
        <v>0.8</v>
      </c>
      <c r="I43" s="873">
        <v>0.7</v>
      </c>
      <c r="J43" s="1576">
        <v>0.56000000000000005</v>
      </c>
      <c r="K43" s="1603">
        <v>0.21</v>
      </c>
      <c r="L43" s="935"/>
      <c r="M43" s="935"/>
      <c r="N43" s="904"/>
      <c r="O43" s="904"/>
      <c r="P43" s="904"/>
      <c r="Q43" s="904"/>
      <c r="R43" s="904"/>
      <c r="S43" s="904"/>
      <c r="T43" s="904"/>
    </row>
    <row r="44" spans="1:20" ht="15.75">
      <c r="A44" s="7">
        <v>60</v>
      </c>
      <c r="B44" s="198" t="s">
        <v>318</v>
      </c>
      <c r="C44" s="189">
        <v>37</v>
      </c>
      <c r="D44" s="1165" t="s">
        <v>265</v>
      </c>
      <c r="E44" s="1165">
        <v>35</v>
      </c>
      <c r="F44" s="1165">
        <v>14.7</v>
      </c>
      <c r="G44" s="1166">
        <v>19.5</v>
      </c>
      <c r="H44" s="873">
        <v>0.8</v>
      </c>
      <c r="I44" s="873">
        <v>0.7</v>
      </c>
      <c r="J44" s="1576">
        <v>0.56000000000000005</v>
      </c>
      <c r="K44" s="1603">
        <v>0.21</v>
      </c>
      <c r="L44" s="935"/>
      <c r="M44" s="935"/>
      <c r="N44" s="904"/>
      <c r="O44" s="904"/>
      <c r="P44" s="904"/>
      <c r="Q44" s="904"/>
      <c r="R44" s="904"/>
      <c r="S44" s="904"/>
      <c r="T44" s="904"/>
    </row>
    <row r="45" spans="1:20" ht="15.75">
      <c r="A45" s="7">
        <v>61</v>
      </c>
      <c r="B45" s="198" t="s">
        <v>319</v>
      </c>
      <c r="C45" s="189">
        <v>38</v>
      </c>
      <c r="D45" s="1165" t="s">
        <v>265</v>
      </c>
      <c r="E45" s="1165">
        <v>42.9</v>
      </c>
      <c r="F45" s="1165">
        <v>18.600000000000001</v>
      </c>
      <c r="G45" s="1166">
        <v>21.3</v>
      </c>
      <c r="H45" s="873">
        <v>0.8</v>
      </c>
      <c r="I45" s="873">
        <v>0.7</v>
      </c>
      <c r="J45" s="1576">
        <v>0.56000000000000005</v>
      </c>
      <c r="K45" s="1603">
        <v>0.21</v>
      </c>
      <c r="L45" s="935"/>
      <c r="M45" s="935"/>
      <c r="N45" s="904"/>
      <c r="O45" s="904"/>
      <c r="P45" s="904"/>
      <c r="Q45" s="904"/>
      <c r="R45" s="904"/>
      <c r="S45" s="904"/>
      <c r="T45" s="904"/>
    </row>
    <row r="46" spans="1:20" ht="15.75">
      <c r="A46" s="7">
        <v>62</v>
      </c>
      <c r="B46" s="198" t="s">
        <v>320</v>
      </c>
      <c r="C46" s="189">
        <v>39</v>
      </c>
      <c r="D46" s="1165" t="s">
        <v>265</v>
      </c>
      <c r="E46" s="1165">
        <v>38.4</v>
      </c>
      <c r="F46" s="1165">
        <v>16.7</v>
      </c>
      <c r="G46" s="1166">
        <v>20.7</v>
      </c>
      <c r="H46" s="873">
        <v>0.8</v>
      </c>
      <c r="I46" s="873">
        <v>0.7</v>
      </c>
      <c r="J46" s="1576">
        <v>0.56000000000000005</v>
      </c>
      <c r="K46" s="1603">
        <v>0.21</v>
      </c>
      <c r="L46" s="935"/>
      <c r="M46" s="935"/>
      <c r="N46" s="904"/>
      <c r="O46" s="904"/>
      <c r="P46" s="904"/>
      <c r="Q46" s="904"/>
      <c r="R46" s="904"/>
      <c r="S46" s="904"/>
      <c r="T46" s="904"/>
    </row>
    <row r="47" spans="1:20" ht="15.75">
      <c r="A47" s="7">
        <v>63</v>
      </c>
      <c r="B47" s="198" t="s">
        <v>321</v>
      </c>
      <c r="C47" s="189">
        <v>40</v>
      </c>
      <c r="D47" s="1165" t="s">
        <v>265</v>
      </c>
      <c r="E47" s="1165">
        <v>36.6</v>
      </c>
      <c r="F47" s="1165">
        <v>15.1</v>
      </c>
      <c r="G47" s="1166">
        <v>20.7</v>
      </c>
      <c r="H47" s="873">
        <v>0.8</v>
      </c>
      <c r="I47" s="873">
        <v>0.7</v>
      </c>
      <c r="J47" s="1576">
        <v>0.56000000000000005</v>
      </c>
      <c r="K47" s="1603">
        <v>0.21</v>
      </c>
      <c r="L47" s="935"/>
      <c r="M47" s="935"/>
      <c r="N47" s="904"/>
      <c r="O47" s="904"/>
      <c r="P47" s="904"/>
      <c r="Q47" s="904"/>
      <c r="R47" s="904"/>
      <c r="S47" s="904"/>
      <c r="T47" s="904"/>
    </row>
    <row r="48" spans="1:20" ht="15.75">
      <c r="A48" s="7">
        <v>65</v>
      </c>
      <c r="B48" s="198" t="s">
        <v>926</v>
      </c>
      <c r="C48" s="189">
        <v>41</v>
      </c>
      <c r="D48" s="1165" t="s">
        <v>265</v>
      </c>
      <c r="E48" s="1165">
        <v>3.8</v>
      </c>
      <c r="F48" s="1165">
        <v>1.4</v>
      </c>
      <c r="G48" s="1166">
        <v>2.2999999999999998</v>
      </c>
      <c r="H48" s="873">
        <v>0.8</v>
      </c>
      <c r="I48" s="873">
        <v>0.7</v>
      </c>
      <c r="J48" s="1576">
        <v>0.56000000000000005</v>
      </c>
      <c r="K48" s="1603">
        <v>0.21</v>
      </c>
      <c r="L48" s="935"/>
      <c r="M48" s="935"/>
      <c r="N48" s="904"/>
      <c r="O48" s="904"/>
      <c r="P48" s="904"/>
      <c r="Q48" s="904"/>
      <c r="R48" s="904"/>
      <c r="S48" s="904"/>
      <c r="T48" s="904"/>
    </row>
    <row r="49" spans="1:20" ht="15.75" customHeight="1">
      <c r="A49" s="7">
        <v>66</v>
      </c>
      <c r="B49" s="198" t="s">
        <v>927</v>
      </c>
      <c r="C49" s="189">
        <v>42</v>
      </c>
      <c r="D49" s="1165" t="s">
        <v>265</v>
      </c>
      <c r="E49" s="1165">
        <v>3.6</v>
      </c>
      <c r="F49" s="1165">
        <v>1.4</v>
      </c>
      <c r="G49" s="1166">
        <v>2.2000000000000002</v>
      </c>
      <c r="H49" s="873">
        <v>0.8</v>
      </c>
      <c r="I49" s="873">
        <v>0.7</v>
      </c>
      <c r="J49" s="1576">
        <v>0.56000000000000005</v>
      </c>
      <c r="K49" s="1603">
        <v>0.21</v>
      </c>
      <c r="L49" s="935"/>
      <c r="M49" s="935"/>
      <c r="N49" s="904"/>
      <c r="O49" s="904"/>
      <c r="P49" s="904"/>
      <c r="Q49" s="904"/>
      <c r="R49" s="904"/>
      <c r="S49" s="904"/>
      <c r="T49" s="904"/>
    </row>
    <row r="50" spans="1:20" ht="15.75" customHeight="1">
      <c r="A50" s="7">
        <v>67</v>
      </c>
      <c r="B50" s="198" t="s">
        <v>928</v>
      </c>
      <c r="C50" s="189">
        <v>43</v>
      </c>
      <c r="D50" s="1165" t="s">
        <v>265</v>
      </c>
      <c r="E50" s="1165">
        <v>3.4</v>
      </c>
      <c r="F50" s="1165">
        <v>1.1000000000000001</v>
      </c>
      <c r="G50" s="1166">
        <v>2.2000000000000002</v>
      </c>
      <c r="H50" s="873">
        <v>0.8</v>
      </c>
      <c r="I50" s="873">
        <v>0.7</v>
      </c>
      <c r="J50" s="1576">
        <v>0.56000000000000005</v>
      </c>
      <c r="K50" s="1603">
        <v>0.21</v>
      </c>
      <c r="L50" s="935"/>
      <c r="M50" s="935"/>
      <c r="N50" s="904"/>
      <c r="O50" s="904"/>
      <c r="P50" s="904"/>
      <c r="Q50" s="904"/>
      <c r="R50" s="904"/>
      <c r="S50" s="904"/>
      <c r="T50" s="904"/>
    </row>
    <row r="51" spans="1:20" ht="15.75">
      <c r="A51" s="7">
        <v>68</v>
      </c>
      <c r="B51" s="198" t="s">
        <v>929</v>
      </c>
      <c r="C51" s="189">
        <v>44</v>
      </c>
      <c r="D51" s="1165" t="s">
        <v>265</v>
      </c>
      <c r="E51" s="1165">
        <v>4.2</v>
      </c>
      <c r="F51" s="1165">
        <v>1.6</v>
      </c>
      <c r="G51" s="1166">
        <v>2.5</v>
      </c>
      <c r="H51" s="873">
        <v>0.8</v>
      </c>
      <c r="I51" s="873">
        <v>0.7</v>
      </c>
      <c r="J51" s="1576">
        <v>0.56000000000000005</v>
      </c>
      <c r="K51" s="1603">
        <v>0.21</v>
      </c>
      <c r="L51" s="935"/>
      <c r="M51" s="935"/>
      <c r="N51" s="904"/>
      <c r="O51" s="904"/>
      <c r="P51" s="904"/>
      <c r="Q51" s="904"/>
      <c r="R51" s="904"/>
      <c r="S51" s="904"/>
      <c r="T51" s="904"/>
    </row>
    <row r="52" spans="1:20" ht="16.5" customHeight="1">
      <c r="A52" s="7">
        <v>69</v>
      </c>
      <c r="B52" s="198" t="s">
        <v>930</v>
      </c>
      <c r="C52" s="189">
        <v>45</v>
      </c>
      <c r="D52" s="1165" t="s">
        <v>265</v>
      </c>
      <c r="E52" s="1165">
        <v>3.8</v>
      </c>
      <c r="F52" s="1165">
        <v>1.4</v>
      </c>
      <c r="G52" s="1166">
        <v>2.4</v>
      </c>
      <c r="H52" s="873">
        <v>0.8</v>
      </c>
      <c r="I52" s="873">
        <v>0.7</v>
      </c>
      <c r="J52" s="1576">
        <v>0.56000000000000005</v>
      </c>
      <c r="K52" s="1603">
        <v>0.21</v>
      </c>
      <c r="L52" s="1188"/>
      <c r="M52" s="1188"/>
      <c r="N52" s="1188"/>
      <c r="O52" s="904"/>
      <c r="P52" s="904"/>
      <c r="Q52" s="904"/>
      <c r="R52" s="904"/>
      <c r="S52" s="904"/>
      <c r="T52" s="904"/>
    </row>
    <row r="53" spans="1:20" ht="15" customHeight="1">
      <c r="A53" s="7">
        <v>70</v>
      </c>
      <c r="B53" s="198" t="s">
        <v>931</v>
      </c>
      <c r="C53" s="189">
        <v>46</v>
      </c>
      <c r="D53" s="1165" t="s">
        <v>265</v>
      </c>
      <c r="E53" s="1165">
        <v>3.6</v>
      </c>
      <c r="F53" s="1165">
        <v>1.4</v>
      </c>
      <c r="G53" s="1166">
        <v>2.4</v>
      </c>
      <c r="H53" s="873">
        <v>0.8</v>
      </c>
      <c r="I53" s="873">
        <v>0.7</v>
      </c>
      <c r="J53" s="1576">
        <v>0.56000000000000005</v>
      </c>
      <c r="K53" s="1603">
        <v>0.21</v>
      </c>
      <c r="L53" s="1188"/>
      <c r="M53" s="1188"/>
      <c r="N53" s="1188"/>
      <c r="O53" s="904"/>
      <c r="P53" s="904"/>
      <c r="Q53" s="904"/>
      <c r="R53" s="904"/>
      <c r="S53" s="904"/>
      <c r="T53" s="904"/>
    </row>
    <row r="54" spans="1:20" ht="15.75">
      <c r="A54" s="7">
        <v>71</v>
      </c>
      <c r="B54" s="198" t="s">
        <v>932</v>
      </c>
      <c r="C54" s="189">
        <v>47</v>
      </c>
      <c r="D54" s="1165" t="s">
        <v>265</v>
      </c>
      <c r="E54" s="1165">
        <v>10.8</v>
      </c>
      <c r="F54" s="1165">
        <v>5.5</v>
      </c>
      <c r="G54" s="1166">
        <v>4.9000000000000004</v>
      </c>
      <c r="H54" s="873">
        <v>0.8</v>
      </c>
      <c r="I54" s="873">
        <v>0.7</v>
      </c>
      <c r="J54" s="1576">
        <v>0.56000000000000005</v>
      </c>
      <c r="K54" s="1603">
        <v>0.21</v>
      </c>
      <c r="L54" s="1188"/>
      <c r="M54" s="1188"/>
      <c r="N54" s="1188"/>
      <c r="O54" s="904"/>
      <c r="P54" s="904"/>
      <c r="Q54" s="904"/>
      <c r="R54" s="904"/>
      <c r="S54" s="904"/>
      <c r="T54" s="904"/>
    </row>
    <row r="55" spans="1:20" ht="16.5" customHeight="1">
      <c r="A55" s="7">
        <v>72</v>
      </c>
      <c r="B55" s="198" t="s">
        <v>933</v>
      </c>
      <c r="C55" s="189">
        <v>48</v>
      </c>
      <c r="D55" s="1165" t="s">
        <v>265</v>
      </c>
      <c r="E55" s="197">
        <v>9</v>
      </c>
      <c r="F55" s="1165">
        <v>4.5999999999999996</v>
      </c>
      <c r="G55" s="1166">
        <v>4.4000000000000004</v>
      </c>
      <c r="H55" s="873">
        <v>0.8</v>
      </c>
      <c r="I55" s="873">
        <v>0.7</v>
      </c>
      <c r="J55" s="1576">
        <v>0.56000000000000005</v>
      </c>
      <c r="K55" s="1603">
        <v>0.21</v>
      </c>
      <c r="L55" s="1189"/>
      <c r="M55" s="1189"/>
      <c r="N55" s="1189"/>
      <c r="O55" s="2474"/>
      <c r="P55" s="2474"/>
      <c r="Q55" s="2474"/>
      <c r="R55" s="2474"/>
      <c r="S55" s="2474"/>
      <c r="T55" s="2474"/>
    </row>
    <row r="56" spans="1:20" ht="16.5" customHeight="1">
      <c r="A56" s="7">
        <v>73</v>
      </c>
      <c r="B56" s="198" t="s">
        <v>934</v>
      </c>
      <c r="C56" s="189">
        <v>49</v>
      </c>
      <c r="D56" s="1165" t="s">
        <v>265</v>
      </c>
      <c r="E56" s="1165">
        <v>15.4</v>
      </c>
      <c r="F56" s="1165">
        <v>8.5</v>
      </c>
      <c r="G56" s="1166">
        <v>7.5</v>
      </c>
      <c r="H56" s="873">
        <v>0.8</v>
      </c>
      <c r="I56" s="873">
        <v>0.7</v>
      </c>
      <c r="J56" s="1576">
        <v>0.56000000000000005</v>
      </c>
      <c r="K56" s="1603">
        <v>0.21</v>
      </c>
      <c r="L56" s="1188"/>
      <c r="M56" s="1188"/>
      <c r="N56" s="1188"/>
      <c r="O56" s="904"/>
      <c r="P56" s="904"/>
      <c r="Q56" s="904"/>
      <c r="R56" s="904"/>
      <c r="S56" s="904"/>
      <c r="T56" s="904"/>
    </row>
    <row r="57" spans="1:20" ht="15.75">
      <c r="A57" s="7">
        <v>75</v>
      </c>
      <c r="B57" s="198" t="s">
        <v>935</v>
      </c>
      <c r="C57" s="189">
        <v>50</v>
      </c>
      <c r="D57" s="1165" t="s">
        <v>265</v>
      </c>
      <c r="E57" s="1165">
        <v>13.3</v>
      </c>
      <c r="F57" s="1165">
        <v>7.5</v>
      </c>
      <c r="G57" s="1166">
        <v>6.4</v>
      </c>
      <c r="H57" s="873">
        <v>0.8</v>
      </c>
      <c r="I57" s="873">
        <v>0.7</v>
      </c>
      <c r="J57" s="1576">
        <v>0.56000000000000005</v>
      </c>
      <c r="K57" s="1603">
        <v>0.21</v>
      </c>
      <c r="L57" s="1188"/>
      <c r="M57" s="1188"/>
      <c r="N57" s="1188"/>
      <c r="O57" s="904"/>
      <c r="P57" s="904"/>
      <c r="Q57" s="904"/>
      <c r="R57" s="904"/>
      <c r="S57" s="904"/>
      <c r="T57" s="904"/>
    </row>
    <row r="58" spans="1:20" ht="15.75">
      <c r="A58" s="7">
        <v>77</v>
      </c>
      <c r="B58" s="198" t="s">
        <v>936</v>
      </c>
      <c r="C58" s="189">
        <v>51</v>
      </c>
      <c r="D58" s="1165" t="s">
        <v>265</v>
      </c>
      <c r="E58" s="1165">
        <v>11.1</v>
      </c>
      <c r="F58" s="1165">
        <v>4.8</v>
      </c>
      <c r="G58" s="1166">
        <v>5.5</v>
      </c>
      <c r="H58" s="873">
        <v>0.8</v>
      </c>
      <c r="I58" s="873">
        <v>0.7</v>
      </c>
      <c r="J58" s="1576">
        <v>0.56000000000000005</v>
      </c>
      <c r="K58" s="1603">
        <v>0.21</v>
      </c>
      <c r="L58" s="1189"/>
      <c r="M58" s="1189"/>
      <c r="N58" s="1189"/>
      <c r="O58" s="2474"/>
      <c r="P58" s="2474"/>
      <c r="Q58" s="2474"/>
      <c r="R58" s="2474"/>
      <c r="S58" s="2474"/>
      <c r="T58" s="2474"/>
    </row>
    <row r="59" spans="1:20" ht="15.75">
      <c r="A59" s="7">
        <v>78</v>
      </c>
      <c r="B59" s="198" t="s">
        <v>937</v>
      </c>
      <c r="C59" s="189">
        <v>52</v>
      </c>
      <c r="D59" s="1165" t="s">
        <v>265</v>
      </c>
      <c r="E59" s="1165">
        <v>10.7</v>
      </c>
      <c r="F59" s="1165">
        <v>4.0999999999999996</v>
      </c>
      <c r="G59" s="1166">
        <v>5.3</v>
      </c>
      <c r="H59" s="873">
        <v>0.8</v>
      </c>
      <c r="I59" s="873">
        <v>0.7</v>
      </c>
      <c r="J59" s="1576">
        <v>0.56000000000000005</v>
      </c>
      <c r="K59" s="1603">
        <v>0.21</v>
      </c>
      <c r="L59" s="1188"/>
      <c r="M59" s="1188"/>
      <c r="N59" s="1188"/>
      <c r="O59" s="904"/>
      <c r="P59" s="904"/>
      <c r="Q59" s="904"/>
      <c r="R59" s="904"/>
      <c r="S59" s="904"/>
      <c r="T59" s="904"/>
    </row>
    <row r="60" spans="1:20" ht="15.75">
      <c r="A60" s="7">
        <v>79</v>
      </c>
      <c r="B60" s="198" t="s">
        <v>938</v>
      </c>
      <c r="C60" s="189">
        <v>53</v>
      </c>
      <c r="D60" s="1165" t="s">
        <v>265</v>
      </c>
      <c r="E60" s="1165">
        <v>9.6</v>
      </c>
      <c r="F60" s="1165">
        <v>3.7</v>
      </c>
      <c r="G60" s="1166">
        <v>5.2</v>
      </c>
      <c r="H60" s="873">
        <v>0.8</v>
      </c>
      <c r="I60" s="873">
        <v>0.7</v>
      </c>
      <c r="J60" s="1576">
        <v>0.56000000000000005</v>
      </c>
      <c r="K60" s="1603">
        <v>0.21</v>
      </c>
      <c r="L60" s="1188"/>
      <c r="M60" s="1188"/>
      <c r="N60" s="1188"/>
      <c r="O60" s="904"/>
      <c r="P60" s="904"/>
      <c r="Q60" s="904"/>
      <c r="R60" s="904"/>
      <c r="S60" s="904"/>
      <c r="T60" s="904"/>
    </row>
    <row r="61" spans="1:20" ht="15.75">
      <c r="A61" s="7">
        <v>90</v>
      </c>
      <c r="B61" s="198" t="s">
        <v>939</v>
      </c>
      <c r="C61" s="189">
        <v>54</v>
      </c>
      <c r="D61" s="1165" t="s">
        <v>265</v>
      </c>
      <c r="E61" s="1165">
        <v>11.8</v>
      </c>
      <c r="F61" s="1165">
        <v>4.8</v>
      </c>
      <c r="G61" s="1166">
        <v>6.6</v>
      </c>
      <c r="H61" s="873">
        <v>0.8</v>
      </c>
      <c r="I61" s="873">
        <v>0.7</v>
      </c>
      <c r="J61" s="1576">
        <v>0.56000000000000005</v>
      </c>
      <c r="K61" s="1603">
        <v>0.21</v>
      </c>
      <c r="L61" s="935"/>
      <c r="M61" s="935"/>
      <c r="N61" s="904"/>
      <c r="O61" s="904"/>
      <c r="P61" s="904"/>
      <c r="Q61" s="904"/>
      <c r="R61" s="904"/>
      <c r="S61" s="904"/>
      <c r="T61" s="904"/>
    </row>
    <row r="62" spans="1:20" ht="15.75">
      <c r="A62" s="7">
        <v>91</v>
      </c>
      <c r="B62" s="198" t="s">
        <v>940</v>
      </c>
      <c r="C62" s="189">
        <v>55</v>
      </c>
      <c r="D62" s="1165" t="s">
        <v>265</v>
      </c>
      <c r="E62" s="1165">
        <v>11.3</v>
      </c>
      <c r="F62" s="1165">
        <v>4.4000000000000004</v>
      </c>
      <c r="G62" s="1166">
        <v>6.4</v>
      </c>
      <c r="H62" s="873">
        <v>0.8</v>
      </c>
      <c r="I62" s="873">
        <v>0.7</v>
      </c>
      <c r="J62" s="1576">
        <v>0.56000000000000005</v>
      </c>
      <c r="K62" s="1603">
        <v>0.21</v>
      </c>
      <c r="L62" s="935"/>
      <c r="M62" s="935"/>
      <c r="N62" s="904"/>
      <c r="O62" s="904"/>
      <c r="P62" s="904"/>
      <c r="Q62" s="904"/>
      <c r="R62" s="904"/>
      <c r="S62" s="904"/>
      <c r="T62" s="904"/>
    </row>
    <row r="63" spans="1:20" ht="15.75">
      <c r="A63" s="7">
        <v>92</v>
      </c>
      <c r="B63" s="198" t="s">
        <v>272</v>
      </c>
      <c r="C63" s="189">
        <v>56</v>
      </c>
      <c r="D63" s="1165" t="s">
        <v>265</v>
      </c>
      <c r="E63" s="1165">
        <v>22.1</v>
      </c>
      <c r="F63" s="1165">
        <v>9.6</v>
      </c>
      <c r="G63" s="1166">
        <v>8.8000000000000007</v>
      </c>
      <c r="H63" s="873">
        <v>0.8</v>
      </c>
      <c r="I63" s="873">
        <v>0.7</v>
      </c>
      <c r="J63" s="1576">
        <v>0.56000000000000005</v>
      </c>
      <c r="K63" s="1603">
        <v>0.21</v>
      </c>
      <c r="L63" s="935"/>
      <c r="M63" s="935"/>
      <c r="N63" s="904"/>
      <c r="O63" s="904"/>
      <c r="P63" s="904"/>
      <c r="Q63" s="904"/>
      <c r="R63" s="904"/>
      <c r="S63" s="904"/>
      <c r="T63" s="904"/>
    </row>
    <row r="64" spans="1:20" ht="15.75">
      <c r="A64" s="7">
        <v>116</v>
      </c>
      <c r="B64" s="198" t="s">
        <v>941</v>
      </c>
      <c r="C64" s="189">
        <v>57</v>
      </c>
      <c r="D64" s="1165" t="s">
        <v>265</v>
      </c>
      <c r="E64" s="1165">
        <v>0.26900000000000002</v>
      </c>
      <c r="F64" s="1165">
        <v>0.17599999999999999</v>
      </c>
      <c r="G64" s="1166">
        <v>0.125</v>
      </c>
      <c r="H64" s="873">
        <v>0</v>
      </c>
      <c r="I64" s="873">
        <v>0.6</v>
      </c>
      <c r="J64" s="1166">
        <v>0.36</v>
      </c>
      <c r="K64" s="1603">
        <v>0.18</v>
      </c>
      <c r="L64" s="935"/>
      <c r="M64" s="935"/>
      <c r="N64" s="904"/>
      <c r="O64" s="904"/>
      <c r="P64" s="904"/>
      <c r="Q64" s="904"/>
      <c r="R64" s="904"/>
      <c r="S64" s="904"/>
      <c r="T64" s="904"/>
    </row>
    <row r="65" spans="1:20" ht="15.75">
      <c r="A65" s="7">
        <v>117</v>
      </c>
      <c r="B65" s="198" t="s">
        <v>273</v>
      </c>
      <c r="C65" s="189">
        <v>58</v>
      </c>
      <c r="D65" s="1165" t="s">
        <v>265</v>
      </c>
      <c r="E65" s="1165">
        <v>0.252</v>
      </c>
      <c r="F65" s="1165">
        <v>0.151</v>
      </c>
      <c r="G65" s="1166">
        <v>0.125</v>
      </c>
      <c r="H65" s="873">
        <v>0</v>
      </c>
      <c r="I65" s="873">
        <v>0.6</v>
      </c>
      <c r="J65" s="1576">
        <v>0.36</v>
      </c>
      <c r="K65" s="1603">
        <v>0.18</v>
      </c>
      <c r="L65" s="935"/>
      <c r="M65" s="935"/>
      <c r="N65" s="904"/>
      <c r="O65" s="904"/>
      <c r="P65" s="904"/>
      <c r="Q65" s="904"/>
      <c r="R65" s="904"/>
      <c r="S65" s="904"/>
      <c r="T65" s="904"/>
    </row>
    <row r="66" spans="1:20" ht="18.75" customHeight="1">
      <c r="A66" s="7">
        <v>118</v>
      </c>
      <c r="B66" s="198" t="s">
        <v>942</v>
      </c>
      <c r="C66" s="189">
        <v>59</v>
      </c>
      <c r="D66" s="1165" t="s">
        <v>265</v>
      </c>
      <c r="E66" s="1165">
        <v>0.76400000000000001</v>
      </c>
      <c r="F66" s="1165">
        <v>0.39600000000000002</v>
      </c>
      <c r="G66" s="1166">
        <v>0.34499999999999997</v>
      </c>
      <c r="H66" s="873">
        <v>0</v>
      </c>
      <c r="I66" s="873">
        <v>0.6</v>
      </c>
      <c r="J66" s="1576">
        <v>0.36</v>
      </c>
      <c r="K66" s="1603">
        <v>0.18</v>
      </c>
      <c r="L66" s="935"/>
      <c r="M66" s="935"/>
      <c r="N66" s="904"/>
      <c r="O66" s="904"/>
      <c r="P66" s="904"/>
      <c r="Q66" s="904"/>
      <c r="R66" s="904"/>
      <c r="S66" s="904"/>
      <c r="T66" s="904"/>
    </row>
    <row r="67" spans="1:20" ht="15.75">
      <c r="A67" s="7">
        <v>119</v>
      </c>
      <c r="B67" s="198" t="s">
        <v>943</v>
      </c>
      <c r="C67" s="189">
        <v>60</v>
      </c>
      <c r="D67" s="1165" t="s">
        <v>265</v>
      </c>
      <c r="E67" s="1165">
        <v>0.73099999999999998</v>
      </c>
      <c r="F67" s="1165">
        <v>0.34599999999999997</v>
      </c>
      <c r="G67" s="1166">
        <v>0.34499999999999997</v>
      </c>
      <c r="H67" s="873">
        <v>0</v>
      </c>
      <c r="I67" s="873">
        <v>0.6</v>
      </c>
      <c r="J67" s="1576">
        <v>0.36</v>
      </c>
      <c r="K67" s="1603">
        <v>0.18</v>
      </c>
      <c r="L67" s="935"/>
      <c r="M67" s="935"/>
      <c r="N67" s="904"/>
      <c r="O67" s="904"/>
      <c r="P67" s="904"/>
      <c r="Q67" s="904"/>
      <c r="R67" s="904"/>
      <c r="S67" s="904"/>
      <c r="T67" s="904"/>
    </row>
    <row r="68" spans="1:20" ht="15.75">
      <c r="A68" s="7">
        <v>121</v>
      </c>
      <c r="B68" s="198" t="s">
        <v>944</v>
      </c>
      <c r="C68" s="189">
        <v>61</v>
      </c>
      <c r="D68" s="1165" t="s">
        <v>265</v>
      </c>
      <c r="E68" s="1165">
        <v>0.41299999999999998</v>
      </c>
      <c r="F68" s="1165">
        <v>0.20799999999999999</v>
      </c>
      <c r="G68" s="1166">
        <v>0.22800000000000001</v>
      </c>
      <c r="H68" s="873">
        <v>0</v>
      </c>
      <c r="I68" s="873">
        <v>0.6</v>
      </c>
      <c r="J68" s="1576">
        <v>0.36</v>
      </c>
      <c r="K68" s="1603">
        <v>0.18</v>
      </c>
      <c r="L68" s="935"/>
      <c r="M68" s="935"/>
      <c r="N68" s="904"/>
      <c r="O68" s="904"/>
      <c r="P68" s="904"/>
      <c r="Q68" s="904"/>
      <c r="R68" s="904"/>
      <c r="S68" s="904"/>
      <c r="T68" s="904"/>
    </row>
    <row r="69" spans="1:20" ht="18" customHeight="1">
      <c r="A69" s="7">
        <v>122</v>
      </c>
      <c r="B69" s="198" t="s">
        <v>274</v>
      </c>
      <c r="C69" s="189">
        <v>62</v>
      </c>
      <c r="D69" s="1165" t="s">
        <v>265</v>
      </c>
      <c r="E69" s="1165">
        <v>0.38500000000000001</v>
      </c>
      <c r="F69" s="1165">
        <v>0.17599999999999999</v>
      </c>
      <c r="G69" s="1166">
        <v>0.22800000000000001</v>
      </c>
      <c r="H69" s="873">
        <v>0</v>
      </c>
      <c r="I69" s="873">
        <v>0.6</v>
      </c>
      <c r="J69" s="1576">
        <v>0.36</v>
      </c>
      <c r="K69" s="1603">
        <v>0.18</v>
      </c>
      <c r="L69" s="935"/>
      <c r="M69" s="935"/>
      <c r="N69" s="904"/>
      <c r="O69" s="904"/>
      <c r="P69" s="904"/>
      <c r="Q69" s="904"/>
      <c r="R69" s="904"/>
      <c r="S69" s="904"/>
      <c r="T69" s="904"/>
    </row>
    <row r="70" spans="1:20" ht="15.75">
      <c r="A70" s="7">
        <v>123</v>
      </c>
      <c r="B70" s="198" t="s">
        <v>945</v>
      </c>
      <c r="C70" s="189">
        <v>63</v>
      </c>
      <c r="D70" s="1165" t="s">
        <v>265</v>
      </c>
      <c r="E70" s="1165">
        <v>0.38800000000000001</v>
      </c>
      <c r="F70" s="1165">
        <v>0.19</v>
      </c>
      <c r="G70" s="1166">
        <v>0.219</v>
      </c>
      <c r="H70" s="873">
        <v>0</v>
      </c>
      <c r="I70" s="873">
        <v>0.6</v>
      </c>
      <c r="J70" s="1576">
        <v>0.36</v>
      </c>
      <c r="K70" s="1603">
        <v>0.18</v>
      </c>
      <c r="L70" s="935"/>
      <c r="M70" s="935"/>
      <c r="N70" s="904"/>
      <c r="O70" s="904"/>
      <c r="P70" s="904"/>
      <c r="Q70" s="904"/>
      <c r="R70" s="904"/>
      <c r="S70" s="904"/>
      <c r="T70" s="904"/>
    </row>
    <row r="71" spans="1:20" ht="16.5" customHeight="1">
      <c r="A71" s="7">
        <v>124</v>
      </c>
      <c r="B71" s="198" t="s">
        <v>946</v>
      </c>
      <c r="C71" s="189">
        <v>64</v>
      </c>
      <c r="D71" s="1165" t="s">
        <v>265</v>
      </c>
      <c r="E71" s="1165">
        <v>0.35699999999999998</v>
      </c>
      <c r="F71" s="1165">
        <v>0.17399999999999999</v>
      </c>
      <c r="G71" s="1166">
        <v>0.219</v>
      </c>
      <c r="H71" s="873">
        <v>0</v>
      </c>
      <c r="I71" s="873">
        <v>0.6</v>
      </c>
      <c r="J71" s="1576">
        <v>0.36</v>
      </c>
      <c r="K71" s="1603">
        <v>0.18</v>
      </c>
      <c r="L71" s="935"/>
      <c r="M71" s="935"/>
      <c r="N71" s="904"/>
      <c r="O71" s="904"/>
      <c r="P71" s="904"/>
      <c r="Q71" s="904"/>
      <c r="R71" s="904"/>
      <c r="S71" s="904"/>
      <c r="T71" s="904"/>
    </row>
    <row r="72" spans="1:20" ht="16.5" customHeight="1">
      <c r="A72" s="7">
        <v>125</v>
      </c>
      <c r="B72" s="198" t="s">
        <v>947</v>
      </c>
      <c r="C72" s="189">
        <v>65</v>
      </c>
      <c r="D72" s="1165" t="s">
        <v>265</v>
      </c>
      <c r="E72" s="1165">
        <v>0.32800000000000001</v>
      </c>
      <c r="F72" s="1165">
        <v>0.17399999999999999</v>
      </c>
      <c r="G72" s="1166">
        <v>0.193</v>
      </c>
      <c r="H72" s="873">
        <v>0</v>
      </c>
      <c r="I72" s="873">
        <v>0.6</v>
      </c>
      <c r="J72" s="1576">
        <v>0.36</v>
      </c>
      <c r="K72" s="1603">
        <v>0.18</v>
      </c>
      <c r="L72" s="935"/>
      <c r="M72" s="935"/>
      <c r="N72" s="904"/>
      <c r="O72" s="904"/>
      <c r="P72" s="904"/>
      <c r="Q72" s="904"/>
      <c r="R72" s="904"/>
      <c r="S72" s="904"/>
      <c r="T72" s="904"/>
    </row>
    <row r="73" spans="1:20" ht="18" customHeight="1">
      <c r="A73" s="7">
        <v>126</v>
      </c>
      <c r="B73" s="198" t="s">
        <v>948</v>
      </c>
      <c r="C73" s="189">
        <v>66</v>
      </c>
      <c r="D73" s="1165" t="s">
        <v>265</v>
      </c>
      <c r="E73" s="1165">
        <v>0.311</v>
      </c>
      <c r="F73" s="1165">
        <v>0.153</v>
      </c>
      <c r="G73" s="1166">
        <v>0.193</v>
      </c>
      <c r="H73" s="873">
        <v>0</v>
      </c>
      <c r="I73" s="873">
        <v>0.6</v>
      </c>
      <c r="J73" s="1576">
        <v>0.36</v>
      </c>
      <c r="K73" s="1603">
        <v>0.18</v>
      </c>
      <c r="L73" s="935"/>
      <c r="M73" s="935"/>
      <c r="N73" s="904"/>
      <c r="O73" s="904"/>
      <c r="P73" s="904"/>
      <c r="Q73" s="904"/>
      <c r="R73" s="904"/>
      <c r="S73" s="904"/>
      <c r="T73" s="904"/>
    </row>
    <row r="74" spans="1:20" ht="15.75">
      <c r="A74" s="7">
        <v>127</v>
      </c>
      <c r="B74" s="198" t="s">
        <v>949</v>
      </c>
      <c r="C74" s="189">
        <v>67</v>
      </c>
      <c r="D74" s="1165" t="s">
        <v>265</v>
      </c>
      <c r="E74" s="1165">
        <v>0.26700000000000002</v>
      </c>
      <c r="F74" s="1165">
        <v>0.14199999999999999</v>
      </c>
      <c r="G74" s="1166">
        <v>0.161</v>
      </c>
      <c r="H74" s="873">
        <v>0</v>
      </c>
      <c r="I74" s="873">
        <v>0.6</v>
      </c>
      <c r="J74" s="1576">
        <v>0.36</v>
      </c>
      <c r="K74" s="1603">
        <v>0.18</v>
      </c>
      <c r="L74" s="935"/>
      <c r="M74" s="935"/>
      <c r="N74" s="904"/>
      <c r="O74" s="904"/>
      <c r="P74" s="904"/>
      <c r="Q74" s="904"/>
      <c r="R74" s="904"/>
      <c r="S74" s="904"/>
      <c r="T74" s="904"/>
    </row>
    <row r="75" spans="1:20" ht="15.75">
      <c r="A75" s="7">
        <v>128</v>
      </c>
      <c r="B75" s="198" t="s">
        <v>275</v>
      </c>
      <c r="C75" s="189">
        <v>68</v>
      </c>
      <c r="D75" s="1165" t="s">
        <v>265</v>
      </c>
      <c r="E75" s="1165">
        <v>0.249</v>
      </c>
      <c r="F75" s="1165">
        <v>0.121</v>
      </c>
      <c r="G75" s="1166">
        <v>0.161</v>
      </c>
      <c r="H75" s="873">
        <v>0</v>
      </c>
      <c r="I75" s="873">
        <v>0.6</v>
      </c>
      <c r="J75" s="1576">
        <v>0.36</v>
      </c>
      <c r="K75" s="1603">
        <v>0.18</v>
      </c>
      <c r="L75" s="935"/>
      <c r="M75" s="935"/>
      <c r="N75" s="904"/>
      <c r="O75" s="904"/>
      <c r="P75" s="904"/>
      <c r="Q75" s="904"/>
      <c r="R75" s="904"/>
      <c r="S75" s="904"/>
      <c r="T75" s="904"/>
    </row>
    <row r="76" spans="1:20" ht="14.25" customHeight="1">
      <c r="B76" s="198" t="s">
        <v>950</v>
      </c>
      <c r="C76" s="189">
        <v>69</v>
      </c>
      <c r="D76" s="1165" t="s">
        <v>266</v>
      </c>
      <c r="E76" s="1165">
        <v>0.97499999999999998</v>
      </c>
      <c r="F76" s="1165">
        <v>0.55000000000000004</v>
      </c>
      <c r="G76" s="1166">
        <v>0.44900000000000001</v>
      </c>
      <c r="H76" s="873">
        <v>0</v>
      </c>
      <c r="I76" s="873">
        <v>0.6</v>
      </c>
      <c r="J76" s="1576">
        <v>0.36</v>
      </c>
      <c r="K76" s="1603">
        <v>0.18</v>
      </c>
      <c r="L76" s="935"/>
      <c r="M76" s="935"/>
      <c r="N76" s="904"/>
      <c r="O76" s="904"/>
      <c r="P76" s="904"/>
      <c r="Q76" s="904"/>
      <c r="R76" s="904"/>
      <c r="S76" s="904"/>
      <c r="T76" s="904"/>
    </row>
    <row r="77" spans="1:20" ht="15.75">
      <c r="B77" s="198" t="s">
        <v>951</v>
      </c>
      <c r="C77" s="189">
        <v>70</v>
      </c>
      <c r="D77" s="1165" t="s">
        <v>266</v>
      </c>
      <c r="E77" s="1165">
        <v>0.90500000000000003</v>
      </c>
      <c r="F77" s="1165">
        <v>0.42799999999999999</v>
      </c>
      <c r="G77" s="1166">
        <v>0.42399999999999999</v>
      </c>
      <c r="H77" s="873">
        <v>0</v>
      </c>
      <c r="I77" s="873">
        <v>0.6</v>
      </c>
      <c r="J77" s="1576">
        <v>0.36</v>
      </c>
      <c r="K77" s="1603">
        <v>0.18</v>
      </c>
      <c r="L77" s="935"/>
      <c r="M77" s="935"/>
      <c r="N77" s="904"/>
      <c r="O77" s="904"/>
      <c r="P77" s="904"/>
      <c r="Q77" s="904"/>
      <c r="R77" s="904"/>
      <c r="S77" s="904"/>
      <c r="T77" s="904"/>
    </row>
    <row r="78" spans="1:20" ht="15.75">
      <c r="B78" s="198" t="s">
        <v>952</v>
      </c>
      <c r="C78" s="189">
        <v>71</v>
      </c>
      <c r="D78" s="1165" t="s">
        <v>266</v>
      </c>
      <c r="E78" s="1165">
        <v>0.52600000000000002</v>
      </c>
      <c r="F78" s="1165">
        <v>0.28599999999999998</v>
      </c>
      <c r="G78" s="1166">
        <v>0.23400000000000001</v>
      </c>
      <c r="H78" s="873">
        <v>0</v>
      </c>
      <c r="I78" s="873">
        <v>0.6</v>
      </c>
      <c r="J78" s="1576">
        <v>0.36</v>
      </c>
      <c r="K78" s="1603">
        <v>0.18</v>
      </c>
      <c r="L78" s="935"/>
      <c r="M78" s="935"/>
      <c r="N78" s="904"/>
      <c r="O78" s="904"/>
      <c r="P78" s="904"/>
      <c r="Q78" s="904"/>
      <c r="R78" s="904"/>
      <c r="S78" s="904"/>
      <c r="T78" s="904"/>
    </row>
    <row r="79" spans="1:20" ht="15.75">
      <c r="B79" s="198" t="s">
        <v>953</v>
      </c>
      <c r="C79" s="189">
        <v>72</v>
      </c>
      <c r="D79" s="1165" t="s">
        <v>266</v>
      </c>
      <c r="E79" s="1165">
        <v>0.497</v>
      </c>
      <c r="F79" s="1165">
        <v>0.23100000000000001</v>
      </c>
      <c r="G79" s="1166">
        <v>0.22500000000000001</v>
      </c>
      <c r="H79" s="873">
        <v>0</v>
      </c>
      <c r="I79" s="873">
        <v>0.6</v>
      </c>
      <c r="J79" s="1576">
        <v>0.36</v>
      </c>
      <c r="K79" s="1603">
        <v>0.18</v>
      </c>
      <c r="L79" s="935"/>
      <c r="M79" s="935"/>
      <c r="N79" s="904"/>
      <c r="O79" s="904"/>
      <c r="P79" s="904"/>
      <c r="Q79" s="904"/>
      <c r="R79" s="904"/>
      <c r="S79" s="904"/>
      <c r="T79" s="904"/>
    </row>
    <row r="80" spans="1:20" ht="15.75">
      <c r="B80" s="198" t="s">
        <v>954</v>
      </c>
      <c r="C80" s="189">
        <v>73</v>
      </c>
      <c r="D80" s="1165" t="s">
        <v>266</v>
      </c>
      <c r="E80" s="1165">
        <v>0.91400000000000003</v>
      </c>
      <c r="F80" s="1165">
        <v>0.50700000000000001</v>
      </c>
      <c r="G80" s="1166">
        <v>0.41599999999999998</v>
      </c>
      <c r="H80" s="873">
        <v>0</v>
      </c>
      <c r="I80" s="873">
        <v>0.6</v>
      </c>
      <c r="J80" s="1576">
        <v>0.36</v>
      </c>
      <c r="K80" s="1603">
        <v>0.18</v>
      </c>
      <c r="L80" s="935"/>
      <c r="M80" s="935"/>
      <c r="N80" s="904"/>
      <c r="O80" s="904"/>
      <c r="P80" s="904"/>
      <c r="Q80" s="904"/>
      <c r="R80" s="904"/>
      <c r="S80" s="904"/>
      <c r="T80" s="904"/>
    </row>
    <row r="81" spans="1:20" ht="15.75">
      <c r="B81" s="858" t="s">
        <v>955</v>
      </c>
      <c r="C81" s="189">
        <v>74</v>
      </c>
      <c r="D81" s="1165" t="s">
        <v>266</v>
      </c>
      <c r="E81" s="1165">
        <v>0.84499999999999997</v>
      </c>
      <c r="F81" s="1165">
        <v>0.38700000000000001</v>
      </c>
      <c r="G81" s="1166">
        <v>0.39</v>
      </c>
      <c r="H81" s="873">
        <v>0</v>
      </c>
      <c r="I81" s="873">
        <v>0.6</v>
      </c>
      <c r="J81" s="1576">
        <v>0.36</v>
      </c>
      <c r="K81" s="1603">
        <v>0.18</v>
      </c>
      <c r="L81" s="935"/>
      <c r="M81" s="935"/>
      <c r="N81" s="904"/>
      <c r="O81" s="904"/>
      <c r="P81" s="904"/>
      <c r="Q81" s="904"/>
      <c r="R81" s="904"/>
      <c r="S81" s="904"/>
      <c r="T81" s="904"/>
    </row>
    <row r="82" spans="1:20" ht="15.75">
      <c r="B82" s="198" t="s">
        <v>956</v>
      </c>
      <c r="C82" s="189">
        <v>75</v>
      </c>
      <c r="D82" s="1165" t="s">
        <v>266</v>
      </c>
      <c r="E82" s="1165">
        <v>0.47299999999999998</v>
      </c>
      <c r="F82" s="1165">
        <v>0.25</v>
      </c>
      <c r="G82" s="1166">
        <v>0.20499999999999999</v>
      </c>
      <c r="H82" s="873">
        <v>0</v>
      </c>
      <c r="I82" s="873">
        <v>0.6</v>
      </c>
      <c r="J82" s="1576">
        <v>0.36</v>
      </c>
      <c r="K82" s="1603">
        <v>0.18</v>
      </c>
      <c r="L82" s="935"/>
      <c r="M82" s="935"/>
      <c r="N82" s="904"/>
      <c r="O82" s="904"/>
      <c r="P82" s="904"/>
      <c r="Q82" s="904"/>
      <c r="R82" s="904"/>
      <c r="S82" s="904"/>
      <c r="T82" s="904"/>
    </row>
    <row r="83" spans="1:20" ht="15.75">
      <c r="B83" s="198" t="s">
        <v>957</v>
      </c>
      <c r="C83" s="189">
        <v>76</v>
      </c>
      <c r="D83" s="1165" t="s">
        <v>266</v>
      </c>
      <c r="E83" s="1165">
        <v>0.44400000000000001</v>
      </c>
      <c r="F83" s="1165">
        <v>0.19500000000000001</v>
      </c>
      <c r="G83" s="1166">
        <v>0.19600000000000001</v>
      </c>
      <c r="H83" s="873">
        <v>0</v>
      </c>
      <c r="I83" s="873">
        <v>0.6</v>
      </c>
      <c r="J83" s="1576">
        <v>0.36</v>
      </c>
      <c r="K83" s="1603">
        <v>0.18</v>
      </c>
      <c r="L83" s="935"/>
      <c r="M83" s="935"/>
      <c r="N83" s="904"/>
      <c r="O83" s="904"/>
      <c r="P83" s="904"/>
      <c r="Q83" s="904"/>
      <c r="R83" s="904"/>
      <c r="S83" s="904"/>
      <c r="T83" s="904"/>
    </row>
    <row r="84" spans="1:20" ht="15.75">
      <c r="B84" s="198" t="s">
        <v>958</v>
      </c>
      <c r="C84" s="189">
        <v>77</v>
      </c>
      <c r="D84" s="1165" t="s">
        <v>266</v>
      </c>
      <c r="E84" s="1165">
        <v>0.751</v>
      </c>
      <c r="F84" s="1165">
        <v>0.41899999999999998</v>
      </c>
      <c r="G84" s="1166">
        <v>0.34200000000000003</v>
      </c>
      <c r="H84" s="873">
        <v>0</v>
      </c>
      <c r="I84" s="873">
        <v>0.6</v>
      </c>
      <c r="J84" s="1576">
        <v>0.36</v>
      </c>
      <c r="K84" s="1603">
        <v>0.18</v>
      </c>
      <c r="L84" s="935"/>
      <c r="M84" s="935"/>
      <c r="N84" s="904"/>
      <c r="O84" s="904"/>
      <c r="P84" s="904"/>
      <c r="Q84" s="904"/>
      <c r="R84" s="904"/>
      <c r="S84" s="904"/>
      <c r="T84" s="904"/>
    </row>
    <row r="85" spans="1:20" ht="15.75">
      <c r="B85" s="198" t="s">
        <v>276</v>
      </c>
      <c r="C85" s="189">
        <v>78</v>
      </c>
      <c r="D85" s="1165" t="s">
        <v>266</v>
      </c>
      <c r="E85" s="1165">
        <v>0.70099999999999996</v>
      </c>
      <c r="F85" s="1165">
        <v>0.33</v>
      </c>
      <c r="G85" s="1166">
        <v>0.32500000000000001</v>
      </c>
      <c r="H85" s="873">
        <v>0</v>
      </c>
      <c r="I85" s="873">
        <v>0.6</v>
      </c>
      <c r="J85" s="1576">
        <v>0.36</v>
      </c>
      <c r="K85" s="1603">
        <v>0.18</v>
      </c>
      <c r="L85" s="935"/>
      <c r="M85" s="935"/>
      <c r="N85" s="904"/>
      <c r="O85" s="904"/>
      <c r="P85" s="904"/>
      <c r="Q85" s="904"/>
      <c r="R85" s="904"/>
      <c r="S85" s="904"/>
      <c r="T85" s="904"/>
    </row>
    <row r="86" spans="1:20" ht="15.75">
      <c r="B86" s="198" t="s">
        <v>959</v>
      </c>
      <c r="C86" s="189">
        <v>79</v>
      </c>
      <c r="D86" s="1165" t="s">
        <v>266</v>
      </c>
      <c r="E86" s="1165">
        <v>5.7000000000000002E-2</v>
      </c>
      <c r="F86" s="1165">
        <v>0.04</v>
      </c>
      <c r="G86" s="1166">
        <v>3.1E-2</v>
      </c>
      <c r="H86" s="873">
        <v>0</v>
      </c>
      <c r="I86" s="873">
        <v>0.6</v>
      </c>
      <c r="J86" s="1576">
        <v>0.36</v>
      </c>
      <c r="K86" s="1603">
        <v>0.18</v>
      </c>
      <c r="L86" s="935"/>
      <c r="M86" s="935"/>
      <c r="N86" s="904"/>
      <c r="O86" s="904"/>
      <c r="P86" s="904"/>
      <c r="Q86" s="904"/>
      <c r="R86" s="904"/>
      <c r="S86" s="904"/>
      <c r="T86" s="904"/>
    </row>
    <row r="87" spans="1:20" ht="15.75">
      <c r="A87" s="7">
        <v>139</v>
      </c>
      <c r="B87" s="198" t="s">
        <v>277</v>
      </c>
      <c r="C87" s="189">
        <v>80</v>
      </c>
      <c r="D87" s="1165" t="s">
        <v>265</v>
      </c>
      <c r="E87" s="1165">
        <v>0.60499999999999998</v>
      </c>
      <c r="F87" s="1165">
        <v>0.34399999999999997</v>
      </c>
      <c r="G87" s="1166">
        <v>0.313</v>
      </c>
      <c r="H87" s="873">
        <v>0</v>
      </c>
      <c r="I87" s="873">
        <v>0.6</v>
      </c>
      <c r="J87" s="1576">
        <v>0.36</v>
      </c>
      <c r="K87" s="1603">
        <v>0.18</v>
      </c>
      <c r="L87" s="935"/>
      <c r="M87" s="935"/>
      <c r="N87" s="904"/>
      <c r="O87" s="904"/>
      <c r="P87" s="904"/>
      <c r="Q87" s="904"/>
      <c r="R87" s="904"/>
      <c r="S87" s="904"/>
      <c r="T87" s="904"/>
    </row>
    <row r="88" spans="1:20" ht="15.75">
      <c r="A88" s="7">
        <v>140</v>
      </c>
      <c r="B88" s="198" t="s">
        <v>278</v>
      </c>
      <c r="C88" s="189">
        <v>81</v>
      </c>
      <c r="D88" s="1165" t="s">
        <v>265</v>
      </c>
      <c r="E88" s="1165">
        <v>0.57599999999999996</v>
      </c>
      <c r="F88" s="1165">
        <v>0.36699999999999999</v>
      </c>
      <c r="G88" s="1166">
        <v>0.28399999999999997</v>
      </c>
      <c r="H88" s="873">
        <v>0</v>
      </c>
      <c r="I88" s="873">
        <v>0.6</v>
      </c>
      <c r="J88" s="1576">
        <v>0.36</v>
      </c>
      <c r="K88" s="1603">
        <v>0.18</v>
      </c>
      <c r="L88" s="935"/>
      <c r="M88" s="935"/>
      <c r="N88" s="904"/>
      <c r="O88" s="904"/>
      <c r="P88" s="904"/>
      <c r="Q88" s="904"/>
      <c r="R88" s="904"/>
      <c r="S88" s="904"/>
      <c r="T88" s="904"/>
    </row>
    <row r="89" spans="1:20" ht="15.75">
      <c r="B89" s="198" t="s">
        <v>279</v>
      </c>
      <c r="C89" s="189">
        <v>82</v>
      </c>
      <c r="D89" s="1165" t="s">
        <v>266</v>
      </c>
      <c r="E89" s="1165">
        <v>0.23100000000000001</v>
      </c>
      <c r="F89" s="1165">
        <v>0.13300000000000001</v>
      </c>
      <c r="G89" s="857">
        <v>0.121</v>
      </c>
      <c r="H89" s="873">
        <v>0</v>
      </c>
      <c r="I89" s="873">
        <v>0.6</v>
      </c>
      <c r="J89" s="1576">
        <v>0.36</v>
      </c>
      <c r="K89" s="1603">
        <v>0.18</v>
      </c>
      <c r="L89" s="935"/>
      <c r="M89" s="935"/>
      <c r="N89" s="904"/>
      <c r="O89" s="904"/>
      <c r="P89" s="904"/>
      <c r="Q89" s="904"/>
      <c r="R89" s="904"/>
      <c r="S89" s="904"/>
      <c r="T89" s="904"/>
    </row>
    <row r="90" spans="1:20" ht="15.75">
      <c r="B90" s="198" t="s">
        <v>280</v>
      </c>
      <c r="C90" s="189">
        <v>83</v>
      </c>
      <c r="D90" s="1165" t="s">
        <v>266</v>
      </c>
      <c r="E90" s="1165">
        <v>0.70199999999999996</v>
      </c>
      <c r="F90" s="1165">
        <v>0.38700000000000001</v>
      </c>
      <c r="G90" s="1166">
        <v>0.308</v>
      </c>
      <c r="H90" s="873">
        <v>0</v>
      </c>
      <c r="I90" s="873">
        <v>0.6</v>
      </c>
      <c r="J90" s="1576">
        <v>0.36</v>
      </c>
      <c r="K90" s="1603">
        <v>0.18</v>
      </c>
      <c r="L90" s="935"/>
      <c r="M90" s="935"/>
      <c r="N90" s="904"/>
      <c r="O90" s="904"/>
      <c r="P90" s="904"/>
      <c r="Q90" s="904"/>
      <c r="R90" s="904"/>
      <c r="S90" s="904"/>
      <c r="T90" s="904"/>
    </row>
    <row r="91" spans="1:20" ht="15.75">
      <c r="B91" s="198" t="s">
        <v>281</v>
      </c>
      <c r="C91" s="189">
        <v>84</v>
      </c>
      <c r="D91" s="1165" t="s">
        <v>266</v>
      </c>
      <c r="E91" s="1165">
        <v>1.0740000000000001</v>
      </c>
      <c r="F91" s="1165">
        <v>0.33400000000000002</v>
      </c>
      <c r="G91" s="1166">
        <v>1.03</v>
      </c>
      <c r="H91" s="873">
        <v>0</v>
      </c>
      <c r="I91" s="873">
        <v>0.6</v>
      </c>
      <c r="J91" s="1576">
        <v>0.36</v>
      </c>
      <c r="K91" s="1603">
        <v>0.18</v>
      </c>
      <c r="L91" s="935"/>
      <c r="M91" s="935"/>
      <c r="N91" s="904"/>
      <c r="O91" s="904"/>
      <c r="P91" s="904"/>
      <c r="Q91" s="904"/>
      <c r="R91" s="904"/>
      <c r="S91" s="904"/>
      <c r="T91" s="904"/>
    </row>
    <row r="92" spans="1:20" ht="15.75">
      <c r="A92" s="7">
        <v>94</v>
      </c>
      <c r="B92" s="198" t="s">
        <v>960</v>
      </c>
      <c r="C92" s="189">
        <v>85</v>
      </c>
      <c r="D92" s="1165" t="s">
        <v>265</v>
      </c>
      <c r="E92" s="1165">
        <v>51.1</v>
      </c>
      <c r="F92" s="1165">
        <v>23.4</v>
      </c>
      <c r="G92" s="1166">
        <v>57.5</v>
      </c>
      <c r="H92" s="873">
        <v>0</v>
      </c>
      <c r="I92" s="873">
        <v>0.55000000000000004</v>
      </c>
      <c r="J92" s="1166">
        <v>0.13750000000000001</v>
      </c>
      <c r="K92" s="1603">
        <v>0.13750000000000001</v>
      </c>
      <c r="L92" s="935"/>
      <c r="M92" s="935"/>
      <c r="N92" s="904"/>
      <c r="O92" s="904"/>
      <c r="P92" s="904"/>
      <c r="Q92" s="904"/>
      <c r="R92" s="904"/>
      <c r="S92" s="904"/>
      <c r="T92" s="904"/>
    </row>
    <row r="93" spans="1:20" ht="18" customHeight="1">
      <c r="A93" s="7">
        <v>95</v>
      </c>
      <c r="B93" s="198" t="s">
        <v>961</v>
      </c>
      <c r="C93" s="189">
        <v>86</v>
      </c>
      <c r="D93" s="1165" t="s">
        <v>265</v>
      </c>
      <c r="E93" s="1165">
        <v>53.6</v>
      </c>
      <c r="F93" s="1165">
        <v>23.4</v>
      </c>
      <c r="G93" s="1166">
        <v>67</v>
      </c>
      <c r="H93" s="873">
        <v>0</v>
      </c>
      <c r="I93" s="873">
        <v>0.55000000000000004</v>
      </c>
      <c r="J93" s="1576">
        <v>0.13750000000000001</v>
      </c>
      <c r="K93" s="1603">
        <v>0.13750000000000001</v>
      </c>
      <c r="L93" s="935"/>
      <c r="M93" s="935"/>
      <c r="N93" s="904"/>
      <c r="O93" s="904"/>
      <c r="P93" s="904"/>
      <c r="Q93" s="904"/>
      <c r="R93" s="904"/>
      <c r="S93" s="904"/>
      <c r="T93" s="904"/>
    </row>
    <row r="94" spans="1:20" ht="15.75">
      <c r="A94" s="7">
        <v>96</v>
      </c>
      <c r="B94" s="198" t="s">
        <v>663</v>
      </c>
      <c r="C94" s="189">
        <v>87</v>
      </c>
      <c r="D94" s="1165" t="s">
        <v>265</v>
      </c>
      <c r="E94" s="1165">
        <v>34.9</v>
      </c>
      <c r="F94" s="1165">
        <v>16.5</v>
      </c>
      <c r="G94" s="1166">
        <v>47</v>
      </c>
      <c r="H94" s="873">
        <v>0</v>
      </c>
      <c r="I94" s="873">
        <v>0.55000000000000004</v>
      </c>
      <c r="J94" s="1576">
        <v>0.13750000000000001</v>
      </c>
      <c r="K94" s="1603">
        <v>0.13750000000000001</v>
      </c>
      <c r="L94" s="935"/>
      <c r="M94" s="935"/>
      <c r="N94" s="904"/>
      <c r="O94" s="904"/>
      <c r="P94" s="904"/>
      <c r="Q94" s="904"/>
      <c r="R94" s="904"/>
      <c r="S94" s="904"/>
      <c r="T94" s="904"/>
    </row>
    <row r="95" spans="1:20" ht="15.75">
      <c r="A95" s="7">
        <v>97</v>
      </c>
      <c r="B95" s="198" t="s">
        <v>664</v>
      </c>
      <c r="C95" s="189">
        <v>88</v>
      </c>
      <c r="D95" s="1165" t="s">
        <v>265</v>
      </c>
      <c r="E95" s="1165">
        <v>33.4</v>
      </c>
      <c r="F95" s="1165">
        <v>15.3</v>
      </c>
      <c r="G95" s="1166">
        <v>51</v>
      </c>
      <c r="H95" s="873">
        <v>0</v>
      </c>
      <c r="I95" s="873">
        <v>0.55000000000000004</v>
      </c>
      <c r="J95" s="1576">
        <v>0.13750000000000001</v>
      </c>
      <c r="K95" s="1603">
        <v>0.13750000000000001</v>
      </c>
      <c r="L95" s="935"/>
      <c r="M95" s="935"/>
      <c r="N95" s="904"/>
      <c r="O95" s="904"/>
      <c r="P95" s="904"/>
      <c r="Q95" s="904"/>
      <c r="R95" s="904"/>
      <c r="S95" s="904"/>
      <c r="T95" s="904"/>
    </row>
    <row r="96" spans="1:20" ht="15.75" customHeight="1">
      <c r="A96" s="7">
        <v>98</v>
      </c>
      <c r="B96" s="198" t="s">
        <v>665</v>
      </c>
      <c r="C96" s="189">
        <v>89</v>
      </c>
      <c r="D96" s="1165" t="s">
        <v>265</v>
      </c>
      <c r="E96" s="1165">
        <v>63.5</v>
      </c>
      <c r="F96" s="1165">
        <v>28</v>
      </c>
      <c r="G96" s="1166">
        <v>73.7</v>
      </c>
      <c r="H96" s="873">
        <v>0</v>
      </c>
      <c r="I96" s="873">
        <v>0.55000000000000004</v>
      </c>
      <c r="J96" s="1576">
        <v>0.13750000000000001</v>
      </c>
      <c r="K96" s="1603">
        <v>0.13750000000000001</v>
      </c>
      <c r="L96" s="935"/>
      <c r="M96" s="935"/>
      <c r="N96" s="904"/>
      <c r="O96" s="904"/>
      <c r="P96" s="904"/>
      <c r="Q96" s="904"/>
      <c r="R96" s="904"/>
      <c r="S96" s="904"/>
      <c r="T96" s="904"/>
    </row>
    <row r="97" spans="1:20" ht="17.25" customHeight="1">
      <c r="A97" s="7">
        <v>99</v>
      </c>
      <c r="B97" s="198" t="s">
        <v>666</v>
      </c>
      <c r="C97" s="189">
        <v>90</v>
      </c>
      <c r="D97" s="1165" t="s">
        <v>265</v>
      </c>
      <c r="E97" s="1165">
        <v>42.3</v>
      </c>
      <c r="F97" s="1165">
        <v>18.399999999999999</v>
      </c>
      <c r="G97" s="1166">
        <v>56.3</v>
      </c>
      <c r="H97" s="873">
        <v>0</v>
      </c>
      <c r="I97" s="873">
        <v>0.55000000000000004</v>
      </c>
      <c r="J97" s="1576">
        <v>0.13750000000000001</v>
      </c>
      <c r="K97" s="1603">
        <v>0.13750000000000001</v>
      </c>
      <c r="L97" s="935"/>
      <c r="M97" s="935"/>
      <c r="N97" s="904"/>
      <c r="O97" s="904"/>
      <c r="P97" s="904"/>
      <c r="Q97" s="904"/>
      <c r="R97" s="904"/>
      <c r="S97" s="904"/>
      <c r="T97" s="904"/>
    </row>
    <row r="98" spans="1:20" ht="15.75" customHeight="1">
      <c r="A98" s="7">
        <v>100</v>
      </c>
      <c r="B98" s="198" t="s">
        <v>667</v>
      </c>
      <c r="C98" s="189">
        <v>91</v>
      </c>
      <c r="D98" s="1165" t="s">
        <v>265</v>
      </c>
      <c r="E98" s="1165">
        <v>44.5</v>
      </c>
      <c r="F98" s="1165">
        <v>18.899999999999999</v>
      </c>
      <c r="G98" s="1166">
        <v>54.3</v>
      </c>
      <c r="H98" s="873">
        <v>0</v>
      </c>
      <c r="I98" s="873">
        <v>0.55000000000000004</v>
      </c>
      <c r="J98" s="1576">
        <v>0.13750000000000001</v>
      </c>
      <c r="K98" s="1603">
        <v>0.13750000000000001</v>
      </c>
      <c r="L98" s="935"/>
      <c r="M98" s="935"/>
      <c r="N98" s="904"/>
      <c r="O98" s="904"/>
      <c r="P98" s="904"/>
      <c r="Q98" s="904"/>
      <c r="R98" s="904"/>
      <c r="S98" s="904"/>
      <c r="T98" s="904"/>
    </row>
    <row r="99" spans="1:20" ht="15.75">
      <c r="A99" s="7">
        <v>101</v>
      </c>
      <c r="B99" s="198" t="s">
        <v>668</v>
      </c>
      <c r="C99" s="189">
        <v>92</v>
      </c>
      <c r="D99" s="1165" t="s">
        <v>265</v>
      </c>
      <c r="E99" s="1165">
        <v>31.6</v>
      </c>
      <c r="F99" s="1165">
        <v>13.5</v>
      </c>
      <c r="G99" s="1166">
        <v>42</v>
      </c>
      <c r="H99" s="873">
        <v>0</v>
      </c>
      <c r="I99" s="873">
        <v>0.55000000000000004</v>
      </c>
      <c r="J99" s="1576">
        <v>0.13750000000000001</v>
      </c>
      <c r="K99" s="1603">
        <v>0.13750000000000001</v>
      </c>
      <c r="L99" s="935"/>
      <c r="M99" s="935"/>
      <c r="N99" s="904"/>
      <c r="O99" s="904"/>
      <c r="P99" s="904"/>
      <c r="Q99" s="904"/>
      <c r="R99" s="904"/>
      <c r="S99" s="904"/>
      <c r="T99" s="904"/>
    </row>
    <row r="100" spans="1:20" ht="15.75">
      <c r="A100" s="7">
        <v>109</v>
      </c>
      <c r="B100" s="198" t="s">
        <v>962</v>
      </c>
      <c r="C100" s="189">
        <v>93</v>
      </c>
      <c r="D100" s="1165" t="s">
        <v>265</v>
      </c>
      <c r="E100" s="1165">
        <v>2.6</v>
      </c>
      <c r="F100" s="1165">
        <v>1.5</v>
      </c>
      <c r="G100" s="1166">
        <v>2.1</v>
      </c>
      <c r="H100" s="873">
        <v>0</v>
      </c>
      <c r="I100" s="873">
        <v>0.55000000000000004</v>
      </c>
      <c r="J100" s="1166">
        <v>0.16500000000000001</v>
      </c>
      <c r="K100" s="1603">
        <v>0.16500000000000001</v>
      </c>
      <c r="L100" s="935"/>
      <c r="M100" s="935"/>
      <c r="N100" s="904"/>
      <c r="O100" s="904"/>
      <c r="P100" s="904"/>
      <c r="Q100" s="904"/>
      <c r="R100" s="904"/>
      <c r="S100" s="904"/>
      <c r="T100" s="904"/>
    </row>
    <row r="101" spans="1:20" ht="15.75">
      <c r="A101" s="7">
        <v>110</v>
      </c>
      <c r="B101" s="198" t="s">
        <v>963</v>
      </c>
      <c r="C101" s="189">
        <v>94</v>
      </c>
      <c r="D101" s="1165" t="s">
        <v>265</v>
      </c>
      <c r="E101" s="1165">
        <v>9.6999999999999993</v>
      </c>
      <c r="F101" s="1165">
        <v>5.4</v>
      </c>
      <c r="G101" s="1166">
        <v>8.3000000000000007</v>
      </c>
      <c r="H101" s="873">
        <v>0</v>
      </c>
      <c r="I101" s="873">
        <v>0.55000000000000004</v>
      </c>
      <c r="J101" s="1576">
        <v>0.16500000000000001</v>
      </c>
      <c r="K101" s="1603">
        <v>0.16500000000000001</v>
      </c>
      <c r="L101" s="935"/>
      <c r="M101" s="935"/>
      <c r="N101" s="904"/>
      <c r="O101" s="904"/>
      <c r="P101" s="904"/>
      <c r="Q101" s="904"/>
      <c r="R101" s="904"/>
      <c r="S101" s="904"/>
      <c r="T101" s="904"/>
    </row>
    <row r="102" spans="1:20" ht="15.75">
      <c r="A102" s="7">
        <v>111</v>
      </c>
      <c r="B102" s="198" t="s">
        <v>964</v>
      </c>
      <c r="C102" s="189">
        <v>95</v>
      </c>
      <c r="D102" s="1165" t="s">
        <v>265</v>
      </c>
      <c r="E102" s="1165">
        <v>0.7</v>
      </c>
      <c r="F102" s="1165">
        <v>0.4</v>
      </c>
      <c r="G102" s="1166">
        <v>0.9</v>
      </c>
      <c r="H102" s="873">
        <v>0</v>
      </c>
      <c r="I102" s="873">
        <v>0.55000000000000004</v>
      </c>
      <c r="J102" s="1576">
        <v>0.16500000000000001</v>
      </c>
      <c r="K102" s="1603">
        <v>0.16500000000000001</v>
      </c>
      <c r="L102" s="935"/>
      <c r="M102" s="935"/>
      <c r="N102" s="904"/>
      <c r="O102" s="904"/>
      <c r="P102" s="904"/>
      <c r="Q102" s="904"/>
      <c r="R102" s="904"/>
      <c r="S102" s="904"/>
      <c r="T102" s="904"/>
    </row>
    <row r="103" spans="1:20" ht="15.75">
      <c r="A103" s="7">
        <v>103</v>
      </c>
      <c r="B103" s="188" t="s">
        <v>965</v>
      </c>
      <c r="C103" s="189">
        <v>96</v>
      </c>
      <c r="D103" s="1165" t="s">
        <v>265</v>
      </c>
      <c r="E103" s="1165">
        <v>20.100000000000001</v>
      </c>
      <c r="F103" s="1165">
        <v>6.2</v>
      </c>
      <c r="G103" s="1166">
        <v>6.2</v>
      </c>
      <c r="H103" s="873">
        <v>0</v>
      </c>
      <c r="I103" s="873">
        <v>0.55000000000000004</v>
      </c>
      <c r="J103" s="1576">
        <v>0.13750000000000001</v>
      </c>
      <c r="K103" s="1603">
        <v>0.13750000000000001</v>
      </c>
      <c r="L103" s="935"/>
      <c r="M103" s="935"/>
      <c r="N103" s="904"/>
      <c r="O103" s="904"/>
      <c r="P103" s="904"/>
      <c r="Q103" s="904"/>
      <c r="R103" s="904"/>
      <c r="S103" s="904"/>
      <c r="T103" s="904"/>
    </row>
    <row r="104" spans="1:20" ht="16.5" customHeight="1">
      <c r="A104" s="7">
        <v>104</v>
      </c>
      <c r="B104" s="188" t="s">
        <v>966</v>
      </c>
      <c r="C104" s="189">
        <v>97</v>
      </c>
      <c r="D104" s="1165" t="s">
        <v>265</v>
      </c>
      <c r="E104" s="1165">
        <v>17.600000000000001</v>
      </c>
      <c r="F104" s="1165">
        <v>5</v>
      </c>
      <c r="G104" s="1166">
        <v>5</v>
      </c>
      <c r="H104" s="873">
        <v>0</v>
      </c>
      <c r="I104" s="873">
        <v>0.55000000000000004</v>
      </c>
      <c r="J104" s="1576">
        <v>0.13750000000000001</v>
      </c>
      <c r="K104" s="1603">
        <v>0.13750000000000001</v>
      </c>
      <c r="L104" s="935"/>
      <c r="M104" s="935"/>
      <c r="N104" s="904"/>
      <c r="O104" s="904"/>
      <c r="P104" s="904"/>
      <c r="Q104" s="904"/>
      <c r="R104" s="904"/>
      <c r="S104" s="904"/>
      <c r="T104" s="904"/>
    </row>
    <row r="105" spans="1:20" ht="15.75">
      <c r="A105" s="7">
        <v>106</v>
      </c>
      <c r="B105" s="188" t="s">
        <v>967</v>
      </c>
      <c r="C105" s="189">
        <v>98</v>
      </c>
      <c r="D105" s="1165" t="s">
        <v>265</v>
      </c>
      <c r="E105" s="1165">
        <v>15.2</v>
      </c>
      <c r="F105" s="1165">
        <v>5.7</v>
      </c>
      <c r="G105" s="1166">
        <v>18</v>
      </c>
      <c r="H105" s="873">
        <v>0</v>
      </c>
      <c r="I105" s="873">
        <v>0.55000000000000004</v>
      </c>
      <c r="J105" s="1576">
        <v>0.13750000000000001</v>
      </c>
      <c r="K105" s="1603">
        <v>0.13750000000000001</v>
      </c>
      <c r="L105" s="935"/>
      <c r="M105" s="935"/>
      <c r="N105" s="904"/>
      <c r="O105" s="904"/>
      <c r="P105" s="904"/>
      <c r="Q105" s="904"/>
      <c r="R105" s="904"/>
      <c r="S105" s="904"/>
      <c r="T105" s="904"/>
    </row>
    <row r="106" spans="1:20" ht="15.75">
      <c r="A106" s="7">
        <v>114</v>
      </c>
      <c r="B106" s="188" t="s">
        <v>968</v>
      </c>
      <c r="C106" s="189">
        <v>99</v>
      </c>
      <c r="D106" s="1165" t="s">
        <v>265</v>
      </c>
      <c r="E106" s="1165">
        <v>21.6</v>
      </c>
      <c r="F106" s="1165">
        <v>6.2</v>
      </c>
      <c r="G106" s="1166">
        <v>24</v>
      </c>
      <c r="H106" s="873">
        <v>0</v>
      </c>
      <c r="I106" s="873">
        <v>0.55000000000000004</v>
      </c>
      <c r="J106" s="1576">
        <v>0.13750000000000001</v>
      </c>
      <c r="K106" s="1603">
        <v>0.13750000000000001</v>
      </c>
      <c r="L106" s="935"/>
      <c r="M106" s="935"/>
      <c r="N106" s="904"/>
      <c r="O106" s="904"/>
      <c r="P106" s="904"/>
      <c r="Q106" s="904"/>
      <c r="R106" s="904"/>
      <c r="S106" s="904"/>
      <c r="T106" s="904"/>
    </row>
    <row r="107" spans="1:20" ht="15.75">
      <c r="B107" s="877" t="s">
        <v>969</v>
      </c>
      <c r="C107" s="189"/>
      <c r="D107" s="1165"/>
      <c r="E107" s="1165"/>
      <c r="F107" s="1165"/>
      <c r="G107" s="1166"/>
      <c r="H107" s="873"/>
      <c r="I107" s="873"/>
      <c r="J107" s="1173"/>
      <c r="K107" s="1603"/>
      <c r="L107" s="935"/>
      <c r="M107" s="935"/>
      <c r="N107" s="904"/>
      <c r="O107" s="904"/>
      <c r="P107" s="904"/>
      <c r="Q107" s="904"/>
      <c r="R107" s="904"/>
      <c r="S107" s="904"/>
      <c r="T107" s="904"/>
    </row>
    <row r="108" spans="1:20" ht="17.25" customHeight="1">
      <c r="B108" s="877" t="s">
        <v>969</v>
      </c>
      <c r="C108" s="189"/>
      <c r="D108" s="1165"/>
      <c r="E108" s="1165"/>
      <c r="F108" s="1165"/>
      <c r="G108" s="1166"/>
      <c r="H108" s="873"/>
      <c r="I108" s="873"/>
      <c r="J108" s="1173"/>
      <c r="K108" s="1603"/>
      <c r="L108" s="935"/>
      <c r="M108" s="935"/>
      <c r="N108" s="904"/>
      <c r="O108" s="904"/>
      <c r="P108" s="904"/>
      <c r="Q108" s="904"/>
      <c r="R108" s="904"/>
      <c r="S108" s="904"/>
      <c r="T108" s="904"/>
    </row>
    <row r="109" spans="1:20" ht="15.75">
      <c r="J109" s="935"/>
      <c r="K109" s="1604"/>
      <c r="L109" s="935"/>
      <c r="M109" s="935"/>
      <c r="N109" s="904"/>
      <c r="O109" s="904"/>
      <c r="P109" s="904"/>
      <c r="Q109" s="904"/>
      <c r="R109" s="904"/>
      <c r="S109" s="904"/>
      <c r="T109" s="904"/>
    </row>
    <row r="110" spans="1:20" ht="15.75">
      <c r="B110" s="1188"/>
      <c r="C110" s="1188"/>
      <c r="D110" s="1188"/>
      <c r="E110" s="1188"/>
      <c r="F110" s="1188"/>
      <c r="G110" s="904"/>
      <c r="H110" s="935"/>
      <c r="I110" s="935"/>
      <c r="J110" s="935"/>
      <c r="K110" s="1604"/>
      <c r="L110" s="935"/>
      <c r="M110" s="935"/>
      <c r="N110" s="904"/>
      <c r="O110" s="904"/>
      <c r="P110" s="904"/>
      <c r="Q110" s="904"/>
      <c r="R110" s="904"/>
      <c r="S110" s="904"/>
      <c r="T110" s="904"/>
    </row>
    <row r="111" spans="1:20" ht="17.25" customHeight="1">
      <c r="H111" s="935"/>
      <c r="I111" s="935"/>
      <c r="J111" s="935"/>
      <c r="K111" s="1604"/>
      <c r="L111" s="935"/>
      <c r="M111" s="935"/>
      <c r="N111" s="904"/>
      <c r="O111" s="904"/>
      <c r="P111" s="904"/>
      <c r="Q111" s="904"/>
      <c r="R111" s="904"/>
      <c r="S111" s="904"/>
      <c r="T111" s="904"/>
    </row>
    <row r="112" spans="1:20" ht="15.75" customHeight="1">
      <c r="J112" s="935"/>
      <c r="K112" s="1604"/>
      <c r="L112" s="935"/>
      <c r="M112" s="935"/>
      <c r="N112" s="904"/>
      <c r="O112" s="904"/>
      <c r="P112" s="904"/>
      <c r="Q112" s="904"/>
      <c r="R112" s="904"/>
      <c r="S112" s="904"/>
      <c r="T112" s="904"/>
    </row>
    <row r="113" spans="2:20" ht="15.75">
      <c r="J113" s="935"/>
      <c r="K113" s="1604"/>
      <c r="L113" s="935"/>
      <c r="M113" s="935"/>
      <c r="N113" s="904"/>
      <c r="O113" s="904"/>
      <c r="P113" s="904"/>
      <c r="Q113" s="904"/>
      <c r="R113" s="904"/>
      <c r="S113" s="904"/>
      <c r="T113" s="904"/>
    </row>
    <row r="114" spans="2:20" ht="15.75">
      <c r="J114" s="935"/>
      <c r="K114" s="1604"/>
      <c r="L114" s="935"/>
      <c r="M114" s="935"/>
      <c r="N114" s="904"/>
      <c r="O114" s="904"/>
      <c r="P114" s="904"/>
      <c r="Q114" s="904"/>
      <c r="R114" s="904"/>
      <c r="S114" s="904"/>
      <c r="T114" s="904"/>
    </row>
    <row r="115" spans="2:20" ht="17.25" customHeight="1">
      <c r="J115" s="935"/>
      <c r="K115" s="1604"/>
      <c r="L115" s="935"/>
      <c r="M115" s="935"/>
      <c r="N115" s="904"/>
      <c r="O115" s="904"/>
      <c r="P115" s="904"/>
      <c r="Q115" s="904"/>
      <c r="R115" s="904"/>
      <c r="S115" s="904"/>
      <c r="T115" s="904"/>
    </row>
    <row r="116" spans="2:20" ht="18.75">
      <c r="B116" s="878" t="s">
        <v>970</v>
      </c>
      <c r="J116" s="935"/>
      <c r="K116" s="1604"/>
      <c r="L116" s="935"/>
      <c r="M116" s="935"/>
      <c r="N116" s="904"/>
      <c r="O116" s="904"/>
      <c r="P116" s="904"/>
      <c r="Q116" s="904"/>
      <c r="R116" s="904"/>
      <c r="S116" s="904"/>
      <c r="T116" s="904"/>
    </row>
    <row r="117" spans="2:20" ht="15.75">
      <c r="B117" s="879" t="s">
        <v>971</v>
      </c>
      <c r="C117" s="190" t="s">
        <v>972</v>
      </c>
      <c r="J117" s="935"/>
      <c r="K117" s="1604"/>
      <c r="L117" s="935"/>
      <c r="M117" s="935"/>
      <c r="N117" s="904"/>
      <c r="O117" s="904"/>
      <c r="P117" s="904"/>
      <c r="Q117" s="904"/>
      <c r="R117" s="904"/>
      <c r="S117" s="904"/>
      <c r="T117" s="904"/>
    </row>
    <row r="118" spans="2:20" ht="15.75">
      <c r="B118" s="880" t="s">
        <v>795</v>
      </c>
      <c r="C118" s="1166">
        <v>0</v>
      </c>
      <c r="J118" s="935"/>
      <c r="K118" s="1604"/>
      <c r="L118" s="935"/>
      <c r="M118" s="935"/>
      <c r="N118" s="904"/>
      <c r="O118" s="904"/>
      <c r="P118" s="904"/>
      <c r="Q118" s="904"/>
      <c r="R118" s="904"/>
      <c r="S118" s="904"/>
      <c r="T118" s="904"/>
    </row>
    <row r="119" spans="2:20" ht="15.75">
      <c r="B119" s="880" t="s">
        <v>973</v>
      </c>
      <c r="C119" s="1166">
        <v>0.7</v>
      </c>
      <c r="J119" s="935"/>
      <c r="K119" s="1604"/>
      <c r="L119" s="935"/>
      <c r="M119" s="935"/>
      <c r="N119" s="904"/>
      <c r="O119" s="904"/>
      <c r="P119" s="904"/>
      <c r="Q119" s="904"/>
      <c r="R119" s="904"/>
      <c r="S119" s="904"/>
      <c r="T119" s="904"/>
    </row>
    <row r="120" spans="2:20" ht="15.75">
      <c r="B120" s="880" t="s">
        <v>974</v>
      </c>
      <c r="C120" s="1166">
        <v>0.7</v>
      </c>
      <c r="J120" s="935"/>
      <c r="K120" s="1604"/>
      <c r="L120" s="935"/>
      <c r="M120" s="935"/>
      <c r="N120" s="904"/>
      <c r="O120" s="904"/>
      <c r="P120" s="904"/>
      <c r="Q120" s="904"/>
      <c r="R120" s="904"/>
      <c r="S120" s="904"/>
      <c r="T120" s="904"/>
    </row>
    <row r="121" spans="2:20" ht="15.75">
      <c r="B121" s="880" t="s">
        <v>975</v>
      </c>
      <c r="C121" s="1166">
        <v>1.1000000000000001</v>
      </c>
      <c r="J121" s="935"/>
      <c r="K121" s="1604"/>
      <c r="L121" s="935"/>
      <c r="M121" s="935"/>
      <c r="N121" s="904"/>
      <c r="O121" s="904"/>
      <c r="P121" s="904"/>
      <c r="Q121" s="904"/>
      <c r="R121" s="904"/>
      <c r="S121" s="904"/>
      <c r="T121" s="904"/>
    </row>
    <row r="122" spans="2:20" ht="15.75">
      <c r="B122" s="880" t="s">
        <v>976</v>
      </c>
      <c r="C122" s="1166">
        <v>0.3</v>
      </c>
      <c r="J122" s="935"/>
      <c r="K122" s="1604"/>
      <c r="L122" s="935"/>
      <c r="M122" s="935"/>
      <c r="N122" s="904"/>
      <c r="O122" s="904"/>
      <c r="P122" s="904"/>
      <c r="Q122" s="904"/>
      <c r="R122" s="904"/>
      <c r="S122" s="904"/>
      <c r="T122" s="904"/>
    </row>
    <row r="123" spans="2:20" ht="15.75">
      <c r="B123" s="880" t="s">
        <v>977</v>
      </c>
      <c r="C123" s="1166">
        <v>0.7</v>
      </c>
      <c r="J123" s="935"/>
      <c r="K123" s="1604"/>
      <c r="L123" s="935"/>
      <c r="M123" s="935"/>
      <c r="N123" s="904"/>
      <c r="O123" s="904"/>
      <c r="P123" s="904"/>
      <c r="Q123" s="904"/>
      <c r="R123" s="904"/>
      <c r="S123" s="904"/>
      <c r="T123" s="904"/>
    </row>
    <row r="124" spans="2:20" ht="15.75">
      <c r="B124" s="880" t="s">
        <v>978</v>
      </c>
      <c r="C124" s="1166">
        <v>1</v>
      </c>
      <c r="J124" s="935"/>
      <c r="K124" s="1604"/>
      <c r="L124" s="935"/>
      <c r="M124" s="935"/>
      <c r="N124" s="904"/>
      <c r="O124" s="904"/>
      <c r="P124" s="904"/>
      <c r="Q124" s="904"/>
      <c r="R124" s="904"/>
      <c r="S124" s="904"/>
      <c r="T124" s="904"/>
    </row>
    <row r="125" spans="2:20" ht="15.75">
      <c r="B125" s="880" t="s">
        <v>979</v>
      </c>
      <c r="C125" s="1166">
        <v>0.05</v>
      </c>
      <c r="J125" s="935"/>
      <c r="K125" s="1604"/>
      <c r="L125" s="935"/>
      <c r="M125" s="935"/>
      <c r="N125" s="904"/>
      <c r="O125" s="904"/>
      <c r="P125" s="904"/>
      <c r="Q125" s="904"/>
      <c r="R125" s="904"/>
      <c r="S125" s="904"/>
      <c r="T125" s="904"/>
    </row>
    <row r="126" spans="2:20" ht="15.75">
      <c r="B126" s="880" t="s">
        <v>980</v>
      </c>
      <c r="C126" s="1166">
        <v>0.1</v>
      </c>
      <c r="J126" s="935"/>
      <c r="K126" s="1604"/>
      <c r="L126" s="935"/>
      <c r="M126" s="935"/>
      <c r="N126" s="904"/>
      <c r="O126" s="904"/>
      <c r="P126" s="904"/>
      <c r="Q126" s="904"/>
      <c r="R126" s="904"/>
      <c r="S126" s="904"/>
      <c r="T126" s="904"/>
    </row>
    <row r="127" spans="2:20" ht="15.75">
      <c r="B127" s="880" t="s">
        <v>981</v>
      </c>
      <c r="C127" s="1166">
        <v>0.02</v>
      </c>
      <c r="J127" s="935"/>
      <c r="K127" s="1604"/>
      <c r="L127" s="935"/>
      <c r="M127" s="935"/>
      <c r="N127" s="904"/>
      <c r="O127" s="904"/>
      <c r="P127" s="904"/>
      <c r="Q127" s="904"/>
      <c r="R127" s="904"/>
      <c r="S127" s="904"/>
      <c r="T127" s="904"/>
    </row>
    <row r="128" spans="2:20" ht="15.75">
      <c r="B128" s="880" t="s">
        <v>982</v>
      </c>
      <c r="C128" s="1166">
        <v>0.06</v>
      </c>
      <c r="J128" s="935"/>
      <c r="K128" s="1604"/>
      <c r="L128" s="935"/>
      <c r="M128" s="935"/>
      <c r="N128" s="904"/>
      <c r="O128" s="904"/>
      <c r="P128" s="904"/>
      <c r="Q128" s="904"/>
      <c r="R128" s="904"/>
      <c r="S128" s="904"/>
      <c r="T128" s="904"/>
    </row>
    <row r="129" spans="1:20" ht="15.75">
      <c r="B129" s="880" t="s">
        <v>983</v>
      </c>
      <c r="C129" s="1166">
        <v>0.16</v>
      </c>
      <c r="J129" s="935"/>
      <c r="K129" s="1604"/>
      <c r="L129" s="935"/>
      <c r="M129" s="935"/>
      <c r="N129" s="904"/>
      <c r="O129" s="904"/>
      <c r="P129" s="904"/>
      <c r="Q129" s="904"/>
      <c r="R129" s="904"/>
      <c r="S129" s="904"/>
      <c r="T129" s="904"/>
    </row>
    <row r="130" spans="1:20" ht="15.75">
      <c r="B130" s="880" t="s">
        <v>984</v>
      </c>
      <c r="C130" s="1166">
        <v>0.3</v>
      </c>
      <c r="J130" s="935"/>
      <c r="K130" s="1604"/>
      <c r="L130" s="935"/>
      <c r="M130" s="935"/>
      <c r="N130" s="904"/>
      <c r="O130" s="904"/>
      <c r="P130" s="904"/>
      <c r="Q130" s="904"/>
      <c r="R130" s="904"/>
      <c r="S130" s="904"/>
      <c r="T130" s="904"/>
    </row>
    <row r="131" spans="1:20" ht="15.75">
      <c r="B131" s="880" t="s">
        <v>985</v>
      </c>
      <c r="C131" s="1166">
        <v>4.0000000000000001E-3</v>
      </c>
      <c r="J131" s="935"/>
      <c r="K131" s="1604"/>
      <c r="L131" s="935"/>
      <c r="M131" s="935"/>
      <c r="N131" s="904"/>
      <c r="O131" s="904"/>
      <c r="P131" s="904"/>
      <c r="Q131" s="904"/>
      <c r="R131" s="904"/>
      <c r="S131" s="904"/>
      <c r="T131" s="904"/>
    </row>
    <row r="132" spans="1:20" ht="15.75">
      <c r="B132" s="880" t="s">
        <v>986</v>
      </c>
      <c r="C132" s="1166">
        <v>4.0000000000000001E-3</v>
      </c>
      <c r="J132" s="935"/>
      <c r="K132" s="1604"/>
      <c r="L132" s="935"/>
      <c r="M132" s="935"/>
      <c r="N132" s="904"/>
      <c r="O132" s="904"/>
      <c r="P132" s="904"/>
      <c r="Q132" s="904"/>
      <c r="R132" s="904"/>
      <c r="S132" s="904"/>
      <c r="T132" s="904"/>
    </row>
    <row r="133" spans="1:20" ht="15.75">
      <c r="B133" s="880" t="s">
        <v>987</v>
      </c>
      <c r="C133" s="1166">
        <v>4.0000000000000001E-3</v>
      </c>
      <c r="J133" s="935"/>
      <c r="K133" s="1604"/>
      <c r="L133" s="935"/>
      <c r="M133" s="935"/>
      <c r="N133" s="904"/>
      <c r="O133" s="904"/>
      <c r="P133" s="904"/>
      <c r="Q133" s="904"/>
      <c r="R133" s="904"/>
      <c r="S133" s="904"/>
      <c r="T133" s="904"/>
    </row>
    <row r="134" spans="1:20" ht="16.5" customHeight="1">
      <c r="B134" s="880" t="s">
        <v>988</v>
      </c>
      <c r="C134" s="1166">
        <v>4.0000000000000001E-3</v>
      </c>
      <c r="J134" s="935"/>
      <c r="K134" s="1604"/>
      <c r="L134" s="935"/>
      <c r="M134" s="935"/>
      <c r="N134" s="904"/>
      <c r="O134" s="904"/>
      <c r="P134" s="904"/>
      <c r="Q134" s="904"/>
      <c r="R134" s="904"/>
      <c r="S134" s="904"/>
      <c r="T134" s="904"/>
    </row>
    <row r="135" spans="1:20" ht="16.5" customHeight="1">
      <c r="B135" s="880" t="s">
        <v>989</v>
      </c>
      <c r="C135" s="1166">
        <v>4.0000000000000001E-3</v>
      </c>
      <c r="J135" s="935"/>
      <c r="K135" s="1604"/>
      <c r="L135" s="935"/>
      <c r="M135" s="935"/>
      <c r="N135" s="904"/>
      <c r="O135" s="904"/>
      <c r="P135" s="904"/>
      <c r="Q135" s="904"/>
      <c r="R135" s="904"/>
      <c r="S135" s="904"/>
      <c r="T135" s="904"/>
    </row>
    <row r="136" spans="1:20" ht="15.75">
      <c r="B136" s="880" t="s">
        <v>990</v>
      </c>
      <c r="C136" s="1166">
        <v>4.0000000000000001E-3</v>
      </c>
      <c r="J136" s="935"/>
      <c r="K136" s="1604"/>
      <c r="L136" s="935"/>
      <c r="M136" s="935"/>
      <c r="N136" s="904"/>
      <c r="O136" s="904"/>
      <c r="P136" s="904"/>
      <c r="Q136" s="904"/>
      <c r="R136" s="904"/>
      <c r="S136" s="904"/>
      <c r="T136" s="904"/>
    </row>
    <row r="137" spans="1:20" ht="15.75">
      <c r="B137" s="1070"/>
      <c r="J137" s="935"/>
      <c r="K137" s="1604"/>
      <c r="L137" s="935"/>
      <c r="M137" s="935"/>
      <c r="N137" s="904"/>
      <c r="O137" s="904"/>
      <c r="P137" s="904"/>
      <c r="Q137" s="904"/>
      <c r="R137" s="904"/>
      <c r="S137" s="904"/>
      <c r="T137" s="904"/>
    </row>
    <row r="138" spans="1:20" ht="15.75">
      <c r="B138" s="1070"/>
      <c r="J138" s="935"/>
      <c r="K138" s="1604"/>
      <c r="L138" s="935"/>
      <c r="M138" s="935"/>
      <c r="N138" s="904"/>
      <c r="O138" s="904"/>
      <c r="P138" s="904"/>
      <c r="Q138" s="904"/>
      <c r="R138" s="904"/>
      <c r="S138" s="904"/>
      <c r="T138" s="904"/>
    </row>
    <row r="139" spans="1:20" ht="15.75">
      <c r="A139" s="904"/>
      <c r="J139" s="935"/>
      <c r="K139" s="1604"/>
      <c r="L139" s="935"/>
      <c r="M139" s="935"/>
      <c r="N139" s="904"/>
      <c r="O139" s="904"/>
      <c r="P139" s="904"/>
      <c r="Q139" s="904"/>
      <c r="R139" s="904"/>
      <c r="S139" s="904"/>
      <c r="T139" s="904"/>
    </row>
    <row r="140" spans="1:20" ht="15.75" customHeight="1">
      <c r="J140" s="935"/>
      <c r="K140" s="1604"/>
      <c r="L140" s="935"/>
      <c r="M140" s="935"/>
      <c r="N140" s="904"/>
      <c r="O140" s="904"/>
      <c r="P140" s="904"/>
      <c r="Q140" s="904"/>
      <c r="R140" s="904"/>
      <c r="S140" s="904"/>
      <c r="T140" s="904"/>
    </row>
    <row r="141" spans="1:20" ht="15.75">
      <c r="J141" s="935"/>
      <c r="K141" s="1604"/>
      <c r="L141" s="935"/>
      <c r="M141" s="935"/>
      <c r="N141" s="904"/>
      <c r="O141" s="904"/>
      <c r="P141" s="904"/>
      <c r="Q141" s="904"/>
      <c r="R141" s="904"/>
      <c r="S141" s="904"/>
      <c r="T141" s="904"/>
    </row>
    <row r="142" spans="1:20" ht="16.5" customHeight="1">
      <c r="J142" s="935"/>
      <c r="K142" s="1604"/>
      <c r="L142" s="935"/>
      <c r="M142" s="935"/>
      <c r="N142" s="904"/>
      <c r="O142" s="904"/>
      <c r="P142" s="904"/>
      <c r="Q142" s="904"/>
      <c r="R142" s="904"/>
      <c r="S142" s="904"/>
      <c r="T142" s="904"/>
    </row>
    <row r="143" spans="1:20" ht="15.75">
      <c r="J143" s="935"/>
      <c r="K143" s="1604"/>
      <c r="L143" s="935"/>
      <c r="M143" s="935"/>
      <c r="N143" s="904"/>
      <c r="O143" s="904"/>
      <c r="P143" s="904"/>
      <c r="Q143" s="904"/>
      <c r="R143" s="904"/>
      <c r="S143" s="904"/>
      <c r="T143" s="904"/>
    </row>
    <row r="144" spans="1:20" ht="15.75">
      <c r="J144" s="935"/>
      <c r="K144" s="1604"/>
      <c r="L144" s="935"/>
      <c r="M144" s="935"/>
      <c r="N144" s="904"/>
      <c r="O144" s="904"/>
      <c r="P144" s="904"/>
      <c r="Q144" s="904"/>
      <c r="R144" s="904"/>
      <c r="S144" s="904"/>
      <c r="T144" s="904"/>
    </row>
    <row r="145" spans="10:20" ht="15.75">
      <c r="J145" s="935"/>
      <c r="K145" s="1604"/>
      <c r="L145" s="935"/>
      <c r="M145" s="935"/>
      <c r="N145" s="904"/>
      <c r="O145" s="904"/>
      <c r="P145" s="904"/>
      <c r="Q145" s="904"/>
      <c r="R145" s="904"/>
      <c r="S145" s="904"/>
      <c r="T145" s="904"/>
    </row>
  </sheetData>
  <mergeCells count="24">
    <mergeCell ref="B4:K4"/>
    <mergeCell ref="E5:G5"/>
    <mergeCell ref="H5:I5"/>
    <mergeCell ref="N6:O8"/>
    <mergeCell ref="S6:U8"/>
    <mergeCell ref="T9:U9"/>
    <mergeCell ref="P6:Q8"/>
    <mergeCell ref="J5:K5"/>
    <mergeCell ref="A5:A6"/>
    <mergeCell ref="Z20:AC20"/>
    <mergeCell ref="T10:U10"/>
    <mergeCell ref="B5:B6"/>
    <mergeCell ref="D5:D6"/>
    <mergeCell ref="N27:P27"/>
    <mergeCell ref="O55:T55"/>
    <mergeCell ref="O58:T58"/>
    <mergeCell ref="T11:U11"/>
    <mergeCell ref="T12:U12"/>
    <mergeCell ref="T13:U13"/>
    <mergeCell ref="T14:U14"/>
    <mergeCell ref="S15:U15"/>
    <mergeCell ref="M19:W19"/>
    <mergeCell ref="N20:S20"/>
    <mergeCell ref="T20:Y20"/>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sheetPr>
  <dimension ref="A1:Y50"/>
  <sheetViews>
    <sheetView topLeftCell="C1" zoomScaleNormal="100" workbookViewId="0">
      <selection activeCell="H2" sqref="H2:I2"/>
    </sheetView>
  </sheetViews>
  <sheetFormatPr baseColWidth="10" defaultRowHeight="15"/>
  <cols>
    <col min="1" max="1" width="46.85546875" style="679" customWidth="1"/>
    <col min="2" max="2" width="13" style="679" customWidth="1"/>
    <col min="3" max="3" width="30.28515625" style="679" customWidth="1"/>
    <col min="4" max="4" width="11.28515625" style="679" customWidth="1"/>
    <col min="5" max="5" width="12.42578125" style="682" customWidth="1"/>
    <col min="6" max="6" width="12.42578125" style="685" customWidth="1"/>
    <col min="7" max="7" width="12.42578125" style="679" customWidth="1"/>
    <col min="8" max="8" width="12.42578125" style="1779" customWidth="1"/>
    <col min="9" max="9" width="23.42578125" style="703" customWidth="1"/>
    <col min="10" max="10" width="6.140625" style="703" customWidth="1"/>
    <col min="11" max="11" width="13.5703125" style="679" customWidth="1"/>
    <col min="12" max="12" width="29.85546875" style="679" customWidth="1"/>
    <col min="13" max="13" width="10.140625" style="679" customWidth="1"/>
    <col min="14" max="14" width="12.5703125" style="682" customWidth="1"/>
    <col min="15" max="15" width="12.5703125" style="685" customWidth="1"/>
    <col min="16" max="16" width="12.5703125" style="679" customWidth="1"/>
    <col min="17" max="17" width="12.5703125" style="1779" customWidth="1"/>
    <col min="18" max="18" width="24.7109375" style="679" customWidth="1"/>
    <col min="19" max="19" width="6.28515625" style="679" customWidth="1"/>
    <col min="20" max="20" width="26.85546875" style="679" customWidth="1"/>
    <col min="21" max="21" width="12" style="679" customWidth="1"/>
    <col min="22" max="16384" width="11.42578125" style="679"/>
  </cols>
  <sheetData>
    <row r="1" spans="1:25" ht="28.5" customHeight="1">
      <c r="A1" s="3028" t="s">
        <v>1267</v>
      </c>
      <c r="B1" s="3031" t="s">
        <v>644</v>
      </c>
      <c r="C1" s="3030"/>
      <c r="D1" s="3030"/>
      <c r="E1" s="3030"/>
      <c r="F1" s="3030"/>
      <c r="G1" s="3030"/>
      <c r="H1" s="3030"/>
      <c r="I1" s="3030"/>
      <c r="J1" s="3030"/>
      <c r="K1" s="3030"/>
      <c r="L1" s="3030"/>
      <c r="M1" s="3030"/>
      <c r="N1" s="3030"/>
      <c r="O1" s="3030"/>
      <c r="P1" s="3030"/>
      <c r="Q1" s="1782"/>
      <c r="T1" s="719"/>
      <c r="U1" s="719"/>
      <c r="V1" s="719"/>
      <c r="W1" s="719"/>
    </row>
    <row r="2" spans="1:25" ht="39" customHeight="1">
      <c r="A2" s="3029"/>
      <c r="C2" s="3031" t="s">
        <v>621</v>
      </c>
      <c r="D2" s="2526"/>
      <c r="E2" s="2526"/>
      <c r="F2" s="2526"/>
      <c r="G2" s="2526"/>
      <c r="H2" s="3032" t="s">
        <v>1725</v>
      </c>
      <c r="I2" s="3032"/>
      <c r="J2" s="680"/>
      <c r="L2" s="3031" t="s">
        <v>621</v>
      </c>
      <c r="M2" s="2526"/>
      <c r="N2" s="2526"/>
      <c r="O2" s="2526"/>
      <c r="P2" s="2526"/>
      <c r="Q2" s="3032" t="s">
        <v>1725</v>
      </c>
      <c r="R2" s="3032"/>
      <c r="X2" s="1012"/>
    </row>
    <row r="3" spans="1:25" ht="36.75" customHeight="1">
      <c r="A3" s="3030"/>
      <c r="B3" s="727"/>
      <c r="C3" s="706" t="s">
        <v>626</v>
      </c>
      <c r="D3" s="728"/>
      <c r="E3" s="2769" t="s">
        <v>625</v>
      </c>
      <c r="F3" s="2769"/>
      <c r="G3" s="2769"/>
      <c r="H3" s="1780"/>
      <c r="I3" s="704" t="s">
        <v>1183</v>
      </c>
      <c r="J3" s="142"/>
      <c r="K3" s="727"/>
      <c r="L3" s="706" t="s">
        <v>626</v>
      </c>
      <c r="M3" s="728"/>
      <c r="N3" s="2769" t="s">
        <v>625</v>
      </c>
      <c r="O3" s="2769"/>
      <c r="P3" s="2769"/>
      <c r="Q3" s="1780"/>
      <c r="R3" s="704" t="s">
        <v>1183</v>
      </c>
      <c r="T3" s="2527" t="s">
        <v>643</v>
      </c>
      <c r="U3" s="2527"/>
      <c r="V3" s="2527"/>
      <c r="W3" s="2527"/>
    </row>
    <row r="4" spans="1:25" ht="18.75">
      <c r="A4" s="3030"/>
      <c r="B4" s="729" t="s">
        <v>622</v>
      </c>
      <c r="C4" s="724" t="s">
        <v>623</v>
      </c>
      <c r="D4" s="724" t="s">
        <v>33</v>
      </c>
      <c r="E4" s="692" t="s">
        <v>637</v>
      </c>
      <c r="F4" s="722" t="s">
        <v>638</v>
      </c>
      <c r="G4" s="721" t="s">
        <v>610</v>
      </c>
      <c r="H4" s="2068" t="s">
        <v>1305</v>
      </c>
      <c r="I4" s="707"/>
      <c r="J4" s="678"/>
      <c r="K4" s="729" t="s">
        <v>622</v>
      </c>
      <c r="L4" s="724" t="s">
        <v>623</v>
      </c>
      <c r="M4" s="724" t="s">
        <v>33</v>
      </c>
      <c r="N4" s="692" t="s">
        <v>637</v>
      </c>
      <c r="O4" s="722" t="s">
        <v>638</v>
      </c>
      <c r="P4" s="2065" t="s">
        <v>610</v>
      </c>
      <c r="Q4" s="2068" t="s">
        <v>1305</v>
      </c>
      <c r="R4" s="707"/>
      <c r="U4" s="2527" t="s">
        <v>613</v>
      </c>
      <c r="V4" s="2527"/>
      <c r="W4" s="2527"/>
      <c r="Y4" s="679" t="s">
        <v>1399</v>
      </c>
    </row>
    <row r="5" spans="1:25" ht="18" customHeight="1">
      <c r="A5" s="3030"/>
      <c r="B5" s="1728">
        <v>2018</v>
      </c>
      <c r="C5" s="1798" t="s">
        <v>615</v>
      </c>
      <c r="D5" s="715">
        <v>40</v>
      </c>
      <c r="E5" s="689">
        <f>VLOOKUP($C5,$T$6:$W$38,2,FALSE)*$D5</f>
        <v>100</v>
      </c>
      <c r="F5" s="687">
        <f>VLOOKUP($C5,$T$6:$W$38,3,FALSE)*$D5</f>
        <v>210</v>
      </c>
      <c r="G5" s="726">
        <f>VLOOKUP($C5,$T$6:$W$38,4,FALSE)*$D5</f>
        <v>32</v>
      </c>
      <c r="H5" s="2066">
        <f>VLOOKUP($C5,$T$6:$Y$38,5,FALSE)*$D5</f>
        <v>22.799999999999997</v>
      </c>
      <c r="I5" s="708"/>
      <c r="J5" s="700"/>
      <c r="K5" s="1728">
        <v>1</v>
      </c>
      <c r="L5" s="1798" t="s">
        <v>645</v>
      </c>
      <c r="M5" s="715">
        <v>80</v>
      </c>
      <c r="N5" s="689">
        <f>VLOOKUP($L5,$T$6:$W$38,2,FALSE)*$M5</f>
        <v>83.2</v>
      </c>
      <c r="O5" s="687">
        <f>VLOOKUP($L5,$T$6:$W$38,3,FALSE)*$M5</f>
        <v>137.6</v>
      </c>
      <c r="P5" s="784">
        <f>VLOOKUP($L5,$T$6:$W$38,4,FALSE)*$M5</f>
        <v>28.799999999999997</v>
      </c>
      <c r="Q5" s="2066">
        <f>VLOOKUP($L5,$T$6:$Y$38,5,FALSE)*$M5</f>
        <v>25.6</v>
      </c>
      <c r="R5" s="708"/>
      <c r="U5" s="679" t="s">
        <v>611</v>
      </c>
      <c r="V5" s="679" t="s">
        <v>612</v>
      </c>
      <c r="W5" s="679" t="s">
        <v>610</v>
      </c>
      <c r="X5" s="679" t="s">
        <v>1305</v>
      </c>
      <c r="Y5" s="679" t="s">
        <v>1398</v>
      </c>
    </row>
    <row r="6" spans="1:25" ht="18" customHeight="1">
      <c r="A6" s="3030"/>
      <c r="B6" s="1728">
        <v>2019</v>
      </c>
      <c r="C6" s="1798" t="s">
        <v>651</v>
      </c>
      <c r="D6" s="715">
        <v>80</v>
      </c>
      <c r="E6" s="689">
        <f>VLOOKUP($C6,$T$6:$W$38,2,FALSE)*$D6</f>
        <v>64</v>
      </c>
      <c r="F6" s="687">
        <f>VLOOKUP($C6,$T$6:$W$38,3,FALSE)*$D6</f>
        <v>48</v>
      </c>
      <c r="G6" s="726">
        <f>VLOOKUP($C6,$T$6:$W$38,4,FALSE)*$D6</f>
        <v>16</v>
      </c>
      <c r="H6" s="1895">
        <f>VLOOKUP($C6,$T$6:$Y$38,5,FALSE)*$D6</f>
        <v>16</v>
      </c>
      <c r="I6" s="708"/>
      <c r="J6" s="700"/>
      <c r="K6" s="1728">
        <v>2</v>
      </c>
      <c r="L6" s="1798" t="s">
        <v>652</v>
      </c>
      <c r="M6" s="715">
        <v>70</v>
      </c>
      <c r="N6" s="689">
        <f>VLOOKUP($L6,$T$6:$W$38,2,FALSE)*$M6</f>
        <v>56</v>
      </c>
      <c r="O6" s="687">
        <f>VLOOKUP($L6,$T$6:$W$38,3,FALSE)*$M6</f>
        <v>42</v>
      </c>
      <c r="P6" s="784">
        <f>VLOOKUP($L6,$T$6:$W$38,4,FALSE)*$M6</f>
        <v>14</v>
      </c>
      <c r="Q6" s="1895">
        <f>VLOOKUP($L6,$T$6:$Y$38,5,FALSE)*$M6</f>
        <v>14</v>
      </c>
      <c r="R6" s="708"/>
      <c r="T6" s="679" t="s">
        <v>651</v>
      </c>
      <c r="U6" s="679">
        <v>0.8</v>
      </c>
      <c r="V6" s="679">
        <v>0.6</v>
      </c>
      <c r="W6" s="679">
        <v>0.2</v>
      </c>
      <c r="X6" s="1781">
        <v>0.2</v>
      </c>
      <c r="Y6" s="679">
        <f>X6*2.5</f>
        <v>0.5</v>
      </c>
    </row>
    <row r="7" spans="1:25" ht="18" customHeight="1">
      <c r="A7" s="3030"/>
      <c r="B7" s="1728">
        <v>2020</v>
      </c>
      <c r="C7" s="1798" t="s">
        <v>648</v>
      </c>
      <c r="D7" s="715">
        <v>70</v>
      </c>
      <c r="E7" s="690">
        <f>VLOOKUP($C7,$T$6:$W$38,2,FALSE)*$D7</f>
        <v>70.7</v>
      </c>
      <c r="F7" s="688">
        <f>VLOOKUP($C7,$T$6:$W$38,3,FALSE)*$D7</f>
        <v>125.3</v>
      </c>
      <c r="G7" s="723">
        <f>VLOOKUP($C7,$T$6:$W$38,4,FALSE)*$D7</f>
        <v>23.8</v>
      </c>
      <c r="H7" s="1895">
        <f>VLOOKUP($C7,$T$6:$Y$38,5,FALSE)*$D7</f>
        <v>23.8</v>
      </c>
      <c r="I7" s="708"/>
      <c r="J7" s="700"/>
      <c r="K7" s="1728">
        <v>3</v>
      </c>
      <c r="L7" s="1798" t="s">
        <v>655</v>
      </c>
      <c r="M7" s="715">
        <v>50</v>
      </c>
      <c r="N7" s="690">
        <f>VLOOKUP($L7,$T$6:$W$38,2,FALSE)*$M7</f>
        <v>40</v>
      </c>
      <c r="O7" s="688">
        <f>VLOOKUP($L7,$T$6:$W$38,3,FALSE)*$M7</f>
        <v>30</v>
      </c>
      <c r="P7" s="723">
        <f>VLOOKUP($L7,$T$6:$W$38,4,FALSE)*$M7</f>
        <v>10</v>
      </c>
      <c r="Q7" s="1895">
        <f>VLOOKUP($L7,$T$6:$Y$38,5,FALSE)*$M7</f>
        <v>10</v>
      </c>
      <c r="R7" s="708"/>
      <c r="T7" s="679" t="s">
        <v>645</v>
      </c>
      <c r="U7" s="679">
        <v>1.04</v>
      </c>
      <c r="V7" s="679">
        <v>1.72</v>
      </c>
      <c r="W7" s="679">
        <v>0.36</v>
      </c>
      <c r="X7" s="1781">
        <v>0.32</v>
      </c>
      <c r="Y7" s="2060">
        <f t="shared" ref="Y7:Y33" si="0">X7*2.5</f>
        <v>0.8</v>
      </c>
    </row>
    <row r="8" spans="1:25" ht="18" customHeight="1">
      <c r="A8" s="3030"/>
      <c r="B8" s="717"/>
      <c r="C8" s="716"/>
      <c r="D8" s="287" t="s">
        <v>630</v>
      </c>
      <c r="E8" s="730">
        <f>SUM(E5:E7)</f>
        <v>234.7</v>
      </c>
      <c r="F8" s="731">
        <f t="shared" ref="F8:H8" si="1">SUM(F5:F7)</f>
        <v>383.3</v>
      </c>
      <c r="G8" s="725">
        <f t="shared" si="1"/>
        <v>71.8</v>
      </c>
      <c r="H8" s="1898">
        <f t="shared" si="1"/>
        <v>62.599999999999994</v>
      </c>
      <c r="I8" s="709"/>
      <c r="J8" s="701"/>
      <c r="K8" s="717"/>
      <c r="L8" s="716"/>
      <c r="M8" s="287" t="s">
        <v>630</v>
      </c>
      <c r="N8" s="730">
        <f>SUM(N5:N7)</f>
        <v>179.2</v>
      </c>
      <c r="O8" s="731">
        <f t="shared" ref="O8" si="2">SUM(O5:O7)</f>
        <v>209.6</v>
      </c>
      <c r="P8" s="725">
        <f t="shared" ref="P8:Q8" si="3">SUM(P5:P7)</f>
        <v>52.8</v>
      </c>
      <c r="Q8" s="1898">
        <f t="shared" si="3"/>
        <v>49.6</v>
      </c>
      <c r="R8" s="709"/>
      <c r="T8" s="679" t="s">
        <v>652</v>
      </c>
      <c r="U8" s="679">
        <v>0.8</v>
      </c>
      <c r="V8" s="679">
        <v>0.6</v>
      </c>
      <c r="W8" s="679">
        <v>0.2</v>
      </c>
      <c r="X8" s="2224">
        <v>0.2</v>
      </c>
      <c r="Y8" s="2060">
        <f t="shared" si="0"/>
        <v>0.5</v>
      </c>
    </row>
    <row r="9" spans="1:25" ht="30.75" customHeight="1">
      <c r="A9" s="3030"/>
      <c r="B9" s="717"/>
      <c r="C9" s="716"/>
      <c r="D9" s="696" t="s">
        <v>631</v>
      </c>
      <c r="E9" s="1799" t="s">
        <v>3</v>
      </c>
      <c r="F9" s="1800" t="s">
        <v>2</v>
      </c>
      <c r="G9" s="1801" t="s">
        <v>463</v>
      </c>
      <c r="H9" s="2235"/>
      <c r="I9" s="709"/>
      <c r="J9" s="701"/>
      <c r="K9" s="717"/>
      <c r="L9" s="716"/>
      <c r="M9" s="696" t="s">
        <v>631</v>
      </c>
      <c r="N9" s="1799" t="s">
        <v>3</v>
      </c>
      <c r="O9" s="1800" t="s">
        <v>2</v>
      </c>
      <c r="P9" s="1801" t="s">
        <v>2</v>
      </c>
      <c r="Q9" s="2235"/>
      <c r="R9" s="709"/>
      <c r="T9" s="681" t="s">
        <v>646</v>
      </c>
      <c r="U9" s="681">
        <v>1.07</v>
      </c>
      <c r="V9" s="681">
        <v>2.4</v>
      </c>
      <c r="W9" s="681">
        <v>0.38</v>
      </c>
      <c r="X9" s="1781">
        <v>0.32</v>
      </c>
      <c r="Y9" s="2060">
        <f t="shared" si="0"/>
        <v>0.8</v>
      </c>
    </row>
    <row r="10" spans="1:25" ht="22.5" customHeight="1">
      <c r="A10" s="3030"/>
      <c r="B10" s="718"/>
      <c r="C10" s="683" t="s">
        <v>633</v>
      </c>
      <c r="D10" s="720" t="s">
        <v>322</v>
      </c>
      <c r="E10" s="697">
        <f>IF(E9="E",0,IF(E9="D",E8*0.5,IF(E9="C",E8,IF(E9="B",E8*1.5,IF(E9="A",E8*2)))))</f>
        <v>0</v>
      </c>
      <c r="F10" s="698">
        <f t="shared" ref="F10:G10" si="4">IF(F9="E",0,IF(F9="D",F8*0.5,IF(F9="C",F8,IF(F9="B",F8*1.5,IF(F9="A",F8*2)))))</f>
        <v>383.3</v>
      </c>
      <c r="G10" s="705">
        <f t="shared" si="4"/>
        <v>143.6</v>
      </c>
      <c r="H10" s="1897">
        <f>H8</f>
        <v>62.599999999999994</v>
      </c>
      <c r="I10" s="710"/>
      <c r="J10" s="702"/>
      <c r="K10" s="718"/>
      <c r="L10" s="683" t="s">
        <v>633</v>
      </c>
      <c r="M10" s="720" t="s">
        <v>322</v>
      </c>
      <c r="N10" s="697">
        <f>IF(N9="E",0,IF(N9="D",N8*0.5,IF(N9="C",N8,IF(N9="B",N8*1.5,IF(N9="A",N8*2)))))</f>
        <v>0</v>
      </c>
      <c r="O10" s="698">
        <f t="shared" ref="O10" si="5">IF(O9="E",0,IF(O9="D",O8*0.5,IF(O9="C",O8,IF(O9="B",O8*1.5,IF(O9="A",O8*2)))))</f>
        <v>209.6</v>
      </c>
      <c r="P10" s="705">
        <f t="shared" ref="P10" si="6">IF(P9="E",0,IF(P9="D",P8*0.5,IF(P9="C",P8,IF(P9="B",P8*1.5,IF(P9="A",P8*2)))))</f>
        <v>52.8</v>
      </c>
      <c r="Q10" s="1897">
        <f>Q8</f>
        <v>49.6</v>
      </c>
      <c r="R10" s="710"/>
      <c r="T10" s="679" t="s">
        <v>653</v>
      </c>
      <c r="U10" s="679">
        <v>0.8</v>
      </c>
      <c r="V10" s="679">
        <v>0.6</v>
      </c>
      <c r="W10" s="679">
        <v>0.2</v>
      </c>
      <c r="X10" s="2224">
        <v>0.2</v>
      </c>
      <c r="Y10" s="2060">
        <f t="shared" si="0"/>
        <v>0.5</v>
      </c>
    </row>
    <row r="11" spans="1:25" ht="19.5" customHeight="1">
      <c r="A11" s="3030"/>
      <c r="R11" s="703"/>
      <c r="T11" s="681" t="s">
        <v>647</v>
      </c>
      <c r="U11" s="681">
        <v>1.07</v>
      </c>
      <c r="V11" s="681">
        <v>2.13</v>
      </c>
      <c r="W11" s="681">
        <v>0.38</v>
      </c>
      <c r="X11" s="1781">
        <v>0.38</v>
      </c>
      <c r="Y11" s="2060">
        <f t="shared" si="0"/>
        <v>0.95</v>
      </c>
    </row>
    <row r="12" spans="1:25" ht="19.5" customHeight="1">
      <c r="A12" s="3030"/>
      <c r="R12" s="703"/>
      <c r="T12" s="679" t="s">
        <v>654</v>
      </c>
      <c r="U12" s="679">
        <v>0.8</v>
      </c>
      <c r="V12" s="679">
        <v>0.6</v>
      </c>
      <c r="W12" s="679">
        <v>0.2</v>
      </c>
      <c r="X12" s="2224">
        <v>0.2</v>
      </c>
      <c r="Y12" s="2060">
        <f t="shared" si="0"/>
        <v>0.5</v>
      </c>
    </row>
    <row r="13" spans="1:25" ht="31.5" customHeight="1">
      <c r="A13" s="3030"/>
      <c r="B13" s="727"/>
      <c r="C13" s="706" t="s">
        <v>627</v>
      </c>
      <c r="D13" s="728"/>
      <c r="E13" s="2769" t="s">
        <v>625</v>
      </c>
      <c r="F13" s="2769"/>
      <c r="G13" s="2769"/>
      <c r="H13" s="1780"/>
      <c r="I13" s="704" t="s">
        <v>1183</v>
      </c>
      <c r="J13" s="699"/>
      <c r="K13" s="727"/>
      <c r="L13" s="706" t="s">
        <v>627</v>
      </c>
      <c r="M13" s="728"/>
      <c r="N13" s="2769" t="s">
        <v>625</v>
      </c>
      <c r="O13" s="2769"/>
      <c r="P13" s="2769"/>
      <c r="Q13" s="1780"/>
      <c r="R13" s="704" t="s">
        <v>1183</v>
      </c>
      <c r="T13" s="681" t="s">
        <v>648</v>
      </c>
      <c r="U13" s="681">
        <v>1.01</v>
      </c>
      <c r="V13" s="681">
        <v>1.79</v>
      </c>
      <c r="W13" s="681">
        <v>0.34</v>
      </c>
      <c r="X13" s="1781">
        <v>0.34</v>
      </c>
      <c r="Y13" s="2060">
        <f t="shared" si="0"/>
        <v>0.85000000000000009</v>
      </c>
    </row>
    <row r="14" spans="1:25" ht="18.75">
      <c r="A14" s="3030"/>
      <c r="B14" s="729" t="s">
        <v>622</v>
      </c>
      <c r="C14" s="724" t="s">
        <v>623</v>
      </c>
      <c r="D14" s="724" t="s">
        <v>33</v>
      </c>
      <c r="E14" s="693" t="s">
        <v>637</v>
      </c>
      <c r="F14" s="694" t="s">
        <v>638</v>
      </c>
      <c r="G14" s="706" t="s">
        <v>610</v>
      </c>
      <c r="H14" s="2070" t="s">
        <v>1305</v>
      </c>
      <c r="I14" s="707"/>
      <c r="J14" s="678"/>
      <c r="K14" s="729" t="s">
        <v>622</v>
      </c>
      <c r="L14" s="724" t="s">
        <v>623</v>
      </c>
      <c r="M14" s="724" t="s">
        <v>33</v>
      </c>
      <c r="N14" s="693" t="s">
        <v>637</v>
      </c>
      <c r="O14" s="694" t="s">
        <v>638</v>
      </c>
      <c r="P14" s="706" t="s">
        <v>610</v>
      </c>
      <c r="Q14" s="2068" t="s">
        <v>1305</v>
      </c>
      <c r="R14" s="707"/>
      <c r="T14" s="679" t="s">
        <v>655</v>
      </c>
      <c r="U14" s="679">
        <v>0.8</v>
      </c>
      <c r="V14" s="679">
        <v>0.6</v>
      </c>
      <c r="W14" s="679">
        <v>0.2</v>
      </c>
      <c r="X14" s="2224">
        <v>0.2</v>
      </c>
      <c r="Y14" s="2060">
        <f t="shared" si="0"/>
        <v>0.5</v>
      </c>
    </row>
    <row r="15" spans="1:25">
      <c r="A15" s="3030"/>
      <c r="B15" s="1728">
        <v>1</v>
      </c>
      <c r="C15" s="1798" t="s">
        <v>126</v>
      </c>
      <c r="D15" s="715">
        <v>700</v>
      </c>
      <c r="E15" s="691">
        <f>VLOOKUP($C15,$T$6:$W$38,2,FALSE)*$D15</f>
        <v>70</v>
      </c>
      <c r="F15" s="686">
        <f>VLOOKUP($C15,$T$6:$W$38,3,FALSE)*$D15</f>
        <v>175</v>
      </c>
      <c r="G15" s="684">
        <f>VLOOKUP($C15,$T$6:$W$38,4,FALSE)*$D15</f>
        <v>56</v>
      </c>
      <c r="H15" s="2066">
        <f>VLOOKUP($C15,$T$6:$Y$38,5,FALSE)*$D15</f>
        <v>21</v>
      </c>
      <c r="I15" s="1797"/>
      <c r="J15" s="700"/>
      <c r="K15" s="1728">
        <v>1</v>
      </c>
      <c r="L15" s="1798" t="s">
        <v>137</v>
      </c>
      <c r="M15" s="715">
        <v>400</v>
      </c>
      <c r="N15" s="691">
        <f>VLOOKUP($L15,$T$6:$W$38,2,FALSE)*$M15</f>
        <v>56.000000000000007</v>
      </c>
      <c r="O15" s="686">
        <f>VLOOKUP($L15,$T$6:$W$38,3,FALSE)*$M15</f>
        <v>240</v>
      </c>
      <c r="P15" s="684">
        <f>VLOOKUP($L15,$T$6:$W$38,4,FALSE)*$M15</f>
        <v>16</v>
      </c>
      <c r="Q15" s="2066">
        <f>VLOOKUP($L15,$T$6:$Y$38,5,FALSE)*$M15</f>
        <v>12</v>
      </c>
      <c r="R15" s="711"/>
      <c r="T15" s="681" t="s">
        <v>649</v>
      </c>
      <c r="U15" s="681">
        <v>1.1299999999999999</v>
      </c>
      <c r="V15" s="681">
        <v>2.4700000000000002</v>
      </c>
      <c r="W15" s="681">
        <v>0.42</v>
      </c>
      <c r="X15" s="1781">
        <v>0.36</v>
      </c>
      <c r="Y15" s="2060">
        <f t="shared" si="0"/>
        <v>0.89999999999999991</v>
      </c>
    </row>
    <row r="16" spans="1:25">
      <c r="A16" s="3030"/>
      <c r="B16" s="1728">
        <v>2</v>
      </c>
      <c r="C16" s="1798" t="s">
        <v>651</v>
      </c>
      <c r="D16" s="715">
        <v>80</v>
      </c>
      <c r="E16" s="689">
        <f>VLOOKUP($C16,$T$6:$W$38,2,FALSE)*$D16</f>
        <v>64</v>
      </c>
      <c r="F16" s="687">
        <f>VLOOKUP($C16,$T$6:$W$38,3,FALSE)*$D16</f>
        <v>48</v>
      </c>
      <c r="G16" s="784">
        <f>VLOOKUP($C16,$T$6:$W$38,4,FALSE)*$D16</f>
        <v>16</v>
      </c>
      <c r="H16" s="1895">
        <f t="shared" ref="H16:H18" si="7">VLOOKUP($C16,$T$6:$Y$38,5,FALSE)*$D16</f>
        <v>16</v>
      </c>
      <c r="I16" s="1797"/>
      <c r="J16" s="700"/>
      <c r="K16" s="1728">
        <v>2</v>
      </c>
      <c r="L16" s="1798" t="s">
        <v>652</v>
      </c>
      <c r="M16" s="715">
        <v>80</v>
      </c>
      <c r="N16" s="689">
        <f>VLOOKUP($L16,$T$6:$W$38,2,FALSE)*$M16</f>
        <v>64</v>
      </c>
      <c r="O16" s="687">
        <f>VLOOKUP($L16,$T$6:$W$38,3,FALSE)*$M16</f>
        <v>48</v>
      </c>
      <c r="P16" s="784">
        <f>VLOOKUP($L16,$T$6:$W$38,4,FALSE)*$M16</f>
        <v>16</v>
      </c>
      <c r="Q16" s="1895">
        <f>VLOOKUP($L16,$T$6:$Y$38,5,FALSE)*$M16</f>
        <v>16</v>
      </c>
      <c r="R16" s="711"/>
      <c r="T16" s="679" t="s">
        <v>657</v>
      </c>
      <c r="U16" s="679">
        <v>0.8</v>
      </c>
      <c r="V16" s="679">
        <v>0.6</v>
      </c>
      <c r="W16" s="679">
        <v>0.2</v>
      </c>
      <c r="X16" s="2224">
        <v>0.2</v>
      </c>
      <c r="Y16" s="2060">
        <f t="shared" si="0"/>
        <v>0.5</v>
      </c>
    </row>
    <row r="17" spans="1:25">
      <c r="A17" s="3030"/>
      <c r="B17" s="1728">
        <v>3</v>
      </c>
      <c r="C17" s="1798" t="s">
        <v>646</v>
      </c>
      <c r="D17" s="715">
        <v>70</v>
      </c>
      <c r="E17" s="689">
        <f>VLOOKUP($C17,$T$6:$W$38,2,FALSE)*$D17</f>
        <v>74.900000000000006</v>
      </c>
      <c r="F17" s="687">
        <f>VLOOKUP($C17,$T$6:$W$38,3,FALSE)*$D17</f>
        <v>168</v>
      </c>
      <c r="G17" s="784">
        <f>VLOOKUP($C17,$T$6:$W$38,4,FALSE)*$D17</f>
        <v>26.6</v>
      </c>
      <c r="H17" s="1895">
        <f t="shared" si="7"/>
        <v>22.400000000000002</v>
      </c>
      <c r="I17" s="1797"/>
      <c r="J17" s="700"/>
      <c r="K17" s="1728">
        <v>3</v>
      </c>
      <c r="L17" s="1798" t="s">
        <v>648</v>
      </c>
      <c r="M17" s="715">
        <v>75</v>
      </c>
      <c r="N17" s="689">
        <f>VLOOKUP($L17,$T$6:$W$38,2,FALSE)*$M17</f>
        <v>75.75</v>
      </c>
      <c r="O17" s="687">
        <f>VLOOKUP($L17,$T$6:$W$38,3,FALSE)*$M17</f>
        <v>134.25</v>
      </c>
      <c r="P17" s="784">
        <f>VLOOKUP($L17,$T$6:$W$38,4,FALSE)*$M17</f>
        <v>25.500000000000004</v>
      </c>
      <c r="Q17" s="1895">
        <f>VLOOKUP($L17,$T$6:$Y$38,5,FALSE)*$M17</f>
        <v>25.500000000000004</v>
      </c>
      <c r="R17" s="711"/>
      <c r="T17" s="719" t="s">
        <v>650</v>
      </c>
      <c r="U17" s="679">
        <v>1.1000000000000001</v>
      </c>
      <c r="V17" s="679">
        <v>2</v>
      </c>
      <c r="W17" s="679">
        <v>0.4</v>
      </c>
      <c r="X17" s="1781">
        <v>0.35</v>
      </c>
      <c r="Y17" s="2060">
        <f t="shared" si="0"/>
        <v>0.875</v>
      </c>
    </row>
    <row r="18" spans="1:25">
      <c r="A18" s="3030"/>
      <c r="B18" s="1728">
        <v>4</v>
      </c>
      <c r="C18" s="1798" t="s">
        <v>655</v>
      </c>
      <c r="D18" s="715">
        <v>70</v>
      </c>
      <c r="E18" s="690">
        <f>VLOOKUP($C18,$T$6:$W$38,2,FALSE)*$D18</f>
        <v>56</v>
      </c>
      <c r="F18" s="688">
        <f>VLOOKUP($C18,$T$6:$W$38,3,FALSE)*$D18</f>
        <v>42</v>
      </c>
      <c r="G18" s="723">
        <f>VLOOKUP($C18,$T$6:$W$38,4,FALSE)*$D18</f>
        <v>14</v>
      </c>
      <c r="H18" s="1896">
        <f t="shared" si="7"/>
        <v>14</v>
      </c>
      <c r="I18" s="1797"/>
      <c r="J18" s="700"/>
      <c r="K18" s="1728">
        <v>4</v>
      </c>
      <c r="L18" s="1798" t="s">
        <v>652</v>
      </c>
      <c r="M18" s="715">
        <v>70</v>
      </c>
      <c r="N18" s="690">
        <f>VLOOKUP($L18,$T$6:$W$38,2,FALSE)*$M18</f>
        <v>56</v>
      </c>
      <c r="O18" s="688">
        <f>VLOOKUP($L18,$T$6:$W$38,3,FALSE)*$M18</f>
        <v>42</v>
      </c>
      <c r="P18" s="723">
        <f>VLOOKUP($L18,$T$6:$W$38,4,FALSE)*$M18</f>
        <v>14</v>
      </c>
      <c r="Q18" s="1896">
        <f>VLOOKUP($L18,$T$6:$Y$38,5,FALSE)*$M18</f>
        <v>14</v>
      </c>
      <c r="R18" s="711"/>
      <c r="T18" s="679" t="s">
        <v>154</v>
      </c>
      <c r="U18" s="679">
        <v>0.8</v>
      </c>
      <c r="V18" s="679">
        <v>0.5</v>
      </c>
      <c r="W18" s="679">
        <v>0.2</v>
      </c>
      <c r="X18" s="2224">
        <v>0.2</v>
      </c>
      <c r="Y18" s="2060">
        <f t="shared" si="0"/>
        <v>0.5</v>
      </c>
    </row>
    <row r="19" spans="1:25">
      <c r="A19" s="3030"/>
      <c r="B19" s="717"/>
      <c r="C19" s="716"/>
      <c r="D19" s="287" t="s">
        <v>630</v>
      </c>
      <c r="E19" s="730">
        <f>SUM(E15:E18)</f>
        <v>264.89999999999998</v>
      </c>
      <c r="F19" s="731">
        <f t="shared" ref="F19:G19" si="8">SUM(F15:F18)</f>
        <v>433</v>
      </c>
      <c r="G19" s="725">
        <f t="shared" si="8"/>
        <v>112.6</v>
      </c>
      <c r="H19" s="2067">
        <f t="shared" ref="H19" si="9">SUM(H16:H18)</f>
        <v>52.400000000000006</v>
      </c>
      <c r="I19" s="711"/>
      <c r="J19" s="701"/>
      <c r="K19" s="1729"/>
      <c r="L19" s="716"/>
      <c r="M19" s="287" t="s">
        <v>630</v>
      </c>
      <c r="N19" s="730">
        <f>SUM(N15:N18)</f>
        <v>251.75</v>
      </c>
      <c r="O19" s="731">
        <f t="shared" ref="O19" si="10">SUM(O15:O18)</f>
        <v>464.25</v>
      </c>
      <c r="P19" s="725">
        <f t="shared" ref="P19" si="11">SUM(P15:P18)</f>
        <v>71.5</v>
      </c>
      <c r="Q19" s="1898">
        <f t="shared" ref="Q19" si="12">SUM(Q16:Q18)</f>
        <v>55.5</v>
      </c>
      <c r="R19" s="711"/>
      <c r="T19" s="679" t="s">
        <v>658</v>
      </c>
      <c r="U19" s="679">
        <v>1.2</v>
      </c>
      <c r="V19" s="679">
        <v>1.4</v>
      </c>
      <c r="W19" s="679">
        <v>0.2</v>
      </c>
      <c r="X19" s="1781">
        <v>0.2</v>
      </c>
      <c r="Y19" s="2060">
        <f t="shared" si="0"/>
        <v>0.5</v>
      </c>
    </row>
    <row r="20" spans="1:25" ht="30">
      <c r="A20" s="3030"/>
      <c r="B20" s="717"/>
      <c r="C20" s="716"/>
      <c r="D20" s="696" t="s">
        <v>631</v>
      </c>
      <c r="E20" s="1799" t="s">
        <v>2</v>
      </c>
      <c r="F20" s="1800" t="s">
        <v>464</v>
      </c>
      <c r="G20" s="1801" t="s">
        <v>632</v>
      </c>
      <c r="H20" s="2235"/>
      <c r="I20" s="711"/>
      <c r="J20" s="701"/>
      <c r="K20" s="717"/>
      <c r="L20" s="716"/>
      <c r="M20" s="696" t="s">
        <v>631</v>
      </c>
      <c r="N20" s="1802" t="s">
        <v>2</v>
      </c>
      <c r="O20" s="1803" t="s">
        <v>464</v>
      </c>
      <c r="P20" s="2071" t="s">
        <v>632</v>
      </c>
      <c r="Q20" s="2235"/>
      <c r="R20" s="711"/>
      <c r="T20" s="679" t="s">
        <v>659</v>
      </c>
      <c r="U20" s="679">
        <v>1.1000000000000001</v>
      </c>
      <c r="V20" s="679">
        <v>1.4</v>
      </c>
      <c r="W20" s="679">
        <v>0.2</v>
      </c>
      <c r="X20" s="2224">
        <v>0.2</v>
      </c>
      <c r="Y20" s="2060">
        <f t="shared" si="0"/>
        <v>0.5</v>
      </c>
    </row>
    <row r="21" spans="1:25" ht="23.25" customHeight="1">
      <c r="A21" s="3030"/>
      <c r="B21" s="718"/>
      <c r="C21" s="683" t="s">
        <v>634</v>
      </c>
      <c r="D21" s="720" t="s">
        <v>322</v>
      </c>
      <c r="E21" s="697">
        <f>IF(E20="E",0,IF(E20="D",E19*0.5,IF(E20="C",E19,IF(E20="B",E19*1.5,IF(E20="A",E19*2)))))</f>
        <v>264.89999999999998</v>
      </c>
      <c r="F21" s="698">
        <f t="shared" ref="F21" si="13">IF(F20="E",0,IF(F20="D",F19*0.5,IF(F20="C",F19,IF(F20="B",F19*1.5,IF(F20="A",F19*2)))))</f>
        <v>649.5</v>
      </c>
      <c r="G21" s="705">
        <f t="shared" ref="G21" si="14">IF(G20="E",0,IF(G20="D",G19*0.5,IF(G20="C",G19,IF(G20="B",G19*1.5,IF(G20="A",G19*2)))))</f>
        <v>56.3</v>
      </c>
      <c r="H21" s="1897">
        <f>H19</f>
        <v>52.400000000000006</v>
      </c>
      <c r="I21" s="712"/>
      <c r="J21" s="702"/>
      <c r="K21" s="718"/>
      <c r="L21" s="683" t="s">
        <v>634</v>
      </c>
      <c r="M21" s="720" t="s">
        <v>322</v>
      </c>
      <c r="N21" s="697">
        <f>IF(N20="E",0,IF(N20="D",N19*0.5,IF(N20="C",N19,IF(N20="B",N19*1.5,IF(N20="A",N19*2)))))</f>
        <v>251.75</v>
      </c>
      <c r="O21" s="698">
        <f t="shared" ref="O21" si="15">IF(O20="E",0,IF(O20="D",O19*0.5,IF(O20="C",O19,IF(O20="B",O19*1.5,IF(O20="A",O19*2)))))</f>
        <v>696.375</v>
      </c>
      <c r="P21" s="705">
        <f t="shared" ref="P21" si="16">IF(P20="E",0,IF(P20="D",P19*0.5,IF(P20="C",P19,IF(P20="B",P19*1.5,IF(P20="A",P19*2)))))</f>
        <v>35.75</v>
      </c>
      <c r="Q21" s="1897">
        <f>Q19</f>
        <v>55.5</v>
      </c>
      <c r="R21" s="712"/>
      <c r="T21" s="679" t="s">
        <v>660</v>
      </c>
      <c r="U21" s="679">
        <v>1.4</v>
      </c>
      <c r="V21" s="679">
        <v>4</v>
      </c>
      <c r="W21" s="679">
        <v>0.5</v>
      </c>
      <c r="X21" s="2224">
        <v>0.6</v>
      </c>
      <c r="Y21" s="2060">
        <f t="shared" si="0"/>
        <v>1.5</v>
      </c>
    </row>
    <row r="22" spans="1:25">
      <c r="A22" s="3030"/>
      <c r="R22" s="703"/>
      <c r="T22" s="679" t="s">
        <v>661</v>
      </c>
      <c r="U22" s="679">
        <v>1.5</v>
      </c>
      <c r="V22" s="679">
        <v>1.9</v>
      </c>
      <c r="W22" s="679">
        <v>0.3</v>
      </c>
      <c r="X22" s="1781">
        <v>0.2</v>
      </c>
      <c r="Y22" s="2060">
        <f t="shared" si="0"/>
        <v>0.5</v>
      </c>
    </row>
    <row r="23" spans="1:25">
      <c r="A23" s="3030"/>
      <c r="R23" s="703"/>
      <c r="T23" s="679" t="s">
        <v>614</v>
      </c>
      <c r="U23" s="679">
        <v>1.8</v>
      </c>
      <c r="V23" s="679">
        <v>1</v>
      </c>
      <c r="W23" s="679">
        <v>0.5</v>
      </c>
      <c r="X23" s="2224">
        <v>0.35</v>
      </c>
      <c r="Y23" s="2060">
        <f t="shared" si="0"/>
        <v>0.875</v>
      </c>
    </row>
    <row r="24" spans="1:25" ht="30.75" customHeight="1">
      <c r="A24" s="3030"/>
      <c r="B24" s="727"/>
      <c r="C24" s="706" t="s">
        <v>628</v>
      </c>
      <c r="D24" s="728"/>
      <c r="E24" s="2769" t="s">
        <v>625</v>
      </c>
      <c r="F24" s="2769"/>
      <c r="G24" s="2769"/>
      <c r="H24" s="1780"/>
      <c r="I24" s="704" t="s">
        <v>1183</v>
      </c>
      <c r="J24" s="699"/>
      <c r="K24" s="727"/>
      <c r="L24" s="706" t="s">
        <v>628</v>
      </c>
      <c r="M24" s="728"/>
      <c r="N24" s="2769" t="s">
        <v>625</v>
      </c>
      <c r="O24" s="2769"/>
      <c r="P24" s="2769"/>
      <c r="Q24" s="1780"/>
      <c r="R24" s="704" t="s">
        <v>1183</v>
      </c>
      <c r="T24" s="679" t="s">
        <v>615</v>
      </c>
      <c r="U24" s="679">
        <v>2.5</v>
      </c>
      <c r="V24" s="679">
        <v>5.25</v>
      </c>
      <c r="W24" s="679">
        <v>0.8</v>
      </c>
      <c r="X24" s="2224">
        <v>0.56999999999999995</v>
      </c>
      <c r="Y24" s="2060">
        <f t="shared" si="0"/>
        <v>1.4249999999999998</v>
      </c>
    </row>
    <row r="25" spans="1:25" ht="18.75">
      <c r="A25" s="3030"/>
      <c r="B25" s="729" t="s">
        <v>622</v>
      </c>
      <c r="C25" s="724" t="s">
        <v>623</v>
      </c>
      <c r="D25" s="724" t="s">
        <v>33</v>
      </c>
      <c r="E25" s="693" t="s">
        <v>637</v>
      </c>
      <c r="F25" s="694" t="s">
        <v>638</v>
      </c>
      <c r="G25" s="706" t="s">
        <v>610</v>
      </c>
      <c r="H25" s="2070" t="s">
        <v>1305</v>
      </c>
      <c r="I25" s="707"/>
      <c r="J25" s="678"/>
      <c r="K25" s="729" t="s">
        <v>622</v>
      </c>
      <c r="L25" s="724" t="s">
        <v>623</v>
      </c>
      <c r="M25" s="724" t="s">
        <v>33</v>
      </c>
      <c r="N25" s="693" t="s">
        <v>637</v>
      </c>
      <c r="O25" s="694" t="s">
        <v>638</v>
      </c>
      <c r="P25" s="706" t="s">
        <v>610</v>
      </c>
      <c r="Q25" s="2068" t="s">
        <v>1305</v>
      </c>
      <c r="R25" s="707"/>
      <c r="T25" s="679" t="s">
        <v>616</v>
      </c>
      <c r="U25" s="679">
        <v>1.6</v>
      </c>
      <c r="V25" s="679">
        <v>2.4</v>
      </c>
      <c r="W25" s="679">
        <v>0.6</v>
      </c>
      <c r="X25" s="2224">
        <v>0.4</v>
      </c>
      <c r="Y25" s="2060">
        <f t="shared" si="0"/>
        <v>1</v>
      </c>
    </row>
    <row r="26" spans="1:25">
      <c r="A26" s="3030"/>
      <c r="B26" s="1728">
        <v>1</v>
      </c>
      <c r="C26" s="1798" t="s">
        <v>618</v>
      </c>
      <c r="D26" s="715">
        <v>180</v>
      </c>
      <c r="E26" s="691">
        <f>VLOOKUP($C26,$T$6:$W$38,2,FALSE)*$D26</f>
        <v>91.8</v>
      </c>
      <c r="F26" s="686">
        <f>VLOOKUP($C26,$T$6:$W$38,3,FALSE)*$D26</f>
        <v>289.8</v>
      </c>
      <c r="G26" s="684">
        <f>VLOOKUP($C26,$T$6:$W$38,4,FALSE)*$D26</f>
        <v>70.2</v>
      </c>
      <c r="H26" s="2066">
        <f>VLOOKUP($C26,$T$6:$Y$38,5,FALSE)*$D26</f>
        <v>7.2</v>
      </c>
      <c r="I26" s="1797"/>
      <c r="J26" s="700"/>
      <c r="K26" s="1728">
        <v>1</v>
      </c>
      <c r="L26" s="1798" t="s">
        <v>618</v>
      </c>
      <c r="M26" s="715">
        <v>200</v>
      </c>
      <c r="N26" s="691">
        <f>VLOOKUP($L26,$T$6:$W$38,2,FALSE)*$M26</f>
        <v>102</v>
      </c>
      <c r="O26" s="686">
        <f>VLOOKUP($L26,$T$6:$W$38,3,FALSE)*$M26</f>
        <v>322</v>
      </c>
      <c r="P26" s="684">
        <f>VLOOKUP($L26,$T$6:$W$38,4,FALSE)*$M26</f>
        <v>78</v>
      </c>
      <c r="Q26" s="2066">
        <f>VLOOKUP($L26,$T$6:$Y$38,5,FALSE)*$M26</f>
        <v>8</v>
      </c>
      <c r="R26" s="1797"/>
      <c r="T26" s="679" t="s">
        <v>662</v>
      </c>
      <c r="U26" s="679">
        <v>1.2</v>
      </c>
      <c r="V26" s="679">
        <v>1</v>
      </c>
      <c r="W26" s="679">
        <v>0.8</v>
      </c>
      <c r="X26" s="2224">
        <v>0.26</v>
      </c>
      <c r="Y26" s="2060">
        <f t="shared" si="0"/>
        <v>0.65</v>
      </c>
    </row>
    <row r="27" spans="1:25">
      <c r="A27" s="3030"/>
      <c r="B27" s="1728">
        <v>2</v>
      </c>
      <c r="C27" s="1798" t="s">
        <v>651</v>
      </c>
      <c r="D27" s="715">
        <v>80</v>
      </c>
      <c r="E27" s="689">
        <f>VLOOKUP($C27,$T$6:$W$38,2,FALSE)*$D27</f>
        <v>64</v>
      </c>
      <c r="F27" s="687">
        <f>VLOOKUP($C27,$T$6:$W$38,3,FALSE)*$D27</f>
        <v>48</v>
      </c>
      <c r="G27" s="784">
        <f>VLOOKUP($C27,$T$6:$W$38,4,FALSE)*$D27</f>
        <v>16</v>
      </c>
      <c r="H27" s="1895">
        <f t="shared" ref="H27:H30" si="17">VLOOKUP($C27,$T$6:$Y$38,5,FALSE)*$D27</f>
        <v>16</v>
      </c>
      <c r="I27" s="1797"/>
      <c r="J27" s="700"/>
      <c r="K27" s="1728">
        <v>2</v>
      </c>
      <c r="L27" s="1798" t="s">
        <v>651</v>
      </c>
      <c r="M27" s="715">
        <v>80</v>
      </c>
      <c r="N27" s="689">
        <f>VLOOKUP($L27,$T$6:$W$38,2,FALSE)*$M27</f>
        <v>64</v>
      </c>
      <c r="O27" s="687">
        <f>VLOOKUP($L27,$T$6:$W$38,3,FALSE)*$M27</f>
        <v>48</v>
      </c>
      <c r="P27" s="784">
        <f>VLOOKUP($L27,$T$6:$W$38,4,FALSE)*$M27</f>
        <v>16</v>
      </c>
      <c r="Q27" s="1895">
        <f>VLOOKUP($L27,$T$6:$Y$38,5,FALSE)*$M27</f>
        <v>16</v>
      </c>
      <c r="R27" s="1797"/>
      <c r="T27" s="679" t="s">
        <v>137</v>
      </c>
      <c r="U27" s="679">
        <v>0.14000000000000001</v>
      </c>
      <c r="V27" s="679">
        <v>0.6</v>
      </c>
      <c r="W27" s="679">
        <v>0.04</v>
      </c>
      <c r="X27" s="1781">
        <v>0.03</v>
      </c>
      <c r="Y27" s="2060">
        <f t="shared" si="0"/>
        <v>7.4999999999999997E-2</v>
      </c>
    </row>
    <row r="28" spans="1:25">
      <c r="A28" s="3030"/>
      <c r="B28" s="1728">
        <v>3</v>
      </c>
      <c r="C28" s="1798" t="s">
        <v>618</v>
      </c>
      <c r="D28" s="715">
        <v>180</v>
      </c>
      <c r="E28" s="689">
        <f>VLOOKUP($C28,$T$6:$W$38,2,FALSE)*$D28</f>
        <v>91.8</v>
      </c>
      <c r="F28" s="687">
        <f>VLOOKUP($C28,$T$6:$W$38,3,FALSE)*$D28</f>
        <v>289.8</v>
      </c>
      <c r="G28" s="784">
        <f>VLOOKUP($C28,$T$6:$W$38,4,FALSE)*$D28</f>
        <v>70.2</v>
      </c>
      <c r="H28" s="1895">
        <f t="shared" si="17"/>
        <v>7.2</v>
      </c>
      <c r="I28" s="1797"/>
      <c r="J28" s="700"/>
      <c r="K28" s="1728">
        <v>3</v>
      </c>
      <c r="L28" s="1798" t="s">
        <v>614</v>
      </c>
      <c r="M28" s="715">
        <v>45</v>
      </c>
      <c r="N28" s="689">
        <f>VLOOKUP($L28,$T$6:$W$38,2,FALSE)*$M28</f>
        <v>81</v>
      </c>
      <c r="O28" s="687">
        <f>VLOOKUP($L28,$T$6:$W$38,3,FALSE)*$M28</f>
        <v>45</v>
      </c>
      <c r="P28" s="784">
        <f>VLOOKUP($L28,$T$6:$W$38,4,FALSE)*$M28</f>
        <v>22.5</v>
      </c>
      <c r="Q28" s="1895">
        <f>VLOOKUP($L28,$T$6:$Y$38,5,FALSE)*$M28</f>
        <v>15.749999999999998</v>
      </c>
      <c r="R28" s="1797"/>
      <c r="T28" s="679" t="s">
        <v>126</v>
      </c>
      <c r="U28" s="679">
        <v>0.1</v>
      </c>
      <c r="V28" s="679">
        <v>0.25</v>
      </c>
      <c r="W28" s="679">
        <v>0.08</v>
      </c>
      <c r="X28" s="679">
        <v>0.03</v>
      </c>
      <c r="Y28" s="2060">
        <f t="shared" si="0"/>
        <v>7.4999999999999997E-2</v>
      </c>
    </row>
    <row r="29" spans="1:25">
      <c r="A29" s="3030"/>
      <c r="B29" s="1728">
        <v>4</v>
      </c>
      <c r="C29" s="1798" t="s">
        <v>651</v>
      </c>
      <c r="D29" s="715">
        <v>70</v>
      </c>
      <c r="E29" s="689">
        <f>VLOOKUP($C29,$T$6:$W$38,2,FALSE)*$D29</f>
        <v>56</v>
      </c>
      <c r="F29" s="687">
        <f>VLOOKUP($C29,$T$6:$W$38,3,FALSE)*$D29</f>
        <v>42</v>
      </c>
      <c r="G29" s="784">
        <f>VLOOKUP($C29,$T$6:$W$38,4,FALSE)*$D29</f>
        <v>14</v>
      </c>
      <c r="H29" s="1895">
        <f t="shared" si="17"/>
        <v>14</v>
      </c>
      <c r="I29" s="1797"/>
      <c r="J29" s="700"/>
      <c r="K29" s="1728">
        <v>4</v>
      </c>
      <c r="L29" s="1798" t="s">
        <v>651</v>
      </c>
      <c r="M29" s="715">
        <v>70</v>
      </c>
      <c r="N29" s="689">
        <f>VLOOKUP($L29,$T$6:$W$38,2,FALSE)*$M29</f>
        <v>56</v>
      </c>
      <c r="O29" s="687">
        <f>VLOOKUP($L29,$T$6:$W$38,3,FALSE)*$M29</f>
        <v>42</v>
      </c>
      <c r="P29" s="784">
        <f>VLOOKUP($L29,$T$6:$W$38,4,FALSE)*$M29</f>
        <v>14</v>
      </c>
      <c r="Q29" s="1895">
        <f>VLOOKUP($L29,$T$6:$Y$38,5,FALSE)*$M29</f>
        <v>14</v>
      </c>
      <c r="R29" s="1797"/>
      <c r="T29" s="679" t="s">
        <v>617</v>
      </c>
      <c r="U29" s="679">
        <v>0.18</v>
      </c>
      <c r="V29" s="679">
        <v>0.67</v>
      </c>
      <c r="W29" s="679">
        <v>0.15</v>
      </c>
      <c r="X29" s="2224">
        <v>0.05</v>
      </c>
      <c r="Y29" s="2060">
        <f t="shared" si="0"/>
        <v>0.125</v>
      </c>
    </row>
    <row r="30" spans="1:25">
      <c r="A30" s="3030"/>
      <c r="B30" s="1728">
        <v>5</v>
      </c>
      <c r="C30" s="1798" t="s">
        <v>649</v>
      </c>
      <c r="D30" s="715">
        <v>70</v>
      </c>
      <c r="E30" s="690">
        <f>VLOOKUP($C30,$T$6:$W$38,2,FALSE)*$D30</f>
        <v>79.099999999999994</v>
      </c>
      <c r="F30" s="688">
        <f>VLOOKUP($C30,$T$6:$W$38,3,FALSE)*$D30</f>
        <v>172.9</v>
      </c>
      <c r="G30" s="723">
        <f>VLOOKUP($C30,$T$6:$W$38,4,FALSE)*$D30</f>
        <v>29.4</v>
      </c>
      <c r="H30" s="1896">
        <f t="shared" si="17"/>
        <v>25.2</v>
      </c>
      <c r="I30" s="1797"/>
      <c r="J30" s="700"/>
      <c r="K30" s="1728">
        <v>5</v>
      </c>
      <c r="L30" s="1798" t="s">
        <v>646</v>
      </c>
      <c r="M30" s="715">
        <v>70</v>
      </c>
      <c r="N30" s="690">
        <f>VLOOKUP($L30,$T$6:$W$38,2,FALSE)*$M30</f>
        <v>74.900000000000006</v>
      </c>
      <c r="O30" s="688">
        <f>VLOOKUP($L30,$T$6:$W$38,3,FALSE)*$M30</f>
        <v>168</v>
      </c>
      <c r="P30" s="723">
        <f>VLOOKUP($L30,$T$6:$W$38,4,FALSE)*$M30</f>
        <v>26.6</v>
      </c>
      <c r="Q30" s="1896">
        <f>VLOOKUP($L30,$T$6:$Y$38,5,FALSE)*$M30</f>
        <v>22.400000000000002</v>
      </c>
      <c r="R30" s="1797"/>
      <c r="T30" s="679" t="s">
        <v>618</v>
      </c>
      <c r="U30" s="679">
        <v>0.51</v>
      </c>
      <c r="V30" s="679">
        <v>1.61</v>
      </c>
      <c r="W30" s="732">
        <v>0.39</v>
      </c>
      <c r="X30" s="1781">
        <v>0.04</v>
      </c>
      <c r="Y30" s="2060">
        <f t="shared" si="0"/>
        <v>0.1</v>
      </c>
    </row>
    <row r="31" spans="1:25">
      <c r="A31" s="3030"/>
      <c r="B31" s="717"/>
      <c r="C31" s="716"/>
      <c r="D31" s="287" t="s">
        <v>630</v>
      </c>
      <c r="E31" s="730">
        <f>SUM(E26:E30)</f>
        <v>382.70000000000005</v>
      </c>
      <c r="F31" s="731">
        <f t="shared" ref="F31:G31" si="18">SUM(F26:F30)</f>
        <v>842.5</v>
      </c>
      <c r="G31" s="725">
        <f t="shared" si="18"/>
        <v>199.8</v>
      </c>
      <c r="H31" s="2067">
        <f t="shared" ref="H31" si="19">SUM(H26:H30)</f>
        <v>69.599999999999994</v>
      </c>
      <c r="I31" s="711"/>
      <c r="J31" s="701"/>
      <c r="K31" s="717"/>
      <c r="L31" s="716"/>
      <c r="M31" s="287" t="s">
        <v>630</v>
      </c>
      <c r="N31" s="730">
        <f>SUM(N26:N30)</f>
        <v>377.9</v>
      </c>
      <c r="O31" s="731">
        <f t="shared" ref="O31" si="20">SUM(O26:O30)</f>
        <v>625</v>
      </c>
      <c r="P31" s="725">
        <f t="shared" ref="P31:Q31" si="21">SUM(P26:P30)</f>
        <v>157.1</v>
      </c>
      <c r="Q31" s="2067">
        <f t="shared" si="21"/>
        <v>76.150000000000006</v>
      </c>
      <c r="R31" s="711"/>
      <c r="T31" s="679" t="s">
        <v>656</v>
      </c>
      <c r="U31" s="679">
        <v>0.23</v>
      </c>
      <c r="V31" s="679">
        <v>0.48</v>
      </c>
      <c r="W31" s="679">
        <v>0.1</v>
      </c>
      <c r="X31" s="1781">
        <v>0.05</v>
      </c>
      <c r="Y31" s="2060">
        <f t="shared" si="0"/>
        <v>0.125</v>
      </c>
    </row>
    <row r="32" spans="1:25" ht="30">
      <c r="A32" s="3030"/>
      <c r="B32" s="717"/>
      <c r="C32" s="716"/>
      <c r="D32" s="696" t="s">
        <v>631</v>
      </c>
      <c r="E32" s="1799" t="s">
        <v>463</v>
      </c>
      <c r="F32" s="1800" t="s">
        <v>2</v>
      </c>
      <c r="G32" s="1801" t="s">
        <v>3</v>
      </c>
      <c r="H32" s="2235"/>
      <c r="I32" s="711"/>
      <c r="J32" s="701"/>
      <c r="K32" s="717"/>
      <c r="L32" s="716"/>
      <c r="M32" s="696" t="s">
        <v>631</v>
      </c>
      <c r="N32" s="1802" t="s">
        <v>463</v>
      </c>
      <c r="O32" s="1803" t="s">
        <v>2</v>
      </c>
      <c r="P32" s="2071" t="s">
        <v>3</v>
      </c>
      <c r="Q32" s="2235"/>
      <c r="R32" s="711"/>
      <c r="T32" s="679" t="s">
        <v>619</v>
      </c>
      <c r="U32" s="679">
        <v>0.7</v>
      </c>
      <c r="V32" s="679">
        <v>3</v>
      </c>
      <c r="W32" s="679">
        <v>0.4</v>
      </c>
      <c r="X32" s="1781">
        <v>0.05</v>
      </c>
      <c r="Y32" s="2060">
        <f t="shared" si="0"/>
        <v>0.125</v>
      </c>
    </row>
    <row r="33" spans="1:25" ht="24" customHeight="1">
      <c r="A33" s="3030"/>
      <c r="B33" s="718"/>
      <c r="C33" s="683" t="s">
        <v>635</v>
      </c>
      <c r="D33" s="720" t="s">
        <v>322</v>
      </c>
      <c r="E33" s="697">
        <f>IF(E32="E",0,IF(E32="D",E31*0.5,IF(E32="C",E31,IF(E32="B",E31*1.5,IF(E32="A",E31*2)))))</f>
        <v>765.40000000000009</v>
      </c>
      <c r="F33" s="698">
        <f t="shared" ref="F33" si="22">IF(F32="E",0,IF(F32="D",F31*0.5,IF(F32="C",F31,IF(F32="B",F31*1.5,IF(F32="A",F31*2)))))</f>
        <v>842.5</v>
      </c>
      <c r="G33" s="705">
        <f t="shared" ref="G33" si="23">IF(G32="E",0,IF(G32="D",G31*0.5,IF(G32="C",G31,IF(G32="B",G31*1.5,IF(G32="A",G31*2)))))</f>
        <v>0</v>
      </c>
      <c r="H33" s="1897">
        <f>H31</f>
        <v>69.599999999999994</v>
      </c>
      <c r="I33" s="710"/>
      <c r="J33" s="702"/>
      <c r="K33" s="718"/>
      <c r="L33" s="683" t="s">
        <v>635</v>
      </c>
      <c r="M33" s="720" t="s">
        <v>322</v>
      </c>
      <c r="N33" s="697">
        <f>IF(N32="E",0,IF(N32="D",N31*0.5,IF(N32="C",N31,IF(N32="B",N31*1.5,IF(N32="A",N31*2)))))</f>
        <v>755.8</v>
      </c>
      <c r="O33" s="698">
        <f t="shared" ref="O33" si="24">IF(O32="E",0,IF(O32="D",O31*0.5,IF(O32="C",O31,IF(O32="B",O31*1.5,IF(O32="A",O31*2)))))</f>
        <v>625</v>
      </c>
      <c r="P33" s="705">
        <f t="shared" ref="P33" si="25">IF(P32="E",0,IF(P32="D",P31*0.5,IF(P32="C",P31,IF(P32="B",P31*1.5,IF(P32="A",P31*2)))))</f>
        <v>0</v>
      </c>
      <c r="Q33" s="1897">
        <f>Q31</f>
        <v>76.150000000000006</v>
      </c>
      <c r="R33" s="710"/>
      <c r="T33" s="679" t="s">
        <v>620</v>
      </c>
      <c r="U33" s="679">
        <v>0.8</v>
      </c>
      <c r="V33" s="679">
        <v>3</v>
      </c>
      <c r="W33" s="679">
        <v>0.3</v>
      </c>
      <c r="X33" s="1781">
        <v>0.05</v>
      </c>
      <c r="Y33" s="2060">
        <f t="shared" si="0"/>
        <v>0.125</v>
      </c>
    </row>
    <row r="34" spans="1:25">
      <c r="A34" s="3030"/>
      <c r="R34" s="703"/>
    </row>
    <row r="35" spans="1:25">
      <c r="A35" s="3030"/>
      <c r="R35" s="703"/>
      <c r="T35" s="714" t="s">
        <v>624</v>
      </c>
      <c r="U35" s="714"/>
      <c r="V35" s="714"/>
      <c r="W35" s="714"/>
    </row>
    <row r="36" spans="1:25" ht="33.75" customHeight="1">
      <c r="A36" s="3030"/>
      <c r="B36" s="727"/>
      <c r="C36" s="706" t="s">
        <v>629</v>
      </c>
      <c r="D36" s="728"/>
      <c r="E36" s="2769" t="s">
        <v>625</v>
      </c>
      <c r="F36" s="2769"/>
      <c r="G36" s="2769"/>
      <c r="H36" s="1780"/>
      <c r="I36" s="704" t="s">
        <v>1183</v>
      </c>
      <c r="J36" s="699"/>
      <c r="K36" s="727"/>
      <c r="L36" s="706" t="s">
        <v>629</v>
      </c>
      <c r="M36" s="728"/>
      <c r="N36" s="2769" t="s">
        <v>625</v>
      </c>
      <c r="O36" s="2769"/>
      <c r="P36" s="2769"/>
      <c r="Q36" s="1780"/>
      <c r="R36" s="704" t="s">
        <v>1183</v>
      </c>
      <c r="T36" s="714" t="s">
        <v>624</v>
      </c>
      <c r="U36" s="714"/>
      <c r="V36" s="714"/>
      <c r="W36" s="714"/>
    </row>
    <row r="37" spans="1:25" ht="18.75">
      <c r="A37" s="3030"/>
      <c r="B37" s="729" t="s">
        <v>622</v>
      </c>
      <c r="C37" s="724" t="s">
        <v>623</v>
      </c>
      <c r="D37" s="724" t="s">
        <v>33</v>
      </c>
      <c r="E37" s="693" t="s">
        <v>637</v>
      </c>
      <c r="F37" s="694" t="s">
        <v>638</v>
      </c>
      <c r="G37" s="706" t="s">
        <v>610</v>
      </c>
      <c r="H37" s="2070" t="s">
        <v>1305</v>
      </c>
      <c r="I37" s="707"/>
      <c r="J37" s="678"/>
      <c r="K37" s="729" t="s">
        <v>622</v>
      </c>
      <c r="L37" s="724" t="s">
        <v>623</v>
      </c>
      <c r="M37" s="724" t="s">
        <v>33</v>
      </c>
      <c r="N37" s="693" t="s">
        <v>637</v>
      </c>
      <c r="O37" s="694" t="s">
        <v>638</v>
      </c>
      <c r="P37" s="2065" t="s">
        <v>610</v>
      </c>
      <c r="Q37" s="2070" t="s">
        <v>1305</v>
      </c>
      <c r="R37" s="707"/>
      <c r="T37" s="714" t="s">
        <v>624</v>
      </c>
      <c r="U37" s="714"/>
      <c r="V37" s="714"/>
      <c r="W37" s="714"/>
    </row>
    <row r="38" spans="1:25">
      <c r="A38" s="3030"/>
      <c r="B38" s="1728">
        <v>1</v>
      </c>
      <c r="C38" s="1798" t="s">
        <v>659</v>
      </c>
      <c r="D38" s="715">
        <v>40</v>
      </c>
      <c r="E38" s="691">
        <f t="shared" ref="E38:E43" si="26">VLOOKUP($C38,$T$6:$W$38,2,FALSE)*$D38</f>
        <v>44</v>
      </c>
      <c r="F38" s="686">
        <f t="shared" ref="F38:F43" si="27">VLOOKUP($C38,$T$6:$W$38,3,FALSE)*$D38</f>
        <v>56</v>
      </c>
      <c r="G38" s="684">
        <f t="shared" ref="G38:G43" si="28">VLOOKUP($C38,$T$6:$W$38,4,FALSE)*$D38</f>
        <v>8</v>
      </c>
      <c r="H38" s="2066">
        <f>VLOOKUP($C38,$T$6:$Y$38,5,FALSE)*$D38</f>
        <v>8</v>
      </c>
      <c r="I38" s="1797"/>
      <c r="J38" s="700"/>
      <c r="K38" s="1728">
        <v>1</v>
      </c>
      <c r="L38" s="1798" t="s">
        <v>658</v>
      </c>
      <c r="M38" s="715">
        <v>50</v>
      </c>
      <c r="N38" s="691">
        <f t="shared" ref="N38:N43" si="29">VLOOKUP($L38,$T$6:$W$38,2,FALSE)*$M38</f>
        <v>60</v>
      </c>
      <c r="O38" s="686">
        <f t="shared" ref="O38:O43" si="30">VLOOKUP($L38,$T$6:$W$38,3,FALSE)*$M38</f>
        <v>70</v>
      </c>
      <c r="P38" s="684">
        <f t="shared" ref="P38:P43" si="31">VLOOKUP($L38,$T$6:$W$38,4,FALSE)*$M38</f>
        <v>10</v>
      </c>
      <c r="Q38" s="2066">
        <f>VLOOKUP($L38,$T$6:$Y$38,5,FALSE)*$M38</f>
        <v>10</v>
      </c>
      <c r="R38" s="1797"/>
      <c r="T38" s="714" t="s">
        <v>624</v>
      </c>
      <c r="U38" s="714"/>
      <c r="V38" s="714"/>
      <c r="W38" s="714"/>
    </row>
    <row r="39" spans="1:25">
      <c r="A39" s="3030"/>
      <c r="B39" s="1728">
        <v>2</v>
      </c>
      <c r="C39" s="1798" t="s">
        <v>651</v>
      </c>
      <c r="D39" s="715">
        <v>80</v>
      </c>
      <c r="E39" s="689">
        <f t="shared" si="26"/>
        <v>64</v>
      </c>
      <c r="F39" s="687">
        <f t="shared" si="27"/>
        <v>48</v>
      </c>
      <c r="G39" s="784">
        <f t="shared" si="28"/>
        <v>16</v>
      </c>
      <c r="H39" s="1895">
        <f t="shared" ref="H39:H43" si="32">VLOOKUP($C39,$T$6:$Y$38,5,FALSE)*$D39</f>
        <v>16</v>
      </c>
      <c r="I39" s="1797"/>
      <c r="J39" s="700"/>
      <c r="K39" s="1728">
        <v>2</v>
      </c>
      <c r="L39" s="1798" t="s">
        <v>651</v>
      </c>
      <c r="M39" s="715">
        <v>90</v>
      </c>
      <c r="N39" s="689">
        <f t="shared" si="29"/>
        <v>72</v>
      </c>
      <c r="O39" s="687">
        <f t="shared" si="30"/>
        <v>54</v>
      </c>
      <c r="P39" s="784">
        <f t="shared" si="31"/>
        <v>18</v>
      </c>
      <c r="Q39" s="1895">
        <f>VLOOKUP($L39,$T$6:$Y$38,5,FALSE)*$M39</f>
        <v>18</v>
      </c>
      <c r="R39" s="1797"/>
    </row>
    <row r="40" spans="1:25">
      <c r="A40" s="3030"/>
      <c r="B40" s="1728">
        <v>3</v>
      </c>
      <c r="C40" s="1798" t="s">
        <v>648</v>
      </c>
      <c r="D40" s="715">
        <v>70</v>
      </c>
      <c r="E40" s="689">
        <f t="shared" si="26"/>
        <v>70.7</v>
      </c>
      <c r="F40" s="687">
        <f t="shared" si="27"/>
        <v>125.3</v>
      </c>
      <c r="G40" s="784">
        <f t="shared" si="28"/>
        <v>23.8</v>
      </c>
      <c r="H40" s="1895">
        <f t="shared" si="32"/>
        <v>23.8</v>
      </c>
      <c r="I40" s="1797"/>
      <c r="J40" s="700"/>
      <c r="K40" s="1728">
        <v>3</v>
      </c>
      <c r="L40" s="1798" t="s">
        <v>647</v>
      </c>
      <c r="M40" s="715">
        <v>80</v>
      </c>
      <c r="N40" s="689">
        <f t="shared" si="29"/>
        <v>85.600000000000009</v>
      </c>
      <c r="O40" s="687">
        <f t="shared" si="30"/>
        <v>170.39999999999998</v>
      </c>
      <c r="P40" s="784">
        <f t="shared" si="31"/>
        <v>30.4</v>
      </c>
      <c r="Q40" s="1895">
        <f t="shared" ref="Q40:Q43" si="33">VLOOKUP($L40,$T$6:$Y$38,5,FALSE)*$M40</f>
        <v>30.4</v>
      </c>
      <c r="R40" s="1797"/>
    </row>
    <row r="41" spans="1:25">
      <c r="A41" s="3030"/>
      <c r="B41" s="1728">
        <v>4</v>
      </c>
      <c r="C41" s="1798" t="s">
        <v>137</v>
      </c>
      <c r="D41" s="715">
        <v>500</v>
      </c>
      <c r="E41" s="689">
        <f t="shared" si="26"/>
        <v>70</v>
      </c>
      <c r="F41" s="687">
        <f t="shared" si="27"/>
        <v>300</v>
      </c>
      <c r="G41" s="784">
        <f t="shared" si="28"/>
        <v>20</v>
      </c>
      <c r="H41" s="1895">
        <f t="shared" si="32"/>
        <v>15</v>
      </c>
      <c r="I41" s="1797"/>
      <c r="J41" s="700"/>
      <c r="K41" s="1728">
        <v>4</v>
      </c>
      <c r="L41" s="1798" t="s">
        <v>137</v>
      </c>
      <c r="M41" s="715">
        <v>500</v>
      </c>
      <c r="N41" s="689">
        <f t="shared" si="29"/>
        <v>70</v>
      </c>
      <c r="O41" s="687">
        <f t="shared" si="30"/>
        <v>300</v>
      </c>
      <c r="P41" s="784">
        <f t="shared" si="31"/>
        <v>20</v>
      </c>
      <c r="Q41" s="1895">
        <f t="shared" si="33"/>
        <v>15</v>
      </c>
      <c r="R41" s="1797"/>
    </row>
    <row r="42" spans="1:25">
      <c r="A42" s="3030"/>
      <c r="B42" s="1728">
        <v>5</v>
      </c>
      <c r="C42" s="1798" t="s">
        <v>653</v>
      </c>
      <c r="D42" s="715">
        <v>80</v>
      </c>
      <c r="E42" s="689">
        <f t="shared" si="26"/>
        <v>64</v>
      </c>
      <c r="F42" s="687">
        <f t="shared" si="27"/>
        <v>48</v>
      </c>
      <c r="G42" s="784">
        <f t="shared" si="28"/>
        <v>16</v>
      </c>
      <c r="H42" s="1895">
        <f t="shared" si="32"/>
        <v>16</v>
      </c>
      <c r="I42" s="1797"/>
      <c r="J42" s="700"/>
      <c r="K42" s="1728">
        <v>5</v>
      </c>
      <c r="L42" s="1798" t="s">
        <v>653</v>
      </c>
      <c r="M42" s="715">
        <v>85</v>
      </c>
      <c r="N42" s="689">
        <f t="shared" si="29"/>
        <v>68</v>
      </c>
      <c r="O42" s="687">
        <f t="shared" si="30"/>
        <v>51</v>
      </c>
      <c r="P42" s="784">
        <f t="shared" si="31"/>
        <v>17</v>
      </c>
      <c r="Q42" s="1895">
        <f t="shared" si="33"/>
        <v>17</v>
      </c>
      <c r="R42" s="1797"/>
    </row>
    <row r="43" spans="1:25">
      <c r="A43" s="3030"/>
      <c r="B43" s="1728">
        <v>6</v>
      </c>
      <c r="C43" s="1798" t="s">
        <v>649</v>
      </c>
      <c r="D43" s="715">
        <v>70</v>
      </c>
      <c r="E43" s="690">
        <f t="shared" si="26"/>
        <v>79.099999999999994</v>
      </c>
      <c r="F43" s="688">
        <f t="shared" si="27"/>
        <v>172.9</v>
      </c>
      <c r="G43" s="723">
        <f t="shared" si="28"/>
        <v>29.4</v>
      </c>
      <c r="H43" s="1896">
        <f t="shared" si="32"/>
        <v>25.2</v>
      </c>
      <c r="I43" s="1797"/>
      <c r="J43" s="700"/>
      <c r="K43" s="1728">
        <v>6</v>
      </c>
      <c r="L43" s="1798" t="s">
        <v>648</v>
      </c>
      <c r="M43" s="715">
        <v>75</v>
      </c>
      <c r="N43" s="690">
        <f t="shared" si="29"/>
        <v>75.75</v>
      </c>
      <c r="O43" s="688">
        <f t="shared" si="30"/>
        <v>134.25</v>
      </c>
      <c r="P43" s="723">
        <f t="shared" si="31"/>
        <v>25.500000000000004</v>
      </c>
      <c r="Q43" s="1896">
        <f t="shared" si="33"/>
        <v>25.500000000000004</v>
      </c>
      <c r="R43" s="1797"/>
    </row>
    <row r="44" spans="1:25">
      <c r="A44" s="3030"/>
      <c r="B44" s="717"/>
      <c r="C44" s="716"/>
      <c r="D44" s="287" t="s">
        <v>630</v>
      </c>
      <c r="E44" s="730">
        <f>SUM(E38:E43)</f>
        <v>391.79999999999995</v>
      </c>
      <c r="F44" s="731">
        <f t="shared" ref="F44:G44" si="34">SUM(F38:F43)</f>
        <v>750.19999999999993</v>
      </c>
      <c r="G44" s="725">
        <f t="shared" si="34"/>
        <v>113.19999999999999</v>
      </c>
      <c r="H44" s="2067">
        <f t="shared" ref="H44" si="35">SUM(H38:H43)</f>
        <v>104</v>
      </c>
      <c r="I44" s="711"/>
      <c r="J44" s="701"/>
      <c r="K44" s="717"/>
      <c r="L44" s="716"/>
      <c r="M44" s="287" t="s">
        <v>630</v>
      </c>
      <c r="N44" s="730">
        <f>SUM(N38:N43)</f>
        <v>431.35</v>
      </c>
      <c r="O44" s="731">
        <f t="shared" ref="O44" si="36">SUM(O38:O43)</f>
        <v>779.65</v>
      </c>
      <c r="P44" s="725">
        <f t="shared" ref="P44:Q44" si="37">SUM(P38:P43)</f>
        <v>120.9</v>
      </c>
      <c r="Q44" s="2067">
        <f t="shared" si="37"/>
        <v>115.9</v>
      </c>
      <c r="R44" s="711"/>
    </row>
    <row r="45" spans="1:25" ht="30">
      <c r="A45" s="3030"/>
      <c r="B45" s="717"/>
      <c r="C45" s="716"/>
      <c r="D45" s="696" t="s">
        <v>631</v>
      </c>
      <c r="E45" s="1799" t="s">
        <v>632</v>
      </c>
      <c r="F45" s="1800" t="s">
        <v>2</v>
      </c>
      <c r="G45" s="1801" t="s">
        <v>464</v>
      </c>
      <c r="H45" s="2235"/>
      <c r="I45" s="713"/>
      <c r="J45" s="701"/>
      <c r="K45" s="717"/>
      <c r="L45" s="716"/>
      <c r="M45" s="696" t="s">
        <v>631</v>
      </c>
      <c r="N45" s="1802" t="s">
        <v>632</v>
      </c>
      <c r="O45" s="1803" t="s">
        <v>2</v>
      </c>
      <c r="P45" s="2069" t="s">
        <v>464</v>
      </c>
      <c r="Q45" s="2235"/>
      <c r="R45" s="713"/>
    </row>
    <row r="46" spans="1:25" ht="24" customHeight="1">
      <c r="A46" s="3030"/>
      <c r="B46" s="718"/>
      <c r="C46" s="683" t="s">
        <v>636</v>
      </c>
      <c r="D46" s="720" t="s">
        <v>322</v>
      </c>
      <c r="E46" s="697">
        <f>IF(E45="E",0,IF(E45="D",E44*0.5,IF(E45="C",E44,IF(E45="B",E44*1.5,IF(E45="A",E44*2)))))</f>
        <v>195.89999999999998</v>
      </c>
      <c r="F46" s="698">
        <f t="shared" ref="F46" si="38">IF(F45="E",0,IF(F45="D",F44*0.5,IF(F45="C",F44,IF(F45="B",F44*1.5,IF(F45="A",F44*2)))))</f>
        <v>750.19999999999993</v>
      </c>
      <c r="G46" s="705">
        <f t="shared" ref="G46" si="39">IF(G45="E",0,IF(G45="D",G44*0.5,IF(G45="C",G44,IF(G45="B",G44*1.5,IF(G45="A",G44*2)))))</f>
        <v>169.79999999999998</v>
      </c>
      <c r="H46" s="1897">
        <f>H44</f>
        <v>104</v>
      </c>
      <c r="I46" s="710"/>
      <c r="J46" s="702"/>
      <c r="K46" s="718"/>
      <c r="L46" s="683" t="s">
        <v>636</v>
      </c>
      <c r="M46" s="720" t="s">
        <v>322</v>
      </c>
      <c r="N46" s="697">
        <f>IF(N45="E",0,IF(N45="D",N44*0.5,IF(N45="C",N44,IF(N45="B",N44*1.5,IF(N45="A",N44*2)))))</f>
        <v>215.67500000000001</v>
      </c>
      <c r="O46" s="698">
        <f t="shared" ref="O46" si="40">IF(O45="E",0,IF(O45="D",O44*0.5,IF(O45="C",O44,IF(O45="B",O44*1.5,IF(O45="A",O44*2)))))</f>
        <v>779.65</v>
      </c>
      <c r="P46" s="705">
        <f t="shared" ref="P46" si="41">IF(P45="E",0,IF(P45="D",P44*0.5,IF(P45="C",P44,IF(P45="B",P44*1.5,IF(P45="A",P44*2)))))</f>
        <v>181.35000000000002</v>
      </c>
      <c r="Q46" s="1897">
        <f>Q44</f>
        <v>115.9</v>
      </c>
      <c r="R46" s="710"/>
    </row>
    <row r="50" spans="4:4" ht="18.75">
      <c r="D50" s="212"/>
    </row>
  </sheetData>
  <sheetProtection formatCells="0" formatColumns="0" formatRows="0" selectLockedCells="1"/>
  <mergeCells count="16">
    <mergeCell ref="A1:A46"/>
    <mergeCell ref="U4:W4"/>
    <mergeCell ref="E3:G3"/>
    <mergeCell ref="E13:G13"/>
    <mergeCell ref="E24:G24"/>
    <mergeCell ref="T3:W3"/>
    <mergeCell ref="C2:G2"/>
    <mergeCell ref="L2:P2"/>
    <mergeCell ref="E36:G36"/>
    <mergeCell ref="N36:P36"/>
    <mergeCell ref="N3:P3"/>
    <mergeCell ref="N13:P13"/>
    <mergeCell ref="N24:P24"/>
    <mergeCell ref="B1:P1"/>
    <mergeCell ref="H2:I2"/>
    <mergeCell ref="Q2:R2"/>
  </mergeCells>
  <conditionalFormatting sqref="E9">
    <cfRule type="containsText" dxfId="3" priority="17" operator="containsText" text="A;E">
      <formula>NOT(ISERROR(SEARCH("A;E",E9)))</formula>
    </cfRule>
    <cfRule type="colorScale" priority="18">
      <colorScale>
        <cfvo type="formula" val="&quot;A&quot;"/>
        <cfvo type="formula" val="&quot;C&quot;"/>
        <cfvo type="formula" val="&quot;E&quot;"/>
        <color theme="5" tint="0.59999389629810485"/>
        <color rgb="FFFFEB84"/>
        <color theme="4" tint="0.39997558519241921"/>
      </colorScale>
    </cfRule>
    <cfRule type="colorScale" priority="19">
      <colorScale>
        <cfvo type="min"/>
        <cfvo type="percentile" val="50"/>
        <cfvo type="max"/>
        <color rgb="FFF8696B"/>
        <color rgb="FFFFEB84"/>
        <color rgb="FF63BE7B"/>
      </colorScale>
    </cfRule>
    <cfRule type="colorScale" priority="20">
      <colorScale>
        <cfvo type="min"/>
        <cfvo type="percentile" val="50"/>
        <cfvo type="max"/>
        <color rgb="FFF8696B"/>
        <color rgb="FFFFEB84"/>
        <color rgb="FF63BE7B"/>
      </colorScale>
    </cfRule>
  </conditionalFormatting>
  <conditionalFormatting sqref="N9">
    <cfRule type="containsText" dxfId="2" priority="1" operator="containsText" text="A;E">
      <formula>NOT(ISERROR(SEARCH("A;E",N9)))</formula>
    </cfRule>
    <cfRule type="colorScale" priority="2">
      <colorScale>
        <cfvo type="formula" val="&quot;A&quot;"/>
        <cfvo type="formula" val="&quot;C&quot;"/>
        <cfvo type="formula" val="&quot;E&quot;"/>
        <color theme="5" tint="0.59999389629810485"/>
        <color rgb="FFFFEB84"/>
        <color theme="4" tint="0.39997558519241921"/>
      </colorScale>
    </cfRule>
    <cfRule type="colorScale" priority="3">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onditionalFormatting>
  <dataValidations count="2">
    <dataValidation type="list" allowBlank="1" showInputMessage="1" showErrorMessage="1" sqref="E20:G20 N9:P9 N32:P32 E9:G9 N20:P20 E45:G45 E32:G32 N45:P45">
      <formula1>"A,B,C,D,E"</formula1>
    </dataValidation>
    <dataValidation type="list" allowBlank="1" sqref="C5:C7 C15:C18 C26:C30 C38:C43 L5:L7 L15:L18 L26:L30 L38:L43">
      <formula1>$T$6:$T$38</formula1>
    </dataValidation>
  </dataValidations>
  <pageMargins left="0.7" right="0.7" top="0.78740157499999996" bottom="0.78740157499999996" header="0.3" footer="0.3"/>
  <pageSetup paperSize="9" scale="71" fitToWidth="0" orientation="portrait" horizontalDpi="4294967293" verticalDpi="4294967293" r:id="rId1"/>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5" tint="0.39997558519241921"/>
  </sheetPr>
  <dimension ref="A1:T46"/>
  <sheetViews>
    <sheetView zoomScaleNormal="100" workbookViewId="0">
      <selection activeCell="U5" sqref="U5"/>
    </sheetView>
  </sheetViews>
  <sheetFormatPr baseColWidth="10" defaultRowHeight="15"/>
  <cols>
    <col min="1" max="1" width="45.7109375" style="856" customWidth="1"/>
    <col min="2" max="2" width="6" style="1300" customWidth="1"/>
    <col min="3" max="3" width="46.28515625" style="856" customWidth="1"/>
    <col min="4" max="4" width="13.28515625" style="856" customWidth="1"/>
    <col min="5" max="5" width="11.28515625" style="856" customWidth="1"/>
    <col min="6" max="6" width="12.42578125" style="682" customWidth="1"/>
    <col min="7" max="7" width="12.42578125" style="685" customWidth="1"/>
    <col min="8" max="8" width="10.5703125" style="856" customWidth="1"/>
    <col min="9" max="9" width="13" style="703" customWidth="1"/>
    <col min="10" max="10" width="10.42578125" style="856" customWidth="1"/>
    <col min="11" max="12" width="13" style="856" customWidth="1"/>
    <col min="13" max="13" width="10.140625" style="856" customWidth="1"/>
    <col min="14" max="15" width="13" style="856" customWidth="1"/>
    <col min="16" max="16" width="10.28515625" style="856" customWidth="1"/>
    <col min="17" max="17" width="13" style="856" customWidth="1"/>
    <col min="18" max="18" width="21.85546875" style="856" customWidth="1"/>
    <col min="19" max="16384" width="11.42578125" style="856"/>
  </cols>
  <sheetData>
    <row r="1" spans="1:20" ht="45" customHeight="1">
      <c r="A1" s="3034" t="s">
        <v>1268</v>
      </c>
      <c r="B1" s="1303"/>
      <c r="C1" s="3031" t="s">
        <v>1165</v>
      </c>
      <c r="D1" s="3030"/>
      <c r="E1" s="3030"/>
      <c r="F1" s="3030"/>
      <c r="G1" s="3030"/>
      <c r="H1" s="3030"/>
      <c r="I1" s="3030"/>
      <c r="J1" s="2527"/>
      <c r="K1" s="2527"/>
      <c r="L1" s="2527"/>
      <c r="M1" s="2527"/>
      <c r="N1" s="2527"/>
      <c r="O1" s="2527"/>
      <c r="P1" s="2527"/>
      <c r="Q1" s="2527"/>
    </row>
    <row r="2" spans="1:20" ht="53.25" customHeight="1">
      <c r="A2" s="3035"/>
      <c r="B2" s="1301"/>
      <c r="R2" s="2234" t="s">
        <v>1725</v>
      </c>
      <c r="T2"/>
    </row>
    <row r="3" spans="1:20" ht="25.5" customHeight="1">
      <c r="A3" s="3035"/>
      <c r="B3" s="1302"/>
      <c r="C3" s="2696" t="s">
        <v>1159</v>
      </c>
      <c r="D3" s="3037" t="s">
        <v>1166</v>
      </c>
      <c r="E3" s="3037"/>
      <c r="F3" s="2666"/>
      <c r="G3" s="2774" t="s">
        <v>1158</v>
      </c>
      <c r="H3" s="2774" t="s">
        <v>301</v>
      </c>
      <c r="I3" s="3038" t="s">
        <v>1164</v>
      </c>
      <c r="J3" s="3039"/>
      <c r="K3" s="3039"/>
      <c r="L3" s="3036" t="s">
        <v>1306</v>
      </c>
      <c r="M3" s="2774"/>
      <c r="N3" s="2774"/>
      <c r="O3" s="3033" t="s">
        <v>1163</v>
      </c>
      <c r="P3" s="2696"/>
      <c r="Q3" s="2696"/>
      <c r="R3" s="2225" t="s">
        <v>1420</v>
      </c>
    </row>
    <row r="4" spans="1:20" ht="52.5" customHeight="1">
      <c r="A4" s="3035"/>
      <c r="B4" s="1302"/>
      <c r="C4" s="2696"/>
      <c r="D4" s="1299" t="s">
        <v>294</v>
      </c>
      <c r="E4" s="1299" t="s">
        <v>345</v>
      </c>
      <c r="F4" s="1299" t="s">
        <v>346</v>
      </c>
      <c r="G4" s="2774"/>
      <c r="H4" s="2774"/>
      <c r="I4" s="1304" t="s">
        <v>1160</v>
      </c>
      <c r="J4" s="1299" t="s">
        <v>1161</v>
      </c>
      <c r="K4" s="1297" t="s">
        <v>1162</v>
      </c>
      <c r="L4" s="1304" t="s">
        <v>1160</v>
      </c>
      <c r="M4" s="1299" t="s">
        <v>1161</v>
      </c>
      <c r="N4" s="1168" t="s">
        <v>1162</v>
      </c>
      <c r="O4" s="1304" t="s">
        <v>1160</v>
      </c>
      <c r="P4" s="1299" t="s">
        <v>1161</v>
      </c>
      <c r="Q4" s="1299" t="s">
        <v>1162</v>
      </c>
      <c r="R4" s="1304" t="s">
        <v>1731</v>
      </c>
    </row>
    <row r="5" spans="1:20" ht="22.5" customHeight="1">
      <c r="A5" s="3035"/>
      <c r="B5" s="1302"/>
      <c r="C5" s="2059" t="s">
        <v>208</v>
      </c>
      <c r="D5" s="1603">
        <f>100-E5-F5</f>
        <v>100</v>
      </c>
      <c r="E5" s="2057">
        <v>0</v>
      </c>
      <c r="F5" s="2057">
        <v>0</v>
      </c>
      <c r="G5" s="2058">
        <v>0</v>
      </c>
      <c r="H5" s="2058">
        <v>0</v>
      </c>
      <c r="I5" s="1823">
        <f>IF(H5=0,0,G5*(D5/100+E5*0.5/100+F5*0.75/100)*(0.378*H5/6.25*H5/6.25*H5/6.25-2.3506*H5/6.25*H5/6.25+4.9415*H5/6.25-2.8364))</f>
        <v>0</v>
      </c>
      <c r="J5" s="1804" t="s">
        <v>2</v>
      </c>
      <c r="K5" s="1306">
        <f>IF(J5="E",0,IF(J5="D",I5*0.5,IF(J5="C",I5,IF(J5="B",I5*1.5,IF(J5="A",I5*2)))))</f>
        <v>0</v>
      </c>
      <c r="L5" s="1823">
        <f>G5*(D5/100+E5*0.5/100+F5*0.75/100)*H5/6</f>
        <v>0</v>
      </c>
      <c r="M5" s="1804" t="s">
        <v>2</v>
      </c>
      <c r="N5" s="1306">
        <f>IF(M5="E",0,IF(M5="D",L5*0.5,IF(M5="C",L5,IF(M5="B",L5*1.5,IF(M5="A",L5*2)))))</f>
        <v>0</v>
      </c>
      <c r="O5" s="1823">
        <f>L5/6</f>
        <v>0</v>
      </c>
      <c r="P5" s="1804" t="s">
        <v>2</v>
      </c>
      <c r="Q5" s="1306">
        <f>IF(P5="E",0,IF(P5="D",O5*0.5,IF(P5="C",O5,IF(P5="B",O5*1.5,IF(P5="A",O5*2)))))</f>
        <v>0</v>
      </c>
      <c r="R5" s="2072">
        <f>(G5*(D5/100+E5*0.5/100+F5*0.75/100)*H5/60)</f>
        <v>0</v>
      </c>
      <c r="T5" s="1012"/>
    </row>
    <row r="6" spans="1:20" ht="22.5" customHeight="1">
      <c r="A6" s="3035"/>
      <c r="B6" s="1302"/>
      <c r="C6" s="2059" t="s">
        <v>1726</v>
      </c>
      <c r="D6" s="1603">
        <f t="shared" ref="D6:D7" si="0">100-E6-F6</f>
        <v>100</v>
      </c>
      <c r="E6" s="2057">
        <v>0</v>
      </c>
      <c r="F6" s="2057">
        <v>0</v>
      </c>
      <c r="G6" s="2058">
        <v>0</v>
      </c>
      <c r="H6" s="2058">
        <v>0</v>
      </c>
      <c r="I6" s="1823">
        <f t="shared" ref="I6:I22" si="1">IF(H6=0,0,G6*(D6/100+E6*0.5/100+F6*0.75/100)*(0.378*H6/6.25*H6/6.25*H6/6.25-2.3506*H6/6.25*H6/6.25+4.9415*H6/6.25-2.8364))</f>
        <v>0</v>
      </c>
      <c r="J6" s="1804" t="s">
        <v>2</v>
      </c>
      <c r="K6" s="1306">
        <f t="shared" ref="K6:K21" si="2">IF(J6="E",0,IF(J6="D",I6*0.5,IF(J6="C",I6,IF(J6="B",I6*1.5,IF(J6="A",I6*2)))))</f>
        <v>0</v>
      </c>
      <c r="L6" s="1823">
        <f t="shared" ref="L6:L21" si="3">G6*(D6/100+E6*0.5/100+F6*0.75/100)*H6/6</f>
        <v>0</v>
      </c>
      <c r="M6" s="1804" t="s">
        <v>2</v>
      </c>
      <c r="N6" s="1306">
        <f t="shared" ref="N6:N21" si="4">IF(M6="E",0,IF(M6="D",L6*0.5,IF(M6="C",L6,IF(M6="B",L6*1.5,IF(M6="A",L6*2)))))</f>
        <v>0</v>
      </c>
      <c r="O6" s="1823">
        <f t="shared" ref="O6:O21" si="5">L6/6</f>
        <v>0</v>
      </c>
      <c r="P6" s="1804" t="s">
        <v>2</v>
      </c>
      <c r="Q6" s="1306">
        <f t="shared" ref="Q6:Q21" si="6">IF(P6="E",0,IF(P6="D",O6*0.5,IF(P6="C",O6,IF(P6="B",O6*1.5,IF(P6="A",O6*2)))))</f>
        <v>0</v>
      </c>
      <c r="R6" s="2072">
        <f t="shared" ref="R6:R22" si="7">(G6*(D6/100+E6*0.5/100+F6*0.75/100)*H6/60)</f>
        <v>0</v>
      </c>
      <c r="T6" s="1826"/>
    </row>
    <row r="7" spans="1:20" ht="22.5" customHeight="1">
      <c r="A7" s="3035"/>
      <c r="B7" s="1302"/>
      <c r="C7" s="2059" t="s">
        <v>1135</v>
      </c>
      <c r="D7" s="1603">
        <f t="shared" si="0"/>
        <v>100</v>
      </c>
      <c r="E7" s="2057">
        <v>0</v>
      </c>
      <c r="F7" s="2057">
        <v>0</v>
      </c>
      <c r="G7" s="2058">
        <v>0</v>
      </c>
      <c r="H7" s="2058">
        <v>0</v>
      </c>
      <c r="I7" s="1823">
        <f t="shared" si="1"/>
        <v>0</v>
      </c>
      <c r="J7" s="1804" t="s">
        <v>2</v>
      </c>
      <c r="K7" s="1306">
        <f t="shared" si="2"/>
        <v>0</v>
      </c>
      <c r="L7" s="1823">
        <f t="shared" si="3"/>
        <v>0</v>
      </c>
      <c r="M7" s="1804" t="s">
        <v>2</v>
      </c>
      <c r="N7" s="1306">
        <f t="shared" si="4"/>
        <v>0</v>
      </c>
      <c r="O7" s="1823">
        <f t="shared" si="5"/>
        <v>0</v>
      </c>
      <c r="P7" s="1804" t="s">
        <v>2</v>
      </c>
      <c r="Q7" s="1306">
        <f t="shared" si="6"/>
        <v>0</v>
      </c>
      <c r="R7" s="2072">
        <f t="shared" si="7"/>
        <v>0</v>
      </c>
      <c r="T7"/>
    </row>
    <row r="8" spans="1:20" ht="22.5" customHeight="1">
      <c r="A8" s="3035"/>
      <c r="B8" s="1302"/>
      <c r="C8" s="2059" t="s">
        <v>714</v>
      </c>
      <c r="D8" s="1603">
        <f t="shared" ref="D8:D11" si="8">100-E8-F8</f>
        <v>100</v>
      </c>
      <c r="E8" s="2057">
        <v>0</v>
      </c>
      <c r="F8" s="2057">
        <v>0</v>
      </c>
      <c r="G8" s="2058">
        <v>0</v>
      </c>
      <c r="H8" s="2058">
        <v>0</v>
      </c>
      <c r="I8" s="1823">
        <f t="shared" si="1"/>
        <v>0</v>
      </c>
      <c r="J8" s="1804" t="s">
        <v>2</v>
      </c>
      <c r="K8" s="1306">
        <f t="shared" si="2"/>
        <v>0</v>
      </c>
      <c r="L8" s="1823">
        <f t="shared" si="3"/>
        <v>0</v>
      </c>
      <c r="M8" s="1804" t="s">
        <v>2</v>
      </c>
      <c r="N8" s="1306">
        <f t="shared" si="4"/>
        <v>0</v>
      </c>
      <c r="O8" s="1823">
        <f t="shared" si="5"/>
        <v>0</v>
      </c>
      <c r="P8" s="1804" t="s">
        <v>2</v>
      </c>
      <c r="Q8" s="1306">
        <f t="shared" si="6"/>
        <v>0</v>
      </c>
      <c r="R8" s="2072">
        <f t="shared" si="7"/>
        <v>0</v>
      </c>
      <c r="T8"/>
    </row>
    <row r="9" spans="1:20" ht="22.5" customHeight="1">
      <c r="A9" s="3035"/>
      <c r="B9" s="1302"/>
      <c r="C9" s="1305"/>
      <c r="D9" s="1298">
        <f t="shared" si="8"/>
        <v>100</v>
      </c>
      <c r="E9" s="2057">
        <v>0</v>
      </c>
      <c r="F9" s="2057">
        <v>0</v>
      </c>
      <c r="G9" s="2058">
        <v>0</v>
      </c>
      <c r="H9" s="2058">
        <v>0</v>
      </c>
      <c r="I9" s="1823">
        <f t="shared" si="1"/>
        <v>0</v>
      </c>
      <c r="J9" s="1804" t="s">
        <v>463</v>
      </c>
      <c r="K9" s="1306">
        <f t="shared" si="2"/>
        <v>0</v>
      </c>
      <c r="L9" s="1823">
        <f t="shared" si="3"/>
        <v>0</v>
      </c>
      <c r="M9" s="1804" t="s">
        <v>463</v>
      </c>
      <c r="N9" s="1306">
        <f t="shared" si="4"/>
        <v>0</v>
      </c>
      <c r="O9" s="1823">
        <f t="shared" si="5"/>
        <v>0</v>
      </c>
      <c r="P9" s="1804" t="s">
        <v>463</v>
      </c>
      <c r="Q9" s="1306">
        <f t="shared" si="6"/>
        <v>0</v>
      </c>
      <c r="R9" s="2072">
        <f t="shared" si="7"/>
        <v>0</v>
      </c>
      <c r="T9" s="1827"/>
    </row>
    <row r="10" spans="1:20" ht="22.5" customHeight="1">
      <c r="A10" s="3035"/>
      <c r="B10" s="1302"/>
      <c r="C10" s="1305"/>
      <c r="D10" s="1298">
        <f t="shared" si="8"/>
        <v>100</v>
      </c>
      <c r="E10" s="2057">
        <v>0</v>
      </c>
      <c r="F10" s="2057">
        <v>0</v>
      </c>
      <c r="G10" s="2058">
        <v>0</v>
      </c>
      <c r="H10" s="2058">
        <v>0</v>
      </c>
      <c r="I10" s="1823">
        <f t="shared" si="1"/>
        <v>0</v>
      </c>
      <c r="J10" s="1804" t="s">
        <v>464</v>
      </c>
      <c r="K10" s="1306">
        <f t="shared" si="2"/>
        <v>0</v>
      </c>
      <c r="L10" s="1823">
        <f t="shared" si="3"/>
        <v>0</v>
      </c>
      <c r="M10" s="1804" t="s">
        <v>464</v>
      </c>
      <c r="N10" s="1306">
        <f t="shared" si="4"/>
        <v>0</v>
      </c>
      <c r="O10" s="1823">
        <f t="shared" si="5"/>
        <v>0</v>
      </c>
      <c r="P10" s="1804" t="s">
        <v>464</v>
      </c>
      <c r="Q10" s="1306">
        <f t="shared" si="6"/>
        <v>0</v>
      </c>
      <c r="R10" s="2072">
        <f t="shared" si="7"/>
        <v>0</v>
      </c>
      <c r="T10" s="1827"/>
    </row>
    <row r="11" spans="1:20" ht="22.5" customHeight="1">
      <c r="A11" s="3035"/>
      <c r="B11" s="1302"/>
      <c r="C11" s="1305"/>
      <c r="D11" s="1298">
        <f t="shared" si="8"/>
        <v>100</v>
      </c>
      <c r="E11" s="1730">
        <v>0</v>
      </c>
      <c r="F11" s="1730">
        <v>0</v>
      </c>
      <c r="G11" s="2058">
        <v>0</v>
      </c>
      <c r="H11" s="2058">
        <v>0</v>
      </c>
      <c r="I11" s="1823">
        <f t="shared" si="1"/>
        <v>0</v>
      </c>
      <c r="J11" s="1804" t="s">
        <v>2</v>
      </c>
      <c r="K11" s="1306">
        <f t="shared" si="2"/>
        <v>0</v>
      </c>
      <c r="L11" s="1823">
        <f t="shared" si="3"/>
        <v>0</v>
      </c>
      <c r="M11" s="1804" t="s">
        <v>2</v>
      </c>
      <c r="N11" s="1306">
        <f t="shared" si="4"/>
        <v>0</v>
      </c>
      <c r="O11" s="1282">
        <f t="shared" si="5"/>
        <v>0</v>
      </c>
      <c r="P11" s="1805" t="s">
        <v>2</v>
      </c>
      <c r="Q11" s="1306">
        <f t="shared" si="6"/>
        <v>0</v>
      </c>
      <c r="R11" s="2072">
        <f t="shared" si="7"/>
        <v>0</v>
      </c>
      <c r="T11" s="1827"/>
    </row>
    <row r="12" spans="1:20" ht="22.5" customHeight="1">
      <c r="A12" s="3035"/>
      <c r="B12" s="1302"/>
      <c r="C12" s="1305"/>
      <c r="D12" s="1298">
        <f t="shared" ref="D12:D21" si="9">100-E12-F12</f>
        <v>100</v>
      </c>
      <c r="E12" s="1730">
        <v>0</v>
      </c>
      <c r="F12" s="1730">
        <v>0</v>
      </c>
      <c r="G12" s="2058">
        <v>0</v>
      </c>
      <c r="H12" s="2058">
        <v>0</v>
      </c>
      <c r="I12" s="1823">
        <f t="shared" si="1"/>
        <v>0</v>
      </c>
      <c r="J12" s="1804" t="s">
        <v>632</v>
      </c>
      <c r="K12" s="1308">
        <f t="shared" si="2"/>
        <v>0</v>
      </c>
      <c r="L12" s="1282">
        <f t="shared" si="3"/>
        <v>0</v>
      </c>
      <c r="M12" s="1804" t="s">
        <v>632</v>
      </c>
      <c r="N12" s="1306">
        <f t="shared" si="4"/>
        <v>0</v>
      </c>
      <c r="O12" s="1282">
        <f t="shared" si="5"/>
        <v>0</v>
      </c>
      <c r="P12" s="1804" t="s">
        <v>632</v>
      </c>
      <c r="Q12" s="1306">
        <f t="shared" si="6"/>
        <v>0</v>
      </c>
      <c r="R12" s="2072">
        <f t="shared" si="7"/>
        <v>0</v>
      </c>
      <c r="T12" s="1827"/>
    </row>
    <row r="13" spans="1:20" ht="22.5" customHeight="1">
      <c r="A13" s="3035"/>
      <c r="B13" s="1302"/>
      <c r="C13" s="1305"/>
      <c r="D13" s="1298">
        <f t="shared" si="9"/>
        <v>100</v>
      </c>
      <c r="E13" s="1730">
        <v>0</v>
      </c>
      <c r="F13" s="1730">
        <v>0</v>
      </c>
      <c r="G13" s="2058">
        <v>0</v>
      </c>
      <c r="H13" s="2058">
        <v>0</v>
      </c>
      <c r="I13" s="1823">
        <f t="shared" si="1"/>
        <v>0</v>
      </c>
      <c r="J13" s="1804" t="s">
        <v>3</v>
      </c>
      <c r="K13" s="1308">
        <f t="shared" si="2"/>
        <v>0</v>
      </c>
      <c r="L13" s="1282">
        <f t="shared" si="3"/>
        <v>0</v>
      </c>
      <c r="M13" s="1804" t="s">
        <v>3</v>
      </c>
      <c r="N13" s="1306">
        <f t="shared" si="4"/>
        <v>0</v>
      </c>
      <c r="O13" s="1282">
        <f t="shared" si="5"/>
        <v>0</v>
      </c>
      <c r="P13" s="1804" t="s">
        <v>3</v>
      </c>
      <c r="Q13" s="1306">
        <f t="shared" si="6"/>
        <v>0</v>
      </c>
      <c r="R13" s="2072">
        <f t="shared" si="7"/>
        <v>0</v>
      </c>
      <c r="T13" s="1827"/>
    </row>
    <row r="14" spans="1:20" ht="22.5" customHeight="1">
      <c r="A14" s="3035"/>
      <c r="B14" s="1302"/>
      <c r="C14" s="1305"/>
      <c r="D14" s="1298">
        <f t="shared" si="9"/>
        <v>100</v>
      </c>
      <c r="E14" s="1730">
        <v>0</v>
      </c>
      <c r="F14" s="1730">
        <v>0</v>
      </c>
      <c r="G14" s="2058">
        <v>0</v>
      </c>
      <c r="H14" s="2058">
        <v>0</v>
      </c>
      <c r="I14" s="1823">
        <f t="shared" si="1"/>
        <v>0</v>
      </c>
      <c r="J14" s="1804" t="s">
        <v>2</v>
      </c>
      <c r="K14" s="1308">
        <f t="shared" si="2"/>
        <v>0</v>
      </c>
      <c r="L14" s="1282">
        <f t="shared" si="3"/>
        <v>0</v>
      </c>
      <c r="M14" s="1804" t="s">
        <v>2</v>
      </c>
      <c r="N14" s="1306">
        <f t="shared" si="4"/>
        <v>0</v>
      </c>
      <c r="O14" s="1282">
        <f t="shared" si="5"/>
        <v>0</v>
      </c>
      <c r="P14" s="1804" t="s">
        <v>2</v>
      </c>
      <c r="Q14" s="1306">
        <f t="shared" si="6"/>
        <v>0</v>
      </c>
      <c r="R14" s="2072">
        <f t="shared" si="7"/>
        <v>0</v>
      </c>
      <c r="T14" s="1827"/>
    </row>
    <row r="15" spans="1:20" ht="22.5" customHeight="1">
      <c r="A15" s="3035"/>
      <c r="B15" s="1302"/>
      <c r="C15" s="1305"/>
      <c r="D15" s="1298">
        <f t="shared" si="9"/>
        <v>100</v>
      </c>
      <c r="E15" s="1730">
        <v>0</v>
      </c>
      <c r="F15" s="1730">
        <v>0</v>
      </c>
      <c r="G15" s="2058">
        <v>0</v>
      </c>
      <c r="H15" s="2058">
        <v>0</v>
      </c>
      <c r="I15" s="1823">
        <f t="shared" si="1"/>
        <v>0</v>
      </c>
      <c r="J15" s="1804" t="s">
        <v>2</v>
      </c>
      <c r="K15" s="1308">
        <f t="shared" si="2"/>
        <v>0</v>
      </c>
      <c r="L15" s="1282">
        <f t="shared" si="3"/>
        <v>0</v>
      </c>
      <c r="M15" s="1804" t="s">
        <v>2</v>
      </c>
      <c r="N15" s="1306">
        <f t="shared" si="4"/>
        <v>0</v>
      </c>
      <c r="O15" s="1282">
        <f t="shared" si="5"/>
        <v>0</v>
      </c>
      <c r="P15" s="1804" t="s">
        <v>2</v>
      </c>
      <c r="Q15" s="1306">
        <f t="shared" si="6"/>
        <v>0</v>
      </c>
      <c r="R15" s="2072">
        <f t="shared" si="7"/>
        <v>0</v>
      </c>
      <c r="T15" s="1827"/>
    </row>
    <row r="16" spans="1:20" ht="22.5" customHeight="1">
      <c r="A16" s="3035"/>
      <c r="B16" s="1302"/>
      <c r="C16" s="1305"/>
      <c r="D16" s="1298">
        <f t="shared" si="9"/>
        <v>100</v>
      </c>
      <c r="E16" s="1730">
        <v>0</v>
      </c>
      <c r="F16" s="1730">
        <v>0</v>
      </c>
      <c r="G16" s="2058">
        <v>0</v>
      </c>
      <c r="H16" s="2058">
        <v>0</v>
      </c>
      <c r="I16" s="1823">
        <f t="shared" si="1"/>
        <v>0</v>
      </c>
      <c r="J16" s="1804" t="s">
        <v>2</v>
      </c>
      <c r="K16" s="1308">
        <f t="shared" si="2"/>
        <v>0</v>
      </c>
      <c r="L16" s="1282">
        <f t="shared" si="3"/>
        <v>0</v>
      </c>
      <c r="M16" s="1804" t="s">
        <v>2</v>
      </c>
      <c r="N16" s="1306">
        <f t="shared" si="4"/>
        <v>0</v>
      </c>
      <c r="O16" s="1282">
        <f t="shared" si="5"/>
        <v>0</v>
      </c>
      <c r="P16" s="1804" t="s">
        <v>2</v>
      </c>
      <c r="Q16" s="1306">
        <f t="shared" si="6"/>
        <v>0</v>
      </c>
      <c r="R16" s="2072">
        <f t="shared" si="7"/>
        <v>0</v>
      </c>
    </row>
    <row r="17" spans="1:18" ht="22.5" customHeight="1">
      <c r="A17" s="3035"/>
      <c r="B17" s="1302"/>
      <c r="C17" s="1305"/>
      <c r="D17" s="1298">
        <f t="shared" si="9"/>
        <v>100</v>
      </c>
      <c r="E17" s="1730">
        <v>0</v>
      </c>
      <c r="F17" s="1730">
        <v>0</v>
      </c>
      <c r="G17" s="2058">
        <v>0</v>
      </c>
      <c r="H17" s="2058">
        <v>0</v>
      </c>
      <c r="I17" s="1823">
        <f t="shared" si="1"/>
        <v>0</v>
      </c>
      <c r="J17" s="1804" t="s">
        <v>2</v>
      </c>
      <c r="K17" s="1308">
        <f t="shared" si="2"/>
        <v>0</v>
      </c>
      <c r="L17" s="1282">
        <f t="shared" si="3"/>
        <v>0</v>
      </c>
      <c r="M17" s="1804" t="s">
        <v>2</v>
      </c>
      <c r="N17" s="1306">
        <f t="shared" si="4"/>
        <v>0</v>
      </c>
      <c r="O17" s="1282">
        <f t="shared" si="5"/>
        <v>0</v>
      </c>
      <c r="P17" s="1804" t="s">
        <v>2</v>
      </c>
      <c r="Q17" s="1306">
        <f t="shared" si="6"/>
        <v>0</v>
      </c>
      <c r="R17" s="2072">
        <f t="shared" si="7"/>
        <v>0</v>
      </c>
    </row>
    <row r="18" spans="1:18" ht="22.5" customHeight="1">
      <c r="A18" s="3035"/>
      <c r="B18" s="1302"/>
      <c r="C18" s="1305"/>
      <c r="D18" s="1298">
        <f t="shared" si="9"/>
        <v>100</v>
      </c>
      <c r="E18" s="1730">
        <v>0</v>
      </c>
      <c r="F18" s="1730">
        <v>0</v>
      </c>
      <c r="G18" s="2058">
        <v>0</v>
      </c>
      <c r="H18" s="2058">
        <v>0</v>
      </c>
      <c r="I18" s="1823">
        <f t="shared" si="1"/>
        <v>0</v>
      </c>
      <c r="J18" s="1804" t="s">
        <v>2</v>
      </c>
      <c r="K18" s="1308">
        <f t="shared" si="2"/>
        <v>0</v>
      </c>
      <c r="L18" s="1282">
        <f t="shared" si="3"/>
        <v>0</v>
      </c>
      <c r="M18" s="1804" t="s">
        <v>2</v>
      </c>
      <c r="N18" s="1306">
        <f t="shared" si="4"/>
        <v>0</v>
      </c>
      <c r="O18" s="1282">
        <f t="shared" si="5"/>
        <v>0</v>
      </c>
      <c r="P18" s="1804" t="s">
        <v>2</v>
      </c>
      <c r="Q18" s="1306">
        <f t="shared" si="6"/>
        <v>0</v>
      </c>
      <c r="R18" s="2072">
        <f t="shared" si="7"/>
        <v>0</v>
      </c>
    </row>
    <row r="19" spans="1:18" ht="22.5" customHeight="1">
      <c r="A19" s="3035"/>
      <c r="B19" s="1302"/>
      <c r="C19" s="1305"/>
      <c r="D19" s="1298">
        <f t="shared" si="9"/>
        <v>100</v>
      </c>
      <c r="E19" s="1730">
        <v>0</v>
      </c>
      <c r="F19" s="1730">
        <v>0</v>
      </c>
      <c r="G19" s="2058">
        <v>0</v>
      </c>
      <c r="H19" s="2058">
        <v>0</v>
      </c>
      <c r="I19" s="1823">
        <f t="shared" si="1"/>
        <v>0</v>
      </c>
      <c r="J19" s="1804" t="s">
        <v>2</v>
      </c>
      <c r="K19" s="1308">
        <f t="shared" si="2"/>
        <v>0</v>
      </c>
      <c r="L19" s="1282">
        <f t="shared" si="3"/>
        <v>0</v>
      </c>
      <c r="M19" s="1804" t="s">
        <v>2</v>
      </c>
      <c r="N19" s="1306">
        <f t="shared" si="4"/>
        <v>0</v>
      </c>
      <c r="O19" s="1282">
        <f t="shared" si="5"/>
        <v>0</v>
      </c>
      <c r="P19" s="1804" t="s">
        <v>2</v>
      </c>
      <c r="Q19" s="1306">
        <f t="shared" si="6"/>
        <v>0</v>
      </c>
      <c r="R19" s="2072">
        <f t="shared" si="7"/>
        <v>0</v>
      </c>
    </row>
    <row r="20" spans="1:18" ht="22.5" customHeight="1">
      <c r="A20" s="3035"/>
      <c r="B20" s="1302"/>
      <c r="C20" s="1305"/>
      <c r="D20" s="1298">
        <f t="shared" si="9"/>
        <v>100</v>
      </c>
      <c r="E20" s="1730">
        <v>0</v>
      </c>
      <c r="F20" s="1730">
        <v>0</v>
      </c>
      <c r="G20" s="2058">
        <v>0</v>
      </c>
      <c r="H20" s="2058">
        <v>0</v>
      </c>
      <c r="I20" s="1823">
        <f t="shared" si="1"/>
        <v>0</v>
      </c>
      <c r="J20" s="1804" t="s">
        <v>2</v>
      </c>
      <c r="K20" s="1308">
        <f t="shared" si="2"/>
        <v>0</v>
      </c>
      <c r="L20" s="1282">
        <f t="shared" si="3"/>
        <v>0</v>
      </c>
      <c r="M20" s="1804" t="s">
        <v>2</v>
      </c>
      <c r="N20" s="1306">
        <f t="shared" si="4"/>
        <v>0</v>
      </c>
      <c r="O20" s="1282">
        <f t="shared" si="5"/>
        <v>0</v>
      </c>
      <c r="P20" s="1804" t="s">
        <v>2</v>
      </c>
      <c r="Q20" s="1306">
        <f t="shared" si="6"/>
        <v>0</v>
      </c>
      <c r="R20" s="2072">
        <f t="shared" si="7"/>
        <v>0</v>
      </c>
    </row>
    <row r="21" spans="1:18" ht="22.5" customHeight="1">
      <c r="A21" s="3035"/>
      <c r="B21" s="1302"/>
      <c r="C21" s="1305"/>
      <c r="D21" s="1298">
        <f t="shared" si="9"/>
        <v>100</v>
      </c>
      <c r="E21" s="1730">
        <v>0</v>
      </c>
      <c r="F21" s="1730">
        <v>0</v>
      </c>
      <c r="G21" s="1731">
        <v>0</v>
      </c>
      <c r="H21" s="1731">
        <v>0</v>
      </c>
      <c r="I21" s="1823">
        <f t="shared" si="1"/>
        <v>0</v>
      </c>
      <c r="J21" s="1804" t="s">
        <v>2</v>
      </c>
      <c r="K21" s="1308">
        <f t="shared" si="2"/>
        <v>0</v>
      </c>
      <c r="L21" s="1282">
        <f t="shared" si="3"/>
        <v>0</v>
      </c>
      <c r="M21" s="1804" t="s">
        <v>2</v>
      </c>
      <c r="N21" s="1306">
        <f t="shared" si="4"/>
        <v>0</v>
      </c>
      <c r="O21" s="1282">
        <f t="shared" si="5"/>
        <v>0</v>
      </c>
      <c r="P21" s="1804" t="s">
        <v>2</v>
      </c>
      <c r="Q21" s="1306">
        <f t="shared" si="6"/>
        <v>0</v>
      </c>
      <c r="R21" s="2072">
        <f t="shared" si="7"/>
        <v>0</v>
      </c>
    </row>
    <row r="22" spans="1:18" ht="22.5" customHeight="1">
      <c r="A22" s="3035"/>
      <c r="B22" s="1302"/>
      <c r="C22" s="1305"/>
      <c r="D22" s="1298">
        <f t="shared" ref="D22" si="10">100-E22-F22</f>
        <v>100</v>
      </c>
      <c r="E22" s="1730">
        <v>0</v>
      </c>
      <c r="F22" s="1730">
        <v>0</v>
      </c>
      <c r="G22" s="1731">
        <v>0</v>
      </c>
      <c r="H22" s="1731">
        <v>0</v>
      </c>
      <c r="I22" s="1823">
        <f t="shared" si="1"/>
        <v>0</v>
      </c>
      <c r="J22" s="1804" t="s">
        <v>2</v>
      </c>
      <c r="K22" s="1308">
        <f t="shared" ref="K22" si="11">IF(J22="E",0,IF(J22="D",I22*0.5,IF(J22="C",I22,IF(J22="B",I22*1.5,IF(J22="A",I22*2)))))</f>
        <v>0</v>
      </c>
      <c r="L22" s="1282">
        <f t="shared" ref="L22" si="12">G22*(D22/100+E22*0.5/100+F22*0.75/100)*H22/6</f>
        <v>0</v>
      </c>
      <c r="M22" s="1804" t="s">
        <v>2</v>
      </c>
      <c r="N22" s="1306">
        <f t="shared" ref="N22" si="13">IF(M22="E",0,IF(M22="D",L22*0.5,IF(M22="C",L22,IF(M22="B",L22*1.5,IF(M22="A",L22*2)))))</f>
        <v>0</v>
      </c>
      <c r="O22" s="1282">
        <f t="shared" ref="O22" si="14">L22/6</f>
        <v>0</v>
      </c>
      <c r="P22" s="1804" t="s">
        <v>2</v>
      </c>
      <c r="Q22" s="1306">
        <f t="shared" ref="Q22" si="15">IF(P22="E",0,IF(P22="D",O22*0.5,IF(P22="C",O22,IF(P22="B",O22*1.5,IF(P22="A",O22*2)))))</f>
        <v>0</v>
      </c>
      <c r="R22" s="2072">
        <f t="shared" si="7"/>
        <v>0</v>
      </c>
    </row>
    <row r="23" spans="1:18" ht="18.75">
      <c r="A23" s="1302"/>
      <c r="B23" s="1302"/>
    </row>
    <row r="24" spans="1:18" ht="15.75" customHeight="1">
      <c r="A24" s="1302"/>
      <c r="B24" s="1302"/>
    </row>
    <row r="25" spans="1:18" ht="18.75">
      <c r="A25" s="1302"/>
      <c r="B25" s="1302"/>
    </row>
    <row r="26" spans="1:18" ht="18.75">
      <c r="A26" s="1302"/>
      <c r="B26" s="1302"/>
    </row>
    <row r="27" spans="1:18" ht="18.75">
      <c r="A27" s="1302"/>
      <c r="B27" s="1302"/>
    </row>
    <row r="28" spans="1:18" ht="18.75">
      <c r="A28" s="1302"/>
      <c r="B28" s="1302"/>
    </row>
    <row r="29" spans="1:18" ht="18.75">
      <c r="A29" s="1302"/>
      <c r="B29" s="1302"/>
    </row>
    <row r="30" spans="1:18" ht="18.75">
      <c r="A30" s="1302"/>
      <c r="B30" s="1302"/>
    </row>
    <row r="31" spans="1:18" ht="18.75">
      <c r="A31" s="1302"/>
      <c r="B31" s="1302"/>
    </row>
    <row r="32" spans="1:18" ht="18.75">
      <c r="A32" s="1302"/>
      <c r="B32" s="1302"/>
    </row>
    <row r="33" spans="1:2" ht="24" customHeight="1">
      <c r="A33" s="1302"/>
      <c r="B33" s="1302"/>
    </row>
    <row r="34" spans="1:2" ht="18.75">
      <c r="A34" s="1302"/>
      <c r="B34" s="1302"/>
    </row>
    <row r="35" spans="1:2" ht="18.75">
      <c r="A35" s="1302"/>
      <c r="B35" s="1302"/>
    </row>
    <row r="36" spans="1:2" ht="15.75" customHeight="1">
      <c r="A36" s="1302"/>
      <c r="B36" s="1302"/>
    </row>
    <row r="37" spans="1:2" ht="18.75">
      <c r="A37" s="1302"/>
      <c r="B37" s="1302"/>
    </row>
    <row r="38" spans="1:2" ht="18.75">
      <c r="A38" s="1302"/>
      <c r="B38" s="1302"/>
    </row>
    <row r="39" spans="1:2" ht="18.75">
      <c r="A39" s="1302"/>
      <c r="B39" s="1302"/>
    </row>
    <row r="40" spans="1:2" ht="18.75">
      <c r="A40" s="1302"/>
      <c r="B40" s="1302"/>
    </row>
    <row r="41" spans="1:2" ht="18.75">
      <c r="A41" s="1302"/>
      <c r="B41" s="1302"/>
    </row>
    <row r="42" spans="1:2" ht="18.75">
      <c r="A42" s="1302"/>
      <c r="B42" s="1302"/>
    </row>
    <row r="43" spans="1:2" ht="18.75">
      <c r="A43" s="1302"/>
      <c r="B43" s="1302"/>
    </row>
    <row r="44" spans="1:2" ht="18.75">
      <c r="A44" s="1302"/>
      <c r="B44" s="1302"/>
    </row>
    <row r="45" spans="1:2" ht="18.75">
      <c r="A45" s="1302"/>
      <c r="B45" s="1302"/>
    </row>
    <row r="46" spans="1:2" ht="24" customHeight="1">
      <c r="A46" s="1302"/>
      <c r="B46" s="1302"/>
    </row>
  </sheetData>
  <sheetProtection formatCells="0" formatColumns="0" formatRows="0" selectLockedCells="1"/>
  <mergeCells count="9">
    <mergeCell ref="O3:Q3"/>
    <mergeCell ref="A1:A22"/>
    <mergeCell ref="C1:Q1"/>
    <mergeCell ref="L3:N3"/>
    <mergeCell ref="D3:F3"/>
    <mergeCell ref="G3:G4"/>
    <mergeCell ref="H3:H4"/>
    <mergeCell ref="C3:C4"/>
    <mergeCell ref="I3:K3"/>
  </mergeCells>
  <dataValidations count="1">
    <dataValidation type="list" allowBlank="1" showInputMessage="1" showErrorMessage="1" sqref="J5:J22 M5:M22 P5:P22">
      <formula1>"A,B,C,D,E"</formula1>
    </dataValidation>
  </dataValidations>
  <pageMargins left="0.7" right="0.7" top="0.78740157499999996" bottom="0.78740157499999996" header="0.3" footer="0.3"/>
  <pageSetup paperSize="9" scale="60" orientation="landscape" horizontalDpi="4294967293" vertic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Y248"/>
  <sheetViews>
    <sheetView workbookViewId="0">
      <selection activeCell="J7" sqref="J7"/>
    </sheetView>
  </sheetViews>
  <sheetFormatPr baseColWidth="10" defaultRowHeight="15"/>
  <cols>
    <col min="1" max="1" width="34.5703125" customWidth="1"/>
    <col min="2" max="2" width="15.140625" customWidth="1"/>
    <col min="3" max="3" width="28.42578125" customWidth="1"/>
    <col min="9" max="9" width="16.85546875" customWidth="1"/>
    <col min="10" max="10" width="3.28515625" customWidth="1"/>
    <col min="12" max="12" width="28.140625" customWidth="1"/>
    <col min="18" max="18" width="15.7109375" customWidth="1"/>
    <col min="20" max="20" width="19.140625" customWidth="1"/>
  </cols>
  <sheetData>
    <row r="1" spans="1:25" ht="18.75">
      <c r="A1" s="3028" t="s">
        <v>1267</v>
      </c>
      <c r="B1" s="3031" t="s">
        <v>644</v>
      </c>
      <c r="C1" s="3030"/>
      <c r="D1" s="3030"/>
      <c r="E1" s="3030"/>
      <c r="F1" s="3030"/>
      <c r="G1" s="3030"/>
      <c r="H1" s="3030"/>
      <c r="I1" s="3030"/>
      <c r="J1" s="3030"/>
      <c r="K1" s="3030"/>
      <c r="L1" s="3030"/>
      <c r="M1" s="3030"/>
      <c r="N1" s="3030"/>
      <c r="O1" s="3030"/>
      <c r="P1" s="3030"/>
      <c r="Q1" s="2119"/>
      <c r="R1" s="2112"/>
      <c r="S1" s="2112"/>
      <c r="T1" s="2112"/>
      <c r="U1" s="2112"/>
      <c r="V1" s="2112"/>
      <c r="W1" s="2112"/>
      <c r="X1" s="2112"/>
      <c r="Y1" s="2112"/>
    </row>
    <row r="2" spans="1:25" ht="52.5" customHeight="1">
      <c r="A2" s="3029"/>
      <c r="B2" s="2112"/>
      <c r="C2" s="3031" t="s">
        <v>621</v>
      </c>
      <c r="D2" s="2526"/>
      <c r="E2" s="2526"/>
      <c r="F2" s="2526"/>
      <c r="G2" s="2526"/>
      <c r="H2" s="3032" t="s">
        <v>1725</v>
      </c>
      <c r="I2" s="3032"/>
      <c r="J2" s="3032"/>
      <c r="K2" s="2112"/>
      <c r="L2" s="3031" t="s">
        <v>621</v>
      </c>
      <c r="M2" s="2526"/>
      <c r="N2" s="2526"/>
      <c r="O2" s="2526"/>
      <c r="P2" s="2526"/>
      <c r="Q2" s="3032" t="s">
        <v>1725</v>
      </c>
      <c r="R2" s="3032"/>
      <c r="S2" s="3032"/>
      <c r="T2" s="2112"/>
      <c r="U2" s="2112"/>
      <c r="V2" s="2112"/>
      <c r="W2" s="2112"/>
      <c r="X2" s="1012"/>
      <c r="Y2" s="2112"/>
    </row>
    <row r="3" spans="1:25" ht="23.25" customHeight="1">
      <c r="A3" s="3030"/>
      <c r="B3" s="2115"/>
      <c r="C3" s="706" t="s">
        <v>626</v>
      </c>
      <c r="D3" s="2116"/>
      <c r="E3" s="2769" t="s">
        <v>625</v>
      </c>
      <c r="F3" s="2769"/>
      <c r="G3" s="2769"/>
      <c r="H3" s="2116"/>
      <c r="I3" s="704" t="s">
        <v>1183</v>
      </c>
      <c r="J3" s="142"/>
      <c r="K3" s="2115"/>
      <c r="L3" s="706" t="s">
        <v>626</v>
      </c>
      <c r="M3" s="2116"/>
      <c r="N3" s="2769" t="s">
        <v>625</v>
      </c>
      <c r="O3" s="2769"/>
      <c r="P3" s="2769"/>
      <c r="Q3" s="2116"/>
      <c r="R3" s="704" t="s">
        <v>1183</v>
      </c>
      <c r="S3" s="2112"/>
      <c r="T3" s="2527" t="s">
        <v>643</v>
      </c>
      <c r="U3" s="2527"/>
      <c r="V3" s="2527"/>
      <c r="W3" s="2527"/>
      <c r="X3" s="2112"/>
      <c r="Y3" s="2112"/>
    </row>
    <row r="4" spans="1:25" ht="18.75">
      <c r="A4" s="3030"/>
      <c r="B4" s="2120" t="s">
        <v>622</v>
      </c>
      <c r="C4" s="2114" t="s">
        <v>623</v>
      </c>
      <c r="D4" s="2114" t="s">
        <v>33</v>
      </c>
      <c r="E4" s="693" t="s">
        <v>637</v>
      </c>
      <c r="F4" s="694" t="s">
        <v>638</v>
      </c>
      <c r="G4" s="706" t="s">
        <v>610</v>
      </c>
      <c r="H4" s="2070" t="s">
        <v>1305</v>
      </c>
      <c r="I4" s="707"/>
      <c r="J4" s="2108"/>
      <c r="K4" s="2120" t="s">
        <v>622</v>
      </c>
      <c r="L4" s="2114" t="s">
        <v>623</v>
      </c>
      <c r="M4" s="2114" t="s">
        <v>33</v>
      </c>
      <c r="N4" s="693" t="s">
        <v>637</v>
      </c>
      <c r="O4" s="694" t="s">
        <v>638</v>
      </c>
      <c r="P4" s="706" t="s">
        <v>610</v>
      </c>
      <c r="Q4" s="2070" t="s">
        <v>1305</v>
      </c>
      <c r="R4" s="707"/>
      <c r="S4" s="2112"/>
      <c r="T4" s="2112"/>
      <c r="U4" s="2527" t="s">
        <v>613</v>
      </c>
      <c r="V4" s="2527"/>
      <c r="W4" s="2527"/>
      <c r="X4" s="2112"/>
      <c r="Y4" s="2112" t="s">
        <v>1399</v>
      </c>
    </row>
    <row r="5" spans="1:25" ht="17.25" customHeight="1">
      <c r="A5" s="3030"/>
      <c r="B5" s="1728">
        <v>2018</v>
      </c>
      <c r="C5" s="1798" t="s">
        <v>1342</v>
      </c>
      <c r="D5" s="715">
        <v>0</v>
      </c>
      <c r="E5" s="691">
        <f>VLOOKUP($C5,$T$6:$X$62,2,FALSE)*$D5</f>
        <v>0</v>
      </c>
      <c r="F5" s="686">
        <f>VLOOKUP($C5,$T$6:$X$62,3,FALSE)*$D5</f>
        <v>0</v>
      </c>
      <c r="G5" s="684">
        <f>VLOOKUP($C5,$T$6:$X$62,4,FALSE)*$D5</f>
        <v>0</v>
      </c>
      <c r="H5" s="2066">
        <f>VLOOKUP($C5,$T$6:$X$62,5,FALSE)*$D5</f>
        <v>0</v>
      </c>
      <c r="I5" s="2178"/>
      <c r="J5" s="700"/>
      <c r="K5" s="1728">
        <v>1</v>
      </c>
      <c r="L5" s="1798" t="s">
        <v>1342</v>
      </c>
      <c r="M5" s="715">
        <v>0</v>
      </c>
      <c r="N5" s="691">
        <f>VLOOKUP($L5,$T$6:$X$62,2,FALSE)*$M5</f>
        <v>0</v>
      </c>
      <c r="O5" s="686">
        <f>VLOOKUP($L5,$T$6:$X$62,3,FALSE)*$M5</f>
        <v>0</v>
      </c>
      <c r="P5" s="684">
        <f>VLOOKUP($L5,$T$6:$X$62,4,FALSE)*$M5</f>
        <v>0</v>
      </c>
      <c r="Q5" s="2066">
        <f>VLOOKUP($L5,$T$6:$X$62,5,FALSE)*$M5</f>
        <v>0</v>
      </c>
      <c r="R5" s="2178"/>
      <c r="S5" s="2112"/>
      <c r="T5" s="2112"/>
      <c r="U5" s="2112" t="s">
        <v>611</v>
      </c>
      <c r="V5" s="2112" t="s">
        <v>612</v>
      </c>
      <c r="W5" s="2112" t="s">
        <v>610</v>
      </c>
      <c r="X5" s="2112" t="s">
        <v>1305</v>
      </c>
      <c r="Y5" s="2112" t="s">
        <v>1398</v>
      </c>
    </row>
    <row r="6" spans="1:25" ht="17.25" customHeight="1">
      <c r="A6" s="3030"/>
      <c r="B6" s="1728">
        <v>2019</v>
      </c>
      <c r="C6" s="1798" t="s">
        <v>1277</v>
      </c>
      <c r="D6" s="715">
        <v>0</v>
      </c>
      <c r="E6" s="689">
        <f t="shared" ref="E6:E7" si="0">VLOOKUP($C6,$T$6:$X$62,2,FALSE)*$D6</f>
        <v>0</v>
      </c>
      <c r="F6" s="687">
        <f t="shared" ref="F6:F7" si="1">VLOOKUP($C6,$T$6:$X$62,3,FALSE)*$D6</f>
        <v>0</v>
      </c>
      <c r="G6" s="784">
        <f t="shared" ref="G6:G7" si="2">VLOOKUP($C6,$T$6:$X$62,4,FALSE)*$D6</f>
        <v>0</v>
      </c>
      <c r="H6" s="1895">
        <f t="shared" ref="H6:H7" si="3">VLOOKUP($C6,$T$6:$X$62,5,FALSE)*$D6</f>
        <v>0</v>
      </c>
      <c r="I6" s="2178"/>
      <c r="J6" s="700"/>
      <c r="K6" s="1728">
        <v>2</v>
      </c>
      <c r="L6" s="1798" t="s">
        <v>1277</v>
      </c>
      <c r="M6" s="715">
        <v>0</v>
      </c>
      <c r="N6" s="689">
        <f t="shared" ref="N6:N7" si="4">VLOOKUP($L6,$T$6:$X$62,2,FALSE)*$M6</f>
        <v>0</v>
      </c>
      <c r="O6" s="687">
        <f t="shared" ref="O6:O7" si="5">VLOOKUP($L6,$T$6:$X$62,3,FALSE)*$M6</f>
        <v>0</v>
      </c>
      <c r="P6" s="784">
        <f t="shared" ref="P6:P7" si="6">VLOOKUP($L6,$T$6:$X$62,4,FALSE)*$M6</f>
        <v>0</v>
      </c>
      <c r="Q6" s="1895">
        <f t="shared" ref="Q6:Q7" si="7">VLOOKUP($L6,$T$6:$X$62,5,FALSE)*$M6</f>
        <v>0</v>
      </c>
      <c r="R6" s="2178"/>
      <c r="S6" s="2112"/>
      <c r="T6" s="2112" t="s">
        <v>1342</v>
      </c>
      <c r="U6" s="2112">
        <v>0.10299999999999999</v>
      </c>
      <c r="V6" s="2112">
        <v>0.36</v>
      </c>
      <c r="W6" s="2112">
        <v>0.02</v>
      </c>
      <c r="X6" s="2117">
        <v>0.4</v>
      </c>
      <c r="Y6" s="2112">
        <f>X6*2.5</f>
        <v>1</v>
      </c>
    </row>
    <row r="7" spans="1:25" ht="17.25" customHeight="1">
      <c r="A7" s="3030"/>
      <c r="B7" s="1728">
        <v>2020</v>
      </c>
      <c r="C7" s="1798" t="s">
        <v>1679</v>
      </c>
      <c r="D7" s="715">
        <v>0</v>
      </c>
      <c r="E7" s="690">
        <f t="shared" si="0"/>
        <v>0</v>
      </c>
      <c r="F7" s="688">
        <f t="shared" si="1"/>
        <v>0</v>
      </c>
      <c r="G7" s="723">
        <f t="shared" si="2"/>
        <v>0</v>
      </c>
      <c r="H7" s="1896">
        <f t="shared" si="3"/>
        <v>0</v>
      </c>
      <c r="I7" s="2178"/>
      <c r="J7" s="700"/>
      <c r="K7" s="1728">
        <v>3</v>
      </c>
      <c r="L7" s="1798" t="s">
        <v>1679</v>
      </c>
      <c r="M7" s="715">
        <v>0</v>
      </c>
      <c r="N7" s="690">
        <f t="shared" si="4"/>
        <v>0</v>
      </c>
      <c r="O7" s="688">
        <f t="shared" si="5"/>
        <v>0</v>
      </c>
      <c r="P7" s="723">
        <f t="shared" si="6"/>
        <v>0</v>
      </c>
      <c r="Q7" s="1896">
        <f t="shared" si="7"/>
        <v>0</v>
      </c>
      <c r="R7" s="2178"/>
      <c r="S7" s="2112"/>
      <c r="T7" s="2112" t="s">
        <v>1343</v>
      </c>
      <c r="U7" s="2112">
        <v>0.14899999999999999</v>
      </c>
      <c r="V7" s="2112">
        <v>0.46</v>
      </c>
      <c r="W7" s="2112">
        <v>3.3000000000000002E-2</v>
      </c>
      <c r="X7" s="2117">
        <v>0.3</v>
      </c>
      <c r="Y7" s="2223">
        <f t="shared" ref="Y7:Y59" si="8">X7*2.5</f>
        <v>0.75</v>
      </c>
    </row>
    <row r="8" spans="1:25" ht="22.5" customHeight="1">
      <c r="A8" s="3030"/>
      <c r="B8" s="2109"/>
      <c r="C8" s="2111"/>
      <c r="D8" s="287" t="s">
        <v>630</v>
      </c>
      <c r="E8" s="730">
        <f>SUM(E5:E7)</f>
        <v>0</v>
      </c>
      <c r="F8" s="731">
        <f t="shared" ref="F8:H8" si="9">SUM(F5:F7)</f>
        <v>0</v>
      </c>
      <c r="G8" s="725">
        <f t="shared" si="9"/>
        <v>0</v>
      </c>
      <c r="H8" s="2067">
        <f t="shared" si="9"/>
        <v>0</v>
      </c>
      <c r="I8" s="709"/>
      <c r="J8" s="701"/>
      <c r="K8" s="2109"/>
      <c r="L8" s="2111"/>
      <c r="M8" s="287" t="s">
        <v>630</v>
      </c>
      <c r="N8" s="730">
        <f>SUM(N5:N7)</f>
        <v>0</v>
      </c>
      <c r="O8" s="731">
        <f t="shared" ref="O8:Q8" si="10">SUM(O5:O7)</f>
        <v>0</v>
      </c>
      <c r="P8" s="725">
        <f t="shared" si="10"/>
        <v>0</v>
      </c>
      <c r="Q8" s="2067">
        <f t="shared" si="10"/>
        <v>0</v>
      </c>
      <c r="R8" s="709"/>
      <c r="S8" s="2112"/>
      <c r="T8" s="2112" t="s">
        <v>1677</v>
      </c>
      <c r="U8" s="2112">
        <v>9.1999999999999998E-2</v>
      </c>
      <c r="V8" s="2112">
        <v>0.3</v>
      </c>
      <c r="W8" s="2112">
        <v>4.1000000000000002E-2</v>
      </c>
      <c r="X8" s="2177">
        <v>0.3</v>
      </c>
      <c r="Y8" s="2223">
        <f t="shared" si="8"/>
        <v>0.75</v>
      </c>
    </row>
    <row r="9" spans="1:25" ht="30.75" customHeight="1">
      <c r="A9" s="3030"/>
      <c r="B9" s="2109"/>
      <c r="C9" s="2111"/>
      <c r="D9" s="2113" t="s">
        <v>631</v>
      </c>
      <c r="E9" s="1799" t="s">
        <v>3</v>
      </c>
      <c r="F9" s="1800" t="s">
        <v>2</v>
      </c>
      <c r="G9" s="1801" t="s">
        <v>463</v>
      </c>
      <c r="H9" s="2235"/>
      <c r="I9" s="709"/>
      <c r="J9" s="701"/>
      <c r="K9" s="2109"/>
      <c r="L9" s="2111"/>
      <c r="M9" s="2113" t="s">
        <v>631</v>
      </c>
      <c r="N9" s="1799" t="s">
        <v>3</v>
      </c>
      <c r="O9" s="1800" t="s">
        <v>2</v>
      </c>
      <c r="P9" s="1801" t="s">
        <v>2</v>
      </c>
      <c r="Q9" s="2235"/>
      <c r="R9" s="709"/>
      <c r="S9" s="2112"/>
      <c r="T9" s="2112" t="s">
        <v>1678</v>
      </c>
      <c r="U9" s="2112">
        <v>0.121</v>
      </c>
      <c r="V9" s="2112">
        <v>0.54</v>
      </c>
      <c r="W9" s="2112">
        <v>6.6000000000000003E-2</v>
      </c>
      <c r="X9" s="2177">
        <v>0.3</v>
      </c>
      <c r="Y9" s="2223">
        <f t="shared" si="8"/>
        <v>0.75</v>
      </c>
    </row>
    <row r="10" spans="1:25" ht="26.25" customHeight="1">
      <c r="A10" s="3030"/>
      <c r="B10" s="2110"/>
      <c r="C10" s="683" t="s">
        <v>633</v>
      </c>
      <c r="D10" s="2118" t="s">
        <v>322</v>
      </c>
      <c r="E10" s="697">
        <f>IF(E9="E",0,IF(E9="D",E8*0.5,IF(E9="C",E8,IF(E9="B",E8*1.5,IF(E9="A",E8*2)))))</f>
        <v>0</v>
      </c>
      <c r="F10" s="698">
        <f t="shared" ref="F10:G10" si="11">IF(F9="E",0,IF(F9="D",F8*0.5,IF(F9="C",F8,IF(F9="B",F8*1.5,IF(F9="A",F8*2)))))</f>
        <v>0</v>
      </c>
      <c r="G10" s="705">
        <f t="shared" si="11"/>
        <v>0</v>
      </c>
      <c r="H10" s="1897">
        <f>H8</f>
        <v>0</v>
      </c>
      <c r="I10" s="710"/>
      <c r="J10" s="702"/>
      <c r="K10" s="2110"/>
      <c r="L10" s="683" t="s">
        <v>633</v>
      </c>
      <c r="M10" s="2118" t="s">
        <v>322</v>
      </c>
      <c r="N10" s="697">
        <f>IF(N9="E",0,IF(N9="D",N8*0.5,IF(N9="C",N8,IF(N9="B",N8*1.5,IF(N9="A",N8*2)))))</f>
        <v>0</v>
      </c>
      <c r="O10" s="698">
        <f t="shared" ref="O10:P10" si="12">IF(O9="E",0,IF(O9="D",O8*0.5,IF(O9="C",O8,IF(O9="B",O8*1.5,IF(O9="A",O8*2)))))</f>
        <v>0</v>
      </c>
      <c r="P10" s="705">
        <f t="shared" si="12"/>
        <v>0</v>
      </c>
      <c r="Q10" s="1897">
        <f>Q8</f>
        <v>0</v>
      </c>
      <c r="R10" s="710"/>
      <c r="S10" s="2112"/>
      <c r="T10" s="2112" t="s">
        <v>1277</v>
      </c>
      <c r="U10" s="2112">
        <v>9.1999999999999998E-2</v>
      </c>
      <c r="V10" s="2112">
        <v>0.3</v>
      </c>
      <c r="W10" s="2112">
        <v>1.7000000000000001E-2</v>
      </c>
      <c r="X10" s="2177">
        <v>0.4</v>
      </c>
      <c r="Y10" s="2223">
        <f t="shared" si="8"/>
        <v>1</v>
      </c>
    </row>
    <row r="11" spans="1:25" ht="17.25" customHeight="1">
      <c r="A11" s="3030"/>
      <c r="B11" s="2112"/>
      <c r="C11" s="2112"/>
      <c r="D11" s="2112"/>
      <c r="E11" s="682"/>
      <c r="F11" s="685"/>
      <c r="G11" s="2112"/>
      <c r="H11" s="2112"/>
      <c r="I11" s="703"/>
      <c r="J11" s="703"/>
      <c r="K11" s="2112"/>
      <c r="L11" s="2112"/>
      <c r="M11" s="2112"/>
      <c r="N11" s="682"/>
      <c r="O11" s="685"/>
      <c r="P11" s="2112"/>
      <c r="Q11" s="2112"/>
      <c r="R11" s="703"/>
      <c r="S11" s="2112"/>
      <c r="T11" s="2112" t="s">
        <v>1682</v>
      </c>
      <c r="U11" s="2112">
        <v>9.1999999999999998E-2</v>
      </c>
      <c r="V11" s="2112">
        <v>0.6</v>
      </c>
      <c r="W11" s="2112">
        <v>4.1000000000000002E-2</v>
      </c>
      <c r="X11" s="2177">
        <v>0.3</v>
      </c>
      <c r="Y11" s="2223">
        <f t="shared" si="8"/>
        <v>0.75</v>
      </c>
    </row>
    <row r="12" spans="1:25" ht="17.25" customHeight="1">
      <c r="A12" s="3030"/>
      <c r="B12" s="2112"/>
      <c r="C12" s="2112"/>
      <c r="D12" s="2112"/>
      <c r="E12" s="682"/>
      <c r="F12" s="685"/>
      <c r="G12" s="2112"/>
      <c r="H12" s="2112"/>
      <c r="I12" s="703"/>
      <c r="J12" s="703"/>
      <c r="K12" s="2112"/>
      <c r="L12" s="2112"/>
      <c r="M12" s="2112"/>
      <c r="N12" s="682"/>
      <c r="O12" s="685"/>
      <c r="P12" s="2112"/>
      <c r="Q12" s="2112"/>
      <c r="R12" s="703"/>
      <c r="S12" s="2112"/>
      <c r="T12" s="2112" t="s">
        <v>1280</v>
      </c>
      <c r="U12" s="2112">
        <v>9.9000000000000005E-2</v>
      </c>
      <c r="V12" s="2112">
        <v>0.65</v>
      </c>
      <c r="W12" s="2112">
        <v>7.0999999999999994E-2</v>
      </c>
      <c r="X12" s="2177">
        <v>0.3</v>
      </c>
      <c r="Y12" s="2223">
        <f t="shared" si="8"/>
        <v>0.75</v>
      </c>
    </row>
    <row r="13" spans="1:25" ht="32.25" customHeight="1">
      <c r="A13" s="3030"/>
      <c r="B13" s="2115"/>
      <c r="C13" s="706" t="s">
        <v>627</v>
      </c>
      <c r="D13" s="2116"/>
      <c r="E13" s="2769" t="s">
        <v>625</v>
      </c>
      <c r="F13" s="2769"/>
      <c r="G13" s="2769"/>
      <c r="H13" s="2116"/>
      <c r="I13" s="704" t="s">
        <v>1183</v>
      </c>
      <c r="J13" s="699"/>
      <c r="K13" s="2115"/>
      <c r="L13" s="706" t="s">
        <v>627</v>
      </c>
      <c r="M13" s="2116"/>
      <c r="N13" s="2769" t="s">
        <v>625</v>
      </c>
      <c r="O13" s="2769"/>
      <c r="P13" s="2769"/>
      <c r="Q13" s="2116"/>
      <c r="R13" s="704" t="s">
        <v>1183</v>
      </c>
      <c r="S13" s="2112"/>
      <c r="T13" s="2112" t="s">
        <v>1679</v>
      </c>
      <c r="U13" s="2112">
        <v>0.183</v>
      </c>
      <c r="V13" s="2112">
        <v>0.54</v>
      </c>
      <c r="W13" s="2112">
        <v>4.1000000000000002E-2</v>
      </c>
      <c r="X13" s="2177">
        <v>0.4</v>
      </c>
      <c r="Y13" s="2223">
        <f t="shared" si="8"/>
        <v>1</v>
      </c>
    </row>
    <row r="14" spans="1:25" ht="24" customHeight="1">
      <c r="A14" s="3030"/>
      <c r="B14" s="2120" t="s">
        <v>622</v>
      </c>
      <c r="C14" s="2114" t="s">
        <v>623</v>
      </c>
      <c r="D14" s="2114" t="s">
        <v>33</v>
      </c>
      <c r="E14" s="693" t="s">
        <v>637</v>
      </c>
      <c r="F14" s="694" t="s">
        <v>638</v>
      </c>
      <c r="G14" s="706" t="s">
        <v>610</v>
      </c>
      <c r="H14" s="2070" t="s">
        <v>1305</v>
      </c>
      <c r="I14" s="707"/>
      <c r="J14" s="2108"/>
      <c r="K14" s="2120" t="s">
        <v>622</v>
      </c>
      <c r="L14" s="2114" t="s">
        <v>623</v>
      </c>
      <c r="M14" s="2114" t="s">
        <v>33</v>
      </c>
      <c r="N14" s="693" t="s">
        <v>637</v>
      </c>
      <c r="O14" s="694" t="s">
        <v>638</v>
      </c>
      <c r="P14" s="706" t="s">
        <v>610</v>
      </c>
      <c r="Q14" s="2070" t="s">
        <v>1305</v>
      </c>
      <c r="R14" s="707"/>
      <c r="S14" s="2112"/>
      <c r="T14" s="2112" t="s">
        <v>1680</v>
      </c>
      <c r="U14" s="2112">
        <v>0.16300000000000001</v>
      </c>
      <c r="V14" s="2112">
        <v>0.59</v>
      </c>
      <c r="W14" s="2112">
        <v>4.1000000000000002E-2</v>
      </c>
      <c r="X14" s="2177">
        <v>0.4</v>
      </c>
      <c r="Y14" s="2223">
        <f t="shared" si="8"/>
        <v>1</v>
      </c>
    </row>
    <row r="15" spans="1:25" ht="17.25" customHeight="1">
      <c r="A15" s="3030"/>
      <c r="B15" s="1728">
        <v>1</v>
      </c>
      <c r="C15" s="1798" t="s">
        <v>1342</v>
      </c>
      <c r="D15" s="715">
        <v>0</v>
      </c>
      <c r="E15" s="691">
        <f>VLOOKUP($C15,$T$6:$X$62,2,FALSE)*$D15</f>
        <v>0</v>
      </c>
      <c r="F15" s="686">
        <f>VLOOKUP($C15,$T$6:$X$62,3,FALSE)*$D15</f>
        <v>0</v>
      </c>
      <c r="G15" s="684">
        <f>VLOOKUP($C15,$T$6:$X$62,4,FALSE)*$D15</f>
        <v>0</v>
      </c>
      <c r="H15" s="2066">
        <f>VLOOKUP($C15,$T$6:$X$62,5,FALSE)*$D15</f>
        <v>0</v>
      </c>
      <c r="I15" s="1797"/>
      <c r="J15" s="700"/>
      <c r="K15" s="1728">
        <v>1</v>
      </c>
      <c r="L15" s="1798" t="s">
        <v>1342</v>
      </c>
      <c r="M15" s="715">
        <v>0</v>
      </c>
      <c r="N15" s="691">
        <f>VLOOKUP($L15,$T$6:$X$62,2,FALSE)*$M15</f>
        <v>0</v>
      </c>
      <c r="O15" s="686">
        <f>VLOOKUP($L15,$T$6:$X$62,3,FALSE)*$M15</f>
        <v>0</v>
      </c>
      <c r="P15" s="684">
        <f>VLOOKUP($L15,$T$6:$X$62,4,FALSE)*$M15</f>
        <v>0</v>
      </c>
      <c r="Q15" s="2066">
        <f>VLOOKUP($L15,$T$6:$X$62,5,FALSE)*$M15</f>
        <v>0</v>
      </c>
      <c r="R15" s="1797"/>
      <c r="S15" s="2112"/>
      <c r="T15" s="2112" t="s">
        <v>1681</v>
      </c>
      <c r="U15" s="2112">
        <v>6.9000000000000006E-2</v>
      </c>
      <c r="V15" s="2112">
        <v>0.24</v>
      </c>
      <c r="W15" s="2112">
        <v>0.02</v>
      </c>
      <c r="X15" s="2177">
        <v>0.3</v>
      </c>
      <c r="Y15" s="2223">
        <f t="shared" si="8"/>
        <v>0.75</v>
      </c>
    </row>
    <row r="16" spans="1:25" ht="17.25" customHeight="1">
      <c r="A16" s="3030"/>
      <c r="B16" s="1728">
        <v>2</v>
      </c>
      <c r="C16" s="1798" t="s">
        <v>1678</v>
      </c>
      <c r="D16" s="715">
        <v>0</v>
      </c>
      <c r="E16" s="689">
        <f t="shared" ref="E16:E17" si="13">VLOOKUP($C16,$T$6:$X$62,2,FALSE)*$D16</f>
        <v>0</v>
      </c>
      <c r="F16" s="687">
        <f t="shared" ref="F16:F17" si="14">VLOOKUP($C16,$T$6:$X$62,3,FALSE)*$D16</f>
        <v>0</v>
      </c>
      <c r="G16" s="784">
        <f t="shared" ref="G16:G17" si="15">VLOOKUP($C16,$T$6:$X$62,4,FALSE)*$D16</f>
        <v>0</v>
      </c>
      <c r="H16" s="1895">
        <f t="shared" ref="H16:H17" si="16">VLOOKUP($C16,$T$6:$X$62,5,FALSE)*$D16</f>
        <v>0</v>
      </c>
      <c r="I16" s="1797"/>
      <c r="J16" s="700"/>
      <c r="K16" s="1728">
        <v>2</v>
      </c>
      <c r="L16" s="1798" t="s">
        <v>1678</v>
      </c>
      <c r="M16" s="715">
        <v>0</v>
      </c>
      <c r="N16" s="689">
        <f t="shared" ref="N16:N18" si="17">VLOOKUP($L16,$T$6:$X$62,2,FALSE)*$M16</f>
        <v>0</v>
      </c>
      <c r="O16" s="687">
        <f t="shared" ref="O16:O18" si="18">VLOOKUP($L16,$T$6:$X$62,3,FALSE)*$M16</f>
        <v>0</v>
      </c>
      <c r="P16" s="784">
        <f t="shared" ref="P16:P18" si="19">VLOOKUP($L16,$T$6:$X$62,4,FALSE)*$M16</f>
        <v>0</v>
      </c>
      <c r="Q16" s="1895">
        <f t="shared" ref="Q16:Q18" si="20">VLOOKUP($L16,$T$6:$X$62,5,FALSE)*$M16</f>
        <v>0</v>
      </c>
      <c r="R16" s="1797"/>
      <c r="S16" s="2112"/>
      <c r="T16" s="2112" t="s">
        <v>1283</v>
      </c>
      <c r="U16" s="2112">
        <v>6.9000000000000006E-2</v>
      </c>
      <c r="V16" s="2112">
        <v>0.48</v>
      </c>
      <c r="W16" s="2112">
        <v>3.3000000000000002E-2</v>
      </c>
      <c r="X16" s="2177">
        <v>0.3</v>
      </c>
      <c r="Y16" s="2223">
        <f t="shared" si="8"/>
        <v>0.75</v>
      </c>
    </row>
    <row r="17" spans="1:25" ht="17.25" customHeight="1">
      <c r="A17" s="3030"/>
      <c r="B17" s="1728">
        <v>3</v>
      </c>
      <c r="C17" s="1798" t="s">
        <v>1286</v>
      </c>
      <c r="D17" s="715">
        <v>0</v>
      </c>
      <c r="E17" s="689">
        <f t="shared" si="13"/>
        <v>0</v>
      </c>
      <c r="F17" s="687">
        <f t="shared" si="14"/>
        <v>0</v>
      </c>
      <c r="G17" s="784">
        <f t="shared" si="15"/>
        <v>0</v>
      </c>
      <c r="H17" s="1895">
        <f t="shared" si="16"/>
        <v>0</v>
      </c>
      <c r="I17" s="1797"/>
      <c r="J17" s="700"/>
      <c r="K17" s="1728">
        <v>3</v>
      </c>
      <c r="L17" s="1798" t="s">
        <v>1286</v>
      </c>
      <c r="M17" s="715">
        <v>0</v>
      </c>
      <c r="N17" s="689">
        <f t="shared" si="17"/>
        <v>0</v>
      </c>
      <c r="O17" s="687">
        <f t="shared" si="18"/>
        <v>0</v>
      </c>
      <c r="P17" s="784">
        <f t="shared" si="19"/>
        <v>0</v>
      </c>
      <c r="Q17" s="1895">
        <f t="shared" si="20"/>
        <v>0</v>
      </c>
      <c r="R17" s="1797"/>
      <c r="S17" s="2112"/>
      <c r="T17" s="2112" t="s">
        <v>1284</v>
      </c>
      <c r="U17" s="2112">
        <v>0.10299999999999999</v>
      </c>
      <c r="V17" s="2112">
        <v>0.42</v>
      </c>
      <c r="W17" s="2112">
        <v>2.5000000000000001E-2</v>
      </c>
      <c r="X17" s="2177">
        <v>0.3</v>
      </c>
      <c r="Y17" s="2223">
        <f t="shared" si="8"/>
        <v>0.75</v>
      </c>
    </row>
    <row r="18" spans="1:25" ht="17.25" customHeight="1">
      <c r="A18" s="3030"/>
      <c r="B18" s="1728">
        <v>4</v>
      </c>
      <c r="C18" s="1798" t="s">
        <v>1694</v>
      </c>
      <c r="D18" s="715">
        <v>0</v>
      </c>
      <c r="E18" s="690">
        <f>VLOOKUP($C18,$T$6:$X$62,2,FALSE)*$D18</f>
        <v>0</v>
      </c>
      <c r="F18" s="688">
        <f>VLOOKUP($C18,$T$6:$X$62,3,FALSE)*$D18</f>
        <v>0</v>
      </c>
      <c r="G18" s="723">
        <f>VLOOKUP($C18,$T$6:$X$62,4,FALSE)*$D18</f>
        <v>0</v>
      </c>
      <c r="H18" s="1896">
        <f>VLOOKUP($C18,$T$6:$X$62,5,FALSE)*$D18</f>
        <v>0</v>
      </c>
      <c r="I18" s="1797"/>
      <c r="J18" s="700"/>
      <c r="K18" s="1728">
        <v>4</v>
      </c>
      <c r="L18" s="1798" t="s">
        <v>1694</v>
      </c>
      <c r="M18" s="715">
        <v>0</v>
      </c>
      <c r="N18" s="690">
        <f t="shared" si="17"/>
        <v>0</v>
      </c>
      <c r="O18" s="688">
        <f t="shared" si="18"/>
        <v>0</v>
      </c>
      <c r="P18" s="723">
        <f t="shared" si="19"/>
        <v>0</v>
      </c>
      <c r="Q18" s="1896">
        <f t="shared" si="20"/>
        <v>0</v>
      </c>
      <c r="R18" s="1797"/>
      <c r="S18" s="2112"/>
      <c r="T18" s="2112" t="s">
        <v>472</v>
      </c>
      <c r="U18" s="2112">
        <v>0.21</v>
      </c>
      <c r="V18" s="2112">
        <v>0.55000000000000004</v>
      </c>
      <c r="W18" s="2112">
        <v>0.08</v>
      </c>
      <c r="X18" s="2177">
        <v>0.3</v>
      </c>
      <c r="Y18" s="2223">
        <f t="shared" si="8"/>
        <v>0.75</v>
      </c>
    </row>
    <row r="19" spans="1:25">
      <c r="A19" s="3030"/>
      <c r="B19" s="2109"/>
      <c r="C19" s="2111"/>
      <c r="D19" s="287" t="s">
        <v>630</v>
      </c>
      <c r="E19" s="730">
        <f>SUM(E15:E18)</f>
        <v>0</v>
      </c>
      <c r="F19" s="730">
        <f t="shared" ref="F19:H19" si="21">SUM(F15:F18)</f>
        <v>0</v>
      </c>
      <c r="G19" s="730">
        <f t="shared" si="21"/>
        <v>0</v>
      </c>
      <c r="H19" s="730">
        <f t="shared" si="21"/>
        <v>0</v>
      </c>
      <c r="I19" s="711"/>
      <c r="J19" s="701"/>
      <c r="K19" s="1729"/>
      <c r="L19" s="2111"/>
      <c r="M19" s="287" t="s">
        <v>630</v>
      </c>
      <c r="N19" s="730">
        <f>SUM(N15:N18)</f>
        <v>0</v>
      </c>
      <c r="O19" s="730">
        <f t="shared" ref="O19" si="22">SUM(O15:O18)</f>
        <v>0</v>
      </c>
      <c r="P19" s="730">
        <f t="shared" ref="P19" si="23">SUM(P15:P18)</f>
        <v>0</v>
      </c>
      <c r="Q19" s="730">
        <f t="shared" ref="Q19" si="24">SUM(Q15:Q18)</f>
        <v>0</v>
      </c>
      <c r="R19" s="711"/>
      <c r="S19" s="2112"/>
      <c r="T19" s="2112" t="s">
        <v>1683</v>
      </c>
      <c r="U19" s="2112">
        <v>0.22900000000000001</v>
      </c>
      <c r="V19" s="2112">
        <v>0.36</v>
      </c>
      <c r="W19" s="2112">
        <v>5.8000000000000003E-2</v>
      </c>
      <c r="X19" s="2177">
        <v>0.3</v>
      </c>
      <c r="Y19" s="2223">
        <f t="shared" si="8"/>
        <v>0.75</v>
      </c>
    </row>
    <row r="20" spans="1:25" ht="28.5" customHeight="1">
      <c r="A20" s="3030"/>
      <c r="B20" s="2109"/>
      <c r="C20" s="2111"/>
      <c r="D20" s="2113" t="s">
        <v>631</v>
      </c>
      <c r="E20" s="1799" t="s">
        <v>2</v>
      </c>
      <c r="F20" s="1800" t="s">
        <v>464</v>
      </c>
      <c r="G20" s="1801" t="s">
        <v>632</v>
      </c>
      <c r="H20" s="2235"/>
      <c r="I20" s="711"/>
      <c r="J20" s="701"/>
      <c r="K20" s="2109"/>
      <c r="L20" s="2111"/>
      <c r="M20" s="2113" t="s">
        <v>631</v>
      </c>
      <c r="N20" s="1802" t="s">
        <v>2</v>
      </c>
      <c r="O20" s="1803" t="s">
        <v>464</v>
      </c>
      <c r="P20" s="2071" t="s">
        <v>632</v>
      </c>
      <c r="Q20" s="2235"/>
      <c r="R20" s="711"/>
      <c r="S20" s="2112"/>
      <c r="T20" s="2112" t="s">
        <v>1352</v>
      </c>
      <c r="U20" s="2112">
        <v>8.2000000000000003E-2</v>
      </c>
      <c r="V20" s="2112">
        <v>0.53</v>
      </c>
      <c r="W20" s="2112">
        <v>4.4999999999999998E-2</v>
      </c>
      <c r="X20" s="2177">
        <v>0.3</v>
      </c>
      <c r="Y20" s="2223">
        <f t="shared" si="8"/>
        <v>0.75</v>
      </c>
    </row>
    <row r="21" spans="1:25" ht="24.75" customHeight="1">
      <c r="A21" s="3030"/>
      <c r="B21" s="2110"/>
      <c r="C21" s="683" t="s">
        <v>634</v>
      </c>
      <c r="D21" s="2118" t="s">
        <v>322</v>
      </c>
      <c r="E21" s="697">
        <f>IF(E20="E",0,IF(E20="D",E19*0.5,IF(E20="C",E19,IF(E20="B",E19*1.5,IF(E20="A",E19*2)))))</f>
        <v>0</v>
      </c>
      <c r="F21" s="698">
        <f t="shared" ref="F21:G21" si="25">IF(F20="E",0,IF(F20="D",F19*0.5,IF(F20="C",F19,IF(F20="B",F19*1.5,IF(F20="A",F19*2)))))</f>
        <v>0</v>
      </c>
      <c r="G21" s="705">
        <f t="shared" si="25"/>
        <v>0</v>
      </c>
      <c r="H21" s="1897">
        <f>H19</f>
        <v>0</v>
      </c>
      <c r="I21" s="712"/>
      <c r="J21" s="702"/>
      <c r="K21" s="2110"/>
      <c r="L21" s="683" t="s">
        <v>634</v>
      </c>
      <c r="M21" s="2118" t="s">
        <v>322</v>
      </c>
      <c r="N21" s="697">
        <f>IF(N20="E",0,IF(N20="D",N19*0.5,IF(N20="C",N19,IF(N20="B",N19*1.5,IF(N20="A",N19*2)))))</f>
        <v>0</v>
      </c>
      <c r="O21" s="698">
        <f t="shared" ref="O21:P21" si="26">IF(O20="E",0,IF(O20="D",O19*0.5,IF(O20="C",O19,IF(O20="B",O19*1.5,IF(O20="A",O19*2)))))</f>
        <v>0</v>
      </c>
      <c r="P21" s="705">
        <f t="shared" si="26"/>
        <v>0</v>
      </c>
      <c r="Q21" s="1897">
        <f>Q19</f>
        <v>0</v>
      </c>
      <c r="R21" s="712"/>
      <c r="S21" s="2112"/>
      <c r="T21" s="2112" t="s">
        <v>1354</v>
      </c>
      <c r="U21" s="2112">
        <v>0.08</v>
      </c>
      <c r="V21" s="2112">
        <v>0.53</v>
      </c>
      <c r="W21" s="2112">
        <v>2.5000000000000001E-2</v>
      </c>
      <c r="X21" s="2177">
        <v>0.3</v>
      </c>
      <c r="Y21" s="2223">
        <f t="shared" si="8"/>
        <v>0.75</v>
      </c>
    </row>
    <row r="22" spans="1:25" ht="15" customHeight="1">
      <c r="A22" s="3030"/>
      <c r="B22" s="2112"/>
      <c r="C22" s="2112"/>
      <c r="D22" s="2112"/>
      <c r="E22" s="682"/>
      <c r="F22" s="685"/>
      <c r="G22" s="2112"/>
      <c r="H22" s="2112"/>
      <c r="I22" s="703"/>
      <c r="J22" s="703"/>
      <c r="K22" s="2112"/>
      <c r="L22" s="2112"/>
      <c r="M22" s="2112"/>
      <c r="N22" s="682"/>
      <c r="O22" s="685"/>
      <c r="P22" s="2112"/>
      <c r="Q22" s="2112"/>
      <c r="R22" s="703"/>
      <c r="S22" s="2112"/>
      <c r="T22" s="2112" t="s">
        <v>1285</v>
      </c>
      <c r="U22" s="2112">
        <v>0.23599999999999999</v>
      </c>
      <c r="V22" s="2112">
        <v>0.72</v>
      </c>
      <c r="W22" s="2112">
        <v>8.7999999999999995E-2</v>
      </c>
      <c r="X22" s="2177">
        <v>0.3</v>
      </c>
      <c r="Y22" s="2223">
        <f t="shared" si="8"/>
        <v>0.75</v>
      </c>
    </row>
    <row r="23" spans="1:25">
      <c r="A23" s="3030"/>
      <c r="B23" s="2112"/>
      <c r="C23" s="2112"/>
      <c r="D23" s="2112"/>
      <c r="E23" s="682"/>
      <c r="F23" s="685"/>
      <c r="G23" s="2112"/>
      <c r="H23" s="2112"/>
      <c r="I23" s="703"/>
      <c r="J23" s="703"/>
      <c r="K23" s="2112"/>
      <c r="L23" s="2112"/>
      <c r="M23" s="2112"/>
      <c r="N23" s="682"/>
      <c r="O23" s="685"/>
      <c r="P23" s="2112"/>
      <c r="Q23" s="2112"/>
      <c r="R23" s="703"/>
      <c r="S23" s="2112"/>
      <c r="T23" s="2112" t="s">
        <v>1684</v>
      </c>
      <c r="U23" s="2112">
        <v>0.115</v>
      </c>
      <c r="V23" s="2112">
        <v>0.66</v>
      </c>
      <c r="W23" s="2112">
        <v>3.5999999999999997E-2</v>
      </c>
      <c r="X23" s="2177">
        <v>0.3</v>
      </c>
      <c r="Y23" s="2223">
        <f t="shared" si="8"/>
        <v>0.75</v>
      </c>
    </row>
    <row r="24" spans="1:25" ht="27" customHeight="1">
      <c r="A24" s="3030"/>
      <c r="B24" s="2115"/>
      <c r="C24" s="706" t="s">
        <v>628</v>
      </c>
      <c r="D24" s="2116"/>
      <c r="E24" s="2769" t="s">
        <v>625</v>
      </c>
      <c r="F24" s="2769"/>
      <c r="G24" s="2769"/>
      <c r="H24" s="2116"/>
      <c r="I24" s="704" t="s">
        <v>1183</v>
      </c>
      <c r="J24" s="699"/>
      <c r="K24" s="2115"/>
      <c r="L24" s="706" t="s">
        <v>628</v>
      </c>
      <c r="M24" s="2116"/>
      <c r="N24" s="2769" t="s">
        <v>625</v>
      </c>
      <c r="O24" s="2769"/>
      <c r="P24" s="2769"/>
      <c r="Q24" s="2116"/>
      <c r="R24" s="704" t="s">
        <v>1183</v>
      </c>
      <c r="S24" s="2112"/>
      <c r="T24" s="2112" t="s">
        <v>1685</v>
      </c>
      <c r="U24" s="2112">
        <v>0.13700000000000001</v>
      </c>
      <c r="V24" s="2112">
        <v>0.84</v>
      </c>
      <c r="W24" s="2112">
        <v>9.0999999999999998E-2</v>
      </c>
      <c r="X24" s="2177">
        <v>0.3</v>
      </c>
      <c r="Y24" s="2223">
        <f t="shared" si="8"/>
        <v>0.75</v>
      </c>
    </row>
    <row r="25" spans="1:25" ht="18.75">
      <c r="A25" s="3030"/>
      <c r="B25" s="2120" t="s">
        <v>622</v>
      </c>
      <c r="C25" s="2114" t="s">
        <v>623</v>
      </c>
      <c r="D25" s="2114" t="s">
        <v>33</v>
      </c>
      <c r="E25" s="693" t="s">
        <v>637</v>
      </c>
      <c r="F25" s="694" t="s">
        <v>638</v>
      </c>
      <c r="G25" s="706" t="s">
        <v>610</v>
      </c>
      <c r="H25" s="2070" t="s">
        <v>1305</v>
      </c>
      <c r="I25" s="707"/>
      <c r="J25" s="2108"/>
      <c r="K25" s="2120" t="s">
        <v>622</v>
      </c>
      <c r="L25" s="2114" t="s">
        <v>623</v>
      </c>
      <c r="M25" s="2114" t="s">
        <v>33</v>
      </c>
      <c r="N25" s="693" t="s">
        <v>637</v>
      </c>
      <c r="O25" s="694" t="s">
        <v>638</v>
      </c>
      <c r="P25" s="706" t="s">
        <v>610</v>
      </c>
      <c r="Q25" s="2070" t="s">
        <v>1305</v>
      </c>
      <c r="R25" s="707"/>
      <c r="S25" s="2112"/>
      <c r="T25" s="2112" t="s">
        <v>1686</v>
      </c>
      <c r="U25" s="2112">
        <v>0.08</v>
      </c>
      <c r="V25" s="2112">
        <v>0.36</v>
      </c>
      <c r="W25" s="2112">
        <v>3.3000000000000002E-2</v>
      </c>
      <c r="X25" s="2177">
        <v>0.3</v>
      </c>
      <c r="Y25" s="2223">
        <f t="shared" si="8"/>
        <v>0.75</v>
      </c>
    </row>
    <row r="26" spans="1:25" ht="15.75" customHeight="1">
      <c r="A26" s="3030"/>
      <c r="B26" s="1728">
        <v>1</v>
      </c>
      <c r="C26" s="1798" t="s">
        <v>1277</v>
      </c>
      <c r="D26" s="715">
        <v>0</v>
      </c>
      <c r="E26" s="691">
        <f>VLOOKUP($C26,$T$6:$X$62,2,FALSE)*$D26</f>
        <v>0</v>
      </c>
      <c r="F26" s="686">
        <f>VLOOKUP($C26,$T$6:$X$62,3,FALSE)*$D26</f>
        <v>0</v>
      </c>
      <c r="G26" s="684">
        <f>VLOOKUP($C26,$T$6:$X$62,4,FALSE)*$D26</f>
        <v>0</v>
      </c>
      <c r="H26" s="2066">
        <f>VLOOKUP($C26,$T$6:$X$62,5,FALSE)*$D26</f>
        <v>0</v>
      </c>
      <c r="I26" s="1797"/>
      <c r="J26" s="700"/>
      <c r="K26" s="1728">
        <v>1</v>
      </c>
      <c r="L26" s="1798" t="s">
        <v>1277</v>
      </c>
      <c r="M26" s="715">
        <v>0</v>
      </c>
      <c r="N26" s="691">
        <f>VLOOKUP($L26,$T$6:$X$62,2,FALSE)*$M26</f>
        <v>0</v>
      </c>
      <c r="O26" s="686">
        <f>VLOOKUP($L26,$T$6:$X$62,3,FALSE)*$M26</f>
        <v>0</v>
      </c>
      <c r="P26" s="684">
        <f>VLOOKUP($L26,$T$6:$X$62,4,FALSE)*$M26</f>
        <v>0</v>
      </c>
      <c r="Q26" s="2066">
        <f>VLOOKUP($L26,$T$6:$X$62,5,FALSE)*$M26</f>
        <v>0</v>
      </c>
      <c r="R26" s="1797"/>
      <c r="S26" s="2112"/>
      <c r="T26" s="2112" t="s">
        <v>1359</v>
      </c>
      <c r="U26" s="2112">
        <v>6.9000000000000006E-2</v>
      </c>
      <c r="V26" s="2112">
        <v>0.34</v>
      </c>
      <c r="W26" s="2112">
        <v>3.3000000000000002E-2</v>
      </c>
      <c r="X26" s="2177">
        <v>0.3</v>
      </c>
      <c r="Y26" s="2223">
        <f t="shared" si="8"/>
        <v>0.75</v>
      </c>
    </row>
    <row r="27" spans="1:25" ht="15.75" customHeight="1">
      <c r="A27" s="3030"/>
      <c r="B27" s="1728">
        <v>2</v>
      </c>
      <c r="C27" s="1798" t="s">
        <v>1342</v>
      </c>
      <c r="D27" s="715">
        <v>0</v>
      </c>
      <c r="E27" s="689">
        <f t="shared" ref="E27:E28" si="27">VLOOKUP($C27,$T$6:$X$62,2,FALSE)*$D27</f>
        <v>0</v>
      </c>
      <c r="F27" s="687">
        <f t="shared" ref="F27:F28" si="28">VLOOKUP($C27,$T$6:$X$62,3,FALSE)*$D27</f>
        <v>0</v>
      </c>
      <c r="G27" s="784">
        <f t="shared" ref="G27:G28" si="29">VLOOKUP($C27,$T$6:$X$62,4,FALSE)*$D27</f>
        <v>0</v>
      </c>
      <c r="H27" s="1895">
        <f t="shared" ref="H27:H28" si="30">VLOOKUP($C27,$T$6:$X$62,5,FALSE)*$D27</f>
        <v>0</v>
      </c>
      <c r="I27" s="1797"/>
      <c r="J27" s="700"/>
      <c r="K27" s="1728">
        <v>2</v>
      </c>
      <c r="L27" s="1798" t="s">
        <v>1342</v>
      </c>
      <c r="M27" s="715">
        <v>0</v>
      </c>
      <c r="N27" s="689">
        <f t="shared" ref="N27:N30" si="31">VLOOKUP($L27,$T$6:$X$62,2,FALSE)*$M27</f>
        <v>0</v>
      </c>
      <c r="O27" s="687">
        <f t="shared" ref="O27:O30" si="32">VLOOKUP($L27,$T$6:$X$62,3,FALSE)*$M27</f>
        <v>0</v>
      </c>
      <c r="P27" s="784">
        <f t="shared" ref="P27:P30" si="33">VLOOKUP($L27,$T$6:$X$62,4,FALSE)*$M27</f>
        <v>0</v>
      </c>
      <c r="Q27" s="1895">
        <f t="shared" ref="Q27:Q30" si="34">VLOOKUP($L27,$T$6:$X$62,5,FALSE)*$M27</f>
        <v>0</v>
      </c>
      <c r="R27" s="1797"/>
      <c r="S27" s="2112"/>
      <c r="T27" s="2112" t="s">
        <v>1687</v>
      </c>
      <c r="U27" s="2112">
        <v>7.5999999999999998E-2</v>
      </c>
      <c r="V27" s="2112">
        <v>0.36</v>
      </c>
      <c r="W27" s="2112">
        <v>2.7E-2</v>
      </c>
      <c r="X27" s="2177">
        <v>0.3</v>
      </c>
      <c r="Y27" s="2223">
        <f t="shared" si="8"/>
        <v>0.75</v>
      </c>
    </row>
    <row r="28" spans="1:25" ht="15.75" customHeight="1">
      <c r="A28" s="3030"/>
      <c r="B28" s="1728">
        <v>3</v>
      </c>
      <c r="C28" s="1798" t="s">
        <v>1692</v>
      </c>
      <c r="D28" s="715">
        <v>0</v>
      </c>
      <c r="E28" s="689">
        <f t="shared" si="27"/>
        <v>0</v>
      </c>
      <c r="F28" s="687">
        <f t="shared" si="28"/>
        <v>0</v>
      </c>
      <c r="G28" s="784">
        <f t="shared" si="29"/>
        <v>0</v>
      </c>
      <c r="H28" s="1895">
        <f t="shared" si="30"/>
        <v>0</v>
      </c>
      <c r="I28" s="1797"/>
      <c r="J28" s="700"/>
      <c r="K28" s="1728">
        <v>3</v>
      </c>
      <c r="L28" s="1798" t="s">
        <v>1692</v>
      </c>
      <c r="M28" s="715">
        <v>0</v>
      </c>
      <c r="N28" s="689">
        <f t="shared" si="31"/>
        <v>0</v>
      </c>
      <c r="O28" s="687">
        <f t="shared" si="32"/>
        <v>0</v>
      </c>
      <c r="P28" s="784">
        <f t="shared" si="33"/>
        <v>0</v>
      </c>
      <c r="Q28" s="1895">
        <f t="shared" si="34"/>
        <v>0</v>
      </c>
      <c r="R28" s="1797"/>
      <c r="S28" s="2112"/>
      <c r="T28" s="2112" t="s">
        <v>1286</v>
      </c>
      <c r="U28" s="2112">
        <v>0.08</v>
      </c>
      <c r="V28" s="2112">
        <v>0.4</v>
      </c>
      <c r="W28" s="2112">
        <v>1.7000000000000001E-2</v>
      </c>
      <c r="X28" s="2177">
        <v>0.3</v>
      </c>
      <c r="Y28" s="2223">
        <f t="shared" si="8"/>
        <v>0.75</v>
      </c>
    </row>
    <row r="29" spans="1:25" ht="15.75" customHeight="1">
      <c r="A29" s="3030"/>
      <c r="B29" s="1728">
        <v>4</v>
      </c>
      <c r="C29" s="1798" t="s">
        <v>1277</v>
      </c>
      <c r="D29" s="715">
        <v>0</v>
      </c>
      <c r="E29" s="689">
        <f>VLOOKUP($C29,$T$6:$X$62,2,FALSE)*$D29</f>
        <v>0</v>
      </c>
      <c r="F29" s="687">
        <f>VLOOKUP($C29,$T$6:$X$62,3,FALSE)*$D29</f>
        <v>0</v>
      </c>
      <c r="G29" s="784">
        <f>VLOOKUP($C29,$T$6:$X$62,4,FALSE)*$D29</f>
        <v>0</v>
      </c>
      <c r="H29" s="1895">
        <f>VLOOKUP($C29,$T$6:$X$62,5,FALSE)*$D29</f>
        <v>0</v>
      </c>
      <c r="I29" s="1797"/>
      <c r="J29" s="700"/>
      <c r="K29" s="1728">
        <v>4</v>
      </c>
      <c r="L29" s="1798" t="s">
        <v>1277</v>
      </c>
      <c r="M29" s="715">
        <v>0</v>
      </c>
      <c r="N29" s="689">
        <f t="shared" si="31"/>
        <v>0</v>
      </c>
      <c r="O29" s="687">
        <f t="shared" si="32"/>
        <v>0</v>
      </c>
      <c r="P29" s="784">
        <f t="shared" si="33"/>
        <v>0</v>
      </c>
      <c r="Q29" s="1895">
        <f t="shared" si="34"/>
        <v>0</v>
      </c>
      <c r="R29" s="1797"/>
      <c r="S29" s="2112"/>
      <c r="T29" s="2112" t="s">
        <v>1287</v>
      </c>
      <c r="U29" s="2112">
        <v>0.06</v>
      </c>
      <c r="V29" s="2112">
        <v>0.34</v>
      </c>
      <c r="W29" s="2112">
        <v>0.02</v>
      </c>
      <c r="X29" s="2177">
        <v>0.3</v>
      </c>
      <c r="Y29" s="2223">
        <f t="shared" si="8"/>
        <v>0.75</v>
      </c>
    </row>
    <row r="30" spans="1:25" ht="15.75" customHeight="1">
      <c r="A30" s="3030"/>
      <c r="B30" s="1728">
        <v>5</v>
      </c>
      <c r="C30" s="1798" t="s">
        <v>1342</v>
      </c>
      <c r="D30" s="715">
        <v>0</v>
      </c>
      <c r="E30" s="690">
        <f>VLOOKUP($C30,$T$6:$X$62,2,FALSE)*$D30</f>
        <v>0</v>
      </c>
      <c r="F30" s="688">
        <f>VLOOKUP($C30,$T$6:$X$62,3,FALSE)*$D30</f>
        <v>0</v>
      </c>
      <c r="G30" s="723">
        <f>VLOOKUP($C30,$T$6:$X$62,4,FALSE)*$D30</f>
        <v>0</v>
      </c>
      <c r="H30" s="1896">
        <f>VLOOKUP($C30,$T$6:$X$62,5,FALSE)*$D30</f>
        <v>0</v>
      </c>
      <c r="I30" s="1797"/>
      <c r="J30" s="700"/>
      <c r="K30" s="1728">
        <v>5</v>
      </c>
      <c r="L30" s="1798" t="s">
        <v>1342</v>
      </c>
      <c r="M30" s="715">
        <v>0</v>
      </c>
      <c r="N30" s="690">
        <f t="shared" si="31"/>
        <v>0</v>
      </c>
      <c r="O30" s="688">
        <f t="shared" si="32"/>
        <v>0</v>
      </c>
      <c r="P30" s="723">
        <f t="shared" si="33"/>
        <v>0</v>
      </c>
      <c r="Q30" s="1896">
        <f t="shared" si="34"/>
        <v>0</v>
      </c>
      <c r="R30" s="1797"/>
      <c r="S30" s="2112"/>
      <c r="T30" s="2112" t="s">
        <v>1288</v>
      </c>
      <c r="U30" s="2112">
        <v>0.19500000000000001</v>
      </c>
      <c r="V30" s="2112">
        <v>0.66</v>
      </c>
      <c r="W30" s="2117">
        <v>0.41</v>
      </c>
      <c r="X30" s="2177">
        <v>0.4</v>
      </c>
      <c r="Y30" s="2223">
        <f t="shared" si="8"/>
        <v>1</v>
      </c>
    </row>
    <row r="31" spans="1:25" ht="20.25" customHeight="1">
      <c r="A31" s="3030"/>
      <c r="B31" s="2109"/>
      <c r="C31" s="2111"/>
      <c r="D31" s="287" t="s">
        <v>630</v>
      </c>
      <c r="E31" s="730">
        <f>SUM(E26:E30)</f>
        <v>0</v>
      </c>
      <c r="F31" s="731">
        <f t="shared" ref="F31:H31" si="35">SUM(F26:F30)</f>
        <v>0</v>
      </c>
      <c r="G31" s="725">
        <f t="shared" si="35"/>
        <v>0</v>
      </c>
      <c r="H31" s="2067">
        <f t="shared" si="35"/>
        <v>0</v>
      </c>
      <c r="I31" s="711"/>
      <c r="J31" s="701"/>
      <c r="K31" s="2109"/>
      <c r="L31" s="2111"/>
      <c r="M31" s="287" t="s">
        <v>630</v>
      </c>
      <c r="N31" s="730">
        <f>SUM(N26:N30)</f>
        <v>0</v>
      </c>
      <c r="O31" s="731">
        <f t="shared" ref="O31:Q31" si="36">SUM(O26:O30)</f>
        <v>0</v>
      </c>
      <c r="P31" s="725">
        <f t="shared" si="36"/>
        <v>0</v>
      </c>
      <c r="Q31" s="2067">
        <f t="shared" si="36"/>
        <v>0</v>
      </c>
      <c r="R31" s="711"/>
      <c r="S31" s="2112"/>
      <c r="T31" s="2112" t="s">
        <v>1691</v>
      </c>
      <c r="U31" s="2112">
        <v>0.115</v>
      </c>
      <c r="V31" s="2112">
        <v>0.48</v>
      </c>
      <c r="W31" s="2112">
        <v>0.5</v>
      </c>
      <c r="X31" s="2177">
        <v>0.3</v>
      </c>
      <c r="Y31" s="2223">
        <f t="shared" si="8"/>
        <v>0.75</v>
      </c>
    </row>
    <row r="32" spans="1:25" ht="30" customHeight="1">
      <c r="A32" s="3030"/>
      <c r="B32" s="2109"/>
      <c r="C32" s="2111"/>
      <c r="D32" s="2113" t="s">
        <v>631</v>
      </c>
      <c r="E32" s="1799" t="s">
        <v>463</v>
      </c>
      <c r="F32" s="1800" t="s">
        <v>2</v>
      </c>
      <c r="G32" s="1801" t="s">
        <v>3</v>
      </c>
      <c r="H32" s="2235"/>
      <c r="I32" s="711"/>
      <c r="J32" s="701"/>
      <c r="K32" s="2109"/>
      <c r="L32" s="2111"/>
      <c r="M32" s="2113" t="s">
        <v>631</v>
      </c>
      <c r="N32" s="1802" t="s">
        <v>463</v>
      </c>
      <c r="O32" s="1803" t="s">
        <v>2</v>
      </c>
      <c r="P32" s="2071" t="s">
        <v>3</v>
      </c>
      <c r="Q32" s="2235"/>
      <c r="R32" s="711"/>
      <c r="S32" s="2112"/>
      <c r="T32" s="2112" t="s">
        <v>1692</v>
      </c>
      <c r="U32" s="2112">
        <v>0.10299999999999999</v>
      </c>
      <c r="V32" s="2112">
        <v>0.55000000000000004</v>
      </c>
      <c r="W32" s="2112">
        <v>8.3000000000000004E-2</v>
      </c>
      <c r="X32" s="2177">
        <v>0.3</v>
      </c>
      <c r="Y32" s="2223">
        <f t="shared" si="8"/>
        <v>0.75</v>
      </c>
    </row>
    <row r="33" spans="1:25" ht="22.5" customHeight="1">
      <c r="A33" s="3030"/>
      <c r="B33" s="2110"/>
      <c r="C33" s="683" t="s">
        <v>635</v>
      </c>
      <c r="D33" s="2118" t="s">
        <v>322</v>
      </c>
      <c r="E33" s="697">
        <f>IF(E32="E",0,IF(E32="D",E31*0.5,IF(E32="C",E31,IF(E32="B",E31*1.5,IF(E32="A",E31*2)))))</f>
        <v>0</v>
      </c>
      <c r="F33" s="698">
        <f t="shared" ref="F33:G33" si="37">IF(F32="E",0,IF(F32="D",F31*0.5,IF(F32="C",F31,IF(F32="B",F31*1.5,IF(F32="A",F31*2)))))</f>
        <v>0</v>
      </c>
      <c r="G33" s="705">
        <f t="shared" si="37"/>
        <v>0</v>
      </c>
      <c r="H33" s="1897">
        <f>H31</f>
        <v>0</v>
      </c>
      <c r="I33" s="710"/>
      <c r="J33" s="702"/>
      <c r="K33" s="2110"/>
      <c r="L33" s="683" t="s">
        <v>635</v>
      </c>
      <c r="M33" s="2118" t="s">
        <v>322</v>
      </c>
      <c r="N33" s="697">
        <f>IF(N32="E",0,IF(N32="D",N31*0.5,IF(N32="C",N31,IF(N32="B",N31*1.5,IF(N32="A",N31*2)))))</f>
        <v>0</v>
      </c>
      <c r="O33" s="698">
        <f t="shared" ref="O33:P33" si="38">IF(O32="E",0,IF(O32="D",O31*0.5,IF(O32="C",O31,IF(O32="B",O31*1.5,IF(O32="A",O31*2)))))</f>
        <v>0</v>
      </c>
      <c r="P33" s="705">
        <f t="shared" si="38"/>
        <v>0</v>
      </c>
      <c r="Q33" s="1897">
        <f>Q31</f>
        <v>0</v>
      </c>
      <c r="R33" s="710"/>
      <c r="S33" s="2112"/>
      <c r="T33" s="2112" t="s">
        <v>1289</v>
      </c>
      <c r="U33" s="2112">
        <v>0.08</v>
      </c>
      <c r="V33" s="2112">
        <v>0.36</v>
      </c>
      <c r="W33" s="2112">
        <v>2.5000000000000001E-2</v>
      </c>
      <c r="X33" s="2177">
        <v>0.4</v>
      </c>
      <c r="Y33" s="2223">
        <f t="shared" si="8"/>
        <v>1</v>
      </c>
    </row>
    <row r="34" spans="1:25">
      <c r="A34" s="3030"/>
      <c r="B34" s="2112"/>
      <c r="C34" s="2112"/>
      <c r="D34" s="2112"/>
      <c r="E34" s="682"/>
      <c r="F34" s="685"/>
      <c r="G34" s="2112"/>
      <c r="H34" s="2112"/>
      <c r="I34" s="703"/>
      <c r="J34" s="703"/>
      <c r="K34" s="2112"/>
      <c r="L34" s="2112"/>
      <c r="M34" s="2112"/>
      <c r="N34" s="682"/>
      <c r="O34" s="685"/>
      <c r="P34" s="2112"/>
      <c r="Q34" s="2112"/>
      <c r="R34" s="703"/>
      <c r="S34" s="2112"/>
      <c r="T34" s="2112" t="s">
        <v>1688</v>
      </c>
      <c r="U34" s="2112">
        <v>0.10299999999999999</v>
      </c>
      <c r="V34" s="2112">
        <v>0.53</v>
      </c>
      <c r="W34" s="2112">
        <v>0.05</v>
      </c>
      <c r="X34" s="2177">
        <v>0.3</v>
      </c>
      <c r="Y34" s="2223">
        <f t="shared" si="8"/>
        <v>0.75</v>
      </c>
    </row>
    <row r="35" spans="1:25" ht="18" customHeight="1">
      <c r="A35" s="3030"/>
      <c r="B35" s="2112"/>
      <c r="C35" s="2112"/>
      <c r="D35" s="2112"/>
      <c r="E35" s="682"/>
      <c r="F35" s="685"/>
      <c r="G35" s="2112"/>
      <c r="H35" s="2112"/>
      <c r="I35" s="703"/>
      <c r="J35" s="703"/>
      <c r="K35" s="2112"/>
      <c r="L35" s="2112"/>
      <c r="M35" s="2112"/>
      <c r="N35" s="682"/>
      <c r="O35" s="685"/>
      <c r="P35" s="2112"/>
      <c r="Q35" s="2112"/>
      <c r="R35" s="703"/>
      <c r="S35" s="2112"/>
      <c r="T35" s="2112" t="s">
        <v>1689</v>
      </c>
      <c r="U35" s="714">
        <v>0.08</v>
      </c>
      <c r="V35" s="714">
        <v>0.6</v>
      </c>
      <c r="W35" s="714">
        <v>4.4999999999999998E-2</v>
      </c>
      <c r="X35" s="2177">
        <v>0.3</v>
      </c>
      <c r="Y35" s="2223">
        <f t="shared" si="8"/>
        <v>0.75</v>
      </c>
    </row>
    <row r="36" spans="1:25" ht="24" customHeight="1">
      <c r="A36" s="3030"/>
      <c r="B36" s="2115"/>
      <c r="C36" s="706" t="s">
        <v>629</v>
      </c>
      <c r="D36" s="2116"/>
      <c r="E36" s="2769" t="s">
        <v>625</v>
      </c>
      <c r="F36" s="2769"/>
      <c r="G36" s="2769"/>
      <c r="H36" s="2116"/>
      <c r="I36" s="704" t="s">
        <v>1183</v>
      </c>
      <c r="J36" s="699"/>
      <c r="K36" s="2115"/>
      <c r="L36" s="706" t="s">
        <v>629</v>
      </c>
      <c r="M36" s="2116"/>
      <c r="N36" s="2769" t="s">
        <v>625</v>
      </c>
      <c r="O36" s="2769"/>
      <c r="P36" s="2769"/>
      <c r="Q36" s="2116"/>
      <c r="R36" s="704" t="s">
        <v>1183</v>
      </c>
      <c r="S36" s="2112"/>
      <c r="T36" s="714" t="s">
        <v>1690</v>
      </c>
      <c r="U36" s="714">
        <v>6.9000000000000006E-2</v>
      </c>
      <c r="V36" s="714">
        <v>0.45</v>
      </c>
      <c r="W36" s="714">
        <v>0.02</v>
      </c>
      <c r="X36" s="2177">
        <v>0.3</v>
      </c>
      <c r="Y36" s="2223">
        <f t="shared" si="8"/>
        <v>0.75</v>
      </c>
    </row>
    <row r="37" spans="1:25" ht="18.75">
      <c r="A37" s="3030"/>
      <c r="B37" s="2120" t="s">
        <v>622</v>
      </c>
      <c r="C37" s="2114" t="s">
        <v>623</v>
      </c>
      <c r="D37" s="2114" t="s">
        <v>33</v>
      </c>
      <c r="E37" s="693" t="s">
        <v>637</v>
      </c>
      <c r="F37" s="694" t="s">
        <v>638</v>
      </c>
      <c r="G37" s="706" t="s">
        <v>610</v>
      </c>
      <c r="H37" s="2070" t="s">
        <v>1305</v>
      </c>
      <c r="I37" s="707"/>
      <c r="J37" s="2108"/>
      <c r="K37" s="2120" t="s">
        <v>622</v>
      </c>
      <c r="L37" s="2114" t="s">
        <v>623</v>
      </c>
      <c r="M37" s="2114" t="s">
        <v>33</v>
      </c>
      <c r="N37" s="693" t="s">
        <v>637</v>
      </c>
      <c r="O37" s="694" t="s">
        <v>638</v>
      </c>
      <c r="P37" s="706" t="s">
        <v>610</v>
      </c>
      <c r="Q37" s="2070" t="s">
        <v>1305</v>
      </c>
      <c r="R37" s="707"/>
      <c r="S37" s="2112"/>
      <c r="T37" s="2112" t="s">
        <v>1693</v>
      </c>
      <c r="U37" s="714">
        <v>6.9000000000000006E-2</v>
      </c>
      <c r="V37" s="714">
        <v>0.45</v>
      </c>
      <c r="W37" s="714">
        <v>0.02</v>
      </c>
      <c r="X37" s="2177">
        <v>0.3</v>
      </c>
      <c r="Y37" s="2223">
        <f t="shared" si="8"/>
        <v>0.75</v>
      </c>
    </row>
    <row r="38" spans="1:25" ht="19.5" customHeight="1">
      <c r="A38" s="3030"/>
      <c r="B38" s="1728">
        <v>1</v>
      </c>
      <c r="C38" s="1798" t="s">
        <v>1342</v>
      </c>
      <c r="D38" s="715">
        <v>0</v>
      </c>
      <c r="E38" s="691">
        <f>VLOOKUP($C38,$T$6:$X$62,2,FALSE)*$D38</f>
        <v>0</v>
      </c>
      <c r="F38" s="686">
        <f>VLOOKUP($C38,$T$6:$X$62,3,FALSE)*$D38</f>
        <v>0</v>
      </c>
      <c r="G38" s="684">
        <f>VLOOKUP($C38,$T$6:$X$62,4,FALSE)*$D38</f>
        <v>0</v>
      </c>
      <c r="H38" s="2066">
        <f>VLOOKUP($C38,$T$6:$X$62,5,FALSE)*$D38</f>
        <v>0</v>
      </c>
      <c r="I38" s="1797"/>
      <c r="J38" s="700"/>
      <c r="K38" s="1728">
        <v>1</v>
      </c>
      <c r="L38" s="1798" t="s">
        <v>1342</v>
      </c>
      <c r="M38" s="715">
        <v>0</v>
      </c>
      <c r="N38" s="691">
        <f>VLOOKUP($L38,$T$6:$X$62,2,FALSE)*$M38</f>
        <v>0</v>
      </c>
      <c r="O38" s="686">
        <f>VLOOKUP($L38,$T$6:$X$62,3,FALSE)*$M38</f>
        <v>0</v>
      </c>
      <c r="P38" s="684">
        <f>VLOOKUP($L38,$T$6:$X$62,4,FALSE)*$M38</f>
        <v>0</v>
      </c>
      <c r="Q38" s="2066">
        <f>VLOOKUP($L38,$T$6:$X$62,5,FALSE)*$M38</f>
        <v>0</v>
      </c>
      <c r="R38" s="1797"/>
      <c r="S38" s="2112"/>
      <c r="T38" s="2112" t="s">
        <v>1290</v>
      </c>
      <c r="U38" s="714">
        <v>5.7000000000000002E-2</v>
      </c>
      <c r="V38" s="714">
        <v>0.3</v>
      </c>
      <c r="W38" s="714">
        <v>1.7000000000000001E-2</v>
      </c>
      <c r="X38" s="2177">
        <v>0.3</v>
      </c>
      <c r="Y38" s="2223">
        <f t="shared" si="8"/>
        <v>0.75</v>
      </c>
    </row>
    <row r="39" spans="1:25" ht="19.5" customHeight="1">
      <c r="A39" s="3030"/>
      <c r="B39" s="1728">
        <v>2</v>
      </c>
      <c r="C39" s="1798" t="s">
        <v>1678</v>
      </c>
      <c r="D39" s="715">
        <v>0</v>
      </c>
      <c r="E39" s="689">
        <f t="shared" ref="E39:E40" si="39">VLOOKUP($C39,$T$6:$X$62,2,FALSE)*$D39</f>
        <v>0</v>
      </c>
      <c r="F39" s="687">
        <f t="shared" ref="F39:F40" si="40">VLOOKUP($C39,$T$6:$X$62,3,FALSE)*$D39</f>
        <v>0</v>
      </c>
      <c r="G39" s="784">
        <f t="shared" ref="G39:G40" si="41">VLOOKUP($C39,$T$6:$X$62,4,FALSE)*$D39</f>
        <v>0</v>
      </c>
      <c r="H39" s="1895">
        <f t="shared" ref="H39:H40" si="42">VLOOKUP($C39,$T$6:$X$62,5,FALSE)*$D39</f>
        <v>0</v>
      </c>
      <c r="I39" s="1797"/>
      <c r="J39" s="700"/>
      <c r="K39" s="1728">
        <v>2</v>
      </c>
      <c r="L39" s="1798" t="s">
        <v>1678</v>
      </c>
      <c r="M39" s="715">
        <v>0</v>
      </c>
      <c r="N39" s="689">
        <f t="shared" ref="N39:N43" si="43">VLOOKUP($L39,$T$6:$X$62,2,FALSE)*$M39</f>
        <v>0</v>
      </c>
      <c r="O39" s="687">
        <f t="shared" ref="O39:O43" si="44">VLOOKUP($L39,$T$6:$X$62,3,FALSE)*$M39</f>
        <v>0</v>
      </c>
      <c r="P39" s="784">
        <f t="shared" ref="P39:P43" si="45">VLOOKUP($L39,$T$6:$X$62,4,FALSE)*$M39</f>
        <v>0</v>
      </c>
      <c r="Q39" s="1895">
        <f t="shared" ref="Q39:Q43" si="46">VLOOKUP($L39,$T$6:$X$62,5,FALSE)*$M39</f>
        <v>0</v>
      </c>
      <c r="R39" s="1797"/>
      <c r="S39" s="2112"/>
      <c r="T39" s="2112" t="s">
        <v>1694</v>
      </c>
      <c r="U39" s="2112">
        <v>0.06</v>
      </c>
      <c r="V39" s="2112">
        <v>0.55000000000000004</v>
      </c>
      <c r="W39" s="2112">
        <v>0.03</v>
      </c>
      <c r="X39" s="2177">
        <v>0.3</v>
      </c>
      <c r="Y39" s="2223">
        <f t="shared" si="8"/>
        <v>0.75</v>
      </c>
    </row>
    <row r="40" spans="1:25" ht="19.5" customHeight="1">
      <c r="A40" s="3030"/>
      <c r="B40" s="1728">
        <v>3</v>
      </c>
      <c r="C40" s="1798" t="s">
        <v>1289</v>
      </c>
      <c r="D40" s="715">
        <v>0</v>
      </c>
      <c r="E40" s="689">
        <f t="shared" si="39"/>
        <v>0</v>
      </c>
      <c r="F40" s="687">
        <f t="shared" si="40"/>
        <v>0</v>
      </c>
      <c r="G40" s="784">
        <f t="shared" si="41"/>
        <v>0</v>
      </c>
      <c r="H40" s="1895">
        <f t="shared" si="42"/>
        <v>0</v>
      </c>
      <c r="I40" s="1797"/>
      <c r="J40" s="700"/>
      <c r="K40" s="1728">
        <v>3</v>
      </c>
      <c r="L40" s="1798" t="s">
        <v>1289</v>
      </c>
      <c r="M40" s="715">
        <v>0</v>
      </c>
      <c r="N40" s="689">
        <f t="shared" si="43"/>
        <v>0</v>
      </c>
      <c r="O40" s="687">
        <f t="shared" si="44"/>
        <v>0</v>
      </c>
      <c r="P40" s="784">
        <f t="shared" si="45"/>
        <v>0</v>
      </c>
      <c r="Q40" s="1895">
        <f t="shared" si="46"/>
        <v>0</v>
      </c>
      <c r="R40" s="1797"/>
      <c r="S40" s="2112"/>
      <c r="T40" s="2112" t="s">
        <v>1695</v>
      </c>
      <c r="U40" s="2112">
        <v>6.9000000000000006E-2</v>
      </c>
      <c r="V40" s="2112">
        <v>0.36</v>
      </c>
      <c r="W40" s="2112">
        <v>2.5000000000000001E-2</v>
      </c>
      <c r="X40" s="2177">
        <v>0.3</v>
      </c>
      <c r="Y40" s="2223">
        <f t="shared" si="8"/>
        <v>0.75</v>
      </c>
    </row>
    <row r="41" spans="1:25" ht="19.5" customHeight="1">
      <c r="A41" s="3030"/>
      <c r="B41" s="1728">
        <v>4</v>
      </c>
      <c r="C41" s="1798" t="s">
        <v>1677</v>
      </c>
      <c r="D41" s="715">
        <v>0</v>
      </c>
      <c r="E41" s="689">
        <f>VLOOKUP($C41,$T$6:$X$62,2,FALSE)*$D41</f>
        <v>0</v>
      </c>
      <c r="F41" s="687">
        <f>VLOOKUP($C41,$T$6:$X$62,3,FALSE)*$D41</f>
        <v>0</v>
      </c>
      <c r="G41" s="784">
        <f>VLOOKUP($C41,$T$6:$X$62,4,FALSE)*$D41</f>
        <v>0</v>
      </c>
      <c r="H41" s="1895">
        <f>VLOOKUP($C41,$T$6:$X$62,5,FALSE)*$D41</f>
        <v>0</v>
      </c>
      <c r="I41" s="1797"/>
      <c r="J41" s="700"/>
      <c r="K41" s="1728">
        <v>4</v>
      </c>
      <c r="L41" s="1798" t="s">
        <v>1677</v>
      </c>
      <c r="M41" s="715">
        <v>0</v>
      </c>
      <c r="N41" s="689">
        <f t="shared" si="43"/>
        <v>0</v>
      </c>
      <c r="O41" s="687">
        <f t="shared" si="44"/>
        <v>0</v>
      </c>
      <c r="P41" s="784">
        <f t="shared" si="45"/>
        <v>0</v>
      </c>
      <c r="Q41" s="1895">
        <f t="shared" si="46"/>
        <v>0</v>
      </c>
      <c r="R41" s="1797"/>
      <c r="S41" s="2112"/>
      <c r="T41" s="2112" t="s">
        <v>1292</v>
      </c>
      <c r="U41" s="2112">
        <v>9.1999999999999998E-2</v>
      </c>
      <c r="V41" s="2112">
        <v>0.48</v>
      </c>
      <c r="W41" s="2112">
        <v>3.3000000000000002E-2</v>
      </c>
      <c r="X41" s="2177">
        <v>0.3</v>
      </c>
      <c r="Y41" s="2223">
        <f t="shared" si="8"/>
        <v>0.75</v>
      </c>
    </row>
    <row r="42" spans="1:25" ht="19.5" customHeight="1">
      <c r="A42" s="3030"/>
      <c r="B42" s="1728">
        <v>5</v>
      </c>
      <c r="C42" s="1798" t="s">
        <v>1302</v>
      </c>
      <c r="D42" s="715">
        <v>0</v>
      </c>
      <c r="E42" s="689">
        <f>VLOOKUP($C42,$T$6:$X$62,2,FALSE)*$D42</f>
        <v>0</v>
      </c>
      <c r="F42" s="687">
        <f>VLOOKUP($C42,$T$6:$X$62,3,FALSE)*$D42</f>
        <v>0</v>
      </c>
      <c r="G42" s="784">
        <f>VLOOKUP($C42,$T$6:$X$62,4,FALSE)*$D42</f>
        <v>0</v>
      </c>
      <c r="H42" s="1895">
        <f>VLOOKUP($C42,$T$6:$X$62,5,FALSE)*$D42</f>
        <v>0</v>
      </c>
      <c r="I42" s="1797"/>
      <c r="J42" s="700"/>
      <c r="K42" s="1728">
        <v>5</v>
      </c>
      <c r="L42" s="1798" t="s">
        <v>1302</v>
      </c>
      <c r="M42" s="715">
        <v>0</v>
      </c>
      <c r="N42" s="689">
        <f t="shared" si="43"/>
        <v>0</v>
      </c>
      <c r="O42" s="687">
        <f t="shared" si="44"/>
        <v>0</v>
      </c>
      <c r="P42" s="784">
        <f t="shared" si="45"/>
        <v>0</v>
      </c>
      <c r="Q42" s="1895">
        <f t="shared" si="46"/>
        <v>0</v>
      </c>
      <c r="R42" s="1797"/>
      <c r="S42" s="2112"/>
      <c r="T42" s="2112" t="s">
        <v>1696</v>
      </c>
      <c r="U42" s="2112">
        <v>0.92</v>
      </c>
      <c r="V42" s="2112">
        <v>0.4</v>
      </c>
      <c r="W42" s="2112">
        <v>2.1999999999999999E-2</v>
      </c>
      <c r="X42" s="2177">
        <v>0.3</v>
      </c>
      <c r="Y42" s="2223">
        <f t="shared" si="8"/>
        <v>0.75</v>
      </c>
    </row>
    <row r="43" spans="1:25" ht="19.5" customHeight="1">
      <c r="A43" s="3030"/>
      <c r="B43" s="1728">
        <v>6</v>
      </c>
      <c r="C43" s="1798" t="s">
        <v>1342</v>
      </c>
      <c r="D43" s="715">
        <v>0</v>
      </c>
      <c r="E43" s="690">
        <f>VLOOKUP($C43,$T$6:$X$62,2,FALSE)*$D43</f>
        <v>0</v>
      </c>
      <c r="F43" s="688">
        <f>VLOOKUP($C43,$T$6:$X$62,3,FALSE)*$D43</f>
        <v>0</v>
      </c>
      <c r="G43" s="723">
        <f>VLOOKUP($C43,$T$6:$X$62,4,FALSE)*$D43</f>
        <v>0</v>
      </c>
      <c r="H43" s="1896">
        <f>VLOOKUP($C43,$T$6:$X$62,5,FALSE)*$D43</f>
        <v>0</v>
      </c>
      <c r="I43" s="1797"/>
      <c r="J43" s="700"/>
      <c r="K43" s="1728">
        <v>6</v>
      </c>
      <c r="L43" s="1798" t="s">
        <v>1342</v>
      </c>
      <c r="M43" s="715">
        <v>0</v>
      </c>
      <c r="N43" s="690">
        <f t="shared" si="43"/>
        <v>0</v>
      </c>
      <c r="O43" s="688">
        <f t="shared" si="44"/>
        <v>0</v>
      </c>
      <c r="P43" s="723">
        <f t="shared" si="45"/>
        <v>0</v>
      </c>
      <c r="Q43" s="1896">
        <f t="shared" si="46"/>
        <v>0</v>
      </c>
      <c r="R43" s="1797"/>
      <c r="S43" s="2112"/>
      <c r="T43" s="2112" t="s">
        <v>1697</v>
      </c>
      <c r="U43" s="2112">
        <v>0.115</v>
      </c>
      <c r="V43" s="2112">
        <v>0.3</v>
      </c>
      <c r="W43" s="2112">
        <v>1.7000000000000001E-2</v>
      </c>
      <c r="X43" s="2177">
        <v>0.3</v>
      </c>
      <c r="Y43" s="2223">
        <f t="shared" si="8"/>
        <v>0.75</v>
      </c>
    </row>
    <row r="44" spans="1:25">
      <c r="A44" s="3030"/>
      <c r="B44" s="2109"/>
      <c r="C44" s="2111"/>
      <c r="D44" s="287" t="s">
        <v>630</v>
      </c>
      <c r="E44" s="730">
        <f>SUM(E38:E43)</f>
        <v>0</v>
      </c>
      <c r="F44" s="731">
        <f t="shared" ref="F44:H44" si="47">SUM(F38:F43)</f>
        <v>0</v>
      </c>
      <c r="G44" s="725">
        <f t="shared" si="47"/>
        <v>0</v>
      </c>
      <c r="H44" s="2067">
        <f t="shared" si="47"/>
        <v>0</v>
      </c>
      <c r="I44" s="711"/>
      <c r="J44" s="701"/>
      <c r="K44" s="2109"/>
      <c r="L44" s="2111"/>
      <c r="M44" s="287" t="s">
        <v>630</v>
      </c>
      <c r="N44" s="730">
        <f>SUM(N38:N43)</f>
        <v>0</v>
      </c>
      <c r="O44" s="731">
        <f t="shared" ref="O44:Q44" si="48">SUM(O38:O43)</f>
        <v>0</v>
      </c>
      <c r="P44" s="725">
        <f t="shared" si="48"/>
        <v>0</v>
      </c>
      <c r="Q44" s="2067">
        <f t="shared" si="48"/>
        <v>0</v>
      </c>
      <c r="R44" s="711"/>
      <c r="S44" s="2112"/>
      <c r="T44" s="2112" t="s">
        <v>1698</v>
      </c>
      <c r="U44" s="2112">
        <v>9.1999999999999998E-2</v>
      </c>
      <c r="V44" s="2112">
        <v>0.4</v>
      </c>
      <c r="W44" s="2112">
        <v>2.5000000000000001E-2</v>
      </c>
      <c r="X44" s="2177">
        <v>0.3</v>
      </c>
      <c r="Y44" s="2223">
        <f t="shared" si="8"/>
        <v>0.75</v>
      </c>
    </row>
    <row r="45" spans="1:25" ht="30">
      <c r="A45" s="3030"/>
      <c r="B45" s="2109"/>
      <c r="C45" s="2111"/>
      <c r="D45" s="2113" t="s">
        <v>631</v>
      </c>
      <c r="E45" s="1799" t="s">
        <v>632</v>
      </c>
      <c r="F45" s="1800" t="s">
        <v>2</v>
      </c>
      <c r="G45" s="1801" t="s">
        <v>464</v>
      </c>
      <c r="H45" s="2235"/>
      <c r="I45" s="713"/>
      <c r="J45" s="701"/>
      <c r="K45" s="2109"/>
      <c r="L45" s="2111"/>
      <c r="M45" s="2113" t="s">
        <v>631</v>
      </c>
      <c r="N45" s="1802" t="s">
        <v>632</v>
      </c>
      <c r="O45" s="1803" t="s">
        <v>2</v>
      </c>
      <c r="P45" s="2069" t="s">
        <v>464</v>
      </c>
      <c r="Q45" s="2235"/>
      <c r="R45" s="713"/>
      <c r="S45" s="2112"/>
      <c r="T45" s="2112" t="s">
        <v>1699</v>
      </c>
      <c r="U45" s="2112">
        <v>0.13700000000000001</v>
      </c>
      <c r="V45" s="2112">
        <v>0.54</v>
      </c>
      <c r="W45" s="2112">
        <v>5.8000000000000003E-2</v>
      </c>
      <c r="X45" s="2177">
        <v>0.3</v>
      </c>
      <c r="Y45" s="2223">
        <f t="shared" si="8"/>
        <v>0.75</v>
      </c>
    </row>
    <row r="46" spans="1:25" ht="24" customHeight="1">
      <c r="A46" s="3030"/>
      <c r="B46" s="2110"/>
      <c r="C46" s="683" t="s">
        <v>636</v>
      </c>
      <c r="D46" s="2118" t="s">
        <v>322</v>
      </c>
      <c r="E46" s="697">
        <f>IF(E45="E",0,IF(E45="D",E44*0.5,IF(E45="C",E44,IF(E45="B",E44*1.5,IF(E45="A",E44*2)))))</f>
        <v>0</v>
      </c>
      <c r="F46" s="698">
        <f t="shared" ref="F46:G46" si="49">IF(F45="E",0,IF(F45="D",F44*0.5,IF(F45="C",F44,IF(F45="B",F44*1.5,IF(F45="A",F44*2)))))</f>
        <v>0</v>
      </c>
      <c r="G46" s="705">
        <f t="shared" si="49"/>
        <v>0</v>
      </c>
      <c r="H46" s="1897">
        <f>H44</f>
        <v>0</v>
      </c>
      <c r="I46" s="710"/>
      <c r="J46" s="702"/>
      <c r="K46" s="2110"/>
      <c r="L46" s="683" t="s">
        <v>636</v>
      </c>
      <c r="M46" s="2118" t="s">
        <v>322</v>
      </c>
      <c r="N46" s="697">
        <f>IF(N45="E",0,IF(N45="D",N44*0.5,IF(N45="C",N44,IF(N45="B",N44*1.5,IF(N45="A",N44*2)))))</f>
        <v>0</v>
      </c>
      <c r="O46" s="698">
        <f t="shared" ref="O46:P46" si="50">IF(O45="E",0,IF(O45="D",O44*0.5,IF(O45="C",O44,IF(O45="B",O44*1.5,IF(O45="A",O44*2)))))</f>
        <v>0</v>
      </c>
      <c r="P46" s="705">
        <f t="shared" si="50"/>
        <v>0</v>
      </c>
      <c r="Q46" s="1897">
        <f>Q44</f>
        <v>0</v>
      </c>
      <c r="R46" s="710"/>
      <c r="S46" s="2112"/>
      <c r="T46" s="2112" t="s">
        <v>1296</v>
      </c>
      <c r="U46" s="2112">
        <v>0.16</v>
      </c>
      <c r="V46" s="2112">
        <v>0.39</v>
      </c>
      <c r="W46" s="2112">
        <v>4.1000000000000002E-2</v>
      </c>
      <c r="X46" s="2177">
        <v>0.3</v>
      </c>
      <c r="Y46" s="2223">
        <f t="shared" si="8"/>
        <v>0.75</v>
      </c>
    </row>
    <row r="47" spans="1:25">
      <c r="A47" s="2112"/>
      <c r="B47" s="2112"/>
      <c r="C47" s="2112"/>
      <c r="D47" s="2112"/>
      <c r="E47" s="682"/>
      <c r="F47" s="685"/>
      <c r="G47" s="2112"/>
      <c r="H47" s="2112"/>
      <c r="I47" s="703"/>
      <c r="J47" s="703"/>
      <c r="K47" s="2112"/>
      <c r="L47" s="2112"/>
      <c r="M47" s="2112"/>
      <c r="N47" s="682"/>
      <c r="O47" s="685"/>
      <c r="P47" s="2112"/>
      <c r="Q47" s="2112"/>
      <c r="R47" s="2112"/>
      <c r="S47" s="2112"/>
      <c r="T47" s="2112" t="s">
        <v>1380</v>
      </c>
      <c r="U47" s="2112">
        <v>0.126</v>
      </c>
      <c r="V47" s="2112">
        <v>0.56999999999999995</v>
      </c>
      <c r="W47" s="2112">
        <v>3.3000000000000002E-2</v>
      </c>
      <c r="X47" s="2177">
        <v>0.3</v>
      </c>
      <c r="Y47" s="2223">
        <f t="shared" si="8"/>
        <v>0.75</v>
      </c>
    </row>
    <row r="48" spans="1:25">
      <c r="A48" s="2112"/>
      <c r="B48" s="2112"/>
      <c r="C48" s="2112"/>
      <c r="D48" s="2112"/>
      <c r="E48" s="682"/>
      <c r="F48" s="685"/>
      <c r="G48" s="2112"/>
      <c r="H48" s="2112"/>
      <c r="I48" s="703"/>
      <c r="J48" s="703"/>
      <c r="K48" s="2112"/>
      <c r="L48" s="2112"/>
      <c r="M48" s="2112"/>
      <c r="N48" s="682"/>
      <c r="O48" s="685"/>
      <c r="P48" s="2112"/>
      <c r="Q48" s="2112"/>
      <c r="R48" s="2112"/>
      <c r="S48" s="2112"/>
      <c r="T48" s="2112" t="s">
        <v>1700</v>
      </c>
      <c r="U48" s="2112">
        <v>0.14899999999999999</v>
      </c>
      <c r="V48" s="2112">
        <v>0.54</v>
      </c>
      <c r="W48" s="2112">
        <v>2.5000000000000001E-2</v>
      </c>
      <c r="X48" s="2177">
        <v>0.3</v>
      </c>
      <c r="Y48" s="2223">
        <f t="shared" si="8"/>
        <v>0.75</v>
      </c>
    </row>
    <row r="49" spans="1:25">
      <c r="A49" s="2112"/>
      <c r="B49" s="2112"/>
      <c r="C49" s="2112"/>
      <c r="D49" s="2112"/>
      <c r="E49" s="682"/>
      <c r="F49" s="685"/>
      <c r="G49" s="2112"/>
      <c r="H49" s="2112"/>
      <c r="I49" s="703"/>
      <c r="J49" s="703"/>
      <c r="K49" s="2112"/>
      <c r="L49" s="2112"/>
      <c r="M49" s="2112"/>
      <c r="N49" s="682"/>
      <c r="O49" s="685"/>
      <c r="P49" s="2112"/>
      <c r="Q49" s="2112"/>
      <c r="R49" s="2112"/>
      <c r="S49" s="2112"/>
      <c r="T49" s="2112" t="s">
        <v>1382</v>
      </c>
      <c r="U49" s="2112">
        <v>0.115</v>
      </c>
      <c r="V49" s="2112">
        <v>0.54</v>
      </c>
      <c r="W49" s="2112">
        <v>3.3000000000000002E-2</v>
      </c>
      <c r="X49" s="2177">
        <v>0.3</v>
      </c>
      <c r="Y49" s="2223">
        <f t="shared" si="8"/>
        <v>0.75</v>
      </c>
    </row>
    <row r="50" spans="1:25" ht="18.75">
      <c r="A50" s="2112"/>
      <c r="B50" s="2112"/>
      <c r="C50" s="2112"/>
      <c r="D50" s="212"/>
      <c r="E50" s="682"/>
      <c r="F50" s="685"/>
      <c r="G50" s="2112"/>
      <c r="H50" s="2112"/>
      <c r="I50" s="703"/>
      <c r="J50" s="703"/>
      <c r="K50" s="2112"/>
      <c r="L50" s="2112"/>
      <c r="M50" s="2112"/>
      <c r="N50" s="682"/>
      <c r="O50" s="685"/>
      <c r="P50" s="2112"/>
      <c r="Q50" s="2112"/>
      <c r="R50" s="2112"/>
      <c r="S50" s="2112"/>
      <c r="T50" s="2112" t="s">
        <v>1701</v>
      </c>
      <c r="U50" s="2112">
        <v>0.10299999999999999</v>
      </c>
      <c r="V50" s="2112">
        <v>0.42</v>
      </c>
      <c r="W50" s="2112">
        <v>3.5999999999999997E-2</v>
      </c>
      <c r="X50" s="2177">
        <v>0.3</v>
      </c>
      <c r="Y50" s="2223">
        <f t="shared" si="8"/>
        <v>0.75</v>
      </c>
    </row>
    <row r="51" spans="1:25">
      <c r="A51" s="2112"/>
      <c r="B51" s="2112"/>
      <c r="C51" s="2112"/>
      <c r="D51" s="2112"/>
      <c r="E51" s="682"/>
      <c r="F51" s="685"/>
      <c r="G51" s="2112"/>
      <c r="H51" s="2112"/>
      <c r="I51" s="703"/>
      <c r="J51" s="703"/>
      <c r="K51" s="2112"/>
      <c r="L51" s="2112"/>
      <c r="M51" s="2112"/>
      <c r="N51" s="682"/>
      <c r="O51" s="685"/>
      <c r="P51" s="2112"/>
      <c r="Q51" s="2112"/>
      <c r="R51" s="2112"/>
      <c r="S51" s="2112"/>
      <c r="T51" s="2112" t="s">
        <v>1702</v>
      </c>
      <c r="U51" s="2112">
        <v>0.24099999999999999</v>
      </c>
      <c r="V51" s="2112">
        <v>0.66</v>
      </c>
      <c r="W51" s="2112">
        <v>8.3000000000000004E-2</v>
      </c>
      <c r="X51" s="2177">
        <v>0.3</v>
      </c>
      <c r="Y51" s="2223">
        <f t="shared" si="8"/>
        <v>0.75</v>
      </c>
    </row>
    <row r="52" spans="1:25">
      <c r="A52" s="2112"/>
      <c r="B52" s="2112"/>
      <c r="C52" s="2112"/>
      <c r="D52" s="2112"/>
      <c r="E52" s="682"/>
      <c r="F52" s="685"/>
      <c r="G52" s="2112"/>
      <c r="H52" s="2112"/>
      <c r="I52" s="703"/>
      <c r="J52" s="703"/>
      <c r="K52" s="2112"/>
      <c r="L52" s="2112"/>
      <c r="M52" s="2112"/>
      <c r="N52" s="682"/>
      <c r="O52" s="685"/>
      <c r="P52" s="2112"/>
      <c r="Q52" s="2112"/>
      <c r="R52" s="2112"/>
      <c r="S52" s="2112"/>
      <c r="T52" s="2112" t="s">
        <v>1703</v>
      </c>
      <c r="U52" s="2112">
        <v>0.115</v>
      </c>
      <c r="V52" s="2112">
        <v>0.66</v>
      </c>
      <c r="W52" s="2112">
        <v>8.3000000000000004E-2</v>
      </c>
      <c r="X52" s="2177">
        <v>0.3</v>
      </c>
      <c r="Y52" s="2223">
        <f t="shared" si="8"/>
        <v>0.75</v>
      </c>
    </row>
    <row r="53" spans="1:25">
      <c r="A53" s="2112"/>
      <c r="B53" s="2112"/>
      <c r="C53" s="2112"/>
      <c r="D53" s="2112"/>
      <c r="E53" s="682"/>
      <c r="F53" s="685"/>
      <c r="G53" s="2112"/>
      <c r="H53" s="2112"/>
      <c r="I53" s="703"/>
      <c r="J53" s="703"/>
      <c r="K53" s="2112"/>
      <c r="L53" s="2112"/>
      <c r="M53" s="2112"/>
      <c r="N53" s="682"/>
      <c r="O53" s="685"/>
      <c r="P53" s="2112"/>
      <c r="Q53" s="2112"/>
      <c r="R53" s="2112"/>
      <c r="S53" s="2112"/>
      <c r="T53" s="2112" t="s">
        <v>1704</v>
      </c>
      <c r="U53" s="2112">
        <v>9.1999999999999998E-2</v>
      </c>
      <c r="V53" s="2112">
        <v>0.3</v>
      </c>
      <c r="W53" s="2112">
        <v>4.1000000000000002E-2</v>
      </c>
      <c r="X53" s="2177">
        <v>0.3</v>
      </c>
      <c r="Y53" s="2223">
        <f t="shared" si="8"/>
        <v>0.75</v>
      </c>
    </row>
    <row r="54" spans="1:25">
      <c r="A54" s="2112"/>
      <c r="B54" s="2112"/>
      <c r="C54" s="2112"/>
      <c r="D54" s="2112"/>
      <c r="E54" s="682"/>
      <c r="F54" s="685"/>
      <c r="G54" s="2112"/>
      <c r="H54" s="2112"/>
      <c r="I54" s="703"/>
      <c r="J54" s="703"/>
      <c r="K54" s="2112"/>
      <c r="L54" s="2112"/>
      <c r="M54" s="2112"/>
      <c r="N54" s="682"/>
      <c r="O54" s="685"/>
      <c r="P54" s="2112"/>
      <c r="Q54" s="2112"/>
      <c r="R54" s="2112"/>
      <c r="S54" s="2112"/>
      <c r="T54" s="2112" t="s">
        <v>1705</v>
      </c>
      <c r="U54" s="2112">
        <v>7.2999999999999995E-2</v>
      </c>
      <c r="V54" s="2112">
        <v>0.31</v>
      </c>
      <c r="W54" s="2112">
        <v>2.5000000000000001E-2</v>
      </c>
      <c r="X54" s="2177">
        <v>0.4</v>
      </c>
      <c r="Y54" s="2223">
        <f t="shared" si="8"/>
        <v>1</v>
      </c>
    </row>
    <row r="55" spans="1:25">
      <c r="A55" s="2112"/>
      <c r="B55" s="2112"/>
      <c r="C55" s="2112"/>
      <c r="D55" s="2112"/>
      <c r="E55" s="682"/>
      <c r="F55" s="685"/>
      <c r="G55" s="2112"/>
      <c r="H55" s="2112"/>
      <c r="I55" s="703"/>
      <c r="J55" s="703"/>
      <c r="K55" s="2112"/>
      <c r="L55" s="2112"/>
      <c r="M55" s="2112"/>
      <c r="N55" s="682"/>
      <c r="O55" s="685"/>
      <c r="P55" s="2112"/>
      <c r="Q55" s="2112"/>
      <c r="R55" s="2112"/>
      <c r="S55" s="2112"/>
      <c r="T55" s="2112" t="s">
        <v>1300</v>
      </c>
      <c r="U55" s="2112">
        <v>0.115</v>
      </c>
      <c r="V55" s="2112">
        <v>0.39</v>
      </c>
      <c r="W55" s="2112">
        <v>2.5000000000000001E-2</v>
      </c>
      <c r="X55" s="2177">
        <v>0.4</v>
      </c>
      <c r="Y55" s="2223">
        <f t="shared" si="8"/>
        <v>1</v>
      </c>
    </row>
    <row r="56" spans="1:25">
      <c r="A56" s="2112"/>
      <c r="B56" s="2112"/>
      <c r="C56" s="2112"/>
      <c r="D56" s="2112"/>
      <c r="E56" s="682"/>
      <c r="F56" s="685"/>
      <c r="G56" s="2112"/>
      <c r="H56" s="2112"/>
      <c r="I56" s="703"/>
      <c r="J56" s="703"/>
      <c r="K56" s="2112"/>
      <c r="L56" s="2112"/>
      <c r="M56" s="2112"/>
      <c r="N56" s="682"/>
      <c r="O56" s="685"/>
      <c r="P56" s="2112"/>
      <c r="Q56" s="2112"/>
      <c r="R56" s="2112"/>
      <c r="S56" s="2112"/>
      <c r="T56" s="2112" t="s">
        <v>1706</v>
      </c>
      <c r="U56" s="2112">
        <v>0.06</v>
      </c>
      <c r="V56" s="2112">
        <v>0.2</v>
      </c>
      <c r="W56" s="2112">
        <v>2.7E-2</v>
      </c>
      <c r="X56" s="2177">
        <v>0.3</v>
      </c>
      <c r="Y56" s="2223">
        <f t="shared" si="8"/>
        <v>0.75</v>
      </c>
    </row>
    <row r="57" spans="1:25">
      <c r="A57" s="2112"/>
      <c r="B57" s="2112"/>
      <c r="C57" s="2112"/>
      <c r="D57" s="2112"/>
      <c r="E57" s="682"/>
      <c r="F57" s="685"/>
      <c r="G57" s="2112"/>
      <c r="H57" s="2112"/>
      <c r="I57" s="703"/>
      <c r="J57" s="703"/>
      <c r="K57" s="2112"/>
      <c r="L57" s="2112"/>
      <c r="M57" s="2112"/>
      <c r="N57" s="682"/>
      <c r="O57" s="685"/>
      <c r="P57" s="2112"/>
      <c r="Q57" s="2112"/>
      <c r="R57" s="2112"/>
      <c r="S57" s="2112"/>
      <c r="T57" s="2112" t="s">
        <v>1302</v>
      </c>
      <c r="U57" s="2112">
        <v>0.16</v>
      </c>
      <c r="V57" s="2112">
        <v>0.26</v>
      </c>
      <c r="W57" s="2112">
        <v>5.8000000000000003E-2</v>
      </c>
      <c r="X57" s="2177">
        <v>0.3</v>
      </c>
      <c r="Y57" s="2223">
        <f t="shared" si="8"/>
        <v>0.75</v>
      </c>
    </row>
    <row r="58" spans="1:25">
      <c r="A58" s="2112"/>
      <c r="B58" s="2112"/>
      <c r="C58" s="2112"/>
      <c r="D58" s="2112"/>
      <c r="E58" s="682"/>
      <c r="F58" s="685"/>
      <c r="G58" s="2112"/>
      <c r="H58" s="2112"/>
      <c r="I58" s="703"/>
      <c r="J58" s="703"/>
      <c r="K58" s="2112"/>
      <c r="L58" s="2112"/>
      <c r="M58" s="2112"/>
      <c r="N58" s="682"/>
      <c r="O58" s="685"/>
      <c r="P58" s="2112"/>
      <c r="Q58" s="2112"/>
      <c r="R58" s="2112"/>
      <c r="S58" s="2112"/>
      <c r="T58" s="2112" t="s">
        <v>1707</v>
      </c>
      <c r="U58" s="2112">
        <v>0.06</v>
      </c>
      <c r="V58" s="2112">
        <v>0.24</v>
      </c>
      <c r="W58" s="2112">
        <v>0.03</v>
      </c>
      <c r="X58" s="2177">
        <v>0.3</v>
      </c>
      <c r="Y58" s="2223">
        <f t="shared" si="8"/>
        <v>0.75</v>
      </c>
    </row>
    <row r="59" spans="1:25">
      <c r="A59" s="2112"/>
      <c r="B59" s="2112"/>
      <c r="C59" s="2112"/>
      <c r="D59" s="2112"/>
      <c r="E59" s="682"/>
      <c r="F59" s="685"/>
      <c r="G59" s="2112"/>
      <c r="H59" s="2112"/>
      <c r="I59" s="703"/>
      <c r="J59" s="703"/>
      <c r="K59" s="2112"/>
      <c r="L59" s="2112"/>
      <c r="M59" s="2112"/>
      <c r="N59" s="682"/>
      <c r="O59" s="685"/>
      <c r="P59" s="2112"/>
      <c r="Q59" s="2112"/>
      <c r="R59" s="2112"/>
      <c r="S59" s="2112"/>
      <c r="T59" s="2112" t="s">
        <v>1303</v>
      </c>
      <c r="U59" s="2112">
        <v>0.08</v>
      </c>
      <c r="V59" s="2112">
        <v>0.24</v>
      </c>
      <c r="W59" s="2112">
        <v>2.5000000000000001E-2</v>
      </c>
      <c r="X59" s="2177">
        <v>0.3</v>
      </c>
      <c r="Y59" s="2223">
        <f t="shared" si="8"/>
        <v>0.75</v>
      </c>
    </row>
    <row r="60" spans="1:25">
      <c r="A60" s="2112"/>
      <c r="B60" s="2112"/>
      <c r="C60" s="2112"/>
      <c r="D60" s="2112"/>
      <c r="E60" s="682"/>
      <c r="F60" s="685"/>
      <c r="G60" s="2112"/>
      <c r="H60" s="2112"/>
      <c r="I60" s="703"/>
      <c r="J60" s="703"/>
      <c r="K60" s="2112"/>
      <c r="L60" s="2112"/>
      <c r="M60" s="2112"/>
      <c r="N60" s="682"/>
      <c r="O60" s="685"/>
      <c r="P60" s="2112"/>
      <c r="Q60" s="2112"/>
      <c r="R60" s="2112"/>
      <c r="S60" s="2112"/>
      <c r="T60" s="714" t="s">
        <v>624</v>
      </c>
      <c r="U60" s="2112"/>
      <c r="V60" s="2112"/>
      <c r="W60" s="2112"/>
      <c r="X60" s="2177"/>
      <c r="Y60" s="2223"/>
    </row>
    <row r="61" spans="1:25">
      <c r="A61" s="2112"/>
      <c r="B61" s="2112"/>
      <c r="C61" s="2112"/>
      <c r="D61" s="2112"/>
      <c r="E61" s="682"/>
      <c r="F61" s="685"/>
      <c r="G61" s="2112"/>
      <c r="H61" s="2112"/>
      <c r="I61" s="703"/>
      <c r="J61" s="703"/>
      <c r="K61" s="2112"/>
      <c r="L61" s="2112"/>
      <c r="M61" s="2112"/>
      <c r="N61" s="682"/>
      <c r="O61" s="685"/>
      <c r="P61" s="2112"/>
      <c r="Q61" s="2112"/>
      <c r="R61" s="2112"/>
      <c r="S61" s="2112"/>
      <c r="T61" s="714" t="s">
        <v>624</v>
      </c>
      <c r="U61" s="2112"/>
      <c r="V61" s="2112"/>
      <c r="W61" s="2112"/>
      <c r="X61" s="2177"/>
      <c r="Y61" s="2223"/>
    </row>
    <row r="62" spans="1:25">
      <c r="A62" s="2112"/>
      <c r="B62" s="2112"/>
      <c r="C62" s="2112"/>
      <c r="D62" s="2112"/>
      <c r="E62" s="682"/>
      <c r="F62" s="685"/>
      <c r="G62" s="2112"/>
      <c r="H62" s="2112"/>
      <c r="I62" s="703"/>
      <c r="J62" s="703"/>
      <c r="K62" s="2112"/>
      <c r="L62" s="2112"/>
      <c r="M62" s="2112"/>
      <c r="N62" s="682"/>
      <c r="O62" s="685"/>
      <c r="P62" s="2112"/>
      <c r="Q62" s="2112"/>
      <c r="R62" s="2112"/>
      <c r="S62" s="2112"/>
      <c r="T62" s="714" t="s">
        <v>624</v>
      </c>
      <c r="U62" s="2112"/>
      <c r="V62" s="2112"/>
      <c r="W62" s="2112"/>
      <c r="X62" s="2177"/>
      <c r="Y62" s="2223"/>
    </row>
    <row r="63" spans="1:25">
      <c r="A63" s="2112"/>
      <c r="B63" s="2112"/>
      <c r="C63" s="2112"/>
      <c r="D63" s="2112"/>
      <c r="E63" s="682"/>
      <c r="F63" s="685"/>
      <c r="G63" s="2112"/>
      <c r="H63" s="2112"/>
      <c r="I63" s="703"/>
      <c r="J63" s="703"/>
      <c r="K63" s="2112"/>
      <c r="L63" s="2112"/>
      <c r="M63" s="2112"/>
      <c r="N63" s="682"/>
      <c r="O63" s="685"/>
      <c r="P63" s="2112"/>
      <c r="Q63" s="2112"/>
      <c r="R63" s="2112"/>
      <c r="S63" s="2112"/>
      <c r="T63" s="2112"/>
      <c r="U63" s="2112"/>
      <c r="V63" s="2112"/>
      <c r="W63" s="2112"/>
      <c r="X63" s="2112"/>
      <c r="Y63" s="2112"/>
    </row>
    <row r="64" spans="1:25">
      <c r="A64" s="2112"/>
      <c r="B64" s="2112"/>
      <c r="C64" s="2112"/>
      <c r="D64" s="2112"/>
      <c r="E64" s="682"/>
      <c r="F64" s="685"/>
      <c r="G64" s="2112"/>
      <c r="H64" s="2112"/>
      <c r="I64" s="703"/>
      <c r="J64" s="703"/>
      <c r="K64" s="2112"/>
      <c r="L64" s="2112"/>
      <c r="M64" s="2112"/>
      <c r="N64" s="682"/>
      <c r="O64" s="685"/>
      <c r="P64" s="2112"/>
      <c r="Q64" s="2112"/>
      <c r="R64" s="2112"/>
      <c r="S64" s="2112"/>
      <c r="T64" s="2112"/>
      <c r="U64" s="2112"/>
      <c r="V64" s="2112"/>
      <c r="W64" s="2112"/>
      <c r="X64" s="2112"/>
      <c r="Y64" s="2112"/>
    </row>
    <row r="65" spans="1:25">
      <c r="A65" s="2112"/>
      <c r="B65" s="2112"/>
      <c r="C65" s="2112"/>
      <c r="D65" s="2112"/>
      <c r="E65" s="682"/>
      <c r="F65" s="685"/>
      <c r="G65" s="2112"/>
      <c r="H65" s="2112"/>
      <c r="I65" s="703"/>
      <c r="J65" s="703"/>
      <c r="K65" s="2112"/>
      <c r="L65" s="2112"/>
      <c r="M65" s="2112"/>
      <c r="N65" s="682"/>
      <c r="O65" s="685"/>
      <c r="P65" s="2112"/>
      <c r="Q65" s="2112"/>
      <c r="R65" s="2112"/>
      <c r="S65" s="2112"/>
      <c r="T65" s="2112"/>
      <c r="U65" s="2112"/>
      <c r="V65" s="2112"/>
      <c r="W65" s="2112"/>
      <c r="X65" s="2112"/>
      <c r="Y65" s="2112"/>
    </row>
    <row r="66" spans="1:25">
      <c r="A66" s="2112"/>
      <c r="B66" s="2112"/>
      <c r="C66" s="2112"/>
      <c r="D66" s="2112"/>
      <c r="E66" s="682"/>
      <c r="F66" s="685"/>
      <c r="G66" s="2112"/>
      <c r="H66" s="2112"/>
      <c r="I66" s="703"/>
      <c r="J66" s="703"/>
      <c r="K66" s="2112"/>
      <c r="L66" s="2112"/>
      <c r="M66" s="2112"/>
      <c r="N66" s="682"/>
      <c r="O66" s="685"/>
      <c r="P66" s="2112"/>
      <c r="Q66" s="2112"/>
      <c r="R66" s="2112"/>
      <c r="S66" s="2112"/>
      <c r="T66" s="2112"/>
      <c r="U66" s="2112"/>
      <c r="V66" s="2112"/>
      <c r="W66" s="2112"/>
      <c r="X66" s="2112"/>
      <c r="Y66" s="2112"/>
    </row>
    <row r="67" spans="1:25">
      <c r="A67" s="2112"/>
      <c r="B67" s="2112"/>
      <c r="C67" s="2112"/>
      <c r="D67" s="2112"/>
      <c r="E67" s="682"/>
      <c r="F67" s="685"/>
      <c r="G67" s="2112"/>
      <c r="H67" s="2112"/>
      <c r="I67" s="703"/>
      <c r="J67" s="703"/>
      <c r="K67" s="2112"/>
      <c r="L67" s="2112"/>
      <c r="M67" s="2112"/>
      <c r="N67" s="682"/>
      <c r="O67" s="685"/>
      <c r="P67" s="2112"/>
      <c r="Q67" s="2112"/>
      <c r="R67" s="2112"/>
      <c r="S67" s="2112"/>
      <c r="T67" s="2112"/>
      <c r="U67" s="2112"/>
      <c r="V67" s="2112"/>
      <c r="W67" s="2112"/>
      <c r="X67" s="2112"/>
      <c r="Y67" s="2112"/>
    </row>
    <row r="68" spans="1:25">
      <c r="A68" s="2112"/>
      <c r="B68" s="2112"/>
      <c r="C68" s="2112"/>
      <c r="D68" s="2112"/>
      <c r="E68" s="682"/>
      <c r="F68" s="685"/>
      <c r="G68" s="2112"/>
      <c r="H68" s="2112"/>
      <c r="I68" s="703"/>
      <c r="J68" s="703"/>
      <c r="K68" s="2112"/>
      <c r="L68" s="2112"/>
      <c r="M68" s="2112"/>
      <c r="N68" s="682"/>
      <c r="O68" s="685"/>
      <c r="P68" s="2112"/>
      <c r="Q68" s="2112"/>
      <c r="R68" s="2112"/>
      <c r="S68" s="2112"/>
      <c r="T68" s="2112"/>
      <c r="U68" s="2112"/>
      <c r="V68" s="2112"/>
      <c r="W68" s="2112"/>
      <c r="X68" s="2112"/>
      <c r="Y68" s="2112"/>
    </row>
    <row r="69" spans="1:25">
      <c r="A69" s="2112"/>
      <c r="B69" s="2112"/>
      <c r="C69" s="2112"/>
      <c r="D69" s="2112"/>
      <c r="E69" s="682"/>
      <c r="F69" s="685"/>
      <c r="G69" s="2112"/>
      <c r="H69" s="2112"/>
      <c r="I69" s="703"/>
      <c r="J69" s="703"/>
      <c r="K69" s="2112"/>
      <c r="L69" s="2112"/>
      <c r="M69" s="2112"/>
      <c r="N69" s="682"/>
      <c r="O69" s="685"/>
      <c r="P69" s="2112"/>
      <c r="Q69" s="2112"/>
      <c r="R69" s="2112"/>
      <c r="S69" s="2112"/>
      <c r="T69" s="2112"/>
      <c r="U69" s="2112"/>
      <c r="V69" s="2112"/>
      <c r="W69" s="2112"/>
      <c r="X69" s="2112"/>
      <c r="Y69" s="2112"/>
    </row>
    <row r="70" spans="1:25">
      <c r="A70" s="2112"/>
      <c r="B70" s="2112"/>
      <c r="C70" s="2112"/>
      <c r="D70" s="2112"/>
      <c r="E70" s="682"/>
      <c r="F70" s="685"/>
      <c r="G70" s="2112"/>
      <c r="H70" s="2112"/>
      <c r="I70" s="703"/>
      <c r="J70" s="703"/>
      <c r="K70" s="2112"/>
      <c r="L70" s="2112"/>
      <c r="M70" s="2112"/>
      <c r="N70" s="682"/>
      <c r="O70" s="685"/>
      <c r="P70" s="2112"/>
      <c r="Q70" s="2112"/>
      <c r="R70" s="2112"/>
      <c r="S70" s="2112"/>
      <c r="T70" s="2112"/>
      <c r="U70" s="2112"/>
      <c r="V70" s="2112"/>
      <c r="W70" s="2112"/>
      <c r="X70" s="2112"/>
      <c r="Y70" s="2112"/>
    </row>
    <row r="71" spans="1:25">
      <c r="A71" s="2112"/>
      <c r="B71" s="2112"/>
      <c r="C71" s="2112"/>
      <c r="D71" s="2112"/>
      <c r="E71" s="682"/>
      <c r="F71" s="685"/>
      <c r="G71" s="2112"/>
      <c r="H71" s="2112"/>
      <c r="I71" s="703"/>
      <c r="J71" s="703"/>
      <c r="K71" s="2112"/>
      <c r="L71" s="2112"/>
      <c r="M71" s="2112"/>
      <c r="N71" s="682"/>
      <c r="O71" s="685"/>
      <c r="P71" s="2112"/>
      <c r="Q71" s="2112"/>
      <c r="R71" s="2112"/>
      <c r="S71" s="2112"/>
      <c r="T71" s="2112"/>
      <c r="U71" s="2112"/>
      <c r="V71" s="2112"/>
      <c r="W71" s="2112"/>
      <c r="X71" s="2112"/>
      <c r="Y71" s="2112"/>
    </row>
    <row r="72" spans="1:25">
      <c r="A72" s="2112"/>
      <c r="B72" s="2112"/>
      <c r="C72" s="2112"/>
      <c r="D72" s="2112"/>
      <c r="E72" s="682"/>
      <c r="F72" s="685"/>
      <c r="G72" s="2112"/>
      <c r="H72" s="2112"/>
      <c r="I72" s="703"/>
      <c r="J72" s="703"/>
      <c r="K72" s="2112"/>
      <c r="L72" s="2112"/>
      <c r="M72" s="2112"/>
      <c r="N72" s="682"/>
      <c r="O72" s="685"/>
      <c r="P72" s="2112"/>
      <c r="Q72" s="2112"/>
      <c r="R72" s="2112"/>
      <c r="S72" s="2112"/>
      <c r="T72" s="2112"/>
      <c r="U72" s="2112"/>
      <c r="V72" s="2112"/>
      <c r="W72" s="2112"/>
      <c r="X72" s="2112"/>
      <c r="Y72" s="2112"/>
    </row>
    <row r="73" spans="1:25">
      <c r="A73" s="2112"/>
      <c r="B73" s="2112"/>
      <c r="C73" s="2112"/>
      <c r="D73" s="2112"/>
      <c r="E73" s="682"/>
      <c r="F73" s="685"/>
      <c r="G73" s="2112"/>
      <c r="H73" s="2112"/>
      <c r="I73" s="703"/>
      <c r="J73" s="703"/>
      <c r="K73" s="2112"/>
      <c r="L73" s="2112"/>
      <c r="M73" s="2112"/>
      <c r="N73" s="682"/>
      <c r="O73" s="685"/>
      <c r="P73" s="2112"/>
      <c r="Q73" s="2112"/>
      <c r="R73" s="2112"/>
      <c r="S73" s="2112"/>
      <c r="T73" s="2112"/>
      <c r="U73" s="2112"/>
      <c r="V73" s="2112"/>
      <c r="W73" s="2112"/>
      <c r="X73" s="2112"/>
      <c r="Y73" s="2112"/>
    </row>
    <row r="74" spans="1:25">
      <c r="A74" s="2112"/>
      <c r="B74" s="2112"/>
      <c r="C74" s="2112"/>
      <c r="D74" s="2112"/>
      <c r="E74" s="682"/>
      <c r="F74" s="685"/>
      <c r="G74" s="2112"/>
      <c r="H74" s="2112"/>
      <c r="I74" s="703"/>
      <c r="J74" s="703"/>
      <c r="K74" s="2112"/>
      <c r="L74" s="2112"/>
      <c r="M74" s="2112"/>
      <c r="N74" s="682"/>
      <c r="O74" s="685"/>
      <c r="P74" s="2112"/>
      <c r="Q74" s="2112"/>
      <c r="R74" s="2112"/>
      <c r="S74" s="2112"/>
      <c r="T74" s="2112"/>
      <c r="U74" s="2112"/>
      <c r="V74" s="2112"/>
      <c r="W74" s="2112"/>
      <c r="X74" s="2112"/>
      <c r="Y74" s="2112"/>
    </row>
    <row r="75" spans="1:25">
      <c r="A75" s="2112"/>
      <c r="B75" s="2112"/>
      <c r="C75" s="2112"/>
      <c r="D75" s="2112"/>
      <c r="E75" s="682"/>
      <c r="F75" s="685"/>
      <c r="G75" s="2112"/>
      <c r="H75" s="2112"/>
      <c r="I75" s="703"/>
      <c r="J75" s="703"/>
      <c r="K75" s="2112"/>
      <c r="L75" s="2112"/>
      <c r="M75" s="2112"/>
      <c r="N75" s="682"/>
      <c r="O75" s="685"/>
      <c r="P75" s="2112"/>
      <c r="Q75" s="2112"/>
      <c r="R75" s="2112"/>
      <c r="S75" s="2112"/>
      <c r="T75" s="2112"/>
      <c r="U75" s="2112"/>
      <c r="V75" s="2112"/>
      <c r="W75" s="2112"/>
      <c r="X75" s="2112"/>
      <c r="Y75" s="2112"/>
    </row>
    <row r="76" spans="1:25">
      <c r="A76" s="2112"/>
      <c r="B76" s="2112"/>
      <c r="C76" s="2112"/>
      <c r="D76" s="2112"/>
      <c r="E76" s="682"/>
      <c r="F76" s="685"/>
      <c r="G76" s="2112"/>
      <c r="H76" s="2112"/>
      <c r="I76" s="703"/>
      <c r="J76" s="703"/>
      <c r="K76" s="2112"/>
      <c r="L76" s="2112"/>
      <c r="M76" s="2112"/>
      <c r="N76" s="682"/>
      <c r="O76" s="685"/>
      <c r="P76" s="2112"/>
      <c r="Q76" s="2112"/>
      <c r="R76" s="2112"/>
      <c r="S76" s="2112"/>
      <c r="T76" s="2112"/>
      <c r="U76" s="2112"/>
      <c r="V76" s="2112"/>
      <c r="W76" s="2112"/>
      <c r="X76" s="2112"/>
      <c r="Y76" s="2112"/>
    </row>
    <row r="77" spans="1:25">
      <c r="A77" s="2112"/>
      <c r="B77" s="2112"/>
      <c r="C77" s="2112"/>
      <c r="D77" s="2112"/>
      <c r="E77" s="682"/>
      <c r="F77" s="685"/>
      <c r="G77" s="2112"/>
      <c r="H77" s="2112"/>
      <c r="I77" s="703"/>
      <c r="J77" s="703"/>
      <c r="K77" s="2112"/>
      <c r="L77" s="2112"/>
      <c r="M77" s="2112"/>
      <c r="N77" s="682"/>
      <c r="O77" s="685"/>
      <c r="P77" s="2112"/>
      <c r="Q77" s="2112"/>
      <c r="R77" s="2112"/>
      <c r="S77" s="2112"/>
      <c r="T77" s="2112"/>
      <c r="U77" s="2112"/>
      <c r="V77" s="2112"/>
      <c r="W77" s="2112"/>
      <c r="X77" s="2112"/>
      <c r="Y77" s="2112"/>
    </row>
    <row r="78" spans="1:25">
      <c r="A78" s="2112"/>
      <c r="B78" s="2112"/>
      <c r="C78" s="2112"/>
      <c r="D78" s="2112"/>
      <c r="E78" s="682"/>
      <c r="F78" s="685"/>
      <c r="G78" s="2112"/>
      <c r="H78" s="2112"/>
      <c r="I78" s="703"/>
      <c r="J78" s="703"/>
      <c r="K78" s="2112"/>
      <c r="L78" s="2112"/>
      <c r="M78" s="2112"/>
      <c r="N78" s="682"/>
      <c r="O78" s="685"/>
      <c r="P78" s="2112"/>
      <c r="Q78" s="2112"/>
      <c r="R78" s="2112"/>
      <c r="S78" s="2112"/>
      <c r="T78" s="2112"/>
      <c r="U78" s="2112"/>
      <c r="V78" s="2112"/>
      <c r="W78" s="2112"/>
      <c r="X78" s="2112"/>
      <c r="Y78" s="2112"/>
    </row>
    <row r="79" spans="1:25">
      <c r="A79" s="2112"/>
      <c r="B79" s="2112"/>
      <c r="C79" s="2112"/>
      <c r="D79" s="2112"/>
      <c r="E79" s="682"/>
      <c r="F79" s="685"/>
      <c r="G79" s="2112"/>
      <c r="H79" s="2112"/>
      <c r="I79" s="703"/>
      <c r="J79" s="703"/>
      <c r="K79" s="2112"/>
      <c r="L79" s="2112"/>
      <c r="M79" s="2112"/>
      <c r="N79" s="682"/>
      <c r="O79" s="685"/>
      <c r="P79" s="2112"/>
      <c r="Q79" s="2112"/>
      <c r="R79" s="2112"/>
      <c r="S79" s="2112"/>
      <c r="T79" s="2112"/>
      <c r="U79" s="2112"/>
      <c r="V79" s="2112"/>
      <c r="W79" s="2112"/>
      <c r="X79" s="2112"/>
      <c r="Y79" s="2112"/>
    </row>
    <row r="80" spans="1:25">
      <c r="A80" s="2112"/>
      <c r="B80" s="2112"/>
      <c r="C80" s="2112"/>
      <c r="D80" s="2112"/>
      <c r="E80" s="682"/>
      <c r="F80" s="685"/>
      <c r="G80" s="2112"/>
      <c r="H80" s="2112"/>
      <c r="I80" s="703"/>
      <c r="J80" s="703"/>
      <c r="K80" s="2112"/>
      <c r="L80" s="2112"/>
      <c r="M80" s="2112"/>
      <c r="N80" s="682"/>
      <c r="O80" s="685"/>
      <c r="P80" s="2112"/>
      <c r="Q80" s="2112"/>
      <c r="R80" s="2112"/>
      <c r="S80" s="2112"/>
      <c r="T80" s="2112"/>
      <c r="U80" s="2112"/>
      <c r="V80" s="2112"/>
      <c r="W80" s="2112"/>
      <c r="X80" s="2112"/>
      <c r="Y80" s="2112"/>
    </row>
    <row r="81" spans="1:25">
      <c r="A81" s="2112"/>
      <c r="B81" s="2112"/>
      <c r="C81" s="2112"/>
      <c r="D81" s="2112"/>
      <c r="E81" s="682"/>
      <c r="F81" s="685"/>
      <c r="G81" s="2112"/>
      <c r="H81" s="2112"/>
      <c r="I81" s="703"/>
      <c r="J81" s="703"/>
      <c r="K81" s="2112"/>
      <c r="L81" s="2112"/>
      <c r="M81" s="2112"/>
      <c r="N81" s="682"/>
      <c r="O81" s="685"/>
      <c r="P81" s="2112"/>
      <c r="Q81" s="2112"/>
      <c r="R81" s="2112"/>
      <c r="S81" s="2112"/>
      <c r="T81" s="2112"/>
      <c r="U81" s="2112"/>
      <c r="V81" s="2112"/>
      <c r="W81" s="2112"/>
      <c r="X81" s="2112"/>
      <c r="Y81" s="2112"/>
    </row>
    <row r="82" spans="1:25">
      <c r="A82" s="2112"/>
      <c r="B82" s="2112"/>
      <c r="C82" s="2112"/>
      <c r="D82" s="2112"/>
      <c r="E82" s="682"/>
      <c r="F82" s="685"/>
      <c r="G82" s="2112"/>
      <c r="H82" s="2112"/>
      <c r="I82" s="703"/>
      <c r="J82" s="703"/>
      <c r="K82" s="2112"/>
      <c r="L82" s="2112"/>
      <c r="M82" s="2112"/>
      <c r="N82" s="682"/>
      <c r="O82" s="685"/>
      <c r="P82" s="2112"/>
      <c r="Q82" s="2112"/>
      <c r="R82" s="2112"/>
      <c r="S82" s="2112"/>
      <c r="T82" s="2112"/>
      <c r="U82" s="2112"/>
      <c r="V82" s="2112"/>
      <c r="W82" s="2112"/>
      <c r="X82" s="2112"/>
      <c r="Y82" s="2112"/>
    </row>
    <row r="83" spans="1:25">
      <c r="A83" s="2112"/>
      <c r="B83" s="2112"/>
      <c r="C83" s="2112"/>
      <c r="D83" s="2112"/>
      <c r="E83" s="682"/>
      <c r="F83" s="685"/>
      <c r="G83" s="2112"/>
      <c r="H83" s="2112"/>
      <c r="I83" s="703"/>
      <c r="J83" s="703"/>
      <c r="K83" s="2112"/>
      <c r="L83" s="2112"/>
      <c r="M83" s="2112"/>
      <c r="N83" s="682"/>
      <c r="O83" s="685"/>
      <c r="P83" s="2112"/>
      <c r="Q83" s="2112"/>
      <c r="R83" s="2112"/>
      <c r="S83" s="2112"/>
      <c r="T83" s="2112"/>
      <c r="U83" s="2112"/>
      <c r="V83" s="2112"/>
      <c r="W83" s="2112"/>
      <c r="X83" s="2112"/>
      <c r="Y83" s="2112"/>
    </row>
    <row r="84" spans="1:25">
      <c r="A84" s="2112"/>
      <c r="B84" s="2112"/>
      <c r="C84" s="2112"/>
      <c r="D84" s="2112"/>
      <c r="E84" s="682"/>
      <c r="F84" s="685"/>
      <c r="G84" s="2112"/>
      <c r="H84" s="2112"/>
      <c r="I84" s="703"/>
      <c r="J84" s="703"/>
      <c r="K84" s="2112"/>
      <c r="L84" s="2112"/>
      <c r="M84" s="2112"/>
      <c r="N84" s="682"/>
      <c r="O84" s="685"/>
      <c r="P84" s="2112"/>
      <c r="Q84" s="2112"/>
      <c r="R84" s="2112"/>
      <c r="S84" s="2112"/>
      <c r="T84" s="2112"/>
      <c r="U84" s="2112"/>
      <c r="V84" s="2112"/>
      <c r="W84" s="2112"/>
      <c r="X84" s="2112"/>
      <c r="Y84" s="2112"/>
    </row>
    <row r="85" spans="1:25">
      <c r="A85" s="2112"/>
      <c r="B85" s="2112"/>
      <c r="C85" s="2112"/>
      <c r="D85" s="2112"/>
      <c r="E85" s="682"/>
      <c r="F85" s="685"/>
      <c r="G85" s="2112"/>
      <c r="H85" s="2112"/>
      <c r="I85" s="703"/>
      <c r="J85" s="703"/>
      <c r="K85" s="2112"/>
      <c r="L85" s="2112"/>
      <c r="M85" s="2112"/>
      <c r="N85" s="682"/>
      <c r="O85" s="685"/>
      <c r="P85" s="2112"/>
      <c r="Q85" s="2112"/>
      <c r="R85" s="2112"/>
      <c r="S85" s="2112"/>
      <c r="T85" s="2112"/>
      <c r="U85" s="2112"/>
      <c r="V85" s="2112"/>
      <c r="W85" s="2112"/>
      <c r="X85" s="2112"/>
      <c r="Y85" s="2112"/>
    </row>
    <row r="86" spans="1:25">
      <c r="A86" s="2112"/>
      <c r="B86" s="2112"/>
      <c r="C86" s="2112"/>
      <c r="D86" s="2112"/>
      <c r="E86" s="682"/>
      <c r="F86" s="685"/>
      <c r="G86" s="2112"/>
      <c r="H86" s="2112"/>
      <c r="I86" s="703"/>
      <c r="J86" s="703"/>
      <c r="K86" s="2112"/>
      <c r="L86" s="2112"/>
      <c r="M86" s="2112"/>
      <c r="N86" s="682"/>
      <c r="O86" s="685"/>
      <c r="P86" s="2112"/>
      <c r="Q86" s="2112"/>
      <c r="R86" s="2112"/>
      <c r="S86" s="2112"/>
      <c r="T86" s="2112"/>
      <c r="U86" s="2112"/>
      <c r="V86" s="2112"/>
      <c r="W86" s="2112"/>
      <c r="X86" s="2112"/>
      <c r="Y86" s="2112"/>
    </row>
    <row r="87" spans="1:25">
      <c r="A87" s="2112"/>
      <c r="B87" s="2112"/>
      <c r="C87" s="2112"/>
      <c r="D87" s="2112"/>
      <c r="E87" s="682"/>
      <c r="F87" s="685"/>
      <c r="G87" s="2112"/>
      <c r="H87" s="2112"/>
      <c r="I87" s="703"/>
      <c r="J87" s="703"/>
      <c r="K87" s="2112"/>
      <c r="L87" s="2112"/>
      <c r="M87" s="2112"/>
      <c r="N87" s="682"/>
      <c r="O87" s="685"/>
      <c r="P87" s="2112"/>
      <c r="Q87" s="2112"/>
      <c r="R87" s="2112"/>
      <c r="S87" s="2112"/>
      <c r="T87" s="2112"/>
      <c r="U87" s="2112"/>
      <c r="V87" s="2112"/>
      <c r="W87" s="2112"/>
      <c r="X87" s="2112"/>
      <c r="Y87" s="2112"/>
    </row>
    <row r="88" spans="1:25">
      <c r="A88" s="2112"/>
      <c r="B88" s="2112"/>
      <c r="C88" s="2112"/>
      <c r="D88" s="2112"/>
      <c r="E88" s="682"/>
      <c r="F88" s="685"/>
      <c r="G88" s="2112"/>
      <c r="H88" s="2112"/>
      <c r="I88" s="703"/>
      <c r="J88" s="703"/>
      <c r="K88" s="2112"/>
      <c r="L88" s="2112"/>
      <c r="M88" s="2112"/>
      <c r="N88" s="682"/>
      <c r="O88" s="685"/>
      <c r="P88" s="2112"/>
      <c r="Q88" s="2112"/>
      <c r="R88" s="2112"/>
      <c r="S88" s="2112"/>
      <c r="T88" s="2112"/>
      <c r="U88" s="2112"/>
      <c r="V88" s="2112"/>
      <c r="W88" s="2112"/>
      <c r="X88" s="2112"/>
      <c r="Y88" s="2112"/>
    </row>
    <row r="89" spans="1:25">
      <c r="A89" s="2112"/>
      <c r="B89" s="2112"/>
      <c r="C89" s="2112"/>
      <c r="D89" s="2112"/>
      <c r="E89" s="682"/>
      <c r="F89" s="685"/>
      <c r="G89" s="2112"/>
      <c r="H89" s="2112"/>
      <c r="I89" s="703"/>
      <c r="J89" s="703"/>
      <c r="K89" s="2112"/>
      <c r="L89" s="2112"/>
      <c r="M89" s="2112"/>
      <c r="N89" s="682"/>
      <c r="O89" s="685"/>
      <c r="P89" s="2112"/>
      <c r="Q89" s="2112"/>
      <c r="R89" s="2112"/>
      <c r="S89" s="2112"/>
      <c r="T89" s="2112"/>
      <c r="U89" s="2112"/>
      <c r="V89" s="2112"/>
      <c r="W89" s="2112"/>
      <c r="X89" s="2112"/>
      <c r="Y89" s="2112"/>
    </row>
    <row r="90" spans="1:25">
      <c r="A90" s="2112"/>
      <c r="B90" s="2112"/>
      <c r="C90" s="2112"/>
      <c r="D90" s="2112"/>
      <c r="E90" s="682"/>
      <c r="F90" s="685"/>
      <c r="G90" s="2112"/>
      <c r="H90" s="2112"/>
      <c r="I90" s="703"/>
      <c r="J90" s="703"/>
      <c r="K90" s="2112"/>
      <c r="L90" s="2112"/>
      <c r="M90" s="2112"/>
      <c r="N90" s="682"/>
      <c r="O90" s="685"/>
      <c r="P90" s="2112"/>
      <c r="Q90" s="2112"/>
      <c r="R90" s="2112"/>
      <c r="S90" s="2112"/>
      <c r="T90" s="2112"/>
      <c r="U90" s="2112"/>
      <c r="V90" s="2112"/>
      <c r="W90" s="2112"/>
      <c r="X90" s="2112"/>
      <c r="Y90" s="2112"/>
    </row>
    <row r="91" spans="1:25">
      <c r="A91" s="2112"/>
      <c r="B91" s="2112"/>
      <c r="C91" s="2112"/>
      <c r="D91" s="2112"/>
      <c r="E91" s="682"/>
      <c r="F91" s="685"/>
      <c r="G91" s="2112"/>
      <c r="H91" s="2112"/>
      <c r="I91" s="703"/>
      <c r="J91" s="703"/>
      <c r="K91" s="2112"/>
      <c r="L91" s="2112"/>
      <c r="M91" s="2112"/>
      <c r="N91" s="682"/>
      <c r="O91" s="685"/>
      <c r="P91" s="2112"/>
      <c r="Q91" s="2112"/>
      <c r="R91" s="2112"/>
      <c r="S91" s="2112"/>
      <c r="T91" s="2112"/>
      <c r="U91" s="2112"/>
      <c r="V91" s="2112"/>
      <c r="W91" s="2112"/>
      <c r="X91" s="2112"/>
      <c r="Y91" s="2112"/>
    </row>
    <row r="92" spans="1:25">
      <c r="A92" s="2112"/>
      <c r="B92" s="2112"/>
      <c r="C92" s="2112"/>
      <c r="D92" s="2112"/>
      <c r="E92" s="682"/>
      <c r="F92" s="685"/>
      <c r="G92" s="2112"/>
      <c r="H92" s="2112"/>
      <c r="I92" s="703"/>
      <c r="J92" s="703"/>
      <c r="K92" s="2112"/>
      <c r="L92" s="2112"/>
      <c r="M92" s="2112"/>
      <c r="N92" s="682"/>
      <c r="O92" s="685"/>
      <c r="P92" s="2112"/>
      <c r="Q92" s="2112"/>
      <c r="R92" s="2112"/>
      <c r="S92" s="2112"/>
      <c r="T92" s="2112"/>
      <c r="U92" s="2112"/>
      <c r="V92" s="2112"/>
      <c r="W92" s="2112"/>
      <c r="X92" s="2112"/>
      <c r="Y92" s="2112"/>
    </row>
    <row r="93" spans="1:25">
      <c r="A93" s="2112"/>
      <c r="B93" s="2112"/>
      <c r="C93" s="2112"/>
      <c r="D93" s="2112"/>
      <c r="E93" s="682"/>
      <c r="F93" s="685"/>
      <c r="G93" s="2112"/>
      <c r="H93" s="2112"/>
      <c r="I93" s="703"/>
      <c r="J93" s="703"/>
      <c r="K93" s="2112"/>
      <c r="L93" s="2112"/>
      <c r="M93" s="2112"/>
      <c r="N93" s="682"/>
      <c r="O93" s="685"/>
      <c r="P93" s="2112"/>
      <c r="Q93" s="2112"/>
      <c r="R93" s="2112"/>
      <c r="S93" s="2112"/>
      <c r="T93" s="2112"/>
      <c r="U93" s="2112"/>
      <c r="V93" s="2112"/>
      <c r="W93" s="2112"/>
      <c r="X93" s="2112"/>
      <c r="Y93" s="2112"/>
    </row>
    <row r="94" spans="1:25">
      <c r="A94" s="2112"/>
      <c r="B94" s="2112"/>
      <c r="C94" s="2112"/>
      <c r="D94" s="2112"/>
      <c r="E94" s="682"/>
      <c r="F94" s="685"/>
      <c r="G94" s="2112"/>
      <c r="H94" s="2112"/>
      <c r="I94" s="703"/>
      <c r="J94" s="703"/>
      <c r="K94" s="2112"/>
      <c r="L94" s="2112"/>
      <c r="M94" s="2112"/>
      <c r="N94" s="682"/>
      <c r="O94" s="685"/>
      <c r="P94" s="2112"/>
      <c r="Q94" s="2112"/>
      <c r="R94" s="2112"/>
      <c r="S94" s="2112"/>
      <c r="T94" s="2112"/>
      <c r="U94" s="2112"/>
      <c r="V94" s="2112"/>
      <c r="W94" s="2112"/>
      <c r="X94" s="2112"/>
      <c r="Y94" s="2112"/>
    </row>
    <row r="95" spans="1:25">
      <c r="A95" s="2112"/>
      <c r="B95" s="2112"/>
      <c r="C95" s="2112"/>
      <c r="D95" s="2112"/>
      <c r="E95" s="682"/>
      <c r="F95" s="685"/>
      <c r="G95" s="2112"/>
      <c r="H95" s="2112"/>
      <c r="I95" s="703"/>
      <c r="J95" s="703"/>
      <c r="K95" s="2112"/>
      <c r="L95" s="2112"/>
      <c r="M95" s="2112"/>
      <c r="N95" s="682"/>
      <c r="O95" s="685"/>
      <c r="P95" s="2112"/>
      <c r="Q95" s="2112"/>
      <c r="R95" s="2112"/>
      <c r="S95" s="2112"/>
      <c r="T95" s="2112"/>
      <c r="U95" s="2112"/>
      <c r="V95" s="2112"/>
      <c r="W95" s="2112"/>
      <c r="X95" s="2112"/>
      <c r="Y95" s="2112"/>
    </row>
    <row r="96" spans="1:25">
      <c r="A96" s="2112"/>
      <c r="B96" s="2112"/>
      <c r="C96" s="2112"/>
      <c r="D96" s="2112"/>
      <c r="E96" s="682"/>
      <c r="F96" s="685"/>
      <c r="G96" s="2112"/>
      <c r="H96" s="2112"/>
      <c r="I96" s="703"/>
      <c r="J96" s="703"/>
      <c r="K96" s="2112"/>
      <c r="L96" s="2112"/>
      <c r="M96" s="2112"/>
      <c r="N96" s="682"/>
      <c r="O96" s="685"/>
      <c r="P96" s="2112"/>
      <c r="Q96" s="2112"/>
      <c r="R96" s="2112"/>
      <c r="S96" s="2112"/>
      <c r="T96" s="2112"/>
      <c r="U96" s="2112"/>
      <c r="V96" s="2112"/>
      <c r="W96" s="2112"/>
      <c r="X96" s="2112"/>
      <c r="Y96" s="2112"/>
    </row>
    <row r="97" spans="1:25">
      <c r="A97" s="2112"/>
      <c r="B97" s="2112"/>
      <c r="C97" s="2112"/>
      <c r="D97" s="2112"/>
      <c r="E97" s="682"/>
      <c r="F97" s="685"/>
      <c r="G97" s="2112"/>
      <c r="H97" s="2112"/>
      <c r="I97" s="703"/>
      <c r="J97" s="703"/>
      <c r="K97" s="2112"/>
      <c r="L97" s="2112"/>
      <c r="M97" s="2112"/>
      <c r="N97" s="682"/>
      <c r="O97" s="685"/>
      <c r="P97" s="2112"/>
      <c r="Q97" s="2112"/>
      <c r="R97" s="2112"/>
      <c r="S97" s="2112"/>
      <c r="T97" s="2112"/>
      <c r="U97" s="2112"/>
      <c r="V97" s="2112"/>
      <c r="W97" s="2112"/>
      <c r="X97" s="2112"/>
      <c r="Y97" s="2112"/>
    </row>
    <row r="98" spans="1:25">
      <c r="A98" s="2112"/>
      <c r="B98" s="2112"/>
      <c r="C98" s="2112"/>
      <c r="D98" s="2112"/>
      <c r="E98" s="682"/>
      <c r="F98" s="685"/>
      <c r="G98" s="2112"/>
      <c r="H98" s="2112"/>
      <c r="I98" s="703"/>
      <c r="J98" s="703"/>
      <c r="K98" s="2112"/>
      <c r="L98" s="2112"/>
      <c r="M98" s="2112"/>
      <c r="N98" s="682"/>
      <c r="O98" s="685"/>
      <c r="P98" s="2112"/>
      <c r="Q98" s="2112"/>
      <c r="R98" s="2112"/>
      <c r="S98" s="2112"/>
      <c r="T98" s="2112"/>
      <c r="U98" s="2112"/>
      <c r="V98" s="2112"/>
      <c r="W98" s="2112"/>
      <c r="X98" s="2112"/>
      <c r="Y98" s="2112"/>
    </row>
    <row r="99" spans="1:25">
      <c r="A99" s="2112"/>
      <c r="B99" s="2112"/>
      <c r="C99" s="2112"/>
      <c r="D99" s="2112"/>
      <c r="E99" s="682"/>
      <c r="F99" s="685"/>
      <c r="G99" s="2112"/>
      <c r="H99" s="2112"/>
      <c r="I99" s="703"/>
      <c r="J99" s="703"/>
      <c r="K99" s="2112"/>
      <c r="L99" s="2112"/>
      <c r="M99" s="2112"/>
      <c r="N99" s="682"/>
      <c r="O99" s="685"/>
      <c r="P99" s="2112"/>
      <c r="Q99" s="2112"/>
      <c r="R99" s="2112"/>
      <c r="S99" s="2112"/>
      <c r="T99" s="2112"/>
      <c r="U99" s="2112"/>
      <c r="V99" s="2112"/>
      <c r="W99" s="2112"/>
      <c r="X99" s="2112"/>
      <c r="Y99" s="2112"/>
    </row>
    <row r="100" spans="1:25">
      <c r="A100" s="2112"/>
      <c r="B100" s="2112"/>
      <c r="C100" s="2112"/>
      <c r="D100" s="2112"/>
      <c r="E100" s="682"/>
      <c r="F100" s="685"/>
      <c r="G100" s="2112"/>
      <c r="H100" s="2112"/>
      <c r="I100" s="703"/>
      <c r="J100" s="703"/>
      <c r="K100" s="2112"/>
      <c r="L100" s="2112"/>
      <c r="M100" s="2112"/>
      <c r="N100" s="682"/>
      <c r="O100" s="685"/>
      <c r="P100" s="2112"/>
      <c r="Q100" s="2112"/>
      <c r="R100" s="2112"/>
      <c r="S100" s="2112"/>
      <c r="T100" s="2112"/>
      <c r="U100" s="2112"/>
      <c r="V100" s="2112"/>
      <c r="W100" s="2112"/>
      <c r="X100" s="2112"/>
      <c r="Y100" s="2112"/>
    </row>
    <row r="101" spans="1:25">
      <c r="A101" s="2112"/>
      <c r="B101" s="2112"/>
      <c r="C101" s="2112"/>
      <c r="D101" s="2112"/>
      <c r="E101" s="682"/>
      <c r="F101" s="685"/>
      <c r="G101" s="2112"/>
      <c r="H101" s="2112"/>
      <c r="I101" s="703"/>
      <c r="J101" s="703"/>
      <c r="K101" s="2112"/>
      <c r="L101" s="2112"/>
      <c r="M101" s="2112"/>
      <c r="N101" s="682"/>
      <c r="O101" s="685"/>
      <c r="P101" s="2112"/>
      <c r="Q101" s="2112"/>
      <c r="R101" s="2112"/>
      <c r="S101" s="2112"/>
      <c r="T101" s="2112"/>
      <c r="U101" s="2112"/>
      <c r="V101" s="2112"/>
      <c r="W101" s="2112"/>
      <c r="X101" s="2112"/>
      <c r="Y101" s="2112"/>
    </row>
    <row r="102" spans="1:25">
      <c r="A102" s="2112"/>
      <c r="B102" s="2112"/>
      <c r="C102" s="2112"/>
      <c r="D102" s="2112"/>
      <c r="E102" s="682"/>
      <c r="F102" s="685"/>
      <c r="G102" s="2112"/>
      <c r="H102" s="2112"/>
      <c r="I102" s="703"/>
      <c r="J102" s="703"/>
      <c r="K102" s="2112"/>
      <c r="L102" s="2112"/>
      <c r="M102" s="2112"/>
      <c r="N102" s="682"/>
      <c r="O102" s="685"/>
      <c r="P102" s="2112"/>
      <c r="Q102" s="2112"/>
      <c r="R102" s="2112"/>
      <c r="S102" s="2112"/>
      <c r="T102" s="2112"/>
      <c r="U102" s="2112"/>
      <c r="V102" s="2112"/>
      <c r="W102" s="2112"/>
      <c r="X102" s="2112"/>
      <c r="Y102" s="2112"/>
    </row>
    <row r="103" spans="1:25">
      <c r="A103" s="2112"/>
      <c r="B103" s="2112"/>
      <c r="C103" s="2112"/>
      <c r="D103" s="2112"/>
      <c r="E103" s="682"/>
      <c r="F103" s="685"/>
      <c r="G103" s="2112"/>
      <c r="H103" s="2112"/>
      <c r="I103" s="703"/>
      <c r="J103" s="703"/>
      <c r="K103" s="2112"/>
      <c r="L103" s="2112"/>
      <c r="M103" s="2112"/>
      <c r="N103" s="682"/>
      <c r="O103" s="685"/>
      <c r="P103" s="2112"/>
      <c r="Q103" s="2112"/>
      <c r="R103" s="2112"/>
      <c r="S103" s="2112"/>
      <c r="T103" s="2112"/>
      <c r="U103" s="2112"/>
      <c r="V103" s="2112"/>
      <c r="W103" s="2112"/>
      <c r="X103" s="2112"/>
      <c r="Y103" s="2112"/>
    </row>
    <row r="104" spans="1:25">
      <c r="A104" s="2112"/>
      <c r="B104" s="2112"/>
      <c r="C104" s="2112"/>
      <c r="D104" s="2112"/>
      <c r="E104" s="682"/>
      <c r="F104" s="685"/>
      <c r="G104" s="2112"/>
      <c r="H104" s="2112"/>
      <c r="I104" s="703"/>
      <c r="J104" s="703"/>
      <c r="K104" s="2112"/>
      <c r="L104" s="2112"/>
      <c r="M104" s="2112"/>
      <c r="N104" s="682"/>
      <c r="O104" s="685"/>
      <c r="P104" s="2112"/>
      <c r="Q104" s="2112"/>
      <c r="R104" s="2112"/>
      <c r="S104" s="2112"/>
      <c r="T104" s="2112"/>
      <c r="U104" s="2112"/>
      <c r="V104" s="2112"/>
      <c r="W104" s="2112"/>
      <c r="X104" s="2112"/>
      <c r="Y104" s="2112"/>
    </row>
    <row r="105" spans="1:25">
      <c r="A105" s="2112"/>
      <c r="B105" s="2112"/>
      <c r="C105" s="2112"/>
      <c r="D105" s="2112"/>
      <c r="E105" s="682"/>
      <c r="F105" s="685"/>
      <c r="G105" s="2112"/>
      <c r="H105" s="2112"/>
      <c r="I105" s="703"/>
      <c r="J105" s="703"/>
      <c r="K105" s="2112"/>
      <c r="L105" s="2112"/>
      <c r="M105" s="2112"/>
      <c r="N105" s="682"/>
      <c r="O105" s="685"/>
      <c r="P105" s="2112"/>
      <c r="Q105" s="2112"/>
      <c r="R105" s="2112"/>
      <c r="S105" s="2112"/>
      <c r="T105" s="2112"/>
      <c r="U105" s="2112"/>
      <c r="V105" s="2112"/>
      <c r="W105" s="2112"/>
      <c r="X105" s="2112"/>
      <c r="Y105" s="2112"/>
    </row>
    <row r="106" spans="1:25">
      <c r="A106" s="2112"/>
      <c r="B106" s="2112"/>
      <c r="C106" s="2112"/>
      <c r="D106" s="2112"/>
      <c r="E106" s="682"/>
      <c r="F106" s="685"/>
      <c r="G106" s="2112"/>
      <c r="H106" s="2112"/>
      <c r="I106" s="703"/>
      <c r="J106" s="703"/>
      <c r="K106" s="2112"/>
      <c r="L106" s="2112"/>
      <c r="M106" s="2112"/>
      <c r="N106" s="682"/>
      <c r="O106" s="685"/>
      <c r="P106" s="2112"/>
      <c r="Q106" s="2112"/>
      <c r="R106" s="2112"/>
      <c r="S106" s="2112"/>
      <c r="T106" s="2112"/>
      <c r="U106" s="2112"/>
      <c r="V106" s="2112"/>
      <c r="W106" s="2112"/>
      <c r="X106" s="2112"/>
      <c r="Y106" s="2112"/>
    </row>
    <row r="107" spans="1:25">
      <c r="A107" s="2112"/>
      <c r="B107" s="2112"/>
      <c r="C107" s="2112"/>
      <c r="D107" s="2112"/>
      <c r="E107" s="682"/>
      <c r="F107" s="685"/>
      <c r="G107" s="2112"/>
      <c r="H107" s="2112"/>
      <c r="I107" s="703"/>
      <c r="J107" s="703"/>
      <c r="K107" s="2112"/>
      <c r="L107" s="2112"/>
      <c r="M107" s="2112"/>
      <c r="N107" s="682"/>
      <c r="O107" s="685"/>
      <c r="P107" s="2112"/>
      <c r="Q107" s="2112"/>
      <c r="R107" s="2112"/>
      <c r="S107" s="2112"/>
      <c r="T107" s="2112"/>
      <c r="U107" s="2112"/>
      <c r="V107" s="2112"/>
      <c r="W107" s="2112"/>
      <c r="X107" s="2112"/>
      <c r="Y107" s="2112"/>
    </row>
    <row r="108" spans="1:25">
      <c r="A108" s="2112"/>
      <c r="B108" s="2112"/>
      <c r="C108" s="2112"/>
      <c r="D108" s="2112"/>
      <c r="E108" s="682"/>
      <c r="F108" s="685"/>
      <c r="G108" s="2112"/>
      <c r="H108" s="2112"/>
      <c r="I108" s="703"/>
      <c r="J108" s="703"/>
      <c r="K108" s="2112"/>
      <c r="L108" s="2112"/>
      <c r="M108" s="2112"/>
      <c r="N108" s="682"/>
      <c r="O108" s="685"/>
      <c r="P108" s="2112"/>
      <c r="Q108" s="2112"/>
      <c r="R108" s="2112"/>
      <c r="S108" s="2112"/>
      <c r="T108" s="2112"/>
      <c r="U108" s="2112"/>
      <c r="V108" s="2112"/>
      <c r="W108" s="2112"/>
      <c r="X108" s="2112"/>
      <c r="Y108" s="2112"/>
    </row>
    <row r="109" spans="1:25">
      <c r="A109" s="2112"/>
      <c r="B109" s="2112"/>
      <c r="C109" s="2112"/>
      <c r="D109" s="2112"/>
      <c r="E109" s="682"/>
      <c r="F109" s="685"/>
      <c r="G109" s="2112"/>
      <c r="H109" s="2112"/>
      <c r="I109" s="703"/>
      <c r="J109" s="703"/>
      <c r="K109" s="2112"/>
      <c r="L109" s="2112"/>
      <c r="M109" s="2112"/>
      <c r="N109" s="682"/>
      <c r="O109" s="685"/>
      <c r="P109" s="2112"/>
      <c r="Q109" s="2112"/>
      <c r="R109" s="2112"/>
      <c r="S109" s="2112"/>
      <c r="T109" s="2112"/>
      <c r="U109" s="2112"/>
      <c r="V109" s="2112"/>
      <c r="W109" s="2112"/>
      <c r="X109" s="2112"/>
      <c r="Y109" s="2112"/>
    </row>
    <row r="110" spans="1:25">
      <c r="A110" s="2112"/>
      <c r="B110" s="2112"/>
      <c r="C110" s="2112"/>
      <c r="D110" s="2112"/>
      <c r="E110" s="682"/>
      <c r="F110" s="685"/>
      <c r="G110" s="2112"/>
      <c r="H110" s="2112"/>
      <c r="I110" s="703"/>
      <c r="J110" s="703"/>
      <c r="K110" s="2112"/>
      <c r="L110" s="2112"/>
      <c r="M110" s="2112"/>
      <c r="N110" s="682"/>
      <c r="O110" s="685"/>
      <c r="P110" s="2112"/>
      <c r="Q110" s="2112"/>
      <c r="R110" s="2112"/>
      <c r="S110" s="2112"/>
      <c r="T110" s="2112"/>
      <c r="U110" s="2112"/>
      <c r="V110" s="2112"/>
      <c r="W110" s="2112"/>
      <c r="X110" s="2112"/>
      <c r="Y110" s="2112"/>
    </row>
    <row r="111" spans="1:25">
      <c r="A111" s="2112"/>
      <c r="B111" s="2112"/>
      <c r="C111" s="2112"/>
      <c r="D111" s="2112"/>
      <c r="E111" s="682"/>
      <c r="F111" s="685"/>
      <c r="G111" s="2112"/>
      <c r="H111" s="2112"/>
      <c r="I111" s="703"/>
      <c r="J111" s="703"/>
      <c r="K111" s="2112"/>
      <c r="L111" s="2112"/>
      <c r="M111" s="2112"/>
      <c r="N111" s="682"/>
      <c r="O111" s="685"/>
      <c r="P111" s="2112"/>
      <c r="Q111" s="2112"/>
      <c r="R111" s="2112"/>
      <c r="S111" s="2112"/>
      <c r="T111" s="2112"/>
      <c r="U111" s="2112"/>
      <c r="V111" s="2112"/>
      <c r="W111" s="2112"/>
      <c r="X111" s="2112"/>
      <c r="Y111" s="2112"/>
    </row>
    <row r="112" spans="1:25">
      <c r="A112" s="2112"/>
      <c r="B112" s="2112"/>
      <c r="C112" s="2112"/>
      <c r="D112" s="2112"/>
      <c r="E112" s="682"/>
      <c r="F112" s="685"/>
      <c r="G112" s="2112"/>
      <c r="H112" s="2112"/>
      <c r="I112" s="703"/>
      <c r="J112" s="703"/>
      <c r="K112" s="2112"/>
      <c r="L112" s="2112"/>
      <c r="M112" s="2112"/>
      <c r="N112" s="682"/>
      <c r="O112" s="685"/>
      <c r="P112" s="2112"/>
      <c r="Q112" s="2112"/>
      <c r="R112" s="2112"/>
      <c r="S112" s="2112"/>
      <c r="T112" s="2112"/>
      <c r="U112" s="2112"/>
      <c r="V112" s="2112"/>
      <c r="W112" s="2112"/>
      <c r="X112" s="2112"/>
      <c r="Y112" s="2112"/>
    </row>
    <row r="113" spans="1:25">
      <c r="A113" s="2112"/>
      <c r="B113" s="2112"/>
      <c r="C113" s="2112"/>
      <c r="D113" s="2112"/>
      <c r="E113" s="682"/>
      <c r="F113" s="685"/>
      <c r="G113" s="2112"/>
      <c r="H113" s="2112"/>
      <c r="I113" s="703"/>
      <c r="J113" s="703"/>
      <c r="K113" s="2112"/>
      <c r="L113" s="2112"/>
      <c r="M113" s="2112"/>
      <c r="N113" s="682"/>
      <c r="O113" s="685"/>
      <c r="P113" s="2112"/>
      <c r="Q113" s="2112"/>
      <c r="R113" s="2112"/>
      <c r="S113" s="2112"/>
      <c r="T113" s="2112"/>
      <c r="U113" s="2112"/>
      <c r="V113" s="2112"/>
      <c r="W113" s="2112"/>
      <c r="X113" s="2112"/>
      <c r="Y113" s="2112"/>
    </row>
    <row r="114" spans="1:25">
      <c r="A114" s="2112"/>
      <c r="B114" s="2112"/>
      <c r="C114" s="2112"/>
      <c r="D114" s="2112"/>
      <c r="E114" s="682"/>
      <c r="F114" s="685"/>
      <c r="G114" s="2112"/>
      <c r="H114" s="2112"/>
      <c r="I114" s="703"/>
      <c r="J114" s="703"/>
      <c r="K114" s="2112"/>
      <c r="L114" s="2112"/>
      <c r="M114" s="2112"/>
      <c r="N114" s="682"/>
      <c r="O114" s="685"/>
      <c r="P114" s="2112"/>
      <c r="Q114" s="2112"/>
      <c r="R114" s="2112"/>
      <c r="S114" s="2112"/>
      <c r="T114" s="2112"/>
      <c r="U114" s="2112"/>
      <c r="V114" s="2112"/>
      <c r="W114" s="2112"/>
      <c r="X114" s="2112"/>
      <c r="Y114" s="2112"/>
    </row>
    <row r="115" spans="1:25">
      <c r="A115" s="2112"/>
      <c r="B115" s="2112"/>
      <c r="C115" s="2112"/>
      <c r="D115" s="2112"/>
      <c r="E115" s="682"/>
      <c r="F115" s="685"/>
      <c r="G115" s="2112"/>
      <c r="H115" s="2112"/>
      <c r="I115" s="703"/>
      <c r="J115" s="703"/>
      <c r="K115" s="2112"/>
      <c r="L115" s="2112"/>
      <c r="M115" s="2112"/>
      <c r="N115" s="682"/>
      <c r="O115" s="685"/>
      <c r="P115" s="2112"/>
      <c r="Q115" s="2112"/>
      <c r="R115" s="2112"/>
      <c r="S115" s="2112"/>
      <c r="T115" s="2112"/>
      <c r="U115" s="2112"/>
      <c r="V115" s="2112"/>
      <c r="W115" s="2112"/>
      <c r="X115" s="2112"/>
      <c r="Y115" s="2112"/>
    </row>
    <row r="116" spans="1:25">
      <c r="A116" s="2112"/>
      <c r="B116" s="2112"/>
      <c r="C116" s="2112"/>
      <c r="D116" s="2112"/>
      <c r="E116" s="682"/>
      <c r="F116" s="685"/>
      <c r="G116" s="2112"/>
      <c r="H116" s="2112"/>
      <c r="I116" s="703"/>
      <c r="J116" s="703"/>
      <c r="K116" s="2112"/>
      <c r="L116" s="2112"/>
      <c r="M116" s="2112"/>
      <c r="N116" s="682"/>
      <c r="O116" s="685"/>
      <c r="P116" s="2112"/>
      <c r="Q116" s="2112"/>
      <c r="R116" s="2112"/>
      <c r="S116" s="2112"/>
      <c r="T116" s="2112"/>
      <c r="U116" s="2112"/>
      <c r="V116" s="2112"/>
      <c r="W116" s="2112"/>
      <c r="X116" s="2112"/>
      <c r="Y116" s="2112"/>
    </row>
    <row r="117" spans="1:25">
      <c r="A117" s="2112"/>
      <c r="B117" s="2112"/>
      <c r="C117" s="2112"/>
      <c r="D117" s="2112"/>
      <c r="E117" s="682"/>
      <c r="F117" s="685"/>
      <c r="G117" s="2112"/>
      <c r="H117" s="2112"/>
      <c r="I117" s="703"/>
      <c r="J117" s="703"/>
      <c r="K117" s="2112"/>
      <c r="L117" s="2112"/>
      <c r="M117" s="2112"/>
      <c r="N117" s="682"/>
      <c r="O117" s="685"/>
      <c r="P117" s="2112"/>
      <c r="Q117" s="2112"/>
      <c r="R117" s="2112"/>
      <c r="S117" s="2112"/>
      <c r="T117" s="2112"/>
      <c r="U117" s="2112"/>
      <c r="V117" s="2112"/>
      <c r="W117" s="2112"/>
      <c r="X117" s="2112"/>
      <c r="Y117" s="2112"/>
    </row>
    <row r="118" spans="1:25">
      <c r="A118" s="2112"/>
      <c r="B118" s="2112"/>
      <c r="C118" s="2112"/>
      <c r="D118" s="2112"/>
      <c r="E118" s="682"/>
      <c r="F118" s="685"/>
      <c r="G118" s="2112"/>
      <c r="H118" s="2112"/>
      <c r="I118" s="703"/>
      <c r="J118" s="703"/>
      <c r="K118" s="2112"/>
      <c r="L118" s="2112"/>
      <c r="M118" s="2112"/>
      <c r="N118" s="682"/>
      <c r="O118" s="685"/>
      <c r="P118" s="2112"/>
      <c r="Q118" s="2112"/>
      <c r="R118" s="2112"/>
      <c r="S118" s="2112"/>
      <c r="T118" s="2112"/>
      <c r="U118" s="2112"/>
      <c r="V118" s="2112"/>
      <c r="W118" s="2112"/>
      <c r="X118" s="2112"/>
      <c r="Y118" s="2112"/>
    </row>
    <row r="119" spans="1:25">
      <c r="A119" s="2112"/>
      <c r="B119" s="2112"/>
      <c r="C119" s="2112"/>
      <c r="D119" s="2112"/>
      <c r="E119" s="682"/>
      <c r="F119" s="685"/>
      <c r="G119" s="2112"/>
      <c r="H119" s="2112"/>
      <c r="I119" s="703"/>
      <c r="J119" s="703"/>
      <c r="K119" s="2112"/>
      <c r="L119" s="2112"/>
      <c r="M119" s="2112"/>
      <c r="N119" s="682"/>
      <c r="O119" s="685"/>
      <c r="P119" s="2112"/>
      <c r="Q119" s="2112"/>
      <c r="R119" s="2112"/>
      <c r="S119" s="2112"/>
      <c r="T119" s="2112"/>
      <c r="U119" s="2112"/>
      <c r="V119" s="2112"/>
      <c r="W119" s="2112"/>
      <c r="X119" s="2112"/>
      <c r="Y119" s="2112"/>
    </row>
    <row r="120" spans="1:25">
      <c r="A120" s="2112"/>
      <c r="B120" s="2112"/>
      <c r="C120" s="2112"/>
      <c r="D120" s="2112"/>
      <c r="E120" s="682"/>
      <c r="F120" s="685"/>
      <c r="G120" s="2112"/>
      <c r="H120" s="2112"/>
      <c r="I120" s="703"/>
      <c r="J120" s="703"/>
      <c r="K120" s="2112"/>
      <c r="L120" s="2112"/>
      <c r="M120" s="2112"/>
      <c r="N120" s="682"/>
      <c r="O120" s="685"/>
      <c r="P120" s="2112"/>
      <c r="Q120" s="2112"/>
      <c r="R120" s="2112"/>
      <c r="S120" s="2112"/>
      <c r="T120" s="2112"/>
      <c r="U120" s="2112"/>
      <c r="V120" s="2112"/>
      <c r="W120" s="2112"/>
      <c r="X120" s="2112"/>
      <c r="Y120" s="2112"/>
    </row>
    <row r="121" spans="1:25">
      <c r="A121" s="2112"/>
      <c r="B121" s="2112"/>
      <c r="C121" s="2112"/>
      <c r="D121" s="2112"/>
      <c r="E121" s="682"/>
      <c r="F121" s="685"/>
      <c r="G121" s="2112"/>
      <c r="H121" s="2112"/>
      <c r="I121" s="703"/>
      <c r="J121" s="703"/>
      <c r="K121" s="2112"/>
      <c r="L121" s="2112"/>
      <c r="M121" s="2112"/>
      <c r="N121" s="682"/>
      <c r="O121" s="685"/>
      <c r="P121" s="2112"/>
      <c r="Q121" s="2112"/>
      <c r="R121" s="2112"/>
      <c r="S121" s="2112"/>
      <c r="T121" s="2112"/>
      <c r="U121" s="2112"/>
      <c r="V121" s="2112"/>
      <c r="W121" s="2112"/>
      <c r="X121" s="2112"/>
      <c r="Y121" s="2112"/>
    </row>
    <row r="122" spans="1:25">
      <c r="A122" s="2112"/>
      <c r="B122" s="2112"/>
      <c r="C122" s="2112"/>
      <c r="D122" s="2112"/>
      <c r="E122" s="682"/>
      <c r="F122" s="685"/>
      <c r="G122" s="2112"/>
      <c r="H122" s="2112"/>
      <c r="I122" s="703"/>
      <c r="J122" s="703"/>
      <c r="K122" s="2112"/>
      <c r="L122" s="2112"/>
      <c r="M122" s="2112"/>
      <c r="N122" s="682"/>
      <c r="O122" s="685"/>
      <c r="P122" s="2112"/>
      <c r="Q122" s="2112"/>
      <c r="R122" s="2112"/>
      <c r="S122" s="2112"/>
      <c r="T122" s="2112"/>
      <c r="U122" s="2112"/>
      <c r="V122" s="2112"/>
      <c r="W122" s="2112"/>
      <c r="X122" s="2112"/>
      <c r="Y122" s="2112"/>
    </row>
    <row r="123" spans="1:25">
      <c r="A123" s="2112"/>
      <c r="B123" s="2112"/>
      <c r="C123" s="2112"/>
      <c r="D123" s="2112"/>
      <c r="E123" s="682"/>
      <c r="F123" s="685"/>
      <c r="G123" s="2112"/>
      <c r="H123" s="2112"/>
      <c r="I123" s="703"/>
      <c r="J123" s="703"/>
      <c r="K123" s="2112"/>
      <c r="L123" s="2112"/>
      <c r="M123" s="2112"/>
      <c r="N123" s="682"/>
      <c r="O123" s="685"/>
      <c r="P123" s="2112"/>
      <c r="Q123" s="2112"/>
      <c r="R123" s="2112"/>
      <c r="S123" s="2112"/>
      <c r="T123" s="2112"/>
      <c r="U123" s="2112"/>
      <c r="V123" s="2112"/>
      <c r="W123" s="2112"/>
      <c r="X123" s="2112"/>
      <c r="Y123" s="2112"/>
    </row>
    <row r="124" spans="1:25">
      <c r="A124" s="2112"/>
      <c r="B124" s="2112"/>
      <c r="C124" s="2112"/>
      <c r="D124" s="2112"/>
      <c r="E124" s="682"/>
      <c r="F124" s="685"/>
      <c r="G124" s="2112"/>
      <c r="H124" s="2112"/>
      <c r="I124" s="703"/>
      <c r="J124" s="703"/>
      <c r="K124" s="2112"/>
      <c r="L124" s="2112"/>
      <c r="M124" s="2112"/>
      <c r="N124" s="682"/>
      <c r="O124" s="685"/>
      <c r="P124" s="2112"/>
      <c r="Q124" s="2112"/>
      <c r="R124" s="2112"/>
      <c r="S124" s="2112"/>
      <c r="T124" s="2112"/>
      <c r="U124" s="2112"/>
      <c r="V124" s="2112"/>
      <c r="W124" s="2112"/>
      <c r="X124" s="2112"/>
      <c r="Y124" s="2112"/>
    </row>
    <row r="125" spans="1:25">
      <c r="A125" s="2112"/>
      <c r="B125" s="2112"/>
      <c r="C125" s="2112"/>
      <c r="D125" s="2112"/>
      <c r="E125" s="682"/>
      <c r="F125" s="685"/>
      <c r="G125" s="2112"/>
      <c r="H125" s="2112"/>
      <c r="I125" s="703"/>
      <c r="J125" s="703"/>
      <c r="K125" s="2112"/>
      <c r="L125" s="2112"/>
      <c r="M125" s="2112"/>
      <c r="N125" s="682"/>
      <c r="O125" s="685"/>
      <c r="P125" s="2112"/>
      <c r="Q125" s="2112"/>
      <c r="R125" s="2112"/>
      <c r="S125" s="2112"/>
      <c r="T125" s="2112"/>
      <c r="U125" s="2112"/>
      <c r="V125" s="2112"/>
      <c r="W125" s="2112"/>
      <c r="X125" s="2112"/>
      <c r="Y125" s="2112"/>
    </row>
    <row r="126" spans="1:25">
      <c r="A126" s="2112"/>
      <c r="B126" s="2112"/>
      <c r="C126" s="2112"/>
      <c r="D126" s="2112"/>
      <c r="E126" s="682"/>
      <c r="F126" s="685"/>
      <c r="G126" s="2112"/>
      <c r="H126" s="2112"/>
      <c r="I126" s="703"/>
      <c r="J126" s="703"/>
      <c r="K126" s="2112"/>
      <c r="L126" s="2112"/>
      <c r="M126" s="2112"/>
      <c r="N126" s="682"/>
      <c r="O126" s="685"/>
      <c r="P126" s="2112"/>
      <c r="Q126" s="2112"/>
      <c r="R126" s="2112"/>
      <c r="S126" s="2112"/>
      <c r="T126" s="2112"/>
      <c r="U126" s="2112"/>
      <c r="V126" s="2112"/>
      <c r="W126" s="2112"/>
      <c r="X126" s="2112"/>
      <c r="Y126" s="2112"/>
    </row>
    <row r="127" spans="1:25">
      <c r="A127" s="2112"/>
      <c r="B127" s="2112"/>
      <c r="C127" s="2112"/>
      <c r="D127" s="2112"/>
      <c r="E127" s="682"/>
      <c r="F127" s="685"/>
      <c r="G127" s="2112"/>
      <c r="H127" s="2112"/>
      <c r="I127" s="703"/>
      <c r="J127" s="703"/>
      <c r="K127" s="2112"/>
      <c r="L127" s="2112"/>
      <c r="M127" s="2112"/>
      <c r="N127" s="682"/>
      <c r="O127" s="685"/>
      <c r="P127" s="2112"/>
      <c r="Q127" s="2112"/>
      <c r="R127" s="2112"/>
      <c r="S127" s="2112"/>
      <c r="T127" s="2112"/>
      <c r="U127" s="2112"/>
      <c r="V127" s="2112"/>
      <c r="W127" s="2112"/>
      <c r="X127" s="2112"/>
      <c r="Y127" s="2112"/>
    </row>
    <row r="128" spans="1:25">
      <c r="A128" s="2112"/>
      <c r="B128" s="2112"/>
      <c r="C128" s="2112"/>
      <c r="D128" s="2112"/>
      <c r="E128" s="682"/>
      <c r="F128" s="685"/>
      <c r="G128" s="2112"/>
      <c r="H128" s="2112"/>
      <c r="I128" s="703"/>
      <c r="J128" s="703"/>
      <c r="K128" s="2112"/>
      <c r="L128" s="2112"/>
      <c r="M128" s="2112"/>
      <c r="N128" s="682"/>
      <c r="O128" s="685"/>
      <c r="P128" s="2112"/>
      <c r="Q128" s="2112"/>
      <c r="R128" s="2112"/>
      <c r="S128" s="2112"/>
      <c r="T128" s="2112"/>
      <c r="U128" s="2112"/>
      <c r="V128" s="2112"/>
      <c r="W128" s="2112"/>
      <c r="X128" s="2112"/>
      <c r="Y128" s="2112"/>
    </row>
    <row r="129" spans="1:25">
      <c r="A129" s="2112"/>
      <c r="B129" s="2112"/>
      <c r="C129" s="2112"/>
      <c r="D129" s="2112"/>
      <c r="E129" s="682"/>
      <c r="F129" s="685"/>
      <c r="G129" s="2112"/>
      <c r="H129" s="2112"/>
      <c r="I129" s="703"/>
      <c r="J129" s="703"/>
      <c r="K129" s="2112"/>
      <c r="L129" s="2112"/>
      <c r="M129" s="2112"/>
      <c r="N129" s="682"/>
      <c r="O129" s="685"/>
      <c r="P129" s="2112"/>
      <c r="Q129" s="2112"/>
      <c r="R129" s="2112"/>
      <c r="S129" s="2112"/>
      <c r="T129" s="2112"/>
      <c r="U129" s="2112"/>
      <c r="V129" s="2112"/>
      <c r="W129" s="2112"/>
      <c r="X129" s="2112"/>
      <c r="Y129" s="2112"/>
    </row>
    <row r="130" spans="1:25">
      <c r="A130" s="2112"/>
      <c r="B130" s="2112"/>
      <c r="C130" s="2112"/>
      <c r="D130" s="2112"/>
      <c r="E130" s="682"/>
      <c r="F130" s="685"/>
      <c r="G130" s="2112"/>
      <c r="H130" s="2112"/>
      <c r="I130" s="703"/>
      <c r="J130" s="703"/>
      <c r="K130" s="2112"/>
      <c r="L130" s="2112"/>
      <c r="M130" s="2112"/>
      <c r="N130" s="682"/>
      <c r="O130" s="685"/>
      <c r="P130" s="2112"/>
      <c r="Q130" s="2112"/>
      <c r="R130" s="2112"/>
      <c r="S130" s="2112"/>
      <c r="T130" s="2112"/>
      <c r="U130" s="2112"/>
      <c r="V130" s="2112"/>
      <c r="W130" s="2112"/>
      <c r="X130" s="2112"/>
      <c r="Y130" s="2112"/>
    </row>
    <row r="131" spans="1:25">
      <c r="A131" s="2112"/>
      <c r="B131" s="2112"/>
      <c r="C131" s="2112"/>
      <c r="D131" s="2112"/>
      <c r="E131" s="682"/>
      <c r="F131" s="685"/>
      <c r="G131" s="2112"/>
      <c r="H131" s="2112"/>
      <c r="I131" s="703"/>
      <c r="J131" s="703"/>
      <c r="K131" s="2112"/>
      <c r="L131" s="2112"/>
      <c r="M131" s="2112"/>
      <c r="N131" s="682"/>
      <c r="O131" s="685"/>
      <c r="P131" s="2112"/>
      <c r="Q131" s="2112"/>
      <c r="R131" s="2112"/>
      <c r="S131" s="2112"/>
      <c r="T131" s="2112"/>
      <c r="U131" s="2112"/>
      <c r="V131" s="2112"/>
      <c r="W131" s="2112"/>
      <c r="X131" s="2112"/>
      <c r="Y131" s="2112"/>
    </row>
    <row r="132" spans="1:25">
      <c r="A132" s="2112"/>
      <c r="B132" s="2112"/>
      <c r="C132" s="2112"/>
      <c r="D132" s="2112"/>
      <c r="E132" s="682"/>
      <c r="F132" s="685"/>
      <c r="G132" s="2112"/>
      <c r="H132" s="2112"/>
      <c r="I132" s="703"/>
      <c r="J132" s="703"/>
      <c r="K132" s="2112"/>
      <c r="L132" s="2112"/>
      <c r="M132" s="2112"/>
      <c r="N132" s="682"/>
      <c r="O132" s="685"/>
      <c r="P132" s="2112"/>
      <c r="Q132" s="2112"/>
      <c r="R132" s="2112"/>
      <c r="S132" s="2112"/>
      <c r="T132" s="2112"/>
      <c r="U132" s="2112"/>
      <c r="V132" s="2112"/>
      <c r="W132" s="2112"/>
      <c r="X132" s="2112"/>
      <c r="Y132" s="2112"/>
    </row>
    <row r="133" spans="1:25">
      <c r="A133" s="2112"/>
      <c r="B133" s="2112"/>
      <c r="C133" s="2112"/>
      <c r="D133" s="2112"/>
      <c r="E133" s="682"/>
      <c r="F133" s="685"/>
      <c r="G133" s="2112"/>
      <c r="H133" s="2112"/>
      <c r="I133" s="703"/>
      <c r="J133" s="703"/>
      <c r="K133" s="2112"/>
      <c r="L133" s="2112"/>
      <c r="M133" s="2112"/>
      <c r="N133" s="682"/>
      <c r="O133" s="685"/>
      <c r="P133" s="2112"/>
      <c r="Q133" s="2112"/>
      <c r="R133" s="2112"/>
      <c r="S133" s="2112"/>
      <c r="T133" s="2112"/>
      <c r="U133" s="2112"/>
      <c r="V133" s="2112"/>
      <c r="W133" s="2112"/>
      <c r="X133" s="2112"/>
      <c r="Y133" s="2112"/>
    </row>
    <row r="134" spans="1:25">
      <c r="A134" s="2112"/>
      <c r="B134" s="2112"/>
      <c r="C134" s="2112"/>
      <c r="D134" s="2112"/>
      <c r="E134" s="682"/>
      <c r="F134" s="685"/>
      <c r="G134" s="2112"/>
      <c r="H134" s="2112"/>
      <c r="I134" s="703"/>
      <c r="J134" s="703"/>
      <c r="K134" s="2112"/>
      <c r="L134" s="2112"/>
      <c r="M134" s="2112"/>
      <c r="N134" s="682"/>
      <c r="O134" s="685"/>
      <c r="P134" s="2112"/>
      <c r="Q134" s="2112"/>
      <c r="R134" s="2112"/>
      <c r="S134" s="2112"/>
      <c r="T134" s="2112"/>
      <c r="U134" s="2112"/>
      <c r="V134" s="2112"/>
      <c r="W134" s="2112"/>
      <c r="X134" s="2112"/>
      <c r="Y134" s="2112"/>
    </row>
    <row r="135" spans="1:25">
      <c r="A135" s="2112"/>
      <c r="B135" s="2112"/>
      <c r="C135" s="2112"/>
      <c r="D135" s="2112"/>
      <c r="E135" s="682"/>
      <c r="F135" s="685"/>
      <c r="G135" s="2112"/>
      <c r="H135" s="2112"/>
      <c r="I135" s="703"/>
      <c r="J135" s="703"/>
      <c r="K135" s="2112"/>
      <c r="L135" s="2112"/>
      <c r="M135" s="2112"/>
      <c r="N135" s="682"/>
      <c r="O135" s="685"/>
      <c r="P135" s="2112"/>
      <c r="Q135" s="2112"/>
      <c r="R135" s="2112"/>
      <c r="S135" s="2112"/>
      <c r="T135" s="2112"/>
      <c r="U135" s="2112"/>
      <c r="V135" s="2112"/>
      <c r="W135" s="2112"/>
      <c r="X135" s="2112"/>
      <c r="Y135" s="2112"/>
    </row>
    <row r="136" spans="1:25">
      <c r="A136" s="2112"/>
      <c r="B136" s="2112"/>
      <c r="C136" s="2112"/>
      <c r="D136" s="2112"/>
      <c r="E136" s="682"/>
      <c r="F136" s="685"/>
      <c r="G136" s="2112"/>
      <c r="H136" s="2112"/>
      <c r="I136" s="703"/>
      <c r="J136" s="703"/>
      <c r="K136" s="2112"/>
      <c r="L136" s="2112"/>
      <c r="M136" s="2112"/>
      <c r="N136" s="682"/>
      <c r="O136" s="685"/>
      <c r="P136" s="2112"/>
      <c r="Q136" s="2112"/>
      <c r="R136" s="2112"/>
      <c r="S136" s="2112"/>
      <c r="T136" s="2112"/>
      <c r="U136" s="2112"/>
      <c r="V136" s="2112"/>
      <c r="W136" s="2112"/>
      <c r="X136" s="2112"/>
      <c r="Y136" s="2112"/>
    </row>
    <row r="137" spans="1:25">
      <c r="A137" s="2112"/>
      <c r="B137" s="2112"/>
      <c r="C137" s="2112"/>
      <c r="D137" s="2112"/>
      <c r="E137" s="682"/>
      <c r="F137" s="685"/>
      <c r="G137" s="2112"/>
      <c r="H137" s="2112"/>
      <c r="I137" s="703"/>
      <c r="J137" s="703"/>
      <c r="K137" s="2112"/>
      <c r="L137" s="2112"/>
      <c r="M137" s="2112"/>
      <c r="N137" s="682"/>
      <c r="O137" s="685"/>
      <c r="P137" s="2112"/>
      <c r="Q137" s="2112"/>
      <c r="R137" s="2112"/>
      <c r="S137" s="2112"/>
      <c r="T137" s="2112"/>
      <c r="U137" s="2112"/>
      <c r="V137" s="2112"/>
      <c r="W137" s="2112"/>
      <c r="X137" s="2112"/>
      <c r="Y137" s="2112"/>
    </row>
    <row r="138" spans="1:25">
      <c r="A138" s="2112"/>
      <c r="B138" s="2112"/>
      <c r="C138" s="2112"/>
      <c r="D138" s="2112"/>
      <c r="E138" s="682"/>
      <c r="F138" s="685"/>
      <c r="G138" s="2112"/>
      <c r="H138" s="2112"/>
      <c r="I138" s="703"/>
      <c r="J138" s="703"/>
      <c r="K138" s="2112"/>
      <c r="L138" s="2112"/>
      <c r="M138" s="2112"/>
      <c r="N138" s="682"/>
      <c r="O138" s="685"/>
      <c r="P138" s="2112"/>
      <c r="Q138" s="2112"/>
      <c r="R138" s="2112"/>
      <c r="S138" s="2112"/>
      <c r="T138" s="2112"/>
      <c r="U138" s="2112"/>
      <c r="V138" s="2112"/>
      <c r="W138" s="2112"/>
      <c r="X138" s="2112"/>
      <c r="Y138" s="2112"/>
    </row>
    <row r="139" spans="1:25">
      <c r="A139" s="2112"/>
      <c r="B139" s="2112"/>
      <c r="C139" s="2112"/>
      <c r="D139" s="2112"/>
      <c r="E139" s="682"/>
      <c r="F139" s="685"/>
      <c r="G139" s="2112"/>
      <c r="H139" s="2112"/>
      <c r="I139" s="703"/>
      <c r="J139" s="703"/>
      <c r="K139" s="2112"/>
      <c r="L139" s="2112"/>
      <c r="M139" s="2112"/>
      <c r="N139" s="682"/>
      <c r="O139" s="685"/>
      <c r="P139" s="2112"/>
      <c r="Q139" s="2112"/>
      <c r="R139" s="2112"/>
      <c r="S139" s="2112"/>
      <c r="T139" s="2112"/>
      <c r="U139" s="2112"/>
      <c r="V139" s="2112"/>
      <c r="W139" s="2112"/>
      <c r="X139" s="2112"/>
      <c r="Y139" s="2112"/>
    </row>
    <row r="140" spans="1:25">
      <c r="A140" s="2112"/>
      <c r="B140" s="2112"/>
      <c r="C140" s="2112"/>
      <c r="D140" s="2112"/>
      <c r="E140" s="682"/>
      <c r="F140" s="685"/>
      <c r="G140" s="2112"/>
      <c r="H140" s="2112"/>
      <c r="I140" s="703"/>
      <c r="J140" s="703"/>
      <c r="K140" s="2112"/>
      <c r="L140" s="2112"/>
      <c r="M140" s="2112"/>
      <c r="N140" s="682"/>
      <c r="O140" s="685"/>
      <c r="P140" s="2112"/>
      <c r="Q140" s="2112"/>
      <c r="R140" s="2112"/>
      <c r="S140" s="2112"/>
      <c r="T140" s="2112"/>
      <c r="U140" s="2112"/>
      <c r="V140" s="2112"/>
      <c r="W140" s="2112"/>
      <c r="X140" s="2112"/>
      <c r="Y140" s="2112"/>
    </row>
    <row r="141" spans="1:25">
      <c r="A141" s="2112"/>
      <c r="B141" s="2112"/>
      <c r="C141" s="2112"/>
      <c r="D141" s="2112"/>
      <c r="E141" s="682"/>
      <c r="F141" s="685"/>
      <c r="G141" s="2112"/>
      <c r="H141" s="2112"/>
      <c r="I141" s="703"/>
      <c r="J141" s="703"/>
      <c r="K141" s="2112"/>
      <c r="L141" s="2112"/>
      <c r="M141" s="2112"/>
      <c r="N141" s="682"/>
      <c r="O141" s="685"/>
      <c r="P141" s="2112"/>
      <c r="Q141" s="2112"/>
      <c r="R141" s="2112"/>
      <c r="S141" s="2112"/>
      <c r="T141" s="2112"/>
      <c r="U141" s="2112"/>
      <c r="V141" s="2112"/>
      <c r="W141" s="2112"/>
      <c r="X141" s="2112"/>
      <c r="Y141" s="2112"/>
    </row>
    <row r="142" spans="1:25">
      <c r="A142" s="2112"/>
      <c r="B142" s="2112"/>
      <c r="C142" s="2112"/>
      <c r="D142" s="2112"/>
      <c r="E142" s="682"/>
      <c r="F142" s="685"/>
      <c r="G142" s="2112"/>
      <c r="H142" s="2112"/>
      <c r="I142" s="703"/>
      <c r="J142" s="703"/>
      <c r="K142" s="2112"/>
      <c r="L142" s="2112"/>
      <c r="M142" s="2112"/>
      <c r="N142" s="682"/>
      <c r="O142" s="685"/>
      <c r="P142" s="2112"/>
      <c r="Q142" s="2112"/>
      <c r="R142" s="2112"/>
      <c r="S142" s="2112"/>
      <c r="T142" s="2112"/>
      <c r="U142" s="2112"/>
      <c r="V142" s="2112"/>
      <c r="W142" s="2112"/>
      <c r="X142" s="2112"/>
      <c r="Y142" s="2112"/>
    </row>
    <row r="143" spans="1:25">
      <c r="A143" s="2112"/>
      <c r="B143" s="2112"/>
      <c r="C143" s="2112"/>
      <c r="D143" s="2112"/>
      <c r="E143" s="682"/>
      <c r="F143" s="685"/>
      <c r="G143" s="2112"/>
      <c r="H143" s="2112"/>
      <c r="I143" s="703"/>
      <c r="J143" s="703"/>
      <c r="K143" s="2112"/>
      <c r="L143" s="2112"/>
      <c r="M143" s="2112"/>
      <c r="N143" s="682"/>
      <c r="O143" s="685"/>
      <c r="P143" s="2112"/>
      <c r="Q143" s="2112"/>
      <c r="R143" s="2112"/>
      <c r="S143" s="2112"/>
      <c r="T143" s="2112"/>
      <c r="U143" s="2112"/>
      <c r="V143" s="2112"/>
      <c r="W143" s="2112"/>
      <c r="X143" s="2112"/>
      <c r="Y143" s="2112"/>
    </row>
    <row r="144" spans="1:25">
      <c r="A144" s="2112"/>
      <c r="B144" s="2112"/>
      <c r="C144" s="2112"/>
      <c r="D144" s="2112"/>
      <c r="E144" s="682"/>
      <c r="F144" s="685"/>
      <c r="G144" s="2112"/>
      <c r="H144" s="2112"/>
      <c r="I144" s="703"/>
      <c r="J144" s="703"/>
      <c r="K144" s="2112"/>
      <c r="L144" s="2112"/>
      <c r="M144" s="2112"/>
      <c r="N144" s="682"/>
      <c r="O144" s="685"/>
      <c r="P144" s="2112"/>
      <c r="Q144" s="2112"/>
      <c r="R144" s="2112"/>
      <c r="S144" s="2112"/>
      <c r="T144" s="2112"/>
      <c r="U144" s="2112"/>
      <c r="V144" s="2112"/>
      <c r="W144" s="2112"/>
      <c r="X144" s="2112"/>
      <c r="Y144" s="2112"/>
    </row>
    <row r="145" spans="1:25">
      <c r="A145" s="2112"/>
      <c r="B145" s="2112"/>
      <c r="C145" s="2112"/>
      <c r="D145" s="2112"/>
      <c r="E145" s="682"/>
      <c r="F145" s="685"/>
      <c r="G145" s="2112"/>
      <c r="H145" s="2112"/>
      <c r="I145" s="703"/>
      <c r="J145" s="703"/>
      <c r="K145" s="2112"/>
      <c r="L145" s="2112"/>
      <c r="M145" s="2112"/>
      <c r="N145" s="682"/>
      <c r="O145" s="685"/>
      <c r="P145" s="2112"/>
      <c r="Q145" s="2112"/>
      <c r="R145" s="2112"/>
      <c r="S145" s="2112"/>
      <c r="T145" s="2112"/>
      <c r="U145" s="2112"/>
      <c r="V145" s="2112"/>
      <c r="W145" s="2112"/>
      <c r="X145" s="2112"/>
      <c r="Y145" s="2112"/>
    </row>
    <row r="146" spans="1:25">
      <c r="A146" s="2112"/>
      <c r="B146" s="2112"/>
      <c r="C146" s="2112"/>
      <c r="D146" s="2112"/>
      <c r="E146" s="682"/>
      <c r="F146" s="685"/>
      <c r="G146" s="2112"/>
      <c r="H146" s="2112"/>
      <c r="I146" s="703"/>
      <c r="J146" s="703"/>
      <c r="K146" s="2112"/>
      <c r="L146" s="2112"/>
      <c r="M146" s="2112"/>
      <c r="N146" s="682"/>
      <c r="O146" s="685"/>
      <c r="P146" s="2112"/>
      <c r="Q146" s="2112"/>
      <c r="R146" s="2112"/>
      <c r="S146" s="2112"/>
      <c r="T146" s="2112"/>
      <c r="U146" s="2112"/>
      <c r="V146" s="2112"/>
      <c r="W146" s="2112"/>
      <c r="X146" s="2112"/>
      <c r="Y146" s="2112"/>
    </row>
    <row r="147" spans="1:25">
      <c r="A147" s="2112"/>
      <c r="B147" s="2112"/>
      <c r="C147" s="2112"/>
      <c r="D147" s="2112"/>
      <c r="E147" s="682"/>
      <c r="F147" s="685"/>
      <c r="G147" s="2112"/>
      <c r="H147" s="2112"/>
      <c r="I147" s="703"/>
      <c r="J147" s="703"/>
      <c r="K147" s="2112"/>
      <c r="L147" s="2112"/>
      <c r="M147" s="2112"/>
      <c r="N147" s="682"/>
      <c r="O147" s="685"/>
      <c r="P147" s="2112"/>
      <c r="Q147" s="2112"/>
      <c r="R147" s="2112"/>
      <c r="S147" s="2112"/>
      <c r="T147" s="2112"/>
      <c r="U147" s="2112"/>
      <c r="V147" s="2112"/>
      <c r="W147" s="2112"/>
      <c r="X147" s="2112"/>
      <c r="Y147" s="2112"/>
    </row>
    <row r="148" spans="1:25">
      <c r="A148" s="2112"/>
      <c r="B148" s="2112"/>
      <c r="C148" s="2112"/>
      <c r="D148" s="2112"/>
      <c r="E148" s="682"/>
      <c r="F148" s="685"/>
      <c r="G148" s="2112"/>
      <c r="H148" s="2112"/>
      <c r="I148" s="703"/>
      <c r="J148" s="703"/>
      <c r="K148" s="2112"/>
      <c r="L148" s="2112"/>
      <c r="M148" s="2112"/>
      <c r="N148" s="682"/>
      <c r="O148" s="685"/>
      <c r="P148" s="2112"/>
      <c r="Q148" s="2112"/>
      <c r="R148" s="2112"/>
      <c r="S148" s="2112"/>
      <c r="T148" s="2112"/>
      <c r="U148" s="2112"/>
      <c r="V148" s="2112"/>
      <c r="W148" s="2112"/>
      <c r="X148" s="2112"/>
      <c r="Y148" s="2112"/>
    </row>
    <row r="149" spans="1:25">
      <c r="A149" s="2112"/>
      <c r="B149" s="2112"/>
      <c r="C149" s="2112"/>
      <c r="D149" s="2112"/>
      <c r="E149" s="682"/>
      <c r="F149" s="685"/>
      <c r="G149" s="2112"/>
      <c r="H149" s="2112"/>
      <c r="I149" s="703"/>
      <c r="J149" s="703"/>
      <c r="K149" s="2112"/>
      <c r="L149" s="2112"/>
      <c r="M149" s="2112"/>
      <c r="N149" s="682"/>
      <c r="O149" s="685"/>
      <c r="P149" s="2112"/>
      <c r="Q149" s="2112"/>
      <c r="R149" s="2112"/>
      <c r="S149" s="2112"/>
      <c r="T149" s="2112"/>
      <c r="U149" s="2112"/>
      <c r="V149" s="2112"/>
      <c r="W149" s="2112"/>
      <c r="X149" s="2112"/>
      <c r="Y149" s="2112"/>
    </row>
    <row r="150" spans="1:25">
      <c r="A150" s="2112"/>
      <c r="B150" s="2112"/>
      <c r="C150" s="2112"/>
      <c r="D150" s="2112"/>
      <c r="E150" s="682"/>
      <c r="F150" s="685"/>
      <c r="G150" s="2112"/>
      <c r="H150" s="2112"/>
      <c r="I150" s="703"/>
      <c r="J150" s="703"/>
      <c r="K150" s="2112"/>
      <c r="L150" s="2112"/>
      <c r="M150" s="2112"/>
      <c r="N150" s="682"/>
      <c r="O150" s="685"/>
      <c r="P150" s="2112"/>
      <c r="Q150" s="2112"/>
      <c r="R150" s="2112"/>
      <c r="S150" s="2112"/>
      <c r="T150" s="2112"/>
      <c r="U150" s="2112"/>
      <c r="V150" s="2112"/>
      <c r="W150" s="2112"/>
      <c r="X150" s="2112"/>
      <c r="Y150" s="2112"/>
    </row>
    <row r="151" spans="1:25">
      <c r="A151" s="2112"/>
      <c r="B151" s="2112"/>
      <c r="C151" s="2112"/>
      <c r="D151" s="2112"/>
      <c r="E151" s="682"/>
      <c r="F151" s="685"/>
      <c r="G151" s="2112"/>
      <c r="H151" s="2112"/>
      <c r="I151" s="703"/>
      <c r="J151" s="703"/>
      <c r="K151" s="2112"/>
      <c r="L151" s="2112"/>
      <c r="M151" s="2112"/>
      <c r="N151" s="682"/>
      <c r="O151" s="685"/>
      <c r="P151" s="2112"/>
      <c r="Q151" s="2112"/>
      <c r="R151" s="2112"/>
      <c r="S151" s="2112"/>
      <c r="T151" s="2112"/>
      <c r="U151" s="2112"/>
      <c r="V151" s="2112"/>
      <c r="W151" s="2112"/>
      <c r="X151" s="2112"/>
      <c r="Y151" s="2112"/>
    </row>
    <row r="152" spans="1:25">
      <c r="A152" s="2112"/>
      <c r="B152" s="2112"/>
      <c r="C152" s="2112"/>
      <c r="D152" s="2112"/>
      <c r="E152" s="682"/>
      <c r="F152" s="685"/>
      <c r="G152" s="2112"/>
      <c r="H152" s="2112"/>
      <c r="I152" s="703"/>
      <c r="J152" s="703"/>
      <c r="K152" s="2112"/>
      <c r="L152" s="2112"/>
      <c r="M152" s="2112"/>
      <c r="N152" s="682"/>
      <c r="O152" s="685"/>
      <c r="P152" s="2112"/>
      <c r="Q152" s="2112"/>
      <c r="R152" s="2112"/>
      <c r="S152" s="2112"/>
      <c r="T152" s="2112"/>
      <c r="U152" s="2112"/>
      <c r="V152" s="2112"/>
      <c r="W152" s="2112"/>
      <c r="X152" s="2112"/>
      <c r="Y152" s="2112"/>
    </row>
    <row r="153" spans="1:25">
      <c r="A153" s="2112"/>
      <c r="B153" s="2112"/>
      <c r="C153" s="2112"/>
      <c r="D153" s="2112"/>
      <c r="E153" s="682"/>
      <c r="F153" s="685"/>
      <c r="G153" s="2112"/>
      <c r="H153" s="2112"/>
      <c r="I153" s="703"/>
      <c r="J153" s="703"/>
      <c r="K153" s="2112"/>
      <c r="L153" s="2112"/>
      <c r="M153" s="2112"/>
      <c r="N153" s="682"/>
      <c r="O153" s="685"/>
      <c r="P153" s="2112"/>
      <c r="Q153" s="2112"/>
      <c r="R153" s="2112"/>
      <c r="S153" s="2112"/>
      <c r="T153" s="2112"/>
      <c r="U153" s="2112"/>
      <c r="V153" s="2112"/>
      <c r="W153" s="2112"/>
      <c r="X153" s="2112"/>
      <c r="Y153" s="2112"/>
    </row>
    <row r="154" spans="1:25">
      <c r="A154" s="2112"/>
      <c r="B154" s="2112"/>
      <c r="C154" s="2112"/>
      <c r="D154" s="2112"/>
      <c r="E154" s="682"/>
      <c r="F154" s="685"/>
      <c r="G154" s="2112"/>
      <c r="H154" s="2112"/>
      <c r="I154" s="703"/>
      <c r="J154" s="703"/>
      <c r="K154" s="2112"/>
      <c r="L154" s="2112"/>
      <c r="M154" s="2112"/>
      <c r="N154" s="682"/>
      <c r="O154" s="685"/>
      <c r="P154" s="2112"/>
      <c r="Q154" s="2112"/>
      <c r="R154" s="2112"/>
      <c r="S154" s="2112"/>
      <c r="T154" s="2112"/>
      <c r="U154" s="2112"/>
      <c r="V154" s="2112"/>
      <c r="W154" s="2112"/>
      <c r="X154" s="2112"/>
      <c r="Y154" s="2112"/>
    </row>
    <row r="155" spans="1:25">
      <c r="A155" s="2112"/>
      <c r="B155" s="2112"/>
      <c r="C155" s="2112"/>
      <c r="D155" s="2112"/>
      <c r="E155" s="682"/>
      <c r="F155" s="685"/>
      <c r="G155" s="2112"/>
      <c r="H155" s="2112"/>
      <c r="I155" s="703"/>
      <c r="J155" s="703"/>
      <c r="K155" s="2112"/>
      <c r="L155" s="2112"/>
      <c r="M155" s="2112"/>
      <c r="N155" s="682"/>
      <c r="O155" s="685"/>
      <c r="P155" s="2112"/>
      <c r="Q155" s="2112"/>
      <c r="R155" s="2112"/>
      <c r="S155" s="2112"/>
      <c r="T155" s="2112"/>
      <c r="U155" s="2112"/>
      <c r="V155" s="2112"/>
      <c r="W155" s="2112"/>
      <c r="X155" s="2112"/>
      <c r="Y155" s="2112"/>
    </row>
    <row r="156" spans="1:25">
      <c r="A156" s="2112"/>
      <c r="B156" s="2112"/>
      <c r="C156" s="2112"/>
      <c r="D156" s="2112"/>
      <c r="E156" s="682"/>
      <c r="F156" s="685"/>
      <c r="G156" s="2112"/>
      <c r="H156" s="2112"/>
      <c r="I156" s="703"/>
      <c r="J156" s="703"/>
      <c r="K156" s="2112"/>
      <c r="L156" s="2112"/>
      <c r="M156" s="2112"/>
      <c r="N156" s="682"/>
      <c r="O156" s="685"/>
      <c r="P156" s="2112"/>
      <c r="Q156" s="2112"/>
      <c r="R156" s="2112"/>
      <c r="S156" s="2112"/>
      <c r="T156" s="2112"/>
      <c r="U156" s="2112"/>
      <c r="V156" s="2112"/>
      <c r="W156" s="2112"/>
      <c r="X156" s="2112"/>
      <c r="Y156" s="2112"/>
    </row>
    <row r="157" spans="1:25">
      <c r="A157" s="2112"/>
      <c r="B157" s="2112"/>
      <c r="C157" s="2112"/>
      <c r="D157" s="2112"/>
      <c r="E157" s="682"/>
      <c r="F157" s="685"/>
      <c r="G157" s="2112"/>
      <c r="H157" s="2112"/>
      <c r="I157" s="703"/>
      <c r="J157" s="703"/>
      <c r="K157" s="2112"/>
      <c r="L157" s="2112"/>
      <c r="M157" s="2112"/>
      <c r="N157" s="682"/>
      <c r="O157" s="685"/>
      <c r="P157" s="2112"/>
      <c r="Q157" s="2112"/>
      <c r="R157" s="2112"/>
      <c r="S157" s="2112"/>
      <c r="T157" s="2112"/>
      <c r="U157" s="2112"/>
      <c r="V157" s="2112"/>
      <c r="W157" s="2112"/>
      <c r="X157" s="2112"/>
      <c r="Y157" s="2112"/>
    </row>
    <row r="158" spans="1:25">
      <c r="A158" s="2112"/>
      <c r="B158" s="2112"/>
      <c r="C158" s="2112"/>
      <c r="D158" s="2112"/>
      <c r="E158" s="682"/>
      <c r="F158" s="685"/>
      <c r="G158" s="2112"/>
      <c r="H158" s="2112"/>
      <c r="I158" s="703"/>
      <c r="J158" s="703"/>
      <c r="K158" s="2112"/>
      <c r="L158" s="2112"/>
      <c r="M158" s="2112"/>
      <c r="N158" s="682"/>
      <c r="O158" s="685"/>
      <c r="P158" s="2112"/>
      <c r="Q158" s="2112"/>
      <c r="R158" s="2112"/>
      <c r="S158" s="2112"/>
      <c r="T158" s="2112"/>
      <c r="U158" s="2112"/>
      <c r="V158" s="2112"/>
      <c r="W158" s="2112"/>
      <c r="X158" s="2112"/>
      <c r="Y158" s="2112"/>
    </row>
    <row r="159" spans="1:25">
      <c r="A159" s="2112"/>
      <c r="B159" s="2112"/>
      <c r="C159" s="2112"/>
      <c r="D159" s="2112"/>
      <c r="E159" s="682"/>
      <c r="F159" s="685"/>
      <c r="G159" s="2112"/>
      <c r="H159" s="2112"/>
      <c r="I159" s="703"/>
      <c r="J159" s="703"/>
      <c r="K159" s="2112"/>
      <c r="L159" s="2112"/>
      <c r="M159" s="2112"/>
      <c r="N159" s="682"/>
      <c r="O159" s="685"/>
      <c r="P159" s="2112"/>
      <c r="Q159" s="2112"/>
      <c r="R159" s="2112"/>
      <c r="S159" s="2112"/>
      <c r="T159" s="2112"/>
      <c r="U159" s="2112"/>
      <c r="V159" s="2112"/>
      <c r="W159" s="2112"/>
      <c r="X159" s="2112"/>
      <c r="Y159" s="2112"/>
    </row>
    <row r="160" spans="1:25">
      <c r="A160" s="2112"/>
      <c r="B160" s="2112"/>
      <c r="C160" s="2112"/>
      <c r="D160" s="2112"/>
      <c r="E160" s="682"/>
      <c r="F160" s="685"/>
      <c r="G160" s="2112"/>
      <c r="H160" s="2112"/>
      <c r="I160" s="703"/>
      <c r="J160" s="703"/>
      <c r="K160" s="2112"/>
      <c r="L160" s="2112"/>
      <c r="M160" s="2112"/>
      <c r="N160" s="682"/>
      <c r="O160" s="685"/>
      <c r="P160" s="2112"/>
      <c r="Q160" s="2112"/>
      <c r="R160" s="2112"/>
      <c r="S160" s="2112"/>
      <c r="T160" s="2112"/>
      <c r="U160" s="2112"/>
      <c r="V160" s="2112"/>
      <c r="W160" s="2112"/>
      <c r="X160" s="2112"/>
      <c r="Y160" s="2112"/>
    </row>
    <row r="161" spans="1:25">
      <c r="A161" s="2112"/>
      <c r="B161" s="2112"/>
      <c r="C161" s="2112"/>
      <c r="D161" s="2112"/>
      <c r="E161" s="682"/>
      <c r="F161" s="685"/>
      <c r="G161" s="2112"/>
      <c r="H161" s="2112"/>
      <c r="I161" s="703"/>
      <c r="J161" s="703"/>
      <c r="K161" s="2112"/>
      <c r="L161" s="2112"/>
      <c r="M161" s="2112"/>
      <c r="N161" s="682"/>
      <c r="O161" s="685"/>
      <c r="P161" s="2112"/>
      <c r="Q161" s="2112"/>
      <c r="R161" s="2112"/>
      <c r="S161" s="2112"/>
      <c r="T161" s="2112"/>
      <c r="U161" s="2112"/>
      <c r="V161" s="2112"/>
      <c r="W161" s="2112"/>
      <c r="X161" s="2112"/>
      <c r="Y161" s="2112"/>
    </row>
    <row r="162" spans="1:25">
      <c r="A162" s="2112"/>
      <c r="B162" s="2112"/>
      <c r="C162" s="2112"/>
      <c r="D162" s="2112"/>
      <c r="E162" s="682"/>
      <c r="F162" s="685"/>
      <c r="G162" s="2112"/>
      <c r="H162" s="2112"/>
      <c r="I162" s="703"/>
      <c r="J162" s="703"/>
      <c r="K162" s="2112"/>
      <c r="L162" s="2112"/>
      <c r="M162" s="2112"/>
      <c r="N162" s="682"/>
      <c r="O162" s="685"/>
      <c r="P162" s="2112"/>
      <c r="Q162" s="2112"/>
      <c r="R162" s="2112"/>
      <c r="S162" s="2112"/>
      <c r="T162" s="2112"/>
      <c r="U162" s="2112"/>
      <c r="V162" s="2112"/>
      <c r="W162" s="2112"/>
      <c r="X162" s="2112"/>
      <c r="Y162" s="2112"/>
    </row>
    <row r="163" spans="1:25">
      <c r="A163" s="2112"/>
      <c r="B163" s="2112"/>
      <c r="C163" s="2112"/>
      <c r="D163" s="2112"/>
      <c r="E163" s="682"/>
      <c r="F163" s="685"/>
      <c r="G163" s="2112"/>
      <c r="H163" s="2112"/>
      <c r="I163" s="703"/>
      <c r="J163" s="703"/>
      <c r="K163" s="2112"/>
      <c r="L163" s="2112"/>
      <c r="M163" s="2112"/>
      <c r="N163" s="682"/>
      <c r="O163" s="685"/>
      <c r="P163" s="2112"/>
      <c r="Q163" s="2112"/>
      <c r="R163" s="2112"/>
      <c r="S163" s="2112"/>
      <c r="T163" s="2112"/>
      <c r="U163" s="2112"/>
      <c r="V163" s="2112"/>
      <c r="W163" s="2112"/>
      <c r="X163" s="2112"/>
      <c r="Y163" s="2112"/>
    </row>
    <row r="164" spans="1:25">
      <c r="A164" s="2112"/>
      <c r="B164" s="2112"/>
      <c r="C164" s="2112"/>
      <c r="D164" s="2112"/>
      <c r="E164" s="682"/>
      <c r="F164" s="685"/>
      <c r="G164" s="2112"/>
      <c r="H164" s="2112"/>
      <c r="I164" s="703"/>
      <c r="J164" s="703"/>
      <c r="K164" s="2112"/>
      <c r="L164" s="2112"/>
      <c r="M164" s="2112"/>
      <c r="N164" s="682"/>
      <c r="O164" s="685"/>
      <c r="P164" s="2112"/>
      <c r="Q164" s="2112"/>
      <c r="R164" s="2112"/>
      <c r="S164" s="2112"/>
      <c r="T164" s="2112"/>
      <c r="U164" s="2112"/>
      <c r="V164" s="2112"/>
      <c r="W164" s="2112"/>
      <c r="X164" s="2112"/>
      <c r="Y164" s="2112"/>
    </row>
    <row r="165" spans="1:25">
      <c r="A165" s="2112"/>
      <c r="B165" s="2112"/>
      <c r="C165" s="2112"/>
      <c r="D165" s="2112"/>
      <c r="E165" s="682"/>
      <c r="F165" s="685"/>
      <c r="G165" s="2112"/>
      <c r="H165" s="2112"/>
      <c r="I165" s="703"/>
      <c r="J165" s="703"/>
      <c r="K165" s="2112"/>
      <c r="L165" s="2112"/>
      <c r="M165" s="2112"/>
      <c r="N165" s="682"/>
      <c r="O165" s="685"/>
      <c r="P165" s="2112"/>
      <c r="Q165" s="2112"/>
      <c r="R165" s="2112"/>
      <c r="S165" s="2112"/>
      <c r="T165" s="2112"/>
      <c r="U165" s="2112"/>
      <c r="V165" s="2112"/>
      <c r="W165" s="2112"/>
      <c r="X165" s="2112"/>
      <c r="Y165" s="2112"/>
    </row>
    <row r="166" spans="1:25">
      <c r="A166" s="2112"/>
      <c r="B166" s="2112"/>
      <c r="C166" s="2112"/>
      <c r="D166" s="2112"/>
      <c r="E166" s="682"/>
      <c r="F166" s="685"/>
      <c r="G166" s="2112"/>
      <c r="H166" s="2112"/>
      <c r="I166" s="703"/>
      <c r="J166" s="703"/>
      <c r="K166" s="2112"/>
      <c r="L166" s="2112"/>
      <c r="M166" s="2112"/>
      <c r="N166" s="682"/>
      <c r="O166" s="685"/>
      <c r="P166" s="2112"/>
      <c r="Q166" s="2112"/>
      <c r="R166" s="2112"/>
      <c r="S166" s="2112"/>
      <c r="T166" s="2112"/>
      <c r="U166" s="2112"/>
      <c r="V166" s="2112"/>
      <c r="W166" s="2112"/>
      <c r="X166" s="2112"/>
      <c r="Y166" s="2112"/>
    </row>
    <row r="167" spans="1:25">
      <c r="A167" s="2112"/>
      <c r="B167" s="2112"/>
      <c r="C167" s="2112"/>
      <c r="D167" s="2112"/>
      <c r="E167" s="682"/>
      <c r="F167" s="685"/>
      <c r="G167" s="2112"/>
      <c r="H167" s="2112"/>
      <c r="I167" s="703"/>
      <c r="J167" s="703"/>
      <c r="K167" s="2112"/>
      <c r="L167" s="2112"/>
      <c r="M167" s="2112"/>
      <c r="N167" s="682"/>
      <c r="O167" s="685"/>
      <c r="P167" s="2112"/>
      <c r="Q167" s="2112"/>
      <c r="R167" s="2112"/>
      <c r="S167" s="2112"/>
      <c r="T167" s="2112"/>
      <c r="U167" s="2112"/>
      <c r="V167" s="2112"/>
      <c r="W167" s="2112"/>
      <c r="X167" s="2112"/>
      <c r="Y167" s="2112"/>
    </row>
    <row r="168" spans="1:25">
      <c r="A168" s="2112"/>
      <c r="B168" s="2112"/>
      <c r="C168" s="2112"/>
      <c r="D168" s="2112"/>
      <c r="E168" s="682"/>
      <c r="F168" s="685"/>
      <c r="G168" s="2112"/>
      <c r="H168" s="2112"/>
      <c r="I168" s="703"/>
      <c r="J168" s="703"/>
      <c r="K168" s="2112"/>
      <c r="L168" s="2112"/>
      <c r="M168" s="2112"/>
      <c r="N168" s="682"/>
      <c r="O168" s="685"/>
      <c r="P168" s="2112"/>
      <c r="Q168" s="2112"/>
      <c r="R168" s="2112"/>
      <c r="S168" s="2112"/>
      <c r="T168" s="2112"/>
      <c r="U168" s="2112"/>
      <c r="V168" s="2112"/>
      <c r="W168" s="2112"/>
      <c r="X168" s="2112"/>
      <c r="Y168" s="2112"/>
    </row>
    <row r="169" spans="1:25">
      <c r="A169" s="2112"/>
      <c r="B169" s="2112"/>
      <c r="C169" s="2112"/>
      <c r="D169" s="2112"/>
      <c r="E169" s="682"/>
      <c r="F169" s="685"/>
      <c r="G169" s="2112"/>
      <c r="H169" s="2112"/>
      <c r="I169" s="703"/>
      <c r="J169" s="703"/>
      <c r="K169" s="2112"/>
      <c r="L169" s="2112"/>
      <c r="M169" s="2112"/>
      <c r="N169" s="682"/>
      <c r="O169" s="685"/>
      <c r="P169" s="2112"/>
      <c r="Q169" s="2112"/>
      <c r="R169" s="2112"/>
      <c r="S169" s="2112"/>
      <c r="T169" s="2112"/>
      <c r="U169" s="2112"/>
      <c r="V169" s="2112"/>
      <c r="W169" s="2112"/>
      <c r="X169" s="2112"/>
      <c r="Y169" s="2112"/>
    </row>
    <row r="170" spans="1:25">
      <c r="A170" s="2112"/>
      <c r="B170" s="2112"/>
      <c r="C170" s="2112"/>
      <c r="D170" s="2112"/>
      <c r="E170" s="682"/>
      <c r="F170" s="685"/>
      <c r="G170" s="2112"/>
      <c r="H170" s="2112"/>
      <c r="I170" s="703"/>
      <c r="J170" s="703"/>
      <c r="K170" s="2112"/>
      <c r="L170" s="2112"/>
      <c r="M170" s="2112"/>
      <c r="N170" s="682"/>
      <c r="O170" s="685"/>
      <c r="P170" s="2112"/>
      <c r="Q170" s="2112"/>
      <c r="R170" s="2112"/>
      <c r="S170" s="2112"/>
      <c r="T170" s="2112"/>
      <c r="U170" s="2112"/>
      <c r="V170" s="2112"/>
      <c r="W170" s="2112"/>
      <c r="X170" s="2112"/>
      <c r="Y170" s="2112"/>
    </row>
    <row r="171" spans="1:25">
      <c r="A171" s="2112"/>
      <c r="B171" s="2112"/>
      <c r="C171" s="2112"/>
      <c r="D171" s="2112"/>
      <c r="E171" s="682"/>
      <c r="F171" s="685"/>
      <c r="G171" s="2112"/>
      <c r="H171" s="2112"/>
      <c r="I171" s="703"/>
      <c r="J171" s="703"/>
      <c r="K171" s="2112"/>
      <c r="L171" s="2112"/>
      <c r="M171" s="2112"/>
      <c r="N171" s="682"/>
      <c r="O171" s="685"/>
      <c r="P171" s="2112"/>
      <c r="Q171" s="2112"/>
      <c r="R171" s="2112"/>
      <c r="S171" s="2112"/>
      <c r="T171" s="2112"/>
      <c r="U171" s="2112"/>
      <c r="V171" s="2112"/>
      <c r="W171" s="2112"/>
      <c r="X171" s="2112"/>
      <c r="Y171" s="2112"/>
    </row>
    <row r="172" spans="1:25">
      <c r="A172" s="2112"/>
      <c r="B172" s="2112"/>
      <c r="C172" s="2112"/>
      <c r="D172" s="2112"/>
      <c r="E172" s="682"/>
      <c r="F172" s="685"/>
      <c r="G172" s="2112"/>
      <c r="H172" s="2112"/>
      <c r="I172" s="703"/>
      <c r="J172" s="703"/>
      <c r="K172" s="2112"/>
      <c r="L172" s="2112"/>
      <c r="M172" s="2112"/>
      <c r="N172" s="682"/>
      <c r="O172" s="685"/>
      <c r="P172" s="2112"/>
      <c r="Q172" s="2112"/>
      <c r="R172" s="2112"/>
      <c r="S172" s="2112"/>
      <c r="T172" s="2112"/>
      <c r="U172" s="2112"/>
      <c r="V172" s="2112"/>
      <c r="W172" s="2112"/>
      <c r="X172" s="2112"/>
      <c r="Y172" s="2112"/>
    </row>
    <row r="173" spans="1:25">
      <c r="A173" s="2112"/>
      <c r="B173" s="2112"/>
      <c r="C173" s="2112"/>
      <c r="D173" s="2112"/>
      <c r="E173" s="682"/>
      <c r="F173" s="685"/>
      <c r="G173" s="2112"/>
      <c r="H173" s="2112"/>
      <c r="I173" s="703"/>
      <c r="J173" s="703"/>
      <c r="K173" s="2112"/>
      <c r="L173" s="2112"/>
      <c r="M173" s="2112"/>
      <c r="N173" s="682"/>
      <c r="O173" s="685"/>
      <c r="P173" s="2112"/>
      <c r="Q173" s="2112"/>
      <c r="R173" s="2112"/>
      <c r="S173" s="2112"/>
      <c r="T173" s="2112"/>
      <c r="U173" s="2112"/>
      <c r="V173" s="2112"/>
      <c r="W173" s="2112"/>
      <c r="X173" s="2112"/>
      <c r="Y173" s="2112"/>
    </row>
    <row r="174" spans="1:25">
      <c r="A174" s="2112"/>
      <c r="B174" s="2112"/>
      <c r="C174" s="2112"/>
      <c r="D174" s="2112"/>
      <c r="E174" s="682"/>
      <c r="F174" s="685"/>
      <c r="G174" s="2112"/>
      <c r="H174" s="2112"/>
      <c r="I174" s="703"/>
      <c r="J174" s="703"/>
      <c r="K174" s="2112"/>
      <c r="L174" s="2112"/>
      <c r="M174" s="2112"/>
      <c r="N174" s="682"/>
      <c r="O174" s="685"/>
      <c r="P174" s="2112"/>
      <c r="Q174" s="2112"/>
      <c r="R174" s="2112"/>
      <c r="S174" s="2112"/>
      <c r="T174" s="2112"/>
      <c r="U174" s="2112"/>
      <c r="V174" s="2112"/>
      <c r="W174" s="2112"/>
      <c r="X174" s="2112"/>
      <c r="Y174" s="2112"/>
    </row>
    <row r="175" spans="1:25">
      <c r="A175" s="2112"/>
      <c r="B175" s="2112"/>
      <c r="C175" s="2112"/>
      <c r="D175" s="2112"/>
      <c r="E175" s="682"/>
      <c r="F175" s="685"/>
      <c r="G175" s="2112"/>
      <c r="H175" s="2112"/>
      <c r="I175" s="703"/>
      <c r="J175" s="703"/>
      <c r="K175" s="2112"/>
      <c r="L175" s="2112"/>
      <c r="M175" s="2112"/>
      <c r="N175" s="682"/>
      <c r="O175" s="685"/>
      <c r="P175" s="2112"/>
      <c r="Q175" s="2112"/>
      <c r="R175" s="2112"/>
      <c r="S175" s="2112"/>
      <c r="T175" s="2112"/>
      <c r="U175" s="2112"/>
      <c r="V175" s="2112"/>
      <c r="W175" s="2112"/>
      <c r="X175" s="2112"/>
      <c r="Y175" s="2112"/>
    </row>
    <row r="176" spans="1:25">
      <c r="A176" s="2112"/>
      <c r="B176" s="2112"/>
      <c r="C176" s="2112"/>
      <c r="D176" s="2112"/>
      <c r="E176" s="682"/>
      <c r="F176" s="685"/>
      <c r="G176" s="2112"/>
      <c r="H176" s="2112"/>
      <c r="I176" s="703"/>
      <c r="J176" s="703"/>
      <c r="K176" s="2112"/>
      <c r="L176" s="2112"/>
      <c r="M176" s="2112"/>
      <c r="N176" s="682"/>
      <c r="O176" s="685"/>
      <c r="P176" s="2112"/>
      <c r="Q176" s="2112"/>
      <c r="R176" s="2112"/>
      <c r="S176" s="2112"/>
      <c r="T176" s="2112"/>
      <c r="U176" s="2112"/>
      <c r="V176" s="2112"/>
      <c r="W176" s="2112"/>
      <c r="X176" s="2112"/>
      <c r="Y176" s="2112"/>
    </row>
    <row r="177" spans="1:25">
      <c r="A177" s="2112"/>
      <c r="B177" s="2112"/>
      <c r="C177" s="2112"/>
      <c r="D177" s="2112"/>
      <c r="E177" s="682"/>
      <c r="F177" s="685"/>
      <c r="G177" s="2112"/>
      <c r="H177" s="2112"/>
      <c r="I177" s="703"/>
      <c r="J177" s="703"/>
      <c r="K177" s="2112"/>
      <c r="L177" s="2112"/>
      <c r="M177" s="2112"/>
      <c r="N177" s="682"/>
      <c r="O177" s="685"/>
      <c r="P177" s="2112"/>
      <c r="Q177" s="2112"/>
      <c r="R177" s="2112"/>
      <c r="S177" s="2112"/>
      <c r="T177" s="2112"/>
      <c r="U177" s="2112"/>
      <c r="V177" s="2112"/>
      <c r="W177" s="2112"/>
      <c r="X177" s="2112"/>
      <c r="Y177" s="2112"/>
    </row>
    <row r="178" spans="1:25">
      <c r="A178" s="2112"/>
      <c r="B178" s="2112"/>
      <c r="C178" s="2112"/>
      <c r="D178" s="2112"/>
      <c r="E178" s="682"/>
      <c r="F178" s="685"/>
      <c r="G178" s="2112"/>
      <c r="H178" s="2112"/>
      <c r="I178" s="703"/>
      <c r="J178" s="703"/>
      <c r="K178" s="2112"/>
      <c r="L178" s="2112"/>
      <c r="M178" s="2112"/>
      <c r="N178" s="682"/>
      <c r="O178" s="685"/>
      <c r="P178" s="2112"/>
      <c r="Q178" s="2112"/>
      <c r="R178" s="2112"/>
      <c r="S178" s="2112"/>
      <c r="T178" s="2112"/>
      <c r="U178" s="2112"/>
      <c r="V178" s="2112"/>
      <c r="W178" s="2112"/>
      <c r="X178" s="2112"/>
      <c r="Y178" s="2112"/>
    </row>
    <row r="179" spans="1:25">
      <c r="A179" s="2112"/>
      <c r="B179" s="2112"/>
      <c r="C179" s="2112"/>
      <c r="D179" s="2112"/>
      <c r="E179" s="682"/>
      <c r="F179" s="685"/>
      <c r="G179" s="2112"/>
      <c r="H179" s="2112"/>
      <c r="I179" s="703"/>
      <c r="J179" s="703"/>
      <c r="K179" s="2112"/>
      <c r="L179" s="2112"/>
      <c r="M179" s="2112"/>
      <c r="N179" s="682"/>
      <c r="O179" s="685"/>
      <c r="P179" s="2112"/>
      <c r="Q179" s="2112"/>
      <c r="R179" s="2112"/>
      <c r="S179" s="2112"/>
      <c r="T179" s="2112"/>
      <c r="U179" s="2112"/>
      <c r="V179" s="2112"/>
      <c r="W179" s="2112"/>
      <c r="X179" s="2112"/>
      <c r="Y179" s="2112"/>
    </row>
    <row r="180" spans="1:25">
      <c r="A180" s="2112"/>
      <c r="B180" s="2112"/>
      <c r="C180" s="2112"/>
      <c r="D180" s="2112"/>
      <c r="E180" s="682"/>
      <c r="F180" s="685"/>
      <c r="G180" s="2112"/>
      <c r="H180" s="2112"/>
      <c r="I180" s="703"/>
      <c r="J180" s="703"/>
      <c r="K180" s="2112"/>
      <c r="L180" s="2112"/>
      <c r="M180" s="2112"/>
      <c r="N180" s="682"/>
      <c r="O180" s="685"/>
      <c r="P180" s="2112"/>
      <c r="Q180" s="2112"/>
      <c r="R180" s="2112"/>
      <c r="S180" s="2112"/>
      <c r="T180" s="2112"/>
      <c r="U180" s="2112"/>
      <c r="V180" s="2112"/>
      <c r="W180" s="2112"/>
      <c r="X180" s="2112"/>
      <c r="Y180" s="2112"/>
    </row>
    <row r="181" spans="1:25">
      <c r="A181" s="2112"/>
      <c r="B181" s="2112"/>
      <c r="C181" s="2112"/>
      <c r="D181" s="2112"/>
      <c r="E181" s="682"/>
      <c r="F181" s="685"/>
      <c r="G181" s="2112"/>
      <c r="H181" s="2112"/>
      <c r="I181" s="703"/>
      <c r="J181" s="703"/>
      <c r="K181" s="2112"/>
      <c r="L181" s="2112"/>
      <c r="M181" s="2112"/>
      <c r="N181" s="682"/>
      <c r="O181" s="685"/>
      <c r="P181" s="2112"/>
      <c r="Q181" s="2112"/>
      <c r="R181" s="2112"/>
      <c r="S181" s="2112"/>
      <c r="T181" s="2112"/>
      <c r="U181" s="2112"/>
      <c r="V181" s="2112"/>
      <c r="W181" s="2112"/>
      <c r="X181" s="2112"/>
      <c r="Y181" s="2112"/>
    </row>
    <row r="182" spans="1:25">
      <c r="A182" s="2112"/>
      <c r="B182" s="2112"/>
      <c r="C182" s="2112"/>
      <c r="D182" s="2112"/>
      <c r="E182" s="682"/>
      <c r="F182" s="685"/>
      <c r="G182" s="2112"/>
      <c r="H182" s="2112"/>
      <c r="I182" s="703"/>
      <c r="J182" s="703"/>
      <c r="K182" s="2112"/>
      <c r="L182" s="2112"/>
      <c r="M182" s="2112"/>
      <c r="N182" s="682"/>
      <c r="O182" s="685"/>
      <c r="P182" s="2112"/>
      <c r="Q182" s="2112"/>
      <c r="R182" s="2112"/>
      <c r="S182" s="2112"/>
      <c r="T182" s="2112"/>
      <c r="U182" s="2112"/>
      <c r="V182" s="2112"/>
      <c r="W182" s="2112"/>
      <c r="X182" s="2112"/>
      <c r="Y182" s="2112"/>
    </row>
    <row r="183" spans="1:25">
      <c r="A183" s="2112"/>
      <c r="B183" s="2112"/>
      <c r="C183" s="2112"/>
      <c r="D183" s="2112"/>
      <c r="E183" s="682"/>
      <c r="F183" s="685"/>
      <c r="G183" s="2112"/>
      <c r="H183" s="2112"/>
      <c r="I183" s="703"/>
      <c r="J183" s="703"/>
      <c r="K183" s="2112"/>
      <c r="L183" s="2112"/>
      <c r="M183" s="2112"/>
      <c r="N183" s="682"/>
      <c r="O183" s="685"/>
      <c r="P183" s="2112"/>
      <c r="Q183" s="2112"/>
      <c r="R183" s="2112"/>
      <c r="S183" s="2112"/>
      <c r="T183" s="2112"/>
      <c r="U183" s="2112"/>
      <c r="V183" s="2112"/>
      <c r="W183" s="2112"/>
      <c r="X183" s="2112"/>
      <c r="Y183" s="2112"/>
    </row>
    <row r="184" spans="1:25">
      <c r="A184" s="2112"/>
      <c r="B184" s="2112"/>
      <c r="C184" s="2112"/>
      <c r="D184" s="2112"/>
      <c r="E184" s="682"/>
      <c r="F184" s="685"/>
      <c r="G184" s="2112"/>
      <c r="H184" s="2112"/>
      <c r="I184" s="703"/>
      <c r="J184" s="703"/>
      <c r="K184" s="2112"/>
      <c r="L184" s="2112"/>
      <c r="M184" s="2112"/>
      <c r="N184" s="682"/>
      <c r="O184" s="685"/>
      <c r="P184" s="2112"/>
      <c r="Q184" s="2112"/>
      <c r="R184" s="2112"/>
      <c r="S184" s="2112"/>
      <c r="T184" s="2112"/>
      <c r="U184" s="2112"/>
      <c r="V184" s="2112"/>
      <c r="W184" s="2112"/>
      <c r="X184" s="2112"/>
      <c r="Y184" s="2112"/>
    </row>
    <row r="185" spans="1:25">
      <c r="A185" s="2112"/>
      <c r="B185" s="2112"/>
      <c r="C185" s="2112"/>
      <c r="D185" s="2112"/>
      <c r="E185" s="682"/>
      <c r="F185" s="685"/>
      <c r="G185" s="2112"/>
      <c r="H185" s="2112"/>
      <c r="I185" s="703"/>
      <c r="J185" s="703"/>
      <c r="K185" s="2112"/>
      <c r="L185" s="2112"/>
      <c r="M185" s="2112"/>
      <c r="N185" s="682"/>
      <c r="O185" s="685"/>
      <c r="P185" s="2112"/>
      <c r="Q185" s="2112"/>
      <c r="R185" s="2112"/>
      <c r="S185" s="2112"/>
      <c r="T185" s="2112"/>
      <c r="U185" s="2112"/>
      <c r="V185" s="2112"/>
      <c r="W185" s="2112"/>
      <c r="X185" s="2112"/>
      <c r="Y185" s="2112"/>
    </row>
    <row r="186" spans="1:25">
      <c r="A186" s="2112"/>
      <c r="B186" s="2112"/>
      <c r="C186" s="2112"/>
      <c r="D186" s="2112"/>
      <c r="E186" s="682"/>
      <c r="F186" s="685"/>
      <c r="G186" s="2112"/>
      <c r="H186" s="2112"/>
      <c r="I186" s="703"/>
      <c r="J186" s="703"/>
      <c r="K186" s="2112"/>
      <c r="L186" s="2112"/>
      <c r="M186" s="2112"/>
      <c r="N186" s="682"/>
      <c r="O186" s="685"/>
      <c r="P186" s="2112"/>
      <c r="Q186" s="2112"/>
      <c r="R186" s="2112"/>
      <c r="S186" s="2112"/>
      <c r="T186" s="2112"/>
      <c r="U186" s="2112"/>
      <c r="V186" s="2112"/>
      <c r="W186" s="2112"/>
      <c r="X186" s="2112"/>
      <c r="Y186" s="2112"/>
    </row>
    <row r="187" spans="1:25">
      <c r="A187" s="2112"/>
      <c r="B187" s="2112"/>
      <c r="C187" s="2112"/>
      <c r="D187" s="2112"/>
      <c r="E187" s="682"/>
      <c r="F187" s="685"/>
      <c r="G187" s="2112"/>
      <c r="H187" s="2112"/>
      <c r="I187" s="703"/>
      <c r="J187" s="703"/>
      <c r="K187" s="2112"/>
      <c r="L187" s="2112"/>
      <c r="M187" s="2112"/>
      <c r="N187" s="682"/>
      <c r="O187" s="685"/>
      <c r="P187" s="2112"/>
      <c r="Q187" s="2112"/>
      <c r="R187" s="2112"/>
      <c r="S187" s="2112"/>
      <c r="T187" s="2112"/>
      <c r="U187" s="2112"/>
      <c r="V187" s="2112"/>
      <c r="W187" s="2112"/>
      <c r="X187" s="2112"/>
      <c r="Y187" s="2112"/>
    </row>
    <row r="188" spans="1:25">
      <c r="A188" s="2112"/>
      <c r="B188" s="2112"/>
      <c r="C188" s="2112"/>
      <c r="D188" s="2112"/>
      <c r="E188" s="682"/>
      <c r="F188" s="685"/>
      <c r="G188" s="2112"/>
      <c r="H188" s="2112"/>
      <c r="I188" s="703"/>
      <c r="J188" s="703"/>
      <c r="K188" s="2112"/>
      <c r="L188" s="2112"/>
      <c r="M188" s="2112"/>
      <c r="N188" s="682"/>
      <c r="O188" s="685"/>
      <c r="P188" s="2112"/>
      <c r="Q188" s="2112"/>
      <c r="R188" s="2112"/>
      <c r="S188" s="2112"/>
      <c r="T188" s="2112"/>
      <c r="U188" s="2112"/>
      <c r="V188" s="2112"/>
      <c r="W188" s="2112"/>
      <c r="X188" s="2112"/>
      <c r="Y188" s="2112"/>
    </row>
    <row r="189" spans="1:25">
      <c r="A189" s="2112"/>
      <c r="B189" s="2112"/>
      <c r="C189" s="2112"/>
      <c r="D189" s="2112"/>
      <c r="E189" s="682"/>
      <c r="F189" s="685"/>
      <c r="G189" s="2112"/>
      <c r="H189" s="2112"/>
      <c r="I189" s="703"/>
      <c r="J189" s="703"/>
      <c r="K189" s="2112"/>
      <c r="L189" s="2112"/>
      <c r="M189" s="2112"/>
      <c r="N189" s="682"/>
      <c r="O189" s="685"/>
      <c r="P189" s="2112"/>
      <c r="Q189" s="2112"/>
      <c r="R189" s="2112"/>
      <c r="S189" s="2112"/>
      <c r="T189" s="2112"/>
      <c r="U189" s="2112"/>
      <c r="V189" s="2112"/>
      <c r="W189" s="2112"/>
      <c r="X189" s="2112"/>
      <c r="Y189" s="2112"/>
    </row>
    <row r="190" spans="1:25">
      <c r="A190" s="2112"/>
      <c r="B190" s="2112"/>
      <c r="C190" s="2112"/>
      <c r="D190" s="2112"/>
      <c r="E190" s="682"/>
      <c r="F190" s="685"/>
      <c r="G190" s="2112"/>
      <c r="H190" s="2112"/>
      <c r="I190" s="703"/>
      <c r="J190" s="703"/>
      <c r="K190" s="2112"/>
      <c r="L190" s="2112"/>
      <c r="M190" s="2112"/>
      <c r="N190" s="682"/>
      <c r="O190" s="685"/>
      <c r="P190" s="2112"/>
      <c r="Q190" s="2112"/>
      <c r="R190" s="2112"/>
      <c r="S190" s="2112"/>
      <c r="T190" s="2112"/>
      <c r="U190" s="2112"/>
      <c r="V190" s="2112"/>
      <c r="W190" s="2112"/>
      <c r="X190" s="2112"/>
      <c r="Y190" s="2112"/>
    </row>
    <row r="191" spans="1:25">
      <c r="A191" s="2112"/>
      <c r="B191" s="2112"/>
      <c r="C191" s="2112"/>
      <c r="D191" s="2112"/>
      <c r="E191" s="682"/>
      <c r="F191" s="685"/>
      <c r="G191" s="2112"/>
      <c r="H191" s="2112"/>
      <c r="I191" s="703"/>
      <c r="J191" s="703"/>
      <c r="K191" s="2112"/>
      <c r="L191" s="2112"/>
      <c r="M191" s="2112"/>
      <c r="N191" s="682"/>
      <c r="O191" s="685"/>
      <c r="P191" s="2112"/>
      <c r="Q191" s="2112"/>
      <c r="R191" s="2112"/>
      <c r="S191" s="2112"/>
      <c r="T191" s="2112"/>
      <c r="U191" s="2112"/>
      <c r="V191" s="2112"/>
      <c r="W191" s="2112"/>
      <c r="X191" s="2112"/>
      <c r="Y191" s="2112"/>
    </row>
    <row r="192" spans="1:25">
      <c r="A192" s="2112"/>
      <c r="B192" s="2112"/>
      <c r="C192" s="2112"/>
      <c r="D192" s="2112"/>
      <c r="E192" s="682"/>
      <c r="F192" s="685"/>
      <c r="G192" s="2112"/>
      <c r="H192" s="2112"/>
      <c r="I192" s="703"/>
      <c r="J192" s="703"/>
      <c r="K192" s="2112"/>
      <c r="L192" s="2112"/>
      <c r="M192" s="2112"/>
      <c r="N192" s="682"/>
      <c r="O192" s="685"/>
      <c r="P192" s="2112"/>
      <c r="Q192" s="2112"/>
      <c r="R192" s="2112"/>
      <c r="S192" s="2112"/>
      <c r="T192" s="2112"/>
      <c r="U192" s="2112"/>
      <c r="V192" s="2112"/>
      <c r="W192" s="2112"/>
      <c r="X192" s="2112"/>
      <c r="Y192" s="2112"/>
    </row>
    <row r="193" spans="1:25">
      <c r="A193" s="2112"/>
      <c r="B193" s="2112"/>
      <c r="C193" s="2112"/>
      <c r="D193" s="2112"/>
      <c r="E193" s="682"/>
      <c r="F193" s="685"/>
      <c r="G193" s="2112"/>
      <c r="H193" s="2112"/>
      <c r="I193" s="703"/>
      <c r="J193" s="703"/>
      <c r="K193" s="2112"/>
      <c r="L193" s="2112"/>
      <c r="M193" s="2112"/>
      <c r="N193" s="682"/>
      <c r="O193" s="685"/>
      <c r="P193" s="2112"/>
      <c r="Q193" s="2112"/>
      <c r="R193" s="2112"/>
      <c r="S193" s="2112"/>
      <c r="T193" s="2112"/>
      <c r="U193" s="2112"/>
      <c r="V193" s="2112"/>
      <c r="W193" s="2112"/>
      <c r="X193" s="2112"/>
      <c r="Y193" s="2112"/>
    </row>
    <row r="194" spans="1:25">
      <c r="A194" s="2112"/>
      <c r="B194" s="2112"/>
      <c r="C194" s="2112"/>
      <c r="D194" s="2112"/>
      <c r="E194" s="682"/>
      <c r="F194" s="685"/>
      <c r="G194" s="2112"/>
      <c r="H194" s="2112"/>
      <c r="I194" s="703"/>
      <c r="J194" s="703"/>
      <c r="K194" s="2112"/>
      <c r="L194" s="2112"/>
      <c r="M194" s="2112"/>
      <c r="N194" s="682"/>
      <c r="O194" s="685"/>
      <c r="P194" s="2112"/>
      <c r="Q194" s="2112"/>
      <c r="R194" s="2112"/>
      <c r="S194" s="2112"/>
      <c r="T194" s="2112"/>
      <c r="U194" s="2112"/>
      <c r="V194" s="2112"/>
      <c r="W194" s="2112"/>
      <c r="X194" s="2112"/>
      <c r="Y194" s="2112"/>
    </row>
    <row r="195" spans="1:25">
      <c r="A195" s="2112"/>
      <c r="B195" s="2112"/>
      <c r="C195" s="2112"/>
      <c r="D195" s="2112"/>
      <c r="E195" s="682"/>
      <c r="F195" s="685"/>
      <c r="G195" s="2112"/>
      <c r="H195" s="2112"/>
      <c r="I195" s="703"/>
      <c r="J195" s="703"/>
      <c r="K195" s="2112"/>
      <c r="L195" s="2112"/>
      <c r="M195" s="2112"/>
      <c r="N195" s="682"/>
      <c r="O195" s="685"/>
      <c r="P195" s="2112"/>
      <c r="Q195" s="2112"/>
      <c r="R195" s="2112"/>
      <c r="S195" s="2112"/>
      <c r="T195" s="2112"/>
      <c r="U195" s="2112"/>
      <c r="V195" s="2112"/>
      <c r="W195" s="2112"/>
      <c r="X195" s="2112"/>
      <c r="Y195" s="2112"/>
    </row>
    <row r="196" spans="1:25">
      <c r="A196" s="2112"/>
      <c r="B196" s="2112"/>
      <c r="C196" s="2112"/>
      <c r="D196" s="2112"/>
      <c r="E196" s="682"/>
      <c r="F196" s="685"/>
      <c r="G196" s="2112"/>
      <c r="H196" s="2112"/>
      <c r="I196" s="703"/>
      <c r="J196" s="703"/>
      <c r="K196" s="2112"/>
      <c r="L196" s="2112"/>
      <c r="M196" s="2112"/>
      <c r="N196" s="682"/>
      <c r="O196" s="685"/>
      <c r="P196" s="2112"/>
      <c r="Q196" s="2112"/>
      <c r="R196" s="2112"/>
      <c r="S196" s="2112"/>
      <c r="T196" s="2112"/>
      <c r="U196" s="2112"/>
      <c r="V196" s="2112"/>
      <c r="W196" s="2112"/>
      <c r="X196" s="2112"/>
      <c r="Y196" s="2112"/>
    </row>
    <row r="197" spans="1:25">
      <c r="A197" s="2112"/>
      <c r="B197" s="2112"/>
      <c r="C197" s="2112"/>
      <c r="D197" s="2112"/>
      <c r="E197" s="682"/>
      <c r="F197" s="685"/>
      <c r="G197" s="2112"/>
      <c r="H197" s="2112"/>
      <c r="I197" s="703"/>
      <c r="J197" s="703"/>
      <c r="K197" s="2112"/>
      <c r="L197" s="2112"/>
      <c r="M197" s="2112"/>
      <c r="N197" s="682"/>
      <c r="O197" s="685"/>
      <c r="P197" s="2112"/>
      <c r="Q197" s="2112"/>
      <c r="R197" s="2112"/>
      <c r="S197" s="2112"/>
      <c r="T197" s="2112"/>
      <c r="U197" s="2112"/>
      <c r="V197" s="2112"/>
      <c r="W197" s="2112"/>
      <c r="X197" s="2112"/>
      <c r="Y197" s="2112"/>
    </row>
    <row r="198" spans="1:25">
      <c r="A198" s="2112"/>
      <c r="B198" s="2112"/>
      <c r="C198" s="2112"/>
      <c r="D198" s="2112"/>
      <c r="E198" s="682"/>
      <c r="F198" s="685"/>
      <c r="G198" s="2112"/>
      <c r="H198" s="2112"/>
      <c r="I198" s="703"/>
      <c r="J198" s="703"/>
      <c r="K198" s="2112"/>
      <c r="L198" s="2112"/>
      <c r="M198" s="2112"/>
      <c r="N198" s="682"/>
      <c r="O198" s="685"/>
      <c r="P198" s="2112"/>
      <c r="Q198" s="2112"/>
      <c r="R198" s="2112"/>
      <c r="S198" s="2112"/>
      <c r="T198" s="2112"/>
      <c r="U198" s="2112"/>
      <c r="V198" s="2112"/>
      <c r="W198" s="2112"/>
      <c r="X198" s="2112"/>
      <c r="Y198" s="2112"/>
    </row>
    <row r="199" spans="1:25">
      <c r="A199" s="2112"/>
      <c r="B199" s="2112"/>
      <c r="C199" s="2112"/>
      <c r="D199" s="2112"/>
      <c r="E199" s="682"/>
      <c r="F199" s="685"/>
      <c r="G199" s="2112"/>
      <c r="H199" s="2112"/>
      <c r="I199" s="703"/>
      <c r="J199" s="703"/>
      <c r="K199" s="2112"/>
      <c r="L199" s="2112"/>
      <c r="M199" s="2112"/>
      <c r="N199" s="682"/>
      <c r="O199" s="685"/>
      <c r="P199" s="2112"/>
      <c r="Q199" s="2112"/>
      <c r="R199" s="2112"/>
      <c r="S199" s="2112"/>
      <c r="T199" s="2112"/>
      <c r="U199" s="2112"/>
      <c r="V199" s="2112"/>
      <c r="W199" s="2112"/>
      <c r="X199" s="2112"/>
      <c r="Y199" s="2112"/>
    </row>
    <row r="200" spans="1:25">
      <c r="A200" s="2112"/>
      <c r="B200" s="2112"/>
      <c r="C200" s="2112"/>
      <c r="D200" s="2112"/>
      <c r="E200" s="682"/>
      <c r="F200" s="685"/>
      <c r="G200" s="2112"/>
      <c r="H200" s="2112"/>
      <c r="I200" s="703"/>
      <c r="J200" s="703"/>
      <c r="K200" s="2112"/>
      <c r="L200" s="2112"/>
      <c r="M200" s="2112"/>
      <c r="N200" s="682"/>
      <c r="O200" s="685"/>
      <c r="P200" s="2112"/>
      <c r="Q200" s="2112"/>
      <c r="R200" s="2112"/>
      <c r="S200" s="2112"/>
      <c r="T200" s="2112"/>
      <c r="U200" s="2112"/>
      <c r="V200" s="2112"/>
      <c r="W200" s="2112"/>
      <c r="X200" s="2112"/>
      <c r="Y200" s="2112"/>
    </row>
    <row r="201" spans="1:25">
      <c r="A201" s="2112"/>
      <c r="B201" s="2112"/>
      <c r="C201" s="2112"/>
      <c r="D201" s="2112"/>
      <c r="E201" s="682"/>
      <c r="F201" s="685"/>
      <c r="G201" s="2112"/>
      <c r="H201" s="2112"/>
      <c r="I201" s="703"/>
      <c r="J201" s="703"/>
      <c r="K201" s="2112"/>
      <c r="L201" s="2112"/>
      <c r="M201" s="2112"/>
      <c r="N201" s="682"/>
      <c r="O201" s="685"/>
      <c r="P201" s="2112"/>
      <c r="Q201" s="2112"/>
      <c r="R201" s="2112"/>
      <c r="S201" s="2112"/>
      <c r="T201" s="2112"/>
      <c r="U201" s="2112"/>
      <c r="V201" s="2112"/>
      <c r="W201" s="2112"/>
      <c r="X201" s="2112"/>
      <c r="Y201" s="2112"/>
    </row>
    <row r="202" spans="1:25">
      <c r="A202" s="2112"/>
      <c r="B202" s="2112"/>
      <c r="C202" s="2112"/>
      <c r="D202" s="2112"/>
      <c r="E202" s="682"/>
      <c r="F202" s="685"/>
      <c r="G202" s="2112"/>
      <c r="H202" s="2112"/>
      <c r="I202" s="703"/>
      <c r="J202" s="703"/>
      <c r="K202" s="2112"/>
      <c r="L202" s="2112"/>
      <c r="M202" s="2112"/>
      <c r="N202" s="682"/>
      <c r="O202" s="685"/>
      <c r="P202" s="2112"/>
      <c r="Q202" s="2112"/>
      <c r="R202" s="2112"/>
      <c r="S202" s="2112"/>
      <c r="T202" s="2112"/>
      <c r="U202" s="2112"/>
      <c r="V202" s="2112"/>
      <c r="W202" s="2112"/>
      <c r="X202" s="2112"/>
      <c r="Y202" s="2112"/>
    </row>
    <row r="203" spans="1:25">
      <c r="A203" s="2112"/>
      <c r="B203" s="2112"/>
      <c r="C203" s="2112"/>
      <c r="D203" s="2112"/>
      <c r="E203" s="682"/>
      <c r="F203" s="685"/>
      <c r="G203" s="2112"/>
      <c r="H203" s="2112"/>
      <c r="I203" s="703"/>
      <c r="J203" s="703"/>
      <c r="K203" s="2112"/>
      <c r="L203" s="2112"/>
      <c r="M203" s="2112"/>
      <c r="N203" s="682"/>
      <c r="O203" s="685"/>
      <c r="P203" s="2112"/>
      <c r="Q203" s="2112"/>
      <c r="R203" s="2112"/>
      <c r="S203" s="2112"/>
      <c r="T203" s="2112"/>
      <c r="U203" s="2112"/>
      <c r="V203" s="2112"/>
      <c r="W203" s="2112"/>
      <c r="X203" s="2112"/>
      <c r="Y203" s="2112"/>
    </row>
    <row r="204" spans="1:25">
      <c r="A204" s="2112"/>
      <c r="B204" s="2112"/>
      <c r="C204" s="2112"/>
      <c r="D204" s="2112"/>
      <c r="E204" s="682"/>
      <c r="F204" s="685"/>
      <c r="G204" s="2112"/>
      <c r="H204" s="2112"/>
      <c r="I204" s="703"/>
      <c r="J204" s="703"/>
      <c r="K204" s="2112"/>
      <c r="L204" s="2112"/>
      <c r="M204" s="2112"/>
      <c r="N204" s="682"/>
      <c r="O204" s="685"/>
      <c r="P204" s="2112"/>
      <c r="Q204" s="2112"/>
      <c r="R204" s="2112"/>
      <c r="S204" s="2112"/>
      <c r="T204" s="2112"/>
      <c r="U204" s="2112"/>
      <c r="V204" s="2112"/>
      <c r="W204" s="2112"/>
      <c r="X204" s="2112"/>
      <c r="Y204" s="2112"/>
    </row>
    <row r="205" spans="1:25">
      <c r="A205" s="2112"/>
      <c r="B205" s="2112"/>
      <c r="C205" s="2112"/>
      <c r="D205" s="2112"/>
      <c r="E205" s="682"/>
      <c r="F205" s="685"/>
      <c r="G205" s="2112"/>
      <c r="H205" s="2112"/>
      <c r="I205" s="703"/>
      <c r="J205" s="703"/>
      <c r="K205" s="2112"/>
      <c r="L205" s="2112"/>
      <c r="M205" s="2112"/>
      <c r="N205" s="682"/>
      <c r="O205" s="685"/>
      <c r="P205" s="2112"/>
      <c r="Q205" s="2112"/>
      <c r="R205" s="2112"/>
      <c r="S205" s="2112"/>
      <c r="T205" s="2112"/>
      <c r="U205" s="2112"/>
      <c r="V205" s="2112"/>
      <c r="W205" s="2112"/>
      <c r="X205" s="2112"/>
      <c r="Y205" s="2112"/>
    </row>
    <row r="206" spans="1:25">
      <c r="A206" s="2112"/>
      <c r="B206" s="2112"/>
      <c r="C206" s="2112"/>
      <c r="D206" s="2112"/>
      <c r="E206" s="682"/>
      <c r="F206" s="685"/>
      <c r="G206" s="2112"/>
      <c r="H206" s="2112"/>
      <c r="I206" s="703"/>
      <c r="J206" s="703"/>
      <c r="K206" s="2112"/>
      <c r="L206" s="2112"/>
      <c r="M206" s="2112"/>
      <c r="N206" s="682"/>
      <c r="O206" s="685"/>
      <c r="P206" s="2112"/>
      <c r="Q206" s="2112"/>
      <c r="R206" s="2112"/>
      <c r="S206" s="2112"/>
      <c r="T206" s="2112"/>
      <c r="U206" s="2112"/>
      <c r="V206" s="2112"/>
      <c r="W206" s="2112"/>
      <c r="X206" s="2112"/>
      <c r="Y206" s="2112"/>
    </row>
    <row r="207" spans="1:25">
      <c r="A207" s="2112"/>
      <c r="B207" s="2112"/>
      <c r="C207" s="2112"/>
      <c r="D207" s="2112"/>
      <c r="E207" s="682"/>
      <c r="F207" s="685"/>
      <c r="G207" s="2112"/>
      <c r="H207" s="2112"/>
      <c r="I207" s="703"/>
      <c r="J207" s="703"/>
      <c r="K207" s="2112"/>
      <c r="L207" s="2112"/>
      <c r="M207" s="2112"/>
      <c r="N207" s="682"/>
      <c r="O207" s="685"/>
      <c r="P207" s="2112"/>
      <c r="Q207" s="2112"/>
      <c r="R207" s="2112"/>
      <c r="S207" s="2112"/>
      <c r="T207" s="2112"/>
      <c r="U207" s="2112"/>
      <c r="V207" s="2112"/>
      <c r="W207" s="2112"/>
      <c r="X207" s="2112"/>
      <c r="Y207" s="2112"/>
    </row>
    <row r="208" spans="1:25">
      <c r="A208" s="2112"/>
      <c r="B208" s="2112"/>
      <c r="C208" s="2112"/>
      <c r="D208" s="2112"/>
      <c r="E208" s="682"/>
      <c r="F208" s="685"/>
      <c r="G208" s="2112"/>
      <c r="H208" s="2112"/>
      <c r="I208" s="703"/>
      <c r="J208" s="703"/>
      <c r="K208" s="2112"/>
      <c r="L208" s="2112"/>
      <c r="M208" s="2112"/>
      <c r="N208" s="682"/>
      <c r="O208" s="685"/>
      <c r="P208" s="2112"/>
      <c r="Q208" s="2112"/>
      <c r="R208" s="2112"/>
      <c r="S208" s="2112"/>
      <c r="T208" s="2112"/>
      <c r="U208" s="2112"/>
      <c r="V208" s="2112"/>
      <c r="W208" s="2112"/>
      <c r="X208" s="2112"/>
      <c r="Y208" s="2112"/>
    </row>
    <row r="209" spans="1:25">
      <c r="A209" s="2112"/>
      <c r="B209" s="2112"/>
      <c r="C209" s="2112"/>
      <c r="D209" s="2112"/>
      <c r="E209" s="682"/>
      <c r="F209" s="685"/>
      <c r="G209" s="2112"/>
      <c r="H209" s="2112"/>
      <c r="I209" s="703"/>
      <c r="J209" s="703"/>
      <c r="K209" s="2112"/>
      <c r="L209" s="2112"/>
      <c r="M209" s="2112"/>
      <c r="N209" s="682"/>
      <c r="O209" s="685"/>
      <c r="P209" s="2112"/>
      <c r="Q209" s="2112"/>
      <c r="R209" s="2112"/>
      <c r="S209" s="2112"/>
      <c r="T209" s="2112"/>
      <c r="U209" s="2112"/>
      <c r="V209" s="2112"/>
      <c r="W209" s="2112"/>
      <c r="X209" s="2112"/>
      <c r="Y209" s="2112"/>
    </row>
    <row r="210" spans="1:25">
      <c r="A210" s="2112"/>
      <c r="B210" s="2112"/>
      <c r="C210" s="2112"/>
      <c r="D210" s="2112"/>
      <c r="E210" s="682"/>
      <c r="F210" s="685"/>
      <c r="G210" s="2112"/>
      <c r="H210" s="2112"/>
      <c r="I210" s="703"/>
      <c r="J210" s="703"/>
      <c r="K210" s="2112"/>
      <c r="L210" s="2112"/>
      <c r="M210" s="2112"/>
      <c r="N210" s="682"/>
      <c r="O210" s="685"/>
      <c r="P210" s="2112"/>
      <c r="Q210" s="2112"/>
      <c r="R210" s="2112"/>
      <c r="S210" s="2112"/>
      <c r="T210" s="2112"/>
      <c r="U210" s="2112"/>
      <c r="V210" s="2112"/>
      <c r="W210" s="2112"/>
      <c r="X210" s="2112"/>
      <c r="Y210" s="2112"/>
    </row>
    <row r="211" spans="1:25">
      <c r="A211" s="2112"/>
      <c r="B211" s="2112"/>
      <c r="C211" s="2112"/>
      <c r="D211" s="2112"/>
      <c r="E211" s="682"/>
      <c r="F211" s="685"/>
      <c r="G211" s="2112"/>
      <c r="H211" s="2112"/>
      <c r="I211" s="703"/>
      <c r="J211" s="703"/>
      <c r="K211" s="2112"/>
      <c r="L211" s="2112"/>
      <c r="M211" s="2112"/>
      <c r="N211" s="682"/>
      <c r="O211" s="685"/>
      <c r="P211" s="2112"/>
      <c r="Q211" s="2112"/>
      <c r="R211" s="2112"/>
      <c r="S211" s="2112"/>
      <c r="T211" s="2112"/>
      <c r="U211" s="2112"/>
      <c r="V211" s="2112"/>
      <c r="W211" s="2112"/>
      <c r="X211" s="2112"/>
      <c r="Y211" s="2112"/>
    </row>
    <row r="212" spans="1:25">
      <c r="A212" s="2112"/>
      <c r="B212" s="2112"/>
      <c r="C212" s="2112"/>
      <c r="D212" s="2112"/>
      <c r="E212" s="682"/>
      <c r="F212" s="685"/>
      <c r="G212" s="2112"/>
      <c r="H212" s="2112"/>
      <c r="I212" s="703"/>
      <c r="J212" s="703"/>
      <c r="K212" s="2112"/>
      <c r="L212" s="2112"/>
      <c r="M212" s="2112"/>
      <c r="N212" s="682"/>
      <c r="O212" s="685"/>
      <c r="P212" s="2112"/>
      <c r="Q212" s="2112"/>
      <c r="R212" s="2112"/>
      <c r="S212" s="2112"/>
      <c r="T212" s="2112"/>
      <c r="U212" s="2112"/>
      <c r="V212" s="2112"/>
      <c r="W212" s="2112"/>
      <c r="X212" s="2112"/>
      <c r="Y212" s="2112"/>
    </row>
    <row r="213" spans="1:25">
      <c r="A213" s="2112"/>
      <c r="B213" s="2112"/>
      <c r="C213" s="2112"/>
      <c r="D213" s="2112"/>
      <c r="E213" s="682"/>
      <c r="F213" s="685"/>
      <c r="G213" s="2112"/>
      <c r="H213" s="2112"/>
      <c r="I213" s="703"/>
      <c r="J213" s="703"/>
      <c r="K213" s="2112"/>
      <c r="L213" s="2112"/>
      <c r="M213" s="2112"/>
      <c r="N213" s="682"/>
      <c r="O213" s="685"/>
      <c r="P213" s="2112"/>
      <c r="Q213" s="2112"/>
      <c r="R213" s="2112"/>
      <c r="S213" s="2112"/>
      <c r="T213" s="2112"/>
      <c r="U213" s="2112"/>
      <c r="V213" s="2112"/>
      <c r="W213" s="2112"/>
      <c r="X213" s="2112"/>
      <c r="Y213" s="2112"/>
    </row>
    <row r="214" spans="1:25">
      <c r="A214" s="2112"/>
      <c r="B214" s="2112"/>
      <c r="C214" s="2112"/>
      <c r="D214" s="2112"/>
      <c r="E214" s="682"/>
      <c r="F214" s="685"/>
      <c r="G214" s="2112"/>
      <c r="H214" s="2112"/>
      <c r="I214" s="703"/>
      <c r="J214" s="703"/>
      <c r="K214" s="2112"/>
      <c r="L214" s="2112"/>
      <c r="M214" s="2112"/>
      <c r="N214" s="682"/>
      <c r="O214" s="685"/>
      <c r="P214" s="2112"/>
      <c r="Q214" s="2112"/>
      <c r="R214" s="2112"/>
      <c r="S214" s="2112"/>
      <c r="T214" s="2112"/>
      <c r="U214" s="2112"/>
      <c r="V214" s="2112"/>
      <c r="W214" s="2112"/>
      <c r="X214" s="2112"/>
      <c r="Y214" s="2112"/>
    </row>
    <row r="215" spans="1:25">
      <c r="A215" s="2112"/>
      <c r="B215" s="2112"/>
      <c r="C215" s="2112"/>
      <c r="D215" s="2112"/>
      <c r="E215" s="682"/>
      <c r="F215" s="685"/>
      <c r="G215" s="2112"/>
      <c r="H215" s="2112"/>
      <c r="I215" s="703"/>
      <c r="J215" s="703"/>
      <c r="K215" s="2112"/>
      <c r="L215" s="2112"/>
      <c r="M215" s="2112"/>
      <c r="N215" s="682"/>
      <c r="O215" s="685"/>
      <c r="P215" s="2112"/>
      <c r="Q215" s="2112"/>
      <c r="R215" s="2112"/>
      <c r="S215" s="2112"/>
      <c r="T215" s="2112"/>
      <c r="U215" s="2112"/>
      <c r="V215" s="2112"/>
      <c r="W215" s="2112"/>
      <c r="X215" s="2112"/>
      <c r="Y215" s="2112"/>
    </row>
    <row r="216" spans="1:25">
      <c r="A216" s="2112"/>
      <c r="B216" s="2112"/>
      <c r="C216" s="2112"/>
      <c r="D216" s="2112"/>
      <c r="E216" s="682"/>
      <c r="F216" s="685"/>
      <c r="G216" s="2112"/>
      <c r="H216" s="2112"/>
      <c r="I216" s="703"/>
      <c r="J216" s="703"/>
      <c r="K216" s="2112"/>
      <c r="L216" s="2112"/>
      <c r="M216" s="2112"/>
      <c r="N216" s="682"/>
      <c r="O216" s="685"/>
      <c r="P216" s="2112"/>
      <c r="Q216" s="2112"/>
      <c r="R216" s="2112"/>
      <c r="S216" s="2112"/>
      <c r="T216" s="2112"/>
      <c r="U216" s="2112"/>
      <c r="V216" s="2112"/>
      <c r="W216" s="2112"/>
      <c r="X216" s="2112"/>
      <c r="Y216" s="2112"/>
    </row>
    <row r="217" spans="1:25">
      <c r="A217" s="2112"/>
      <c r="B217" s="2112"/>
      <c r="C217" s="2112"/>
      <c r="D217" s="2112"/>
      <c r="E217" s="682"/>
      <c r="F217" s="685"/>
      <c r="G217" s="2112"/>
      <c r="H217" s="2112"/>
      <c r="I217" s="703"/>
      <c r="J217" s="703"/>
      <c r="K217" s="2112"/>
      <c r="L217" s="2112"/>
      <c r="M217" s="2112"/>
      <c r="N217" s="682"/>
      <c r="O217" s="685"/>
      <c r="P217" s="2112"/>
      <c r="Q217" s="2112"/>
      <c r="R217" s="2112"/>
      <c r="S217" s="2112"/>
      <c r="T217" s="2112"/>
      <c r="U217" s="2112"/>
      <c r="V217" s="2112"/>
      <c r="W217" s="2112"/>
      <c r="X217" s="2112"/>
      <c r="Y217" s="2112"/>
    </row>
    <row r="218" spans="1:25">
      <c r="A218" s="2112"/>
      <c r="B218" s="2112"/>
      <c r="C218" s="2112"/>
      <c r="D218" s="2112"/>
      <c r="E218" s="682"/>
      <c r="F218" s="685"/>
      <c r="G218" s="2112"/>
      <c r="H218" s="2112"/>
      <c r="I218" s="703"/>
      <c r="J218" s="703"/>
      <c r="K218" s="2112"/>
      <c r="L218" s="2112"/>
      <c r="M218" s="2112"/>
      <c r="N218" s="682"/>
      <c r="O218" s="685"/>
      <c r="P218" s="2112"/>
      <c r="Q218" s="2112"/>
      <c r="R218" s="2112"/>
      <c r="S218" s="2112"/>
      <c r="T218" s="2112"/>
      <c r="U218" s="2112"/>
      <c r="V218" s="2112"/>
      <c r="W218" s="2112"/>
      <c r="X218" s="2112"/>
      <c r="Y218" s="2112"/>
    </row>
    <row r="219" spans="1:25">
      <c r="A219" s="2112"/>
      <c r="B219" s="2112"/>
      <c r="C219" s="2112"/>
      <c r="D219" s="2112"/>
      <c r="E219" s="682"/>
      <c r="F219" s="685"/>
      <c r="G219" s="2112"/>
      <c r="H219" s="2112"/>
      <c r="I219" s="703"/>
      <c r="J219" s="703"/>
      <c r="K219" s="2112"/>
      <c r="L219" s="2112"/>
      <c r="M219" s="2112"/>
      <c r="N219" s="682"/>
      <c r="O219" s="685"/>
      <c r="P219" s="2112"/>
      <c r="Q219" s="2112"/>
      <c r="R219" s="2112"/>
      <c r="S219" s="2112"/>
      <c r="T219" s="2112"/>
      <c r="U219" s="2112"/>
      <c r="V219" s="2112"/>
      <c r="W219" s="2112"/>
      <c r="X219" s="2112"/>
      <c r="Y219" s="2112"/>
    </row>
    <row r="220" spans="1:25">
      <c r="A220" s="2112"/>
      <c r="B220" s="2112"/>
      <c r="C220" s="2112"/>
      <c r="D220" s="2112"/>
      <c r="E220" s="682"/>
      <c r="F220" s="685"/>
      <c r="G220" s="2112"/>
      <c r="H220" s="2112"/>
      <c r="I220" s="703"/>
      <c r="J220" s="703"/>
      <c r="K220" s="2112"/>
      <c r="L220" s="2112"/>
      <c r="M220" s="2112"/>
      <c r="N220" s="682"/>
      <c r="O220" s="685"/>
      <c r="P220" s="2112"/>
      <c r="Q220" s="2112"/>
      <c r="R220" s="2112"/>
      <c r="S220" s="2112"/>
      <c r="T220" s="2112"/>
      <c r="U220" s="2112"/>
      <c r="V220" s="2112"/>
      <c r="W220" s="2112"/>
      <c r="X220" s="2112"/>
      <c r="Y220" s="2112"/>
    </row>
    <row r="221" spans="1:25">
      <c r="A221" s="2112"/>
      <c r="B221" s="2112"/>
      <c r="C221" s="2112"/>
      <c r="D221" s="2112"/>
      <c r="E221" s="682"/>
      <c r="F221" s="685"/>
      <c r="G221" s="2112"/>
      <c r="H221" s="2112"/>
      <c r="I221" s="703"/>
      <c r="J221" s="703"/>
      <c r="K221" s="2112"/>
      <c r="L221" s="2112"/>
      <c r="M221" s="2112"/>
      <c r="N221" s="682"/>
      <c r="O221" s="685"/>
      <c r="P221" s="2112"/>
      <c r="Q221" s="2112"/>
      <c r="R221" s="2112"/>
      <c r="S221" s="2112"/>
      <c r="T221" s="2112"/>
      <c r="U221" s="2112"/>
      <c r="V221" s="2112"/>
      <c r="W221" s="2112"/>
      <c r="X221" s="2112"/>
      <c r="Y221" s="2112"/>
    </row>
    <row r="222" spans="1:25">
      <c r="A222" s="2112"/>
      <c r="B222" s="2112"/>
      <c r="C222" s="2112"/>
      <c r="D222" s="2112"/>
      <c r="E222" s="682"/>
      <c r="F222" s="685"/>
      <c r="G222" s="2112"/>
      <c r="H222" s="2112"/>
      <c r="I222" s="703"/>
      <c r="J222" s="703"/>
      <c r="K222" s="2112"/>
      <c r="L222" s="2112"/>
      <c r="M222" s="2112"/>
      <c r="N222" s="682"/>
      <c r="O222" s="685"/>
      <c r="P222" s="2112"/>
      <c r="Q222" s="2112"/>
      <c r="R222" s="2112"/>
      <c r="S222" s="2112"/>
      <c r="T222" s="2112"/>
      <c r="U222" s="2112"/>
      <c r="V222" s="2112"/>
      <c r="W222" s="2112"/>
      <c r="X222" s="2112"/>
      <c r="Y222" s="2112"/>
    </row>
    <row r="223" spans="1:25">
      <c r="A223" s="2112"/>
      <c r="B223" s="2112"/>
      <c r="C223" s="2112"/>
      <c r="D223" s="2112"/>
      <c r="E223" s="682"/>
      <c r="F223" s="685"/>
      <c r="G223" s="2112"/>
      <c r="H223" s="2112"/>
      <c r="I223" s="703"/>
      <c r="J223" s="703"/>
      <c r="K223" s="2112"/>
      <c r="L223" s="2112"/>
      <c r="M223" s="2112"/>
      <c r="N223" s="682"/>
      <c r="O223" s="685"/>
      <c r="P223" s="2112"/>
      <c r="Q223" s="2112"/>
      <c r="R223" s="2112"/>
      <c r="S223" s="2112"/>
      <c r="T223" s="2112"/>
      <c r="U223" s="2112"/>
      <c r="V223" s="2112"/>
      <c r="W223" s="2112"/>
      <c r="X223" s="2112"/>
      <c r="Y223" s="2112"/>
    </row>
    <row r="224" spans="1:25">
      <c r="A224" s="2112"/>
      <c r="B224" s="2112"/>
      <c r="C224" s="2112"/>
      <c r="D224" s="2112"/>
      <c r="E224" s="682"/>
      <c r="F224" s="685"/>
      <c r="G224" s="2112"/>
      <c r="H224" s="2112"/>
      <c r="I224" s="703"/>
      <c r="J224" s="703"/>
      <c r="K224" s="2112"/>
      <c r="L224" s="2112"/>
      <c r="M224" s="2112"/>
      <c r="N224" s="682"/>
      <c r="O224" s="685"/>
      <c r="P224" s="2112"/>
      <c r="Q224" s="2112"/>
      <c r="R224" s="2112"/>
      <c r="S224" s="2112"/>
      <c r="T224" s="2112"/>
      <c r="U224" s="2112"/>
      <c r="V224" s="2112"/>
      <c r="W224" s="2112"/>
      <c r="X224" s="2112"/>
      <c r="Y224" s="2112"/>
    </row>
    <row r="225" spans="1:25">
      <c r="A225" s="2112"/>
      <c r="B225" s="2112"/>
      <c r="C225" s="2112"/>
      <c r="D225" s="2112"/>
      <c r="E225" s="682"/>
      <c r="F225" s="685"/>
      <c r="G225" s="2112"/>
      <c r="H225" s="2112"/>
      <c r="I225" s="703"/>
      <c r="J225" s="703"/>
      <c r="K225" s="2112"/>
      <c r="L225" s="2112"/>
      <c r="M225" s="2112"/>
      <c r="N225" s="682"/>
      <c r="O225" s="685"/>
      <c r="P225" s="2112"/>
      <c r="Q225" s="2112"/>
      <c r="R225" s="2112"/>
      <c r="S225" s="2112"/>
      <c r="T225" s="2112"/>
      <c r="U225" s="2112"/>
      <c r="V225" s="2112"/>
      <c r="W225" s="2112"/>
      <c r="X225" s="2112"/>
      <c r="Y225" s="2112"/>
    </row>
    <row r="226" spans="1:25">
      <c r="A226" s="2112"/>
      <c r="B226" s="2112"/>
      <c r="C226" s="2112"/>
      <c r="D226" s="2112"/>
      <c r="E226" s="682"/>
      <c r="F226" s="685"/>
      <c r="G226" s="2112"/>
      <c r="H226" s="2112"/>
      <c r="I226" s="703"/>
      <c r="J226" s="703"/>
      <c r="K226" s="2112"/>
      <c r="L226" s="2112"/>
      <c r="M226" s="2112"/>
      <c r="N226" s="682"/>
      <c r="O226" s="685"/>
      <c r="P226" s="2112"/>
      <c r="Q226" s="2112"/>
      <c r="R226" s="2112"/>
      <c r="S226" s="2112"/>
      <c r="T226" s="2112"/>
      <c r="U226" s="2112"/>
      <c r="V226" s="2112"/>
      <c r="W226" s="2112"/>
      <c r="X226" s="2112"/>
      <c r="Y226" s="2112"/>
    </row>
    <row r="227" spans="1:25">
      <c r="A227" s="2112"/>
      <c r="B227" s="2112"/>
      <c r="C227" s="2112"/>
      <c r="D227" s="2112"/>
      <c r="E227" s="682"/>
      <c r="F227" s="685"/>
      <c r="G227" s="2112"/>
      <c r="H227" s="2112"/>
      <c r="I227" s="703"/>
      <c r="J227" s="703"/>
      <c r="K227" s="2112"/>
      <c r="L227" s="2112"/>
      <c r="M227" s="2112"/>
      <c r="N227" s="682"/>
      <c r="O227" s="685"/>
      <c r="P227" s="2112"/>
      <c r="Q227" s="2112"/>
      <c r="R227" s="2112"/>
      <c r="S227" s="2112"/>
      <c r="T227" s="2112"/>
      <c r="U227" s="2112"/>
      <c r="V227" s="2112"/>
      <c r="W227" s="2112"/>
      <c r="X227" s="2112"/>
      <c r="Y227" s="2112"/>
    </row>
    <row r="228" spans="1:25">
      <c r="A228" s="2112"/>
      <c r="B228" s="2112"/>
      <c r="C228" s="2112"/>
      <c r="D228" s="2112"/>
      <c r="E228" s="682"/>
      <c r="F228" s="685"/>
      <c r="G228" s="2112"/>
      <c r="H228" s="2112"/>
      <c r="I228" s="703"/>
      <c r="J228" s="703"/>
      <c r="K228" s="2112"/>
      <c r="L228" s="2112"/>
      <c r="M228" s="2112"/>
      <c r="N228" s="682"/>
      <c r="O228" s="685"/>
      <c r="P228" s="2112"/>
      <c r="Q228" s="2112"/>
      <c r="R228" s="2112"/>
      <c r="S228" s="2112"/>
      <c r="T228" s="2112"/>
      <c r="U228" s="2112"/>
      <c r="V228" s="2112"/>
      <c r="W228" s="2112"/>
      <c r="X228" s="2112"/>
      <c r="Y228" s="2112"/>
    </row>
    <row r="229" spans="1:25">
      <c r="A229" s="2112"/>
      <c r="B229" s="2112"/>
      <c r="C229" s="2112"/>
      <c r="D229" s="2112"/>
      <c r="E229" s="682"/>
      <c r="F229" s="685"/>
      <c r="G229" s="2112"/>
      <c r="H229" s="2112"/>
      <c r="I229" s="703"/>
      <c r="J229" s="703"/>
      <c r="K229" s="2112"/>
      <c r="L229" s="2112"/>
      <c r="M229" s="2112"/>
      <c r="N229" s="682"/>
      <c r="O229" s="685"/>
      <c r="P229" s="2112"/>
      <c r="Q229" s="2112"/>
      <c r="R229" s="2112"/>
      <c r="S229" s="2112"/>
      <c r="T229" s="2112"/>
      <c r="U229" s="2112"/>
      <c r="V229" s="2112"/>
      <c r="W229" s="2112"/>
      <c r="X229" s="2112"/>
      <c r="Y229" s="2112"/>
    </row>
    <row r="230" spans="1:25">
      <c r="A230" s="2112"/>
      <c r="B230" s="2112"/>
      <c r="C230" s="2112"/>
      <c r="D230" s="2112"/>
      <c r="E230" s="682"/>
      <c r="F230" s="685"/>
      <c r="G230" s="2112"/>
      <c r="H230" s="2112"/>
      <c r="I230" s="703"/>
      <c r="J230" s="703"/>
      <c r="K230" s="2112"/>
      <c r="L230" s="2112"/>
      <c r="M230" s="2112"/>
      <c r="N230" s="682"/>
      <c r="O230" s="685"/>
      <c r="P230" s="2112"/>
      <c r="Q230" s="2112"/>
      <c r="R230" s="2112"/>
      <c r="S230" s="2112"/>
      <c r="T230" s="2112"/>
      <c r="U230" s="2112"/>
      <c r="V230" s="2112"/>
      <c r="W230" s="2112"/>
      <c r="X230" s="2112"/>
      <c r="Y230" s="2112"/>
    </row>
    <row r="231" spans="1:25">
      <c r="A231" s="2112"/>
      <c r="B231" s="2112"/>
      <c r="C231" s="2112"/>
      <c r="D231" s="2112"/>
      <c r="E231" s="682"/>
      <c r="F231" s="685"/>
      <c r="G231" s="2112"/>
      <c r="H231" s="2112"/>
      <c r="I231" s="703"/>
      <c r="J231" s="703"/>
      <c r="K231" s="2112"/>
      <c r="L231" s="2112"/>
      <c r="M231" s="2112"/>
      <c r="N231" s="682"/>
      <c r="O231" s="685"/>
      <c r="P231" s="2112"/>
      <c r="Q231" s="2112"/>
      <c r="R231" s="2112"/>
      <c r="S231" s="2112"/>
      <c r="T231" s="2112"/>
      <c r="U231" s="2112"/>
      <c r="V231" s="2112"/>
      <c r="W231" s="2112"/>
      <c r="X231" s="2112"/>
      <c r="Y231" s="2112"/>
    </row>
    <row r="232" spans="1:25">
      <c r="A232" s="2112"/>
      <c r="B232" s="2112"/>
      <c r="C232" s="2112"/>
      <c r="D232" s="2112"/>
      <c r="E232" s="682"/>
      <c r="F232" s="685"/>
      <c r="G232" s="2112"/>
      <c r="H232" s="2112"/>
      <c r="I232" s="703"/>
      <c r="J232" s="703"/>
      <c r="K232" s="2112"/>
      <c r="L232" s="2112"/>
      <c r="M232" s="2112"/>
      <c r="N232" s="682"/>
      <c r="O232" s="685"/>
      <c r="P232" s="2112"/>
      <c r="Q232" s="2112"/>
      <c r="R232" s="2112"/>
      <c r="S232" s="2112"/>
      <c r="T232" s="2112"/>
      <c r="U232" s="2112"/>
      <c r="V232" s="2112"/>
      <c r="W232" s="2112"/>
      <c r="X232" s="2112"/>
      <c r="Y232" s="2112"/>
    </row>
    <row r="233" spans="1:25">
      <c r="A233" s="2112"/>
      <c r="B233" s="2112"/>
      <c r="C233" s="2112"/>
      <c r="D233" s="2112"/>
      <c r="E233" s="682"/>
      <c r="F233" s="685"/>
      <c r="G233" s="2112"/>
      <c r="H233" s="2112"/>
      <c r="I233" s="703"/>
      <c r="J233" s="703"/>
      <c r="K233" s="2112"/>
      <c r="L233" s="2112"/>
      <c r="M233" s="2112"/>
      <c r="N233" s="682"/>
      <c r="O233" s="685"/>
      <c r="P233" s="2112"/>
      <c r="Q233" s="2112"/>
      <c r="R233" s="2112"/>
      <c r="S233" s="2112"/>
      <c r="T233" s="2112"/>
      <c r="U233" s="2112"/>
      <c r="V233" s="2112"/>
      <c r="W233" s="2112"/>
      <c r="X233" s="2112"/>
      <c r="Y233" s="2112"/>
    </row>
    <row r="234" spans="1:25">
      <c r="A234" s="2112"/>
      <c r="B234" s="2112"/>
      <c r="C234" s="2112"/>
      <c r="D234" s="2112"/>
      <c r="E234" s="682"/>
      <c r="F234" s="685"/>
      <c r="G234" s="2112"/>
      <c r="H234" s="2112"/>
      <c r="I234" s="703"/>
      <c r="J234" s="703"/>
      <c r="K234" s="2112"/>
      <c r="L234" s="2112"/>
      <c r="M234" s="2112"/>
      <c r="N234" s="682"/>
      <c r="O234" s="685"/>
      <c r="P234" s="2112"/>
      <c r="Q234" s="2112"/>
      <c r="R234" s="2112"/>
      <c r="S234" s="2112"/>
      <c r="T234" s="2112"/>
      <c r="U234" s="2112"/>
      <c r="V234" s="2112"/>
      <c r="W234" s="2112"/>
      <c r="X234" s="2112"/>
      <c r="Y234" s="2112"/>
    </row>
    <row r="235" spans="1:25">
      <c r="A235" s="2112"/>
      <c r="B235" s="2112"/>
      <c r="C235" s="2112"/>
      <c r="D235" s="2112"/>
      <c r="E235" s="682"/>
      <c r="F235" s="685"/>
      <c r="G235" s="2112"/>
      <c r="H235" s="2112"/>
      <c r="I235" s="703"/>
      <c r="J235" s="703"/>
      <c r="K235" s="2112"/>
      <c r="L235" s="2112"/>
      <c r="M235" s="2112"/>
      <c r="N235" s="682"/>
      <c r="O235" s="685"/>
      <c r="P235" s="2112"/>
      <c r="Q235" s="2112"/>
      <c r="R235" s="2112"/>
      <c r="S235" s="2112"/>
      <c r="T235" s="2112"/>
      <c r="U235" s="2112"/>
      <c r="V235" s="2112"/>
      <c r="W235" s="2112"/>
      <c r="X235" s="2112"/>
      <c r="Y235" s="2112"/>
    </row>
    <row r="236" spans="1:25">
      <c r="A236" s="2112"/>
      <c r="B236" s="2112"/>
      <c r="C236" s="2112"/>
      <c r="D236" s="2112"/>
      <c r="E236" s="682"/>
      <c r="F236" s="685"/>
      <c r="G236" s="2112"/>
      <c r="H236" s="2112"/>
      <c r="I236" s="703"/>
      <c r="J236" s="703"/>
      <c r="K236" s="2112"/>
      <c r="L236" s="2112"/>
      <c r="M236" s="2112"/>
      <c r="N236" s="682"/>
      <c r="O236" s="685"/>
      <c r="P236" s="2112"/>
      <c r="Q236" s="2112"/>
      <c r="R236" s="2112"/>
      <c r="S236" s="2112"/>
      <c r="T236" s="2112"/>
      <c r="U236" s="2112"/>
      <c r="V236" s="2112"/>
      <c r="W236" s="2112"/>
      <c r="X236" s="2112"/>
      <c r="Y236" s="2112"/>
    </row>
    <row r="237" spans="1:25">
      <c r="A237" s="2112"/>
      <c r="B237" s="2112"/>
      <c r="C237" s="2112"/>
      <c r="D237" s="2112"/>
      <c r="E237" s="682"/>
      <c r="F237" s="685"/>
      <c r="G237" s="2112"/>
      <c r="H237" s="2112"/>
      <c r="I237" s="703"/>
      <c r="J237" s="703"/>
      <c r="K237" s="2112"/>
      <c r="L237" s="2112"/>
      <c r="M237" s="2112"/>
      <c r="N237" s="682"/>
      <c r="O237" s="685"/>
      <c r="P237" s="2112"/>
      <c r="Q237" s="2112"/>
      <c r="R237" s="2112"/>
      <c r="S237" s="2112"/>
      <c r="T237" s="2112"/>
      <c r="U237" s="2112"/>
      <c r="V237" s="2112"/>
      <c r="W237" s="2112"/>
      <c r="X237" s="2112"/>
      <c r="Y237" s="2112"/>
    </row>
    <row r="238" spans="1:25">
      <c r="A238" s="2112"/>
      <c r="B238" s="2112"/>
      <c r="C238" s="2112"/>
      <c r="D238" s="2112"/>
      <c r="E238" s="682"/>
      <c r="F238" s="685"/>
      <c r="G238" s="2112"/>
      <c r="H238" s="2112"/>
      <c r="I238" s="703"/>
      <c r="J238" s="703"/>
      <c r="K238" s="2112"/>
      <c r="L238" s="2112"/>
      <c r="M238" s="2112"/>
      <c r="N238" s="682"/>
      <c r="O238" s="685"/>
      <c r="P238" s="2112"/>
      <c r="Q238" s="2112"/>
      <c r="R238" s="2112"/>
      <c r="S238" s="2112"/>
      <c r="T238" s="2112"/>
      <c r="U238" s="2112"/>
      <c r="V238" s="2112"/>
      <c r="W238" s="2112"/>
      <c r="X238" s="2112"/>
      <c r="Y238" s="2112"/>
    </row>
    <row r="239" spans="1:25">
      <c r="A239" s="2112"/>
      <c r="B239" s="2112"/>
      <c r="C239" s="2112"/>
      <c r="D239" s="2112"/>
      <c r="E239" s="682"/>
      <c r="F239" s="685"/>
      <c r="G239" s="2112"/>
      <c r="H239" s="2112"/>
      <c r="I239" s="703"/>
      <c r="J239" s="703"/>
      <c r="K239" s="2112"/>
      <c r="L239" s="2112"/>
      <c r="M239" s="2112"/>
      <c r="N239" s="682"/>
      <c r="O239" s="685"/>
      <c r="P239" s="2112"/>
      <c r="Q239" s="2112"/>
      <c r="R239" s="2112"/>
      <c r="S239" s="2112"/>
      <c r="T239" s="2112"/>
      <c r="U239" s="2112"/>
      <c r="V239" s="2112"/>
      <c r="W239" s="2112"/>
      <c r="X239" s="2112"/>
      <c r="Y239" s="2112"/>
    </row>
    <row r="240" spans="1:25">
      <c r="A240" s="2112"/>
      <c r="B240" s="2112"/>
      <c r="C240" s="2112"/>
      <c r="D240" s="2112"/>
      <c r="E240" s="682"/>
      <c r="F240" s="685"/>
      <c r="G240" s="2112"/>
      <c r="H240" s="2112"/>
      <c r="I240" s="703"/>
      <c r="J240" s="703"/>
      <c r="K240" s="2112"/>
      <c r="L240" s="2112"/>
      <c r="M240" s="2112"/>
      <c r="N240" s="682"/>
      <c r="O240" s="685"/>
      <c r="P240" s="2112"/>
      <c r="Q240" s="2112"/>
      <c r="R240" s="2112"/>
      <c r="S240" s="2112"/>
      <c r="T240" s="2112"/>
      <c r="U240" s="2112"/>
      <c r="V240" s="2112"/>
      <c r="W240" s="2112"/>
      <c r="X240" s="2112"/>
      <c r="Y240" s="2112"/>
    </row>
    <row r="241" spans="1:25">
      <c r="A241" s="2112"/>
      <c r="B241" s="2112"/>
      <c r="C241" s="2112"/>
      <c r="D241" s="2112"/>
      <c r="E241" s="682"/>
      <c r="F241" s="685"/>
      <c r="G241" s="2112"/>
      <c r="H241" s="2112"/>
      <c r="I241" s="703"/>
      <c r="J241" s="703"/>
      <c r="K241" s="2112"/>
      <c r="L241" s="2112"/>
      <c r="M241" s="2112"/>
      <c r="N241" s="682"/>
      <c r="O241" s="685"/>
      <c r="P241" s="2112"/>
      <c r="Q241" s="2112"/>
      <c r="R241" s="2112"/>
      <c r="S241" s="2112"/>
      <c r="T241" s="2112"/>
      <c r="U241" s="2112"/>
      <c r="V241" s="2112"/>
      <c r="W241" s="2112"/>
      <c r="X241" s="2112"/>
      <c r="Y241" s="2112"/>
    </row>
    <row r="242" spans="1:25">
      <c r="A242" s="2112"/>
      <c r="B242" s="2112"/>
      <c r="C242" s="2112"/>
      <c r="D242" s="2112"/>
      <c r="E242" s="682"/>
      <c r="F242" s="685"/>
      <c r="G242" s="2112"/>
      <c r="H242" s="2112"/>
      <c r="I242" s="703"/>
      <c r="J242" s="703"/>
      <c r="K242" s="2112"/>
      <c r="L242" s="2112"/>
      <c r="M242" s="2112"/>
      <c r="N242" s="682"/>
      <c r="O242" s="685"/>
      <c r="P242" s="2112"/>
      <c r="Q242" s="2112"/>
      <c r="R242" s="2112"/>
      <c r="S242" s="2112"/>
      <c r="T242" s="2112"/>
      <c r="U242" s="2112"/>
      <c r="V242" s="2112"/>
      <c r="W242" s="2112"/>
      <c r="X242" s="2112"/>
      <c r="Y242" s="2112"/>
    </row>
    <row r="243" spans="1:25">
      <c r="A243" s="2112"/>
      <c r="B243" s="2112"/>
      <c r="C243" s="2112"/>
      <c r="D243" s="2112"/>
      <c r="E243" s="682"/>
      <c r="F243" s="685"/>
      <c r="G243" s="2112"/>
      <c r="H243" s="2112"/>
      <c r="I243" s="703"/>
      <c r="J243" s="703"/>
      <c r="K243" s="2112"/>
      <c r="L243" s="2112"/>
      <c r="M243" s="2112"/>
      <c r="N243" s="682"/>
      <c r="O243" s="685"/>
      <c r="P243" s="2112"/>
      <c r="Q243" s="2112"/>
      <c r="R243" s="2112"/>
      <c r="S243" s="2112"/>
      <c r="T243" s="2112"/>
      <c r="U243" s="2112"/>
      <c r="V243" s="2112"/>
      <c r="W243" s="2112"/>
      <c r="X243" s="2112"/>
      <c r="Y243" s="2112"/>
    </row>
    <row r="244" spans="1:25">
      <c r="A244" s="2112"/>
      <c r="B244" s="2112"/>
      <c r="C244" s="2112"/>
      <c r="D244" s="2112"/>
      <c r="E244" s="682"/>
      <c r="F244" s="685"/>
      <c r="G244" s="2112"/>
      <c r="H244" s="2112"/>
      <c r="I244" s="703"/>
      <c r="J244" s="703"/>
      <c r="K244" s="2112"/>
      <c r="L244" s="2112"/>
      <c r="M244" s="2112"/>
      <c r="N244" s="682"/>
      <c r="O244" s="685"/>
      <c r="P244" s="2112"/>
      <c r="Q244" s="2112"/>
      <c r="R244" s="2112"/>
      <c r="S244" s="2112"/>
      <c r="T244" s="2112"/>
      <c r="U244" s="2112"/>
      <c r="V244" s="2112"/>
      <c r="W244" s="2112"/>
      <c r="X244" s="2112"/>
      <c r="Y244" s="2112"/>
    </row>
    <row r="245" spans="1:25">
      <c r="A245" s="2112"/>
      <c r="B245" s="2112"/>
      <c r="C245" s="2112"/>
      <c r="D245" s="2112"/>
      <c r="E245" s="682"/>
      <c r="F245" s="685"/>
      <c r="G245" s="2112"/>
      <c r="H245" s="2112"/>
      <c r="I245" s="703"/>
      <c r="J245" s="703"/>
      <c r="K245" s="2112"/>
      <c r="L245" s="2112"/>
      <c r="M245" s="2112"/>
      <c r="N245" s="682"/>
      <c r="O245" s="685"/>
      <c r="P245" s="2112"/>
      <c r="Q245" s="2112"/>
      <c r="R245" s="2112"/>
      <c r="S245" s="2112"/>
      <c r="T245" s="2112"/>
      <c r="U245" s="2112"/>
      <c r="V245" s="2112"/>
      <c r="W245" s="2112"/>
      <c r="X245" s="2112"/>
      <c r="Y245" s="2112"/>
    </row>
    <row r="246" spans="1:25">
      <c r="A246" s="2112"/>
      <c r="B246" s="2112"/>
      <c r="C246" s="2112"/>
      <c r="D246" s="2112"/>
      <c r="E246" s="682"/>
      <c r="F246" s="685"/>
      <c r="G246" s="2112"/>
      <c r="H246" s="2112"/>
      <c r="I246" s="703"/>
      <c r="J246" s="703"/>
      <c r="K246" s="2112"/>
      <c r="L246" s="2112"/>
      <c r="M246" s="2112"/>
      <c r="N246" s="682"/>
      <c r="O246" s="685"/>
      <c r="P246" s="2112"/>
      <c r="Q246" s="2112"/>
      <c r="R246" s="2112"/>
      <c r="S246" s="2112"/>
      <c r="T246" s="2112"/>
      <c r="U246" s="2112"/>
      <c r="V246" s="2112"/>
      <c r="W246" s="2112"/>
      <c r="X246" s="2112"/>
      <c r="Y246" s="2112"/>
    </row>
    <row r="247" spans="1:25">
      <c r="A247" s="2112"/>
      <c r="B247" s="2112"/>
      <c r="C247" s="2112"/>
      <c r="D247" s="2112"/>
      <c r="E247" s="682"/>
      <c r="F247" s="685"/>
      <c r="G247" s="2112"/>
      <c r="H247" s="2112"/>
      <c r="I247" s="703"/>
      <c r="J247" s="703"/>
      <c r="K247" s="2112"/>
      <c r="L247" s="2112"/>
      <c r="M247" s="2112"/>
      <c r="N247" s="682"/>
      <c r="O247" s="685"/>
      <c r="P247" s="2112"/>
      <c r="Q247" s="2112"/>
      <c r="R247" s="2112"/>
      <c r="S247" s="2112"/>
      <c r="T247" s="2112"/>
      <c r="U247" s="2112"/>
      <c r="V247" s="2112"/>
      <c r="W247" s="2112"/>
      <c r="X247" s="2112"/>
      <c r="Y247" s="2112"/>
    </row>
    <row r="248" spans="1:25">
      <c r="A248" s="2112"/>
      <c r="B248" s="2112"/>
      <c r="C248" s="2112"/>
      <c r="D248" s="2112"/>
      <c r="E248" s="682"/>
      <c r="F248" s="685"/>
      <c r="G248" s="2112"/>
      <c r="H248" s="2112"/>
      <c r="I248" s="703"/>
      <c r="J248" s="703"/>
      <c r="K248" s="2112"/>
      <c r="L248" s="2112"/>
      <c r="M248" s="2112"/>
      <c r="N248" s="682"/>
      <c r="O248" s="685"/>
      <c r="P248" s="2112"/>
      <c r="Q248" s="2112"/>
      <c r="R248" s="2112"/>
      <c r="S248" s="2112"/>
      <c r="T248" s="2112"/>
      <c r="U248" s="2112"/>
      <c r="V248" s="2112"/>
      <c r="W248" s="2112"/>
      <c r="X248" s="2112"/>
      <c r="Y248" s="2112"/>
    </row>
  </sheetData>
  <mergeCells count="16">
    <mergeCell ref="Q2:S2"/>
    <mergeCell ref="A1:A46"/>
    <mergeCell ref="B1:P1"/>
    <mergeCell ref="C2:G2"/>
    <mergeCell ref="L2:P2"/>
    <mergeCell ref="H2:J2"/>
    <mergeCell ref="E3:G3"/>
    <mergeCell ref="N3:P3"/>
    <mergeCell ref="E36:G36"/>
    <mergeCell ref="N36:P36"/>
    <mergeCell ref="T3:W3"/>
    <mergeCell ref="U4:W4"/>
    <mergeCell ref="E13:G13"/>
    <mergeCell ref="N13:P13"/>
    <mergeCell ref="E24:G24"/>
    <mergeCell ref="N24:P24"/>
  </mergeCells>
  <conditionalFormatting sqref="E9">
    <cfRule type="containsText" dxfId="1" priority="5" operator="containsText" text="A;E">
      <formula>NOT(ISERROR(SEARCH("A;E",E9)))</formula>
    </cfRule>
    <cfRule type="colorScale" priority="6">
      <colorScale>
        <cfvo type="formula" val="&quot;A&quot;"/>
        <cfvo type="formula" val="&quot;C&quot;"/>
        <cfvo type="formula" val="&quot;E&quot;"/>
        <color theme="5" tint="0.59999389629810485"/>
        <color rgb="FFFFEB84"/>
        <color theme="4" tint="0.39997558519241921"/>
      </colorScale>
    </cfRule>
    <cfRule type="colorScale" priority="7">
      <colorScale>
        <cfvo type="min"/>
        <cfvo type="percentile" val="50"/>
        <cfvo type="max"/>
        <color rgb="FFF8696B"/>
        <color rgb="FFFFEB84"/>
        <color rgb="FF63BE7B"/>
      </colorScale>
    </cfRule>
    <cfRule type="colorScale" priority="8">
      <colorScale>
        <cfvo type="min"/>
        <cfvo type="percentile" val="50"/>
        <cfvo type="max"/>
        <color rgb="FFF8696B"/>
        <color rgb="FFFFEB84"/>
        <color rgb="FF63BE7B"/>
      </colorScale>
    </cfRule>
  </conditionalFormatting>
  <conditionalFormatting sqref="N9">
    <cfRule type="containsText" dxfId="0" priority="1" operator="containsText" text="A;E">
      <formula>NOT(ISERROR(SEARCH("A;E",N9)))</formula>
    </cfRule>
    <cfRule type="colorScale" priority="2">
      <colorScale>
        <cfvo type="formula" val="&quot;A&quot;"/>
        <cfvo type="formula" val="&quot;C&quot;"/>
        <cfvo type="formula" val="&quot;E&quot;"/>
        <color theme="5" tint="0.59999389629810485"/>
        <color rgb="FFFFEB84"/>
        <color theme="4" tint="0.39997558519241921"/>
      </colorScale>
    </cfRule>
    <cfRule type="colorScale" priority="3">
      <colorScale>
        <cfvo type="min"/>
        <cfvo type="percentile" val="50"/>
        <cfvo type="max"/>
        <color rgb="FFF8696B"/>
        <color rgb="FFFFEB84"/>
        <color rgb="FF63BE7B"/>
      </colorScale>
    </cfRule>
    <cfRule type="colorScale" priority="4">
      <colorScale>
        <cfvo type="min"/>
        <cfvo type="percentile" val="50"/>
        <cfvo type="max"/>
        <color rgb="FFF8696B"/>
        <color rgb="FFFFEB84"/>
        <color rgb="FF63BE7B"/>
      </colorScale>
    </cfRule>
  </conditionalFormatting>
  <dataValidations count="2">
    <dataValidation type="list" allowBlank="1" showInputMessage="1" showErrorMessage="1" sqref="E9:G9 E20:G20 N20:P20 N9:P9 E32:G32 N32:P32 N45:P45 E45:G45">
      <formula1>"A,B,C,D,E"</formula1>
    </dataValidation>
    <dataValidation type="list" allowBlank="1" sqref="C15:C18 L26:L30 C38:C43 L15:L18 C5:C7 L5:L7 C26:C30 L38:L43">
      <formula1>$T$6:$T$62</formula1>
    </dataValidation>
  </dataValidation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0"/>
    <pageSetUpPr fitToPage="1"/>
  </sheetPr>
  <dimension ref="A1:M119"/>
  <sheetViews>
    <sheetView zoomScaleNormal="100" workbookViewId="0">
      <selection activeCell="E7" sqref="E7"/>
    </sheetView>
  </sheetViews>
  <sheetFormatPr baseColWidth="10" defaultRowHeight="15"/>
  <cols>
    <col min="1" max="1" width="39.28515625" style="174" customWidth="1"/>
    <col min="2" max="2" width="42.5703125" style="175" customWidth="1"/>
    <col min="3" max="3" width="22.28515625" style="842" customWidth="1"/>
    <col min="4" max="4" width="28.5703125" style="831" customWidth="1"/>
    <col min="5" max="5" width="20.5703125" style="831" customWidth="1"/>
    <col min="6" max="6" width="35.85546875" style="831" customWidth="1"/>
    <col min="7" max="7" width="29.5703125" style="831" customWidth="1"/>
    <col min="8" max="8" width="18.140625" style="831" customWidth="1"/>
    <col min="9" max="9" width="18.85546875" style="842" customWidth="1"/>
    <col min="10" max="10" width="20.42578125" style="831" customWidth="1"/>
    <col min="11" max="11" width="24.42578125" style="842" customWidth="1"/>
    <col min="12" max="12" width="20.140625" style="842" customWidth="1"/>
    <col min="13" max="16384" width="11.42578125" style="831"/>
  </cols>
  <sheetData>
    <row r="1" spans="1:12">
      <c r="B1" s="412" t="str">
        <f>'DüV-N-Ackerbau'!C1</f>
        <v>Karl vom Land</v>
      </c>
      <c r="C1" s="412" t="str">
        <f>'DüV-N-Ackerbau'!F1</f>
        <v>Erntejahr</v>
      </c>
      <c r="E1" s="12" t="s">
        <v>36</v>
      </c>
      <c r="G1" s="842"/>
      <c r="J1" s="842"/>
      <c r="K1" s="831"/>
      <c r="L1" s="831"/>
    </row>
    <row r="2" spans="1:12">
      <c r="B2" s="412" t="str">
        <f>'DüV-N-Ackerbau'!C2</f>
        <v>Höfen 1</v>
      </c>
      <c r="C2" s="412">
        <f>'DüV-N-Ackerbau'!G1</f>
        <v>2022</v>
      </c>
      <c r="D2" s="174"/>
      <c r="E2" s="13" t="s">
        <v>34</v>
      </c>
      <c r="G2" s="842"/>
      <c r="J2" s="842"/>
      <c r="K2" s="831"/>
      <c r="L2" s="831"/>
    </row>
    <row r="3" spans="1:12">
      <c r="B3" s="412" t="str">
        <f>'DüV-N-Ackerbau'!C3</f>
        <v>12345 Auf dem Feld</v>
      </c>
      <c r="C3" s="174"/>
      <c r="D3" s="175"/>
      <c r="G3" s="842"/>
      <c r="J3" s="842"/>
      <c r="K3" s="831"/>
      <c r="L3" s="831"/>
    </row>
    <row r="4" spans="1:12" ht="7.5" customHeight="1" thickBot="1">
      <c r="B4" s="174"/>
      <c r="G4" s="842"/>
      <c r="J4" s="842"/>
      <c r="K4" s="831"/>
      <c r="L4" s="831"/>
    </row>
    <row r="5" spans="1:12" ht="22.5" customHeight="1" thickBot="1">
      <c r="A5" s="3046" t="s">
        <v>0</v>
      </c>
      <c r="B5" s="3047"/>
      <c r="C5" s="3047"/>
      <c r="D5" s="3048"/>
      <c r="G5" s="842"/>
      <c r="J5" s="842"/>
      <c r="K5" s="831"/>
      <c r="L5" s="831"/>
    </row>
    <row r="6" spans="1:12" ht="48" thickBot="1">
      <c r="A6" s="3049" t="s">
        <v>582</v>
      </c>
      <c r="B6" s="3050"/>
      <c r="C6" s="327" t="s">
        <v>573</v>
      </c>
      <c r="D6" s="472" t="s">
        <v>526</v>
      </c>
      <c r="F6" s="480"/>
      <c r="G6" s="479" t="s">
        <v>5</v>
      </c>
      <c r="H6" s="480"/>
      <c r="I6" s="480"/>
      <c r="J6" s="480"/>
      <c r="K6" s="831"/>
      <c r="L6" s="831"/>
    </row>
    <row r="7" spans="1:12" ht="15.75">
      <c r="A7" s="69"/>
      <c r="B7" s="48" t="s">
        <v>669</v>
      </c>
      <c r="C7" s="440">
        <v>80</v>
      </c>
      <c r="D7" s="445"/>
      <c r="F7" s="479" t="s">
        <v>6</v>
      </c>
      <c r="G7" s="480"/>
      <c r="H7" s="480"/>
      <c r="I7" s="479" t="s">
        <v>159</v>
      </c>
      <c r="J7" s="480"/>
      <c r="K7" s="831"/>
      <c r="L7" s="831"/>
    </row>
    <row r="8" spans="1:12" ht="15.75">
      <c r="A8" s="69"/>
      <c r="B8" s="48"/>
      <c r="C8" s="474" t="str">
        <f>IF(OR(C7&lt;30,C7&gt;150),"Sind Sie sicher?"," ")</f>
        <v xml:space="preserve"> </v>
      </c>
      <c r="D8" s="445"/>
      <c r="F8" s="480" t="s">
        <v>503</v>
      </c>
      <c r="G8" s="480">
        <v>0</v>
      </c>
      <c r="H8" s="480"/>
      <c r="I8" s="480" t="s">
        <v>160</v>
      </c>
      <c r="J8" s="480">
        <v>0</v>
      </c>
      <c r="K8" s="831"/>
      <c r="L8" s="831"/>
    </row>
    <row r="9" spans="1:12" ht="15.75">
      <c r="A9" s="69"/>
      <c r="B9" s="48"/>
      <c r="C9" s="471" t="s">
        <v>4</v>
      </c>
      <c r="D9" s="445"/>
      <c r="F9" s="480" t="s">
        <v>22</v>
      </c>
      <c r="G9" s="480">
        <v>10</v>
      </c>
      <c r="H9" s="480"/>
      <c r="I9" s="480" t="s">
        <v>161</v>
      </c>
      <c r="J9" s="480">
        <v>20</v>
      </c>
      <c r="K9" s="831"/>
      <c r="L9" s="831"/>
    </row>
    <row r="10" spans="1:12" ht="15.75">
      <c r="A10" s="69"/>
      <c r="B10" s="48" t="s">
        <v>37</v>
      </c>
      <c r="C10" s="850">
        <f>IF(C7&lt;=79,110+C7*1.5,(IF(C7&gt;=80,150+C7)))</f>
        <v>230</v>
      </c>
      <c r="D10" s="446"/>
      <c r="E10" s="15"/>
      <c r="F10" s="480" t="s">
        <v>528</v>
      </c>
      <c r="G10" s="480">
        <v>10</v>
      </c>
      <c r="H10" s="480"/>
      <c r="I10" s="480"/>
      <c r="J10" s="480"/>
      <c r="K10" s="831"/>
      <c r="L10" s="831"/>
    </row>
    <row r="11" spans="1:12" ht="15.75">
      <c r="A11" s="69" t="s">
        <v>32</v>
      </c>
      <c r="B11" s="448" t="s">
        <v>15</v>
      </c>
      <c r="C11" s="52">
        <f>VLOOKUP(B11,I14:J16,2,FALSE)</f>
        <v>0</v>
      </c>
      <c r="D11" s="446"/>
      <c r="F11" s="480" t="s">
        <v>7</v>
      </c>
      <c r="G11" s="480">
        <v>10</v>
      </c>
      <c r="H11" s="480"/>
      <c r="I11" s="480"/>
      <c r="J11" s="480"/>
      <c r="K11" s="831"/>
      <c r="L11" s="831"/>
    </row>
    <row r="12" spans="1:12" ht="18">
      <c r="A12" s="69"/>
      <c r="B12" s="48" t="s">
        <v>38</v>
      </c>
      <c r="C12" s="490">
        <v>20</v>
      </c>
      <c r="D12" s="446"/>
      <c r="F12" s="480" t="s">
        <v>17</v>
      </c>
      <c r="G12" s="480">
        <v>20</v>
      </c>
      <c r="H12" s="480"/>
      <c r="I12" s="480"/>
      <c r="J12" s="480"/>
      <c r="K12" s="831"/>
      <c r="L12" s="831"/>
    </row>
    <row r="13" spans="1:12" ht="18">
      <c r="A13" s="69"/>
      <c r="B13" s="48" t="s">
        <v>39</v>
      </c>
      <c r="C13" s="490">
        <v>15</v>
      </c>
      <c r="D13" s="446"/>
      <c r="F13" s="480" t="s">
        <v>23</v>
      </c>
      <c r="G13" s="480">
        <v>0</v>
      </c>
      <c r="H13" s="480"/>
      <c r="I13" s="479" t="s">
        <v>1</v>
      </c>
      <c r="J13" s="480"/>
      <c r="K13" s="831"/>
      <c r="L13" s="831"/>
    </row>
    <row r="14" spans="1:12" ht="18">
      <c r="A14" s="69"/>
      <c r="B14" s="48" t="s">
        <v>40</v>
      </c>
      <c r="C14" s="490">
        <v>10</v>
      </c>
      <c r="D14" s="446"/>
      <c r="F14" s="480" t="s">
        <v>20</v>
      </c>
      <c r="G14" s="480">
        <v>20</v>
      </c>
      <c r="H14" s="480"/>
      <c r="I14" s="479" t="s">
        <v>2</v>
      </c>
      <c r="J14" s="480">
        <v>-20</v>
      </c>
      <c r="K14" s="831"/>
      <c r="L14" s="831"/>
    </row>
    <row r="15" spans="1:12">
      <c r="A15" s="69" t="s">
        <v>8</v>
      </c>
      <c r="B15" s="342" t="s">
        <v>31</v>
      </c>
      <c r="C15" s="53">
        <f>VLOOKUP(B15,F21:G31,2,FALSE)</f>
        <v>0</v>
      </c>
      <c r="D15" s="446"/>
      <c r="F15" s="480" t="s">
        <v>19</v>
      </c>
      <c r="G15" s="480">
        <v>10</v>
      </c>
      <c r="H15" s="480"/>
      <c r="I15" s="479" t="s">
        <v>15</v>
      </c>
      <c r="J15" s="480">
        <v>0</v>
      </c>
      <c r="K15" s="831"/>
      <c r="L15" s="831"/>
    </row>
    <row r="16" spans="1:12">
      <c r="A16" s="69" t="s">
        <v>6</v>
      </c>
      <c r="B16" s="342" t="s">
        <v>528</v>
      </c>
      <c r="C16" s="53">
        <f>VLOOKUP(B16,F8:G18,2,FALSE)</f>
        <v>10</v>
      </c>
      <c r="D16" s="446"/>
      <c r="F16" s="480" t="s">
        <v>529</v>
      </c>
      <c r="G16" s="480">
        <v>0</v>
      </c>
      <c r="H16" s="480"/>
      <c r="I16" s="479" t="s">
        <v>3</v>
      </c>
      <c r="J16" s="480">
        <v>30</v>
      </c>
      <c r="K16" s="831"/>
      <c r="L16" s="831"/>
    </row>
    <row r="17" spans="1:12" ht="15.75">
      <c r="A17" s="69" t="s">
        <v>1057</v>
      </c>
      <c r="B17" s="852" t="s">
        <v>24</v>
      </c>
      <c r="C17" s="447">
        <v>0</v>
      </c>
      <c r="D17" s="446"/>
      <c r="E17" s="489" t="str">
        <f>IF(C17&gt;25,"Sind Sie sicher?"," ")</f>
        <v xml:space="preserve"> </v>
      </c>
      <c r="F17" s="480" t="s">
        <v>21</v>
      </c>
      <c r="G17" s="480">
        <v>10</v>
      </c>
      <c r="H17" s="480"/>
      <c r="I17" s="480"/>
      <c r="J17" s="480"/>
      <c r="K17" s="831"/>
      <c r="L17" s="831"/>
    </row>
    <row r="18" spans="1:12" ht="15.75" thickBot="1">
      <c r="A18" s="69" t="s">
        <v>159</v>
      </c>
      <c r="B18" s="342" t="s">
        <v>160</v>
      </c>
      <c r="C18" s="76">
        <f>VLOOKUP(B18,I8:J9,2,FALSE)</f>
        <v>0</v>
      </c>
      <c r="D18" s="343"/>
      <c r="F18" s="480" t="s">
        <v>18</v>
      </c>
      <c r="G18" s="480">
        <v>20</v>
      </c>
      <c r="H18" s="480"/>
      <c r="I18" s="480"/>
      <c r="J18" s="480"/>
      <c r="K18" s="831"/>
      <c r="L18" s="831"/>
    </row>
    <row r="19" spans="1:12" ht="23.25" customHeight="1" thickBot="1">
      <c r="A19" s="283"/>
      <c r="B19" s="284" t="s">
        <v>468</v>
      </c>
      <c r="C19" s="276">
        <f>C10+C11-SUM(C12:C18)</f>
        <v>175</v>
      </c>
      <c r="D19" s="285" t="s">
        <v>470</v>
      </c>
      <c r="F19" s="842"/>
      <c r="G19" s="842"/>
      <c r="H19" s="842"/>
      <c r="J19" s="480"/>
      <c r="K19" s="831"/>
      <c r="L19" s="831"/>
    </row>
    <row r="20" spans="1:12" ht="19.5" customHeight="1" thickBot="1">
      <c r="F20" s="479" t="s">
        <v>8</v>
      </c>
      <c r="G20" s="480"/>
      <c r="H20" s="480"/>
      <c r="I20" s="1487" t="s">
        <v>178</v>
      </c>
      <c r="J20" s="1488"/>
      <c r="K20" s="831"/>
      <c r="L20" s="831"/>
    </row>
    <row r="21" spans="1:12" ht="19.5" customHeight="1">
      <c r="A21" s="3040" t="s">
        <v>491</v>
      </c>
      <c r="B21" s="3041"/>
      <c r="C21" s="265" t="s">
        <v>140</v>
      </c>
      <c r="D21" s="2543" t="s">
        <v>336</v>
      </c>
      <c r="F21" s="480" t="s">
        <v>31</v>
      </c>
      <c r="G21" s="480">
        <v>0</v>
      </c>
      <c r="H21" s="480"/>
      <c r="I21" s="1488" t="s">
        <v>1198</v>
      </c>
      <c r="J21" s="1488">
        <v>1</v>
      </c>
      <c r="K21" s="831"/>
      <c r="L21" s="831"/>
    </row>
    <row r="22" spans="1:12" ht="19.5" customHeight="1" thickBot="1">
      <c r="A22" s="3042"/>
      <c r="B22" s="3043"/>
      <c r="C22" s="266" t="s">
        <v>4</v>
      </c>
      <c r="D22" s="2488"/>
      <c r="F22" s="480" t="s">
        <v>25</v>
      </c>
      <c r="G22" s="480">
        <v>0</v>
      </c>
      <c r="H22" s="480"/>
      <c r="I22" s="1488" t="s">
        <v>184</v>
      </c>
      <c r="J22" s="1488">
        <v>0.5</v>
      </c>
      <c r="K22" s="831"/>
      <c r="L22" s="831"/>
    </row>
    <row r="23" spans="1:12" ht="19.5" customHeight="1">
      <c r="A23" s="81" t="s">
        <v>35</v>
      </c>
      <c r="B23" s="345">
        <v>45</v>
      </c>
      <c r="C23" s="59">
        <f>IF(OR(B23&lt;1,B23&gt;100),"Zahl 0 bis 100 eingeben",(-0.0025*B23*B23+0.75*B23-26)*0.4)</f>
        <v>1.075</v>
      </c>
      <c r="D23" s="82" t="s">
        <v>163</v>
      </c>
      <c r="F23" s="480" t="s">
        <v>26</v>
      </c>
      <c r="G23" s="480">
        <v>0</v>
      </c>
      <c r="H23" s="480"/>
      <c r="I23" s="1488" t="s">
        <v>1200</v>
      </c>
      <c r="J23" s="1488">
        <v>0.6</v>
      </c>
      <c r="K23" s="831"/>
      <c r="L23" s="831"/>
    </row>
    <row r="24" spans="1:12" ht="19.5" customHeight="1">
      <c r="A24" s="81" t="s">
        <v>162</v>
      </c>
      <c r="B24" s="345">
        <v>80</v>
      </c>
      <c r="C24" s="59">
        <f>IF(OR(B24&lt;40,B24&gt;800),"gibt es nicht",(B24*0.025-1))</f>
        <v>1</v>
      </c>
      <c r="D24" s="82" t="s">
        <v>164</v>
      </c>
      <c r="F24" s="480" t="s">
        <v>27</v>
      </c>
      <c r="G24" s="480">
        <v>20</v>
      </c>
      <c r="H24" s="480"/>
      <c r="I24" s="1488" t="s">
        <v>1201</v>
      </c>
      <c r="J24" s="1488">
        <v>0.4</v>
      </c>
      <c r="K24" s="831"/>
      <c r="L24" s="831"/>
    </row>
    <row r="25" spans="1:12" ht="19.5" customHeight="1">
      <c r="A25" s="81" t="s">
        <v>51</v>
      </c>
      <c r="B25" s="342" t="s">
        <v>31</v>
      </c>
      <c r="C25" s="66">
        <f>VLOOKUP(B25,I21:J27,2,FALSE)</f>
        <v>0</v>
      </c>
      <c r="D25" s="83" t="s">
        <v>50</v>
      </c>
      <c r="F25" s="480" t="s">
        <v>28</v>
      </c>
      <c r="G25" s="480">
        <v>10</v>
      </c>
      <c r="H25" s="480"/>
      <c r="I25" s="1488" t="s">
        <v>1199</v>
      </c>
      <c r="J25" s="1488">
        <v>0.35</v>
      </c>
      <c r="K25" s="831"/>
      <c r="L25" s="831"/>
    </row>
    <row r="26" spans="1:12" ht="19.5" customHeight="1">
      <c r="A26" s="81" t="s">
        <v>46</v>
      </c>
      <c r="B26" s="493">
        <v>0</v>
      </c>
      <c r="C26" s="54">
        <f>B26*10*C25</f>
        <v>0</v>
      </c>
      <c r="D26" s="82" t="s">
        <v>163</v>
      </c>
      <c r="F26" s="480" t="s">
        <v>29</v>
      </c>
      <c r="G26" s="480">
        <v>10</v>
      </c>
      <c r="H26" s="480"/>
      <c r="I26" s="1488" t="s">
        <v>48</v>
      </c>
      <c r="J26" s="1488">
        <v>0.3</v>
      </c>
      <c r="K26" s="831"/>
      <c r="L26" s="831"/>
    </row>
    <row r="27" spans="1:12" ht="24" customHeight="1">
      <c r="A27" s="84" t="s">
        <v>47</v>
      </c>
      <c r="B27" s="492" t="str">
        <f>IF(B26&gt;3,"Sind Sie sicher?"," ")</f>
        <v xml:space="preserve"> </v>
      </c>
      <c r="C27" s="54"/>
      <c r="D27" s="82"/>
      <c r="F27" s="480" t="s">
        <v>673</v>
      </c>
      <c r="G27" s="480">
        <v>30</v>
      </c>
      <c r="H27" s="480"/>
      <c r="I27" s="1488" t="s">
        <v>31</v>
      </c>
      <c r="J27" s="1488">
        <v>0</v>
      </c>
      <c r="K27" s="831"/>
      <c r="L27" s="831"/>
    </row>
    <row r="28" spans="1:12" ht="30.75" customHeight="1">
      <c r="A28" s="81" t="s">
        <v>69</v>
      </c>
      <c r="B28" s="522" t="s">
        <v>54</v>
      </c>
      <c r="C28" s="54">
        <f>VLOOKUP(B28,I30:J31,2,FALSE)</f>
        <v>0</v>
      </c>
      <c r="D28" s="85" t="s">
        <v>70</v>
      </c>
      <c r="F28" s="480" t="s">
        <v>30</v>
      </c>
      <c r="G28" s="480">
        <v>40</v>
      </c>
      <c r="H28" s="480"/>
      <c r="I28" s="480"/>
      <c r="J28" s="480"/>
      <c r="K28" s="831"/>
      <c r="L28" s="831"/>
    </row>
    <row r="29" spans="1:12" ht="11.25" customHeight="1">
      <c r="A29" s="81"/>
      <c r="B29" s="177" t="s">
        <v>348</v>
      </c>
      <c r="C29" s="444">
        <v>13.5</v>
      </c>
      <c r="D29" s="224" t="s">
        <v>709</v>
      </c>
      <c r="E29" s="14"/>
      <c r="F29" s="480" t="s">
        <v>9</v>
      </c>
      <c r="G29" s="480">
        <v>0</v>
      </c>
      <c r="H29" s="480"/>
      <c r="I29" s="479" t="s">
        <v>69</v>
      </c>
      <c r="J29" s="480"/>
      <c r="K29" s="831"/>
      <c r="L29" s="831"/>
    </row>
    <row r="30" spans="1:12" ht="14.25" customHeight="1" thickBot="1">
      <c r="A30" s="86"/>
      <c r="B30" s="87" t="s">
        <v>1197</v>
      </c>
      <c r="C30" s="470" t="s">
        <v>470</v>
      </c>
      <c r="D30" s="88" t="s">
        <v>64</v>
      </c>
      <c r="F30" s="480" t="s">
        <v>10</v>
      </c>
      <c r="G30" s="480">
        <v>10</v>
      </c>
      <c r="H30" s="480"/>
      <c r="I30" s="480" t="s">
        <v>250</v>
      </c>
      <c r="J30" s="480">
        <v>15</v>
      </c>
      <c r="K30" s="831"/>
      <c r="L30" s="831"/>
    </row>
    <row r="31" spans="1:12" ht="15.75" customHeight="1">
      <c r="A31" s="89" t="s">
        <v>61</v>
      </c>
      <c r="B31" s="49">
        <f>B34*0.3+C24*0.6</f>
        <v>67.408799999999985</v>
      </c>
      <c r="C31" s="267">
        <f>B31-C12-C13*0.25+C28</f>
        <v>43.658799999999985</v>
      </c>
      <c r="D31" s="46" t="s">
        <v>766</v>
      </c>
      <c r="F31" s="480" t="s">
        <v>31</v>
      </c>
      <c r="G31" s="480">
        <v>0</v>
      </c>
      <c r="H31" s="480"/>
      <c r="I31" s="480" t="s">
        <v>54</v>
      </c>
      <c r="J31" s="480">
        <v>0</v>
      </c>
      <c r="K31" s="831"/>
      <c r="L31" s="831"/>
    </row>
    <row r="32" spans="1:12" ht="18.75">
      <c r="A32" s="89" t="s">
        <v>62</v>
      </c>
      <c r="B32" s="90">
        <f>B34*0.4+C24*0.4</f>
        <v>89.478400000000008</v>
      </c>
      <c r="C32" s="268">
        <f>B32-C13*0.75-C14*0.5-C15*0.4-C16*0.4-C17*0.3-C23*0.5-C26*0.4-C28</f>
        <v>68.690900000000013</v>
      </c>
      <c r="D32" s="46" t="s">
        <v>165</v>
      </c>
      <c r="F32" s="842"/>
      <c r="G32" s="842"/>
      <c r="H32" s="842"/>
      <c r="J32" s="842"/>
      <c r="K32" s="831"/>
      <c r="L32" s="831"/>
    </row>
    <row r="33" spans="1:12" ht="19.5" thickBot="1">
      <c r="A33" s="89" t="s">
        <v>63</v>
      </c>
      <c r="B33" s="90">
        <f>B34*0.3</f>
        <v>66.808799999999991</v>
      </c>
      <c r="C33" s="269">
        <f>B33-C15*0.6-C16*0.6-C17*0.35-C23*0.5-C26*0.6</f>
        <v>60.271299999999989</v>
      </c>
      <c r="D33" s="46" t="s">
        <v>166</v>
      </c>
      <c r="I33" s="831"/>
      <c r="K33" s="831"/>
      <c r="L33" s="831"/>
    </row>
    <row r="34" spans="1:12" ht="27">
      <c r="A34" s="77" t="s">
        <v>718</v>
      </c>
      <c r="B34" s="65">
        <f>(C48+C50)*1.14</f>
        <v>222.696</v>
      </c>
      <c r="C34" s="245">
        <f>C31+C32+C33</f>
        <v>172.62099999999998</v>
      </c>
      <c r="D34" s="222" t="str">
        <f>IF(C34&gt;C19,"Obergrenze einhalten!!!"," ")</f>
        <v xml:space="preserve"> </v>
      </c>
      <c r="I34" s="831"/>
      <c r="K34" s="831"/>
      <c r="L34" s="831"/>
    </row>
    <row r="35" spans="1:12" ht="19.5" customHeight="1">
      <c r="I35" s="831"/>
      <c r="K35" s="831"/>
      <c r="L35" s="831"/>
    </row>
    <row r="36" spans="1:12" ht="31.5">
      <c r="A36" s="404"/>
      <c r="B36" s="405"/>
      <c r="C36" s="406" t="s">
        <v>719</v>
      </c>
      <c r="D36" s="407"/>
      <c r="I36" s="831"/>
      <c r="K36" s="831"/>
      <c r="L36" s="831"/>
    </row>
    <row r="37" spans="1:12" ht="15.75">
      <c r="A37" s="408"/>
      <c r="B37" s="371" t="s">
        <v>42</v>
      </c>
      <c r="C37" s="409">
        <f>C19</f>
        <v>175</v>
      </c>
      <c r="D37" s="410" t="s">
        <v>4</v>
      </c>
      <c r="I37" s="831"/>
      <c r="K37" s="831"/>
      <c r="L37" s="831"/>
    </row>
    <row r="38" spans="1:12" ht="51.75" customHeight="1">
      <c r="A38" s="3044" t="s">
        <v>702</v>
      </c>
      <c r="B38" s="775" t="s">
        <v>701</v>
      </c>
      <c r="C38" s="781">
        <v>0</v>
      </c>
      <c r="D38" s="779" t="s">
        <v>484</v>
      </c>
      <c r="I38" s="831"/>
      <c r="K38" s="831"/>
      <c r="L38" s="831"/>
    </row>
    <row r="39" spans="1:12" ht="30" customHeight="1">
      <c r="A39" s="3045"/>
      <c r="B39" s="776" t="s">
        <v>704</v>
      </c>
      <c r="C39" s="771">
        <v>0</v>
      </c>
      <c r="D39" s="415" t="s">
        <v>485</v>
      </c>
      <c r="I39" s="831"/>
      <c r="K39" s="831"/>
      <c r="L39" s="831"/>
    </row>
    <row r="40" spans="1:12" ht="21" customHeight="1">
      <c r="A40" s="859" t="s">
        <v>817</v>
      </c>
      <c r="B40" s="777" t="s">
        <v>705</v>
      </c>
      <c r="C40" s="780">
        <v>0</v>
      </c>
      <c r="D40" s="415" t="s">
        <v>254</v>
      </c>
      <c r="F40" s="478"/>
      <c r="G40" s="480"/>
      <c r="H40" s="478"/>
      <c r="I40" s="478"/>
      <c r="J40" s="478"/>
      <c r="K40" s="831"/>
      <c r="L40" s="831"/>
    </row>
    <row r="41" spans="1:12" ht="21" customHeight="1">
      <c r="A41" s="3044" t="s">
        <v>703</v>
      </c>
      <c r="B41" s="775" t="s">
        <v>706</v>
      </c>
      <c r="C41" s="771">
        <v>0</v>
      </c>
      <c r="D41" s="779" t="s">
        <v>484</v>
      </c>
      <c r="G41" s="842"/>
      <c r="J41" s="842"/>
      <c r="K41" s="831"/>
      <c r="L41" s="831"/>
    </row>
    <row r="42" spans="1:12" ht="23.25" customHeight="1">
      <c r="A42" s="3045"/>
      <c r="B42" s="776" t="s">
        <v>707</v>
      </c>
      <c r="C42" s="771">
        <v>0</v>
      </c>
      <c r="D42" s="415" t="s">
        <v>485</v>
      </c>
      <c r="G42" s="842"/>
      <c r="J42" s="842"/>
      <c r="K42" s="831"/>
      <c r="L42" s="831"/>
    </row>
    <row r="43" spans="1:12" ht="30.75" customHeight="1">
      <c r="A43" s="859" t="s">
        <v>817</v>
      </c>
      <c r="B43" s="778" t="s">
        <v>708</v>
      </c>
      <c r="C43" s="771">
        <v>0</v>
      </c>
      <c r="D43" s="415" t="s">
        <v>254</v>
      </c>
      <c r="G43" s="842"/>
      <c r="J43" s="842"/>
      <c r="K43" s="831"/>
      <c r="L43" s="831"/>
    </row>
    <row r="44" spans="1:12" ht="20.25" customHeight="1">
      <c r="A44" s="355"/>
      <c r="B44" s="984" t="s">
        <v>255</v>
      </c>
      <c r="C44" s="414">
        <f>(C38*C39*C40/100)+(C41*C42*C43/100)</f>
        <v>0</v>
      </c>
      <c r="D44" s="416" t="s">
        <v>4</v>
      </c>
    </row>
    <row r="45" spans="1:12" ht="36" customHeight="1">
      <c r="A45" s="986"/>
      <c r="B45" s="985" t="s">
        <v>136</v>
      </c>
      <c r="C45" s="414">
        <f>C37-C44</f>
        <v>175</v>
      </c>
      <c r="D45" s="417" t="s">
        <v>4</v>
      </c>
      <c r="F45" s="844" t="s">
        <v>183</v>
      </c>
      <c r="G45" s="846" t="s">
        <v>186</v>
      </c>
      <c r="H45" s="842"/>
      <c r="I45" s="831"/>
      <c r="J45" s="842"/>
      <c r="L45" s="831"/>
    </row>
    <row r="46" spans="1:12" ht="19.5" customHeight="1">
      <c r="A46" s="852"/>
      <c r="B46" s="853"/>
      <c r="C46" s="95"/>
      <c r="D46" s="162"/>
      <c r="F46" s="919" t="s">
        <v>179</v>
      </c>
      <c r="G46" s="843">
        <v>90</v>
      </c>
      <c r="H46" s="842"/>
      <c r="I46" s="831"/>
      <c r="J46" s="842"/>
      <c r="L46" s="831"/>
    </row>
    <row r="47" spans="1:12" ht="18.75" customHeight="1">
      <c r="A47" s="78"/>
      <c r="B47" s="79"/>
      <c r="C47" s="845" t="s">
        <v>60</v>
      </c>
      <c r="D47" s="80"/>
      <c r="F47" s="919" t="s">
        <v>804</v>
      </c>
      <c r="G47" s="843">
        <v>70</v>
      </c>
      <c r="H47" s="842"/>
      <c r="I47" s="831"/>
      <c r="J47" s="842"/>
      <c r="L47" s="831"/>
    </row>
    <row r="48" spans="1:12" ht="18.75" customHeight="1">
      <c r="A48" s="81"/>
      <c r="B48" s="48" t="s">
        <v>12</v>
      </c>
      <c r="C48" s="218">
        <f>C7*0.86*C29/5.7</f>
        <v>162.94736842105263</v>
      </c>
      <c r="D48" s="104" t="str">
        <f>IF(C48&gt;200,"mehr als 200 kg Korn-N/ha ist unrealistisch!","Korn-N-Abfuhr")</f>
        <v>Korn-N-Abfuhr</v>
      </c>
      <c r="F48" s="919" t="s">
        <v>805</v>
      </c>
      <c r="G48" s="843">
        <v>70</v>
      </c>
      <c r="H48" s="842"/>
      <c r="I48" s="831"/>
      <c r="J48" s="842"/>
      <c r="L48" s="831"/>
    </row>
    <row r="49" spans="1:12" ht="18.75" customHeight="1">
      <c r="A49" s="81"/>
      <c r="B49" s="93" t="s">
        <v>14</v>
      </c>
      <c r="C49" s="219">
        <f>(115-0.5*C7)/100</f>
        <v>0.75</v>
      </c>
      <c r="D49" s="94" t="s">
        <v>338</v>
      </c>
      <c r="E49" s="15"/>
      <c r="F49" s="919" t="s">
        <v>809</v>
      </c>
      <c r="G49" s="844">
        <v>70</v>
      </c>
      <c r="H49" s="842"/>
      <c r="I49" s="831"/>
      <c r="J49" s="842"/>
      <c r="L49" s="831"/>
    </row>
    <row r="50" spans="1:12" ht="18.75" customHeight="1">
      <c r="A50" s="81"/>
      <c r="B50" s="48" t="s">
        <v>13</v>
      </c>
      <c r="C50" s="59">
        <f>C7*C49*C29/25</f>
        <v>32.4</v>
      </c>
      <c r="D50" s="82"/>
      <c r="F50" s="782" t="s">
        <v>810</v>
      </c>
      <c r="G50" s="844">
        <v>60</v>
      </c>
      <c r="H50" s="842"/>
      <c r="I50" s="831"/>
      <c r="J50" s="842"/>
      <c r="L50" s="831"/>
    </row>
    <row r="51" spans="1:12" ht="18.75" customHeight="1">
      <c r="A51" s="792" t="s">
        <v>68</v>
      </c>
      <c r="B51" s="48" t="s">
        <v>141</v>
      </c>
      <c r="C51" s="115">
        <f>C34-C48</f>
        <v>9.6736315789473508</v>
      </c>
      <c r="D51" s="96" t="s">
        <v>4</v>
      </c>
      <c r="F51" s="919" t="s">
        <v>48</v>
      </c>
      <c r="G51" s="844">
        <v>60</v>
      </c>
      <c r="H51" s="842"/>
      <c r="I51" s="831"/>
      <c r="J51" s="842"/>
      <c r="L51" s="831"/>
    </row>
    <row r="52" spans="1:12" ht="18.75" customHeight="1">
      <c r="A52" s="793" t="s">
        <v>729</v>
      </c>
      <c r="B52" s="48" t="s">
        <v>142</v>
      </c>
      <c r="C52" s="220">
        <f>C34-C48-C50</f>
        <v>-22.726368421052648</v>
      </c>
      <c r="D52" s="96" t="s">
        <v>4</v>
      </c>
      <c r="E52" s="14"/>
      <c r="F52" s="919" t="s">
        <v>811</v>
      </c>
      <c r="G52" s="843">
        <v>45</v>
      </c>
      <c r="H52" s="842"/>
      <c r="I52" s="831"/>
      <c r="J52" s="842"/>
      <c r="L52" s="831"/>
    </row>
    <row r="53" spans="1:12" ht="18.75" customHeight="1">
      <c r="A53" s="792" t="s">
        <v>67</v>
      </c>
      <c r="B53" s="48" t="s">
        <v>141</v>
      </c>
      <c r="C53" s="220">
        <f>C19-C48</f>
        <v>12.05263157894737</v>
      </c>
      <c r="D53" s="96" t="s">
        <v>4</v>
      </c>
      <c r="E53" s="14"/>
      <c r="F53" s="782" t="s">
        <v>806</v>
      </c>
      <c r="G53" s="844">
        <v>30</v>
      </c>
      <c r="H53" s="842"/>
      <c r="I53" s="831"/>
      <c r="J53" s="842"/>
      <c r="L53" s="831"/>
    </row>
    <row r="54" spans="1:12" ht="18.75" customHeight="1">
      <c r="A54" s="987" t="s">
        <v>729</v>
      </c>
      <c r="B54" s="97" t="s">
        <v>142</v>
      </c>
      <c r="C54" s="221">
        <f>C19-C48-C50</f>
        <v>-20.347368421052629</v>
      </c>
      <c r="D54" s="99" t="s">
        <v>4</v>
      </c>
      <c r="F54" s="919" t="s">
        <v>1019</v>
      </c>
      <c r="G54" s="844">
        <v>30</v>
      </c>
      <c r="H54" s="842"/>
      <c r="I54" s="831"/>
      <c r="J54" s="842"/>
      <c r="L54" s="831"/>
    </row>
    <row r="55" spans="1:12" ht="19.5" customHeight="1" thickBot="1">
      <c r="A55" s="48"/>
      <c r="B55" s="2456"/>
      <c r="C55" s="2526"/>
      <c r="D55" s="2526"/>
      <c r="F55" s="919" t="s">
        <v>187</v>
      </c>
      <c r="G55" s="844">
        <v>30</v>
      </c>
      <c r="H55" s="842"/>
      <c r="I55" s="831"/>
      <c r="J55" s="842"/>
      <c r="L55" s="831"/>
    </row>
    <row r="56" spans="1:12" ht="18.75" customHeight="1">
      <c r="A56" s="3049" t="s">
        <v>578</v>
      </c>
      <c r="B56" s="3053"/>
      <c r="C56" s="1777" t="s">
        <v>587</v>
      </c>
      <c r="D56" s="603" t="s">
        <v>587</v>
      </c>
      <c r="F56" s="919" t="s">
        <v>813</v>
      </c>
      <c r="G56" s="844">
        <v>30</v>
      </c>
      <c r="H56" s="842"/>
      <c r="I56" s="831"/>
      <c r="J56" s="842"/>
      <c r="L56" s="831"/>
    </row>
    <row r="57" spans="1:12" ht="18.75" customHeight="1">
      <c r="A57" s="3054" t="s">
        <v>590</v>
      </c>
      <c r="B57" s="624" t="s">
        <v>579</v>
      </c>
      <c r="C57" s="622" t="s">
        <v>580</v>
      </c>
      <c r="D57" s="625" t="s">
        <v>581</v>
      </c>
      <c r="F57" s="919" t="s">
        <v>814</v>
      </c>
      <c r="G57" s="844">
        <v>30</v>
      </c>
      <c r="H57" s="842"/>
      <c r="I57" s="831"/>
      <c r="J57" s="842"/>
      <c r="L57" s="831"/>
    </row>
    <row r="58" spans="1:12" ht="18.75" customHeight="1">
      <c r="A58" s="3055"/>
      <c r="B58" s="601" t="s">
        <v>583</v>
      </c>
      <c r="C58" s="263">
        <f>C60*2</f>
        <v>128</v>
      </c>
      <c r="D58" s="602">
        <f>D60*2</f>
        <v>0</v>
      </c>
      <c r="F58" s="919" t="s">
        <v>815</v>
      </c>
      <c r="G58" s="844">
        <v>30</v>
      </c>
      <c r="H58" s="842"/>
      <c r="I58" s="831"/>
      <c r="J58" s="842"/>
      <c r="L58" s="831"/>
    </row>
    <row r="59" spans="1:12" ht="18.75" customHeight="1">
      <c r="A59" s="3055"/>
      <c r="B59" s="601" t="s">
        <v>584</v>
      </c>
      <c r="C59" s="263">
        <f>C60*1.5</f>
        <v>96</v>
      </c>
      <c r="D59" s="602">
        <f>D60*1.5</f>
        <v>0</v>
      </c>
      <c r="E59" s="153"/>
      <c r="F59" s="919" t="s">
        <v>180</v>
      </c>
      <c r="G59" s="844">
        <v>25</v>
      </c>
      <c r="H59" s="842"/>
      <c r="I59" s="831"/>
      <c r="J59" s="842"/>
      <c r="L59" s="831"/>
    </row>
    <row r="60" spans="1:12" ht="18.75" customHeight="1">
      <c r="A60" s="3055"/>
      <c r="B60" s="601" t="s">
        <v>585</v>
      </c>
      <c r="C60" s="605">
        <f>C7*0.8</f>
        <v>64</v>
      </c>
      <c r="D60" s="606">
        <f>C42*1.04</f>
        <v>0</v>
      </c>
      <c r="E60" s="153"/>
      <c r="F60" s="919" t="s">
        <v>807</v>
      </c>
      <c r="G60" s="844">
        <v>25</v>
      </c>
    </row>
    <row r="61" spans="1:12" ht="18.75" customHeight="1">
      <c r="A61" s="2959"/>
      <c r="B61" s="601" t="s">
        <v>586</v>
      </c>
      <c r="C61" s="263">
        <f>C60*0.5</f>
        <v>32</v>
      </c>
      <c r="D61" s="602">
        <f>D60*0.5</f>
        <v>0</v>
      </c>
      <c r="E61" s="114"/>
      <c r="F61" s="782" t="s">
        <v>808</v>
      </c>
      <c r="G61" s="844">
        <v>25</v>
      </c>
    </row>
    <row r="62" spans="1:12" ht="28.5" customHeight="1">
      <c r="A62" s="3056"/>
      <c r="B62" s="3058" t="s">
        <v>588</v>
      </c>
      <c r="C62" s="3060" t="s">
        <v>591</v>
      </c>
      <c r="D62" s="3061"/>
      <c r="F62" s="782" t="s">
        <v>816</v>
      </c>
      <c r="G62" s="844">
        <v>10</v>
      </c>
    </row>
    <row r="63" spans="1:12" ht="25.5" customHeight="1" thickBot="1">
      <c r="A63" s="3057"/>
      <c r="B63" s="3059"/>
      <c r="C63" s="3062"/>
      <c r="D63" s="3063"/>
      <c r="F63" s="782" t="s">
        <v>181</v>
      </c>
      <c r="G63" s="844">
        <v>10</v>
      </c>
    </row>
    <row r="64" spans="1:12" ht="18.75" customHeight="1">
      <c r="A64" s="48"/>
      <c r="B64" s="1772"/>
      <c r="C64" s="1773"/>
      <c r="D64" s="1773"/>
      <c r="F64" s="782" t="s">
        <v>188</v>
      </c>
      <c r="G64" s="844">
        <v>5</v>
      </c>
    </row>
    <row r="65" spans="1:12" ht="18.75" customHeight="1">
      <c r="A65" s="103" t="s">
        <v>167</v>
      </c>
      <c r="B65" s="101"/>
      <c r="C65" s="833"/>
      <c r="F65" s="782" t="s">
        <v>182</v>
      </c>
      <c r="G65" s="844">
        <v>3</v>
      </c>
    </row>
    <row r="66" spans="1:12" s="1770" customFormat="1" ht="27" customHeight="1">
      <c r="A66" s="848" t="s">
        <v>328</v>
      </c>
      <c r="B66" s="3051" t="s">
        <v>347</v>
      </c>
      <c r="C66" s="2413"/>
      <c r="D66" s="2413"/>
      <c r="F66" s="1774"/>
      <c r="G66" s="1775"/>
      <c r="I66" s="1421"/>
      <c r="K66" s="1421"/>
      <c r="L66" s="1421"/>
    </row>
    <row r="67" spans="1:12" s="1770" customFormat="1" ht="18.75" customHeight="1">
      <c r="A67" s="848"/>
      <c r="B67" s="100" t="s">
        <v>341</v>
      </c>
      <c r="C67" s="102" t="s">
        <v>342</v>
      </c>
      <c r="D67" s="831"/>
      <c r="F67" s="1774"/>
      <c r="G67" s="1775"/>
      <c r="I67" s="1421"/>
      <c r="K67" s="1421"/>
      <c r="L67" s="1421"/>
    </row>
    <row r="68" spans="1:12" s="1770" customFormat="1" ht="18.75" customHeight="1">
      <c r="A68" s="848"/>
      <c r="B68" s="100" t="s">
        <v>343</v>
      </c>
      <c r="C68" s="102" t="s">
        <v>344</v>
      </c>
      <c r="D68" s="831"/>
      <c r="F68" s="1774"/>
      <c r="G68" s="1775"/>
      <c r="I68" s="1421"/>
      <c r="K68" s="1421"/>
      <c r="L68" s="1421"/>
    </row>
    <row r="69" spans="1:12" s="1770" customFormat="1" ht="18.75" customHeight="1">
      <c r="A69" s="848"/>
      <c r="B69" s="831"/>
      <c r="C69" s="831"/>
      <c r="D69" s="831"/>
      <c r="F69" s="1774"/>
      <c r="G69" s="1775"/>
      <c r="I69" s="1421"/>
      <c r="K69" s="1421"/>
      <c r="L69" s="1421"/>
    </row>
    <row r="70" spans="1:12" s="1770" customFormat="1" ht="18.75" customHeight="1">
      <c r="A70" s="848" t="s">
        <v>324</v>
      </c>
      <c r="B70" s="3051" t="s">
        <v>357</v>
      </c>
      <c r="C70" s="2736"/>
      <c r="D70" s="2736"/>
      <c r="F70" s="1774"/>
      <c r="G70" s="1775"/>
      <c r="I70" s="1421"/>
      <c r="K70" s="1421"/>
      <c r="L70" s="1421"/>
    </row>
    <row r="71" spans="1:12" s="1770" customFormat="1" ht="31.5" customHeight="1">
      <c r="A71" s="848"/>
      <c r="B71" s="101"/>
      <c r="C71" s="774"/>
      <c r="D71" s="831"/>
      <c r="F71" s="1774"/>
      <c r="G71" s="1775"/>
      <c r="I71" s="1421"/>
      <c r="K71" s="1421"/>
      <c r="L71" s="1421"/>
    </row>
    <row r="72" spans="1:12" s="1770" customFormat="1" ht="33" customHeight="1">
      <c r="A72" s="848"/>
      <c r="B72" s="100" t="s">
        <v>329</v>
      </c>
      <c r="C72" s="774"/>
      <c r="D72" s="842" t="s">
        <v>330</v>
      </c>
      <c r="F72" s="1774"/>
      <c r="G72" s="1775"/>
      <c r="I72" s="1421"/>
      <c r="K72" s="1421"/>
      <c r="L72" s="1421"/>
    </row>
    <row r="73" spans="1:12" s="1770" customFormat="1" ht="18.75" customHeight="1">
      <c r="A73" s="848" t="s">
        <v>168</v>
      </c>
      <c r="B73" s="100" t="s">
        <v>325</v>
      </c>
      <c r="C73" s="774"/>
      <c r="D73" s="774" t="s">
        <v>171</v>
      </c>
      <c r="F73" s="1774"/>
      <c r="G73" s="1775"/>
      <c r="I73" s="1421"/>
      <c r="K73" s="1421"/>
      <c r="L73" s="1421"/>
    </row>
    <row r="74" spans="1:12" s="1770" customFormat="1" ht="26.25" customHeight="1">
      <c r="A74" s="848" t="s">
        <v>169</v>
      </c>
      <c r="B74" s="100" t="s">
        <v>326</v>
      </c>
      <c r="C74" s="774"/>
      <c r="D74" s="772" t="s">
        <v>361</v>
      </c>
      <c r="F74" s="1774"/>
      <c r="G74" s="1775"/>
      <c r="I74" s="1421"/>
      <c r="K74" s="1421"/>
      <c r="L74" s="1421"/>
    </row>
    <row r="75" spans="1:12" s="1770" customFormat="1" ht="29.25" customHeight="1">
      <c r="A75" s="848" t="s">
        <v>170</v>
      </c>
      <c r="B75" s="100" t="s">
        <v>327</v>
      </c>
      <c r="C75" s="774"/>
      <c r="D75" s="773" t="s">
        <v>362</v>
      </c>
      <c r="F75" s="1774"/>
      <c r="G75" s="1775"/>
      <c r="I75" s="1421"/>
      <c r="K75" s="1421"/>
      <c r="L75" s="1421"/>
    </row>
    <row r="76" spans="1:12" s="1770" customFormat="1" ht="18.75" customHeight="1">
      <c r="A76" s="848" t="s">
        <v>340</v>
      </c>
      <c r="B76" s="100" t="s">
        <v>331</v>
      </c>
      <c r="C76" s="102"/>
      <c r="D76" s="831" t="s">
        <v>366</v>
      </c>
      <c r="F76" s="1774"/>
      <c r="G76" s="1775"/>
      <c r="I76" s="1421"/>
      <c r="K76" s="1421"/>
      <c r="L76" s="1421"/>
    </row>
    <row r="77" spans="1:12" s="1770" customFormat="1" ht="18.75" customHeight="1">
      <c r="A77" s="174" t="s">
        <v>409</v>
      </c>
      <c r="B77" s="831" t="s">
        <v>335</v>
      </c>
      <c r="C77" s="831"/>
      <c r="D77" s="831"/>
      <c r="F77" s="1774"/>
      <c r="G77" s="1775"/>
      <c r="I77" s="1421"/>
      <c r="K77" s="1421"/>
      <c r="L77" s="1421"/>
    </row>
    <row r="78" spans="1:12" s="1770" customFormat="1" ht="18.75" customHeight="1">
      <c r="A78" s="174"/>
      <c r="B78" s="831" t="s">
        <v>334</v>
      </c>
      <c r="C78" s="831"/>
      <c r="D78" s="831"/>
      <c r="F78" s="1774"/>
      <c r="G78" s="1775"/>
      <c r="I78" s="1421"/>
      <c r="K78" s="1421"/>
      <c r="L78" s="1421"/>
    </row>
    <row r="79" spans="1:12" ht="18.75" customHeight="1">
      <c r="B79" s="831"/>
      <c r="C79" s="831"/>
      <c r="I79" s="831"/>
    </row>
    <row r="80" spans="1:12" ht="19.5" customHeight="1">
      <c r="A80" s="848" t="s">
        <v>410</v>
      </c>
      <c r="B80" s="831" t="s">
        <v>339</v>
      </c>
      <c r="C80" s="831"/>
      <c r="I80" s="831"/>
    </row>
    <row r="81" spans="1:12" ht="15" customHeight="1">
      <c r="B81" s="831" t="s">
        <v>376</v>
      </c>
      <c r="C81" s="831"/>
      <c r="I81" s="831"/>
    </row>
    <row r="82" spans="1:12" ht="39" customHeight="1"/>
    <row r="83" spans="1:12" ht="18" customHeight="1">
      <c r="A83" s="174" t="s">
        <v>444</v>
      </c>
      <c r="B83" s="100" t="s">
        <v>445</v>
      </c>
    </row>
    <row r="84" spans="1:12" ht="17.25" customHeight="1">
      <c r="B84" s="100" t="s">
        <v>469</v>
      </c>
      <c r="E84" s="842"/>
    </row>
    <row r="85" spans="1:12" ht="39" customHeight="1">
      <c r="B85" s="3064" t="s">
        <v>448</v>
      </c>
      <c r="C85" s="3064"/>
      <c r="D85" s="3064"/>
      <c r="E85" s="3064"/>
      <c r="F85" s="3052" t="s">
        <v>332</v>
      </c>
    </row>
    <row r="86" spans="1:12" ht="94.5" customHeight="1">
      <c r="B86" s="138" t="s">
        <v>446</v>
      </c>
      <c r="E86" s="838"/>
      <c r="F86" s="3052"/>
      <c r="G86" s="2527" t="s">
        <v>333</v>
      </c>
      <c r="J86" s="121"/>
      <c r="K86" s="844"/>
      <c r="L86" s="844"/>
    </row>
    <row r="87" spans="1:12" ht="27.75" customHeight="1">
      <c r="B87" s="138" t="s">
        <v>447</v>
      </c>
      <c r="E87" s="840"/>
      <c r="G87" s="2527"/>
      <c r="K87" s="844"/>
      <c r="L87" s="844"/>
    </row>
    <row r="88" spans="1:12" ht="21.75" customHeight="1">
      <c r="B88" s="138" t="s">
        <v>589</v>
      </c>
    </row>
    <row r="89" spans="1:12" ht="24" customHeight="1">
      <c r="B89"/>
      <c r="C89"/>
      <c r="D89"/>
      <c r="G89" s="842"/>
      <c r="J89" s="842"/>
      <c r="K89" s="831"/>
      <c r="L89" s="831"/>
    </row>
    <row r="90" spans="1:12">
      <c r="B90"/>
      <c r="C90"/>
      <c r="D90" t="s">
        <v>449</v>
      </c>
      <c r="G90" s="842"/>
      <c r="J90" s="842"/>
      <c r="K90" s="831"/>
      <c r="L90" s="831"/>
    </row>
    <row r="91" spans="1:12" ht="92.25" customHeight="1">
      <c r="B91"/>
      <c r="C91" s="847" t="s">
        <v>149</v>
      </c>
      <c r="D91" t="s">
        <v>524</v>
      </c>
      <c r="G91" s="842"/>
      <c r="J91" s="842"/>
      <c r="K91" s="831"/>
      <c r="L91" s="831"/>
    </row>
    <row r="92" spans="1:12" ht="23.25" customHeight="1">
      <c r="B92" s="847" t="s">
        <v>147</v>
      </c>
      <c r="C92" s="847" t="s">
        <v>148</v>
      </c>
      <c r="D92" s="32" t="s">
        <v>152</v>
      </c>
      <c r="G92" s="842"/>
      <c r="J92" s="842"/>
      <c r="K92" s="831"/>
      <c r="L92" s="831"/>
    </row>
    <row r="93" spans="1:12" ht="21.75" customHeight="1">
      <c r="B93" s="847">
        <v>50</v>
      </c>
      <c r="C93" s="847">
        <v>185</v>
      </c>
      <c r="D93" s="847"/>
      <c r="G93" s="842"/>
      <c r="J93" s="842"/>
      <c r="K93" s="831"/>
      <c r="L93" s="831"/>
    </row>
    <row r="94" spans="1:12">
      <c r="B94" s="847">
        <v>60</v>
      </c>
      <c r="C94" s="847">
        <v>200</v>
      </c>
      <c r="D94" s="847"/>
    </row>
    <row r="95" spans="1:12">
      <c r="B95" s="847">
        <v>70</v>
      </c>
      <c r="C95" s="847">
        <v>215</v>
      </c>
      <c r="D95" s="847">
        <v>187</v>
      </c>
    </row>
    <row r="96" spans="1:12" ht="17.25" customHeight="1">
      <c r="B96" s="847">
        <v>80</v>
      </c>
      <c r="C96" s="847">
        <v>230</v>
      </c>
      <c r="D96" s="847"/>
    </row>
    <row r="97" spans="2:13" ht="17.25" customHeight="1">
      <c r="B97" s="847">
        <v>83</v>
      </c>
      <c r="C97" s="847"/>
      <c r="D97" s="847">
        <v>223</v>
      </c>
    </row>
    <row r="98" spans="2:13" ht="17.25" customHeight="1">
      <c r="B98" s="847">
        <v>90</v>
      </c>
      <c r="C98" s="847">
        <v>240</v>
      </c>
      <c r="D98" s="847"/>
    </row>
    <row r="99" spans="2:13">
      <c r="B99" s="847">
        <v>99</v>
      </c>
      <c r="C99" s="847"/>
      <c r="D99" s="847">
        <v>241</v>
      </c>
    </row>
    <row r="100" spans="2:13">
      <c r="B100" s="847">
        <v>100</v>
      </c>
      <c r="C100" s="847">
        <v>250</v>
      </c>
      <c r="D100" s="847"/>
    </row>
    <row r="101" spans="2:13">
      <c r="B101" s="847">
        <v>110</v>
      </c>
      <c r="C101" s="847">
        <v>260</v>
      </c>
      <c r="D101" s="847"/>
      <c r="E101"/>
      <c r="F101"/>
      <c r="G101"/>
      <c r="H101"/>
      <c r="I101"/>
      <c r="J101"/>
      <c r="K101"/>
      <c r="L101"/>
      <c r="M101"/>
    </row>
    <row r="102" spans="2:13">
      <c r="B102" s="847"/>
      <c r="C102" s="847"/>
      <c r="D102" s="847"/>
      <c r="E102"/>
      <c r="F102"/>
      <c r="G102"/>
      <c r="H102"/>
      <c r="I102"/>
      <c r="J102"/>
      <c r="K102"/>
      <c r="L102"/>
      <c r="M102"/>
    </row>
    <row r="103" spans="2:13">
      <c r="B103" s="847"/>
      <c r="C103" s="847"/>
      <c r="D103" s="847"/>
      <c r="E103"/>
      <c r="F103"/>
      <c r="G103"/>
      <c r="H103"/>
      <c r="I103"/>
      <c r="J103"/>
      <c r="K103"/>
      <c r="L103"/>
      <c r="M103"/>
    </row>
    <row r="104" spans="2:13">
      <c r="B104" s="847"/>
      <c r="C104" s="847"/>
      <c r="D104" s="847"/>
      <c r="E104" s="847"/>
      <c r="F104"/>
      <c r="G104"/>
      <c r="H104"/>
      <c r="I104"/>
      <c r="J104"/>
      <c r="K104"/>
      <c r="L104"/>
      <c r="M104"/>
    </row>
    <row r="105" spans="2:13">
      <c r="B105"/>
      <c r="C105"/>
      <c r="D105"/>
      <c r="E105" s="847"/>
      <c r="F105"/>
      <c r="G105"/>
      <c r="H105"/>
      <c r="I105"/>
      <c r="J105"/>
      <c r="K105"/>
      <c r="L105"/>
      <c r="M105"/>
    </row>
    <row r="106" spans="2:13">
      <c r="B106"/>
      <c r="C106"/>
      <c r="D106"/>
      <c r="E106" s="847"/>
      <c r="F106"/>
      <c r="G106"/>
      <c r="H106"/>
      <c r="I106"/>
      <c r="J106"/>
      <c r="K106"/>
      <c r="L106"/>
      <c r="M106"/>
    </row>
    <row r="107" spans="2:13">
      <c r="E107" s="847" t="s">
        <v>153</v>
      </c>
      <c r="F107"/>
      <c r="G107"/>
      <c r="H107"/>
      <c r="I107"/>
      <c r="J107"/>
      <c r="K107"/>
      <c r="L107"/>
      <c r="M107"/>
    </row>
    <row r="108" spans="2:13">
      <c r="E108" s="847"/>
      <c r="F108"/>
      <c r="G108"/>
      <c r="H108"/>
      <c r="I108"/>
      <c r="J108"/>
      <c r="K108"/>
      <c r="L108"/>
      <c r="M108"/>
    </row>
    <row r="109" spans="2:13">
      <c r="E109" s="847" t="s">
        <v>150</v>
      </c>
      <c r="F109"/>
      <c r="G109"/>
      <c r="H109"/>
      <c r="I109"/>
      <c r="J109"/>
      <c r="K109"/>
      <c r="L109"/>
      <c r="M109"/>
    </row>
    <row r="110" spans="2:13">
      <c r="E110" s="847"/>
      <c r="F110"/>
      <c r="G110"/>
      <c r="H110"/>
      <c r="I110"/>
      <c r="J110"/>
      <c r="K110"/>
      <c r="L110"/>
      <c r="M110"/>
    </row>
    <row r="111" spans="2:13">
      <c r="E111" s="847" t="s">
        <v>151</v>
      </c>
      <c r="F111"/>
      <c r="G111"/>
      <c r="H111"/>
      <c r="I111"/>
      <c r="J111"/>
      <c r="K111"/>
      <c r="L111"/>
      <c r="M111"/>
    </row>
    <row r="112" spans="2:13">
      <c r="E112" s="847"/>
      <c r="F112"/>
      <c r="G112"/>
      <c r="H112"/>
      <c r="I112"/>
      <c r="J112"/>
      <c r="K112"/>
      <c r="L112"/>
      <c r="M112"/>
    </row>
    <row r="113" spans="2:13">
      <c r="E113" s="847"/>
      <c r="F113"/>
      <c r="G113"/>
      <c r="H113"/>
      <c r="I113"/>
      <c r="J113"/>
      <c r="K113"/>
      <c r="L113"/>
      <c r="M113"/>
    </row>
    <row r="114" spans="2:13">
      <c r="E114" s="847"/>
      <c r="F114"/>
      <c r="G114"/>
      <c r="H114"/>
      <c r="I114"/>
      <c r="J114"/>
      <c r="K114"/>
      <c r="L114"/>
      <c r="M114"/>
    </row>
    <row r="115" spans="2:13">
      <c r="E115" s="847"/>
      <c r="F115"/>
      <c r="G115"/>
      <c r="H115"/>
      <c r="I115"/>
      <c r="J115"/>
      <c r="K115"/>
      <c r="L115"/>
      <c r="M115"/>
    </row>
    <row r="116" spans="2:13">
      <c r="E116" s="847"/>
      <c r="F116"/>
      <c r="G116"/>
      <c r="H116"/>
      <c r="I116"/>
      <c r="J116"/>
      <c r="K116"/>
      <c r="L116"/>
      <c r="M116"/>
    </row>
    <row r="117" spans="2:13">
      <c r="E117"/>
      <c r="F117"/>
      <c r="G117"/>
      <c r="H117"/>
      <c r="I117"/>
      <c r="J117"/>
      <c r="K117"/>
      <c r="L117"/>
      <c r="M117"/>
    </row>
    <row r="118" spans="2:13">
      <c r="B118" s="138" t="s">
        <v>450</v>
      </c>
      <c r="E118"/>
      <c r="F118"/>
      <c r="G118"/>
      <c r="H118"/>
      <c r="I118"/>
      <c r="J118"/>
      <c r="K118"/>
      <c r="L118"/>
      <c r="M118"/>
    </row>
    <row r="119" spans="2:13">
      <c r="F119"/>
      <c r="G119"/>
      <c r="H119"/>
      <c r="I119"/>
      <c r="J119"/>
      <c r="K119"/>
      <c r="L119"/>
      <c r="M119"/>
    </row>
  </sheetData>
  <sheetProtection formatCells="0" formatColumns="0" formatRows="0" selectLockedCells="1"/>
  <mergeCells count="17">
    <mergeCell ref="B55:D55"/>
    <mergeCell ref="B66:D66"/>
    <mergeCell ref="F85:F86"/>
    <mergeCell ref="B70:D70"/>
    <mergeCell ref="G86:G87"/>
    <mergeCell ref="A56:B56"/>
    <mergeCell ref="A57:A61"/>
    <mergeCell ref="A62:A63"/>
    <mergeCell ref="B62:B63"/>
    <mergeCell ref="C62:D63"/>
    <mergeCell ref="B85:E85"/>
    <mergeCell ref="A21:B22"/>
    <mergeCell ref="D21:D22"/>
    <mergeCell ref="A38:A39"/>
    <mergeCell ref="A41:A42"/>
    <mergeCell ref="A5:D5"/>
    <mergeCell ref="A6:B6"/>
  </mergeCells>
  <dataValidations count="8">
    <dataValidation type="list" allowBlank="1" sqref="B15">
      <formula1>$F$21:$F$31</formula1>
    </dataValidation>
    <dataValidation type="list" allowBlank="1" sqref="B25">
      <formula1>I21:I27</formula1>
    </dataValidation>
    <dataValidation type="list" allowBlank="1" sqref="B28">
      <formula1>Witterung</formula1>
    </dataValidation>
    <dataValidation type="list" allowBlank="1" sqref="C29">
      <mc:AlternateContent xmlns:x12ac="http://schemas.microsoft.com/office/spreadsheetml/2011/1/ac" xmlns:mc="http://schemas.openxmlformats.org/markup-compatibility/2006">
        <mc:Choice Requires="x12ac">
          <x12ac:list>10,"10,5",11,"11,5",12,"12,5",13,"13,5",14,"14,5",15,"15,5",16</x12ac:list>
        </mc:Choice>
        <mc:Fallback>
          <formula1>"10,10,5,11,11,5,12,12,5,13,13,5,14,14,5,15,15,5,16"</formula1>
        </mc:Fallback>
      </mc:AlternateContent>
    </dataValidation>
    <dataValidation type="list" allowBlank="1" sqref="B18">
      <formula1>"bis 4 %, größer 4 %"</formula1>
    </dataValidation>
    <dataValidation type="list" allowBlank="1" sqref="I8:I9">
      <formula1>"Humusgehalt"</formula1>
    </dataValidation>
    <dataValidation type="list" allowBlank="1" showInputMessage="1" showErrorMessage="1" sqref="B11">
      <formula1>Qualitätsgruppe</formula1>
    </dataValidation>
    <dataValidation type="list" allowBlank="1" sqref="B16">
      <formula1>Vorfrucht</formula1>
    </dataValidation>
  </dataValidations>
  <pageMargins left="0.7" right="0.7" top="0.78740157499999996" bottom="0.78740157499999996" header="0.3" footer="0.3"/>
  <pageSetup paperSize="9" scale="65" orientation="portrait" horizontalDpi="4294967293" vertic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0"/>
    <pageSetUpPr fitToPage="1"/>
  </sheetPr>
  <dimension ref="A1:K90"/>
  <sheetViews>
    <sheetView topLeftCell="A40" zoomScaleNormal="100" workbookViewId="0">
      <selection activeCell="C59" sqref="C59"/>
    </sheetView>
  </sheetViews>
  <sheetFormatPr baseColWidth="10" defaultRowHeight="15"/>
  <cols>
    <col min="1" max="1" width="38.7109375" style="174" customWidth="1"/>
    <col min="2" max="2" width="39.7109375" style="175" customWidth="1"/>
    <col min="3" max="3" width="22.28515625" style="916" customWidth="1"/>
    <col min="4" max="4" width="31.42578125" style="910" customWidth="1"/>
    <col min="5" max="5" width="17.7109375" style="910" customWidth="1"/>
    <col min="6" max="6" width="40" style="910" customWidth="1"/>
    <col min="7" max="7" width="36" style="910" customWidth="1"/>
    <col min="8" max="8" width="21" style="916" customWidth="1"/>
    <col min="9" max="9" width="17.28515625" style="910" customWidth="1"/>
    <col min="10" max="10" width="37.85546875" style="910" customWidth="1"/>
    <col min="11" max="11" width="21" style="910" customWidth="1"/>
    <col min="12" max="16384" width="11.42578125" style="910"/>
  </cols>
  <sheetData>
    <row r="1" spans="1:11">
      <c r="B1" s="412" t="str">
        <f>'DüV-N-Ackerbau'!C1</f>
        <v>Karl vom Land</v>
      </c>
      <c r="C1" s="412" t="str">
        <f>'DüV-N-Ackerbau'!F1</f>
        <v>Erntejahr</v>
      </c>
      <c r="E1" s="12" t="s">
        <v>36</v>
      </c>
    </row>
    <row r="2" spans="1:11">
      <c r="B2" s="412" t="str">
        <f>'DüV-N-Ackerbau'!C2</f>
        <v>Höfen 1</v>
      </c>
      <c r="C2" s="412">
        <f>'DüV-N-Ackerbau'!G1</f>
        <v>2022</v>
      </c>
      <c r="E2" s="13" t="s">
        <v>34</v>
      </c>
    </row>
    <row r="3" spans="1:11">
      <c r="B3" s="412" t="str">
        <f>'DüV-N-Ackerbau'!C3</f>
        <v>12345 Auf dem Feld</v>
      </c>
      <c r="C3" s="174"/>
    </row>
    <row r="4" spans="1:11" ht="6" customHeight="1" thickBot="1"/>
    <row r="5" spans="1:11" ht="21.75" thickBot="1">
      <c r="A5" s="3046" t="s">
        <v>111</v>
      </c>
      <c r="B5" s="3047"/>
      <c r="C5" s="3047"/>
      <c r="D5" s="3048"/>
    </row>
    <row r="6" spans="1:11" ht="48" customHeight="1" thickBot="1">
      <c r="A6" s="3049" t="s">
        <v>574</v>
      </c>
      <c r="B6" s="3050"/>
      <c r="C6" s="327" t="s">
        <v>573</v>
      </c>
      <c r="D6" s="472" t="s">
        <v>526</v>
      </c>
      <c r="G6" s="480"/>
      <c r="H6" s="479" t="s">
        <v>5</v>
      </c>
      <c r="I6" s="480"/>
      <c r="J6" s="480"/>
      <c r="K6" s="480"/>
    </row>
    <row r="7" spans="1:11" ht="15.75">
      <c r="A7" s="69"/>
      <c r="B7" s="48" t="s">
        <v>669</v>
      </c>
      <c r="C7" s="440">
        <v>80</v>
      </c>
      <c r="D7" s="441"/>
      <c r="G7" s="479" t="s">
        <v>6</v>
      </c>
      <c r="H7" s="480"/>
      <c r="I7" s="480"/>
      <c r="J7" s="480" t="s">
        <v>159</v>
      </c>
      <c r="K7" s="480"/>
    </row>
    <row r="8" spans="1:11" ht="15.75">
      <c r="A8" s="69"/>
      <c r="B8" s="48"/>
      <c r="C8" s="474" t="str">
        <f>IF(OR(C7&lt;30,C7&gt;150),"Sind Sie sicher?"," ")</f>
        <v xml:space="preserve"> </v>
      </c>
      <c r="D8" s="441"/>
      <c r="G8" s="480" t="s">
        <v>503</v>
      </c>
      <c r="H8" s="480">
        <v>0</v>
      </c>
      <c r="I8" s="480"/>
      <c r="J8" s="480" t="s">
        <v>160</v>
      </c>
      <c r="K8" s="480">
        <v>0</v>
      </c>
    </row>
    <row r="9" spans="1:11" ht="15.75">
      <c r="A9" s="69"/>
      <c r="B9" s="48"/>
      <c r="C9" s="469" t="s">
        <v>4</v>
      </c>
      <c r="D9" s="441"/>
      <c r="G9" s="480" t="s">
        <v>22</v>
      </c>
      <c r="H9" s="480">
        <v>10</v>
      </c>
      <c r="I9" s="480"/>
      <c r="J9" s="480" t="s">
        <v>161</v>
      </c>
      <c r="K9" s="480">
        <v>20</v>
      </c>
    </row>
    <row r="10" spans="1:11" ht="15.75">
      <c r="A10" s="69"/>
      <c r="B10" s="48" t="s">
        <v>37</v>
      </c>
      <c r="C10" s="922">
        <f>IF(C7&lt;=69,85+C7*1.5,(IF(C7&gt;=70,120+C7)))</f>
        <v>200</v>
      </c>
      <c r="D10" s="442"/>
      <c r="G10" s="480" t="s">
        <v>528</v>
      </c>
      <c r="H10" s="480">
        <v>10</v>
      </c>
      <c r="I10" s="480"/>
      <c r="J10" s="480"/>
      <c r="K10" s="480"/>
    </row>
    <row r="11" spans="1:11" ht="18">
      <c r="A11" s="69"/>
      <c r="B11" s="48" t="s">
        <v>38</v>
      </c>
      <c r="C11" s="490">
        <v>20</v>
      </c>
      <c r="D11" s="442"/>
      <c r="G11" s="480" t="s">
        <v>7</v>
      </c>
      <c r="H11" s="480">
        <v>10</v>
      </c>
      <c r="I11" s="480"/>
      <c r="J11" s="479" t="s">
        <v>49</v>
      </c>
      <c r="K11" s="480"/>
    </row>
    <row r="12" spans="1:11" ht="18">
      <c r="A12" s="69"/>
      <c r="B12" s="48" t="s">
        <v>39</v>
      </c>
      <c r="C12" s="490">
        <v>15</v>
      </c>
      <c r="D12" s="442"/>
      <c r="G12" s="480" t="s">
        <v>17</v>
      </c>
      <c r="H12" s="480">
        <v>20</v>
      </c>
      <c r="I12" s="480"/>
      <c r="J12" s="1488" t="s">
        <v>1198</v>
      </c>
      <c r="K12" s="1488">
        <v>1</v>
      </c>
    </row>
    <row r="13" spans="1:11" ht="18">
      <c r="A13" s="69"/>
      <c r="B13" s="48" t="s">
        <v>40</v>
      </c>
      <c r="C13" s="490">
        <v>10</v>
      </c>
      <c r="D13" s="442"/>
      <c r="G13" s="480" t="s">
        <v>23</v>
      </c>
      <c r="H13" s="480">
        <v>0</v>
      </c>
      <c r="I13" s="480"/>
      <c r="J13" s="1488" t="s">
        <v>184</v>
      </c>
      <c r="K13" s="1488">
        <v>0.5</v>
      </c>
    </row>
    <row r="14" spans="1:11">
      <c r="A14" s="69" t="s">
        <v>8</v>
      </c>
      <c r="B14" s="342" t="s">
        <v>31</v>
      </c>
      <c r="C14" s="149">
        <f>VLOOKUP(B14,G22:H32,2,FALSE)</f>
        <v>0</v>
      </c>
      <c r="D14" s="442"/>
      <c r="G14" s="480" t="s">
        <v>20</v>
      </c>
      <c r="H14" s="480">
        <v>20</v>
      </c>
      <c r="I14" s="480"/>
      <c r="J14" s="1488" t="s">
        <v>1200</v>
      </c>
      <c r="K14" s="1488">
        <v>0.6</v>
      </c>
    </row>
    <row r="15" spans="1:11">
      <c r="A15" s="69" t="s">
        <v>6</v>
      </c>
      <c r="B15" s="342" t="s">
        <v>22</v>
      </c>
      <c r="C15" s="149">
        <f>VLOOKUP(B15,G8:H18,2,FALSE)</f>
        <v>10</v>
      </c>
      <c r="D15" s="442"/>
      <c r="G15" s="480" t="s">
        <v>19</v>
      </c>
      <c r="H15" s="480">
        <v>10</v>
      </c>
      <c r="I15" s="480"/>
      <c r="J15" s="1488" t="s">
        <v>1201</v>
      </c>
      <c r="K15" s="1488">
        <v>0.4</v>
      </c>
    </row>
    <row r="16" spans="1:11" ht="15.75">
      <c r="A16" s="69" t="s">
        <v>1057</v>
      </c>
      <c r="B16" s="915" t="s">
        <v>24</v>
      </c>
      <c r="C16" s="928">
        <v>0</v>
      </c>
      <c r="D16" s="442"/>
      <c r="E16" s="489" t="str">
        <f>IF(C16&gt;25,"Sind Sie sicher?"," ")</f>
        <v xml:space="preserve"> </v>
      </c>
      <c r="G16" s="480" t="s">
        <v>529</v>
      </c>
      <c r="H16" s="480">
        <v>0</v>
      </c>
      <c r="I16" s="480"/>
      <c r="J16" s="1488" t="s">
        <v>1199</v>
      </c>
      <c r="K16" s="1488">
        <v>0.35</v>
      </c>
    </row>
    <row r="17" spans="1:11" ht="15.75" thickBot="1">
      <c r="A17" s="69" t="s">
        <v>159</v>
      </c>
      <c r="B17" s="342" t="s">
        <v>160</v>
      </c>
      <c r="C17" s="926">
        <f>VLOOKUP(B17,J8:K9,2,FALSE)</f>
        <v>0</v>
      </c>
      <c r="D17" s="443"/>
      <c r="G17" s="480" t="s">
        <v>21</v>
      </c>
      <c r="H17" s="480">
        <v>10</v>
      </c>
      <c r="I17" s="480"/>
      <c r="J17" s="1488" t="s">
        <v>48</v>
      </c>
      <c r="K17" s="1488">
        <v>0.3</v>
      </c>
    </row>
    <row r="18" spans="1:11" ht="16.5" thickBot="1">
      <c r="A18" s="283"/>
      <c r="B18" s="284" t="s">
        <v>468</v>
      </c>
      <c r="C18" s="276">
        <f>C10-SUM(C11:C17)</f>
        <v>145</v>
      </c>
      <c r="D18" s="285" t="s">
        <v>470</v>
      </c>
      <c r="G18" s="480" t="s">
        <v>18</v>
      </c>
      <c r="H18" s="480">
        <v>20</v>
      </c>
      <c r="I18" s="480"/>
      <c r="J18" s="1488" t="s">
        <v>31</v>
      </c>
      <c r="K18" s="1488">
        <v>0</v>
      </c>
    </row>
    <row r="19" spans="1:11" ht="20.25" customHeight="1" thickBot="1">
      <c r="A19" s="48"/>
      <c r="B19" s="167"/>
      <c r="C19" s="11"/>
      <c r="D19" s="296"/>
      <c r="G19" s="480"/>
      <c r="H19" s="480"/>
      <c r="I19" s="480"/>
      <c r="J19" s="480"/>
      <c r="K19" s="480"/>
    </row>
    <row r="20" spans="1:11" ht="18" customHeight="1">
      <c r="A20" s="3040" t="s">
        <v>491</v>
      </c>
      <c r="B20" s="2542"/>
      <c r="C20" s="265" t="s">
        <v>174</v>
      </c>
      <c r="D20" s="2543" t="s">
        <v>336</v>
      </c>
      <c r="G20" s="480"/>
      <c r="H20" s="480"/>
      <c r="I20" s="480"/>
      <c r="J20" s="480"/>
      <c r="K20" s="480"/>
    </row>
    <row r="21" spans="1:11" ht="19.5" customHeight="1" thickBot="1">
      <c r="A21" s="3042"/>
      <c r="B21" s="2544"/>
      <c r="C21" s="266" t="s">
        <v>173</v>
      </c>
      <c r="D21" s="2488"/>
      <c r="G21" s="479" t="s">
        <v>8</v>
      </c>
      <c r="H21" s="480"/>
      <c r="I21" s="480"/>
      <c r="J21" s="480"/>
      <c r="K21" s="480"/>
    </row>
    <row r="22" spans="1:11" ht="19.5" customHeight="1">
      <c r="A22" s="81" t="s">
        <v>35</v>
      </c>
      <c r="B22" s="345">
        <v>60</v>
      </c>
      <c r="C22" s="59">
        <f>IF(OR(B22&lt;1,B22&gt;100),"Zahl 0 bis 100 eingeben",(-0.0025*B22*B22+0.75*B22-26)*0.4)</f>
        <v>4</v>
      </c>
      <c r="D22" s="82" t="s">
        <v>163</v>
      </c>
      <c r="G22" s="480" t="s">
        <v>31</v>
      </c>
      <c r="H22" s="480">
        <v>0</v>
      </c>
      <c r="I22" s="480"/>
      <c r="J22" s="479" t="s">
        <v>69</v>
      </c>
      <c r="K22" s="480"/>
    </row>
    <row r="23" spans="1:11" ht="19.5" customHeight="1">
      <c r="A23" s="81" t="s">
        <v>162</v>
      </c>
      <c r="B23" s="345">
        <v>200</v>
      </c>
      <c r="C23" s="59">
        <f>IF(OR(B23&lt;40,B23&gt;800),"gibt es nicht",(B23*0.025-1))</f>
        <v>4</v>
      </c>
      <c r="D23" s="82" t="s">
        <v>164</v>
      </c>
      <c r="G23" s="480" t="s">
        <v>25</v>
      </c>
      <c r="H23" s="480">
        <v>0</v>
      </c>
      <c r="I23" s="480"/>
      <c r="J23" s="480" t="s">
        <v>250</v>
      </c>
      <c r="K23" s="480">
        <v>10</v>
      </c>
    </row>
    <row r="24" spans="1:11" ht="19.5" customHeight="1">
      <c r="A24" s="81" t="s">
        <v>51</v>
      </c>
      <c r="B24" s="342" t="s">
        <v>31</v>
      </c>
      <c r="C24" s="66">
        <f>VLOOKUP(B24,J12:K18,2,FALSE)</f>
        <v>0</v>
      </c>
      <c r="D24" s="83" t="s">
        <v>50</v>
      </c>
      <c r="G24" s="480" t="s">
        <v>26</v>
      </c>
      <c r="H24" s="480">
        <v>0</v>
      </c>
      <c r="I24" s="480"/>
      <c r="J24" s="480" t="s">
        <v>54</v>
      </c>
      <c r="K24" s="480">
        <v>0</v>
      </c>
    </row>
    <row r="25" spans="1:11" ht="19.5" customHeight="1">
      <c r="A25" s="81" t="s">
        <v>46</v>
      </c>
      <c r="B25" s="493">
        <v>0</v>
      </c>
      <c r="C25" s="54">
        <f>B25*10*C24</f>
        <v>0</v>
      </c>
      <c r="D25" s="82" t="s">
        <v>163</v>
      </c>
      <c r="G25" s="480" t="s">
        <v>27</v>
      </c>
      <c r="H25" s="480">
        <v>20</v>
      </c>
      <c r="I25" s="480"/>
      <c r="J25" s="480"/>
      <c r="K25" s="480"/>
    </row>
    <row r="26" spans="1:11" ht="23.25" customHeight="1">
      <c r="A26" s="84" t="s">
        <v>47</v>
      </c>
      <c r="B26" s="492" t="str">
        <f>IF(B25&gt;3,"Sind Sie sicher?"," ")</f>
        <v xml:space="preserve"> </v>
      </c>
      <c r="C26" s="54"/>
      <c r="D26" s="82"/>
      <c r="G26" s="480" t="s">
        <v>28</v>
      </c>
      <c r="H26" s="480">
        <v>10</v>
      </c>
      <c r="I26" s="480"/>
      <c r="J26" s="480"/>
      <c r="K26" s="480"/>
    </row>
    <row r="27" spans="1:11" ht="25.5" customHeight="1">
      <c r="A27" s="81" t="s">
        <v>69</v>
      </c>
      <c r="B27" s="522" t="s">
        <v>54</v>
      </c>
      <c r="C27" s="54">
        <f>VLOOKUP(B27,J23:K24,2,FALSE)</f>
        <v>0</v>
      </c>
      <c r="D27" s="85" t="s">
        <v>70</v>
      </c>
      <c r="G27" s="480" t="s">
        <v>29</v>
      </c>
      <c r="H27" s="480">
        <v>10</v>
      </c>
      <c r="I27" s="480"/>
      <c r="J27" s="480"/>
      <c r="K27" s="480"/>
    </row>
    <row r="28" spans="1:11" ht="11.25" customHeight="1">
      <c r="A28" s="81"/>
      <c r="B28" s="287" t="s">
        <v>348</v>
      </c>
      <c r="C28" s="444">
        <v>12</v>
      </c>
      <c r="D28" s="82" t="s">
        <v>350</v>
      </c>
      <c r="E28" s="14"/>
      <c r="G28" s="480" t="s">
        <v>673</v>
      </c>
      <c r="H28" s="480">
        <v>30</v>
      </c>
      <c r="I28" s="480"/>
      <c r="J28" s="480"/>
      <c r="K28" s="480"/>
    </row>
    <row r="29" spans="1:11" ht="27.75" thickBot="1">
      <c r="A29" s="86"/>
      <c r="B29" s="87" t="s">
        <v>458</v>
      </c>
      <c r="C29" s="54"/>
      <c r="D29" s="88" t="s">
        <v>64</v>
      </c>
      <c r="G29" s="480" t="s">
        <v>30</v>
      </c>
      <c r="H29" s="480">
        <v>40</v>
      </c>
      <c r="I29" s="480"/>
      <c r="J29" s="480"/>
      <c r="K29" s="480"/>
    </row>
    <row r="30" spans="1:11" ht="15.75" customHeight="1">
      <c r="A30" s="89" t="s">
        <v>61</v>
      </c>
      <c r="B30" s="49">
        <f>B33*0.35+C23*0.6</f>
        <v>75.353663999999995</v>
      </c>
      <c r="C30" s="267">
        <f>B30-C11-C12*0.33+C27</f>
        <v>50.403663999999992</v>
      </c>
      <c r="D30" s="46" t="s">
        <v>710</v>
      </c>
      <c r="F30" s="16"/>
      <c r="G30" s="480" t="s">
        <v>9</v>
      </c>
      <c r="H30" s="480">
        <v>0</v>
      </c>
      <c r="I30" s="916"/>
      <c r="J30" s="916"/>
      <c r="K30" s="916"/>
    </row>
    <row r="31" spans="1:11" ht="18.75">
      <c r="A31" s="89" t="s">
        <v>62</v>
      </c>
      <c r="B31" s="90">
        <f>B33*0.4+C23*0.4</f>
        <v>84.975615999999988</v>
      </c>
      <c r="C31" s="268">
        <f>B31-C12*0.67-C13*0.5-C14*0.4-C15*0.4-C16*0.3-C22*0.5-C25*0.4-C27</f>
        <v>63.925615999999991</v>
      </c>
      <c r="D31" s="113" t="s">
        <v>432</v>
      </c>
      <c r="G31" s="480" t="s">
        <v>10</v>
      </c>
      <c r="H31" s="480">
        <v>10</v>
      </c>
    </row>
    <row r="32" spans="1:11" ht="19.5" thickBot="1">
      <c r="A32" s="89" t="s">
        <v>63</v>
      </c>
      <c r="B32" s="90">
        <f>B33*0.25</f>
        <v>52.109759999999994</v>
      </c>
      <c r="C32" s="269">
        <f>B32-C14*0.6-C15*0.6-C16*0.35-C22*0.5-C25*0.6</f>
        <v>44.109759999999994</v>
      </c>
      <c r="D32" s="113" t="s">
        <v>166</v>
      </c>
      <c r="F32" s="911"/>
      <c r="G32" s="480" t="s">
        <v>31</v>
      </c>
      <c r="H32" s="480">
        <v>0</v>
      </c>
    </row>
    <row r="33" spans="1:11" ht="27">
      <c r="A33" s="923" t="s">
        <v>349</v>
      </c>
      <c r="B33" s="110">
        <f>(C47+C49)*1.24</f>
        <v>208.43903999999998</v>
      </c>
      <c r="C33" s="245">
        <f>C30+C31+C32</f>
        <v>158.43903999999998</v>
      </c>
      <c r="D33" s="222" t="str">
        <f>IF(C33&gt;C18,"Obergrenze einhalten!!!"," ")</f>
        <v>Obergrenze einhalten!!!</v>
      </c>
      <c r="H33" s="910"/>
    </row>
    <row r="34" spans="1:11" ht="19.5" customHeight="1">
      <c r="A34" s="783"/>
      <c r="B34" s="49"/>
      <c r="C34" s="11"/>
      <c r="D34" s="165"/>
      <c r="E34" s="489"/>
      <c r="H34" s="910"/>
    </row>
    <row r="35" spans="1:11" ht="31.5">
      <c r="A35" s="404"/>
      <c r="B35" s="405"/>
      <c r="C35" s="406" t="s">
        <v>719</v>
      </c>
      <c r="D35" s="407"/>
      <c r="H35" s="910"/>
    </row>
    <row r="36" spans="1:11" ht="15.75" customHeight="1">
      <c r="A36" s="408"/>
      <c r="B36" s="371" t="s">
        <v>42</v>
      </c>
      <c r="C36" s="409">
        <f>C18</f>
        <v>145</v>
      </c>
      <c r="D36" s="410" t="s">
        <v>4</v>
      </c>
      <c r="H36" s="910"/>
    </row>
    <row r="37" spans="1:11" ht="27" customHeight="1">
      <c r="A37" s="3044" t="s">
        <v>702</v>
      </c>
      <c r="B37" s="775" t="s">
        <v>701</v>
      </c>
      <c r="C37" s="781">
        <v>0</v>
      </c>
      <c r="D37" s="779" t="s">
        <v>484</v>
      </c>
      <c r="H37" s="910"/>
    </row>
    <row r="38" spans="1:11" ht="26.25" customHeight="1">
      <c r="A38" s="3045"/>
      <c r="B38" s="776" t="s">
        <v>704</v>
      </c>
      <c r="C38" s="771">
        <v>0</v>
      </c>
      <c r="D38" s="415" t="s">
        <v>485</v>
      </c>
      <c r="G38" s="478"/>
      <c r="H38" s="480"/>
      <c r="I38" s="478"/>
      <c r="J38" s="478"/>
      <c r="K38" s="478"/>
    </row>
    <row r="39" spans="1:11" ht="22.5" customHeight="1">
      <c r="A39" s="859" t="s">
        <v>817</v>
      </c>
      <c r="B39" s="777" t="s">
        <v>705</v>
      </c>
      <c r="C39" s="780">
        <v>0</v>
      </c>
      <c r="D39" s="415" t="s">
        <v>254</v>
      </c>
    </row>
    <row r="40" spans="1:11" ht="22.5" customHeight="1">
      <c r="A40" s="3044" t="s">
        <v>703</v>
      </c>
      <c r="B40" s="775" t="s">
        <v>706</v>
      </c>
      <c r="C40" s="771">
        <v>0</v>
      </c>
      <c r="D40" s="779" t="s">
        <v>484</v>
      </c>
    </row>
    <row r="41" spans="1:11" ht="22.5" customHeight="1">
      <c r="A41" s="3045"/>
      <c r="B41" s="776" t="s">
        <v>707</v>
      </c>
      <c r="C41" s="771">
        <v>0</v>
      </c>
      <c r="D41" s="415" t="s">
        <v>485</v>
      </c>
    </row>
    <row r="42" spans="1:11" ht="15.75">
      <c r="A42" s="859" t="s">
        <v>817</v>
      </c>
      <c r="B42" s="778" t="s">
        <v>708</v>
      </c>
      <c r="C42" s="771">
        <v>0</v>
      </c>
      <c r="D42" s="415" t="s">
        <v>254</v>
      </c>
    </row>
    <row r="43" spans="1:11" ht="19.5" customHeight="1">
      <c r="A43" s="379"/>
      <c r="B43" s="412" t="s">
        <v>255</v>
      </c>
      <c r="C43" s="414">
        <f>(C37*C38*C39/100)+(C40*C41*C42/100)</f>
        <v>0</v>
      </c>
      <c r="D43" s="416" t="s">
        <v>4</v>
      </c>
    </row>
    <row r="44" spans="1:11" ht="25.5">
      <c r="A44" s="411"/>
      <c r="B44" s="413" t="s">
        <v>136</v>
      </c>
      <c r="C44" s="414">
        <f>C36-C43</f>
        <v>145</v>
      </c>
      <c r="D44" s="417" t="s">
        <v>4</v>
      </c>
      <c r="F44" s="920" t="s">
        <v>183</v>
      </c>
      <c r="G44" s="925" t="s">
        <v>186</v>
      </c>
    </row>
    <row r="45" spans="1:11" ht="19.5" customHeight="1">
      <c r="B45" s="19"/>
      <c r="C45" s="20"/>
      <c r="D45" s="21"/>
      <c r="F45" s="919" t="s">
        <v>179</v>
      </c>
      <c r="G45" s="919">
        <v>90</v>
      </c>
      <c r="H45" s="925"/>
      <c r="I45" s="925"/>
    </row>
    <row r="46" spans="1:11" ht="15.75" customHeight="1">
      <c r="A46" s="78"/>
      <c r="B46" s="79"/>
      <c r="C46" s="921" t="s">
        <v>60</v>
      </c>
      <c r="D46" s="80"/>
      <c r="F46" s="919" t="s">
        <v>804</v>
      </c>
      <c r="G46" s="919">
        <v>70</v>
      </c>
      <c r="H46" s="914"/>
      <c r="I46" s="914"/>
    </row>
    <row r="47" spans="1:11" ht="18" customHeight="1">
      <c r="A47" s="81"/>
      <c r="B47" s="48" t="s">
        <v>12</v>
      </c>
      <c r="C47" s="218">
        <f>C7*0.86*C28/6.25</f>
        <v>132.09599999999998</v>
      </c>
      <c r="D47" s="104" t="str">
        <f>IF(C47&gt;200,"mehr als 200 kg Korn-N/ha ist unrealistisch!","Korn-N-Abfuhr")</f>
        <v>Korn-N-Abfuhr</v>
      </c>
      <c r="F47" s="919" t="s">
        <v>805</v>
      </c>
      <c r="G47" s="919">
        <v>70</v>
      </c>
      <c r="H47" s="914"/>
      <c r="I47" s="914"/>
    </row>
    <row r="48" spans="1:11" ht="15.75" customHeight="1">
      <c r="A48" s="81"/>
      <c r="B48" s="93" t="s">
        <v>14</v>
      </c>
      <c r="C48" s="219">
        <f>(130-0.5*C7)/100</f>
        <v>0.9</v>
      </c>
      <c r="D48" s="94" t="s">
        <v>338</v>
      </c>
      <c r="F48" s="919" t="s">
        <v>809</v>
      </c>
      <c r="G48" s="920">
        <v>70</v>
      </c>
      <c r="H48" s="914"/>
      <c r="I48" s="914"/>
    </row>
    <row r="49" spans="1:11" ht="15.75" customHeight="1">
      <c r="A49" s="81"/>
      <c r="B49" s="48" t="s">
        <v>13</v>
      </c>
      <c r="C49" s="59">
        <f>C7*C48*C28/24</f>
        <v>36</v>
      </c>
      <c r="D49" s="82"/>
      <c r="F49" s="782" t="s">
        <v>810</v>
      </c>
      <c r="G49" s="920">
        <v>60</v>
      </c>
      <c r="H49" s="914"/>
      <c r="I49" s="914"/>
    </row>
    <row r="50" spans="1:11" ht="15.75" customHeight="1">
      <c r="A50" s="28" t="s">
        <v>68</v>
      </c>
      <c r="B50" s="48" t="s">
        <v>65</v>
      </c>
      <c r="C50" s="115">
        <f>C33-C47</f>
        <v>26.343040000000002</v>
      </c>
      <c r="D50" s="96" t="s">
        <v>4</v>
      </c>
      <c r="F50" s="919" t="s">
        <v>48</v>
      </c>
      <c r="G50" s="920">
        <v>60</v>
      </c>
      <c r="H50" s="914"/>
      <c r="I50" s="914"/>
    </row>
    <row r="51" spans="1:11" ht="15.75">
      <c r="A51" s="793" t="s">
        <v>729</v>
      </c>
      <c r="B51" s="48" t="s">
        <v>66</v>
      </c>
      <c r="C51" s="220">
        <f>C33-C47-C49</f>
        <v>-9.656959999999998</v>
      </c>
      <c r="D51" s="96" t="s">
        <v>4</v>
      </c>
      <c r="F51" s="919" t="s">
        <v>811</v>
      </c>
      <c r="G51" s="919">
        <v>45</v>
      </c>
      <c r="H51" s="914"/>
      <c r="I51" s="914"/>
    </row>
    <row r="52" spans="1:11" ht="12.75" customHeight="1">
      <c r="A52" s="792" t="s">
        <v>67</v>
      </c>
      <c r="B52" s="48" t="s">
        <v>65</v>
      </c>
      <c r="C52" s="220">
        <f>C18-C47</f>
        <v>12.904000000000025</v>
      </c>
      <c r="D52" s="96" t="s">
        <v>4</v>
      </c>
      <c r="F52" s="782" t="s">
        <v>806</v>
      </c>
      <c r="G52" s="920">
        <v>30</v>
      </c>
      <c r="H52" s="914"/>
      <c r="I52" s="914"/>
    </row>
    <row r="53" spans="1:11" ht="15.75">
      <c r="A53" s="987" t="s">
        <v>729</v>
      </c>
      <c r="B53" s="97" t="s">
        <v>66</v>
      </c>
      <c r="C53" s="221">
        <f>C18-C47-C49</f>
        <v>-23.095999999999975</v>
      </c>
      <c r="D53" s="99" t="s">
        <v>4</v>
      </c>
      <c r="F53" s="951" t="s">
        <v>1019</v>
      </c>
      <c r="G53" s="920">
        <v>30</v>
      </c>
      <c r="H53" s="914"/>
      <c r="I53" s="914"/>
    </row>
    <row r="54" spans="1:11" ht="16.5" thickBot="1">
      <c r="A54" s="48"/>
      <c r="B54" s="2456"/>
      <c r="C54" s="2526"/>
      <c r="D54" s="2526"/>
      <c r="F54" s="919" t="s">
        <v>187</v>
      </c>
      <c r="G54" s="920">
        <v>30</v>
      </c>
      <c r="H54" s="914"/>
      <c r="I54" s="914"/>
    </row>
    <row r="55" spans="1:11" ht="18">
      <c r="A55" s="3049" t="s">
        <v>578</v>
      </c>
      <c r="B55" s="3053"/>
      <c r="C55" s="1777" t="s">
        <v>587</v>
      </c>
      <c r="D55" s="603" t="s">
        <v>587</v>
      </c>
      <c r="E55" s="14"/>
      <c r="F55" s="919" t="s">
        <v>813</v>
      </c>
      <c r="G55" s="920">
        <v>30</v>
      </c>
      <c r="H55" s="914"/>
      <c r="I55" s="914"/>
    </row>
    <row r="56" spans="1:11" ht="15.75">
      <c r="A56" s="3054" t="s">
        <v>590</v>
      </c>
      <c r="B56" s="624" t="s">
        <v>579</v>
      </c>
      <c r="C56" s="622" t="s">
        <v>580</v>
      </c>
      <c r="D56" s="625" t="s">
        <v>581</v>
      </c>
      <c r="F56" s="919" t="s">
        <v>814</v>
      </c>
      <c r="G56" s="920">
        <v>30</v>
      </c>
      <c r="H56" s="914"/>
      <c r="I56" s="914"/>
    </row>
    <row r="57" spans="1:11" ht="15.75">
      <c r="A57" s="3055"/>
      <c r="B57" s="601" t="s">
        <v>583</v>
      </c>
      <c r="C57" s="263">
        <f>C59*2</f>
        <v>128</v>
      </c>
      <c r="D57" s="602">
        <f>D59*2</f>
        <v>0</v>
      </c>
      <c r="F57" s="919" t="s">
        <v>815</v>
      </c>
      <c r="G57" s="920">
        <v>30</v>
      </c>
      <c r="H57" s="914"/>
      <c r="I57" s="914"/>
    </row>
    <row r="58" spans="1:11" ht="15.75">
      <c r="A58" s="3055"/>
      <c r="B58" s="601" t="s">
        <v>584</v>
      </c>
      <c r="C58" s="263">
        <f>C59*1.5</f>
        <v>96</v>
      </c>
      <c r="D58" s="602">
        <f>D59*1.5</f>
        <v>0</v>
      </c>
      <c r="F58" s="919" t="s">
        <v>180</v>
      </c>
      <c r="G58" s="920">
        <v>25</v>
      </c>
      <c r="H58" s="914"/>
      <c r="I58" s="914"/>
      <c r="J58" s="916"/>
      <c r="K58" s="916"/>
    </row>
    <row r="59" spans="1:11" ht="15.75" customHeight="1">
      <c r="A59" s="3055"/>
      <c r="B59" s="601" t="s">
        <v>585</v>
      </c>
      <c r="C59" s="605">
        <f>C7*0.8</f>
        <v>64</v>
      </c>
      <c r="D59" s="606">
        <f>C42*1.07</f>
        <v>0</v>
      </c>
      <c r="F59" s="919" t="s">
        <v>807</v>
      </c>
      <c r="G59" s="920">
        <v>25</v>
      </c>
      <c r="H59" s="914"/>
      <c r="I59" s="914"/>
    </row>
    <row r="60" spans="1:11" ht="15.75">
      <c r="A60" s="3055"/>
      <c r="B60" s="601" t="s">
        <v>586</v>
      </c>
      <c r="C60" s="263">
        <f>C59*0.5</f>
        <v>32</v>
      </c>
      <c r="D60" s="602">
        <f>D59*0.5</f>
        <v>0</v>
      </c>
      <c r="F60" s="782" t="s">
        <v>808</v>
      </c>
      <c r="G60" s="920">
        <v>25</v>
      </c>
    </row>
    <row r="61" spans="1:11" ht="27" customHeight="1">
      <c r="A61" s="3065"/>
      <c r="B61" s="3067" t="s">
        <v>588</v>
      </c>
      <c r="C61" s="3060" t="s">
        <v>591</v>
      </c>
      <c r="D61" s="3061"/>
      <c r="F61" s="782" t="s">
        <v>816</v>
      </c>
      <c r="G61" s="920">
        <v>10</v>
      </c>
    </row>
    <row r="62" spans="1:11" ht="27.75" customHeight="1" thickBot="1">
      <c r="A62" s="3066"/>
      <c r="B62" s="3068"/>
      <c r="C62" s="3062"/>
      <c r="D62" s="3063"/>
      <c r="F62" s="782" t="s">
        <v>181</v>
      </c>
      <c r="G62" s="920">
        <v>10</v>
      </c>
    </row>
    <row r="63" spans="1:11" ht="15.75">
      <c r="A63" s="48"/>
      <c r="B63" s="1772"/>
      <c r="C63" s="1773"/>
      <c r="D63" s="1773"/>
      <c r="F63" s="782" t="s">
        <v>188</v>
      </c>
      <c r="G63" s="920">
        <v>5</v>
      </c>
    </row>
    <row r="64" spans="1:11" ht="18.75" customHeight="1">
      <c r="A64" s="103" t="s">
        <v>167</v>
      </c>
      <c r="B64" s="101"/>
      <c r="C64" s="774"/>
      <c r="F64" s="782" t="s">
        <v>182</v>
      </c>
      <c r="G64" s="920">
        <v>3</v>
      </c>
    </row>
    <row r="65" spans="1:8" s="1770" customFormat="1" ht="33" customHeight="1">
      <c r="A65" s="927" t="s">
        <v>328</v>
      </c>
      <c r="B65" s="3051" t="s">
        <v>351</v>
      </c>
      <c r="C65" s="2413"/>
      <c r="D65" s="2413"/>
      <c r="F65" s="1774"/>
      <c r="G65" s="1775"/>
      <c r="H65" s="1421"/>
    </row>
    <row r="66" spans="1:8" s="1770" customFormat="1" ht="18.75" customHeight="1">
      <c r="A66" s="927"/>
      <c r="B66" s="100" t="s">
        <v>352</v>
      </c>
      <c r="C66" s="102" t="s">
        <v>353</v>
      </c>
      <c r="D66" s="910"/>
      <c r="F66" s="1774"/>
      <c r="G66" s="1775"/>
      <c r="H66" s="1421"/>
    </row>
    <row r="67" spans="1:8" s="1770" customFormat="1" ht="18.75" customHeight="1">
      <c r="A67" s="927"/>
      <c r="B67" s="100" t="s">
        <v>354</v>
      </c>
      <c r="C67" s="102" t="s">
        <v>355</v>
      </c>
      <c r="D67" s="910"/>
      <c r="F67" s="1774"/>
      <c r="G67" s="1775"/>
      <c r="H67" s="1421"/>
    </row>
    <row r="68" spans="1:8" s="1770" customFormat="1" ht="18.75" customHeight="1">
      <c r="A68" s="927"/>
      <c r="B68" s="910"/>
      <c r="C68" s="910"/>
      <c r="D68" s="910"/>
      <c r="F68" s="1774"/>
      <c r="G68" s="1775"/>
      <c r="H68" s="1421"/>
    </row>
    <row r="69" spans="1:8" s="1770" customFormat="1" ht="30.75" customHeight="1">
      <c r="A69" s="927" t="s">
        <v>324</v>
      </c>
      <c r="B69" s="3051" t="s">
        <v>356</v>
      </c>
      <c r="C69" s="2736"/>
      <c r="D69" s="2736"/>
      <c r="F69" s="1774"/>
      <c r="G69" s="1775"/>
      <c r="H69" s="1421"/>
    </row>
    <row r="70" spans="1:8" s="1770" customFormat="1" ht="18.75" customHeight="1">
      <c r="A70" s="927"/>
      <c r="B70" s="101"/>
      <c r="C70" s="774"/>
      <c r="D70" s="910"/>
      <c r="F70" s="1774"/>
      <c r="G70" s="1775"/>
      <c r="H70" s="1421"/>
    </row>
    <row r="71" spans="1:8" s="1770" customFormat="1" ht="27.75" customHeight="1">
      <c r="A71" s="927"/>
      <c r="B71" s="100" t="s">
        <v>329</v>
      </c>
      <c r="C71" s="774"/>
      <c r="D71" s="916" t="s">
        <v>330</v>
      </c>
      <c r="F71" s="1774"/>
      <c r="G71" s="1775"/>
      <c r="H71" s="1421"/>
    </row>
    <row r="72" spans="1:8" s="1770" customFormat="1" ht="18.75" customHeight="1">
      <c r="A72" s="927" t="s">
        <v>168</v>
      </c>
      <c r="B72" s="100" t="s">
        <v>337</v>
      </c>
      <c r="C72" s="774"/>
      <c r="D72" s="774" t="s">
        <v>175</v>
      </c>
      <c r="F72" s="1774"/>
      <c r="G72" s="1775"/>
      <c r="H72" s="1421"/>
    </row>
    <row r="73" spans="1:8" s="1770" customFormat="1" ht="27" customHeight="1">
      <c r="A73" s="927" t="s">
        <v>169</v>
      </c>
      <c r="B73" s="100" t="s">
        <v>326</v>
      </c>
      <c r="C73" s="774"/>
      <c r="D73" s="772" t="s">
        <v>363</v>
      </c>
      <c r="F73" s="1774"/>
      <c r="G73" s="1775"/>
      <c r="H73" s="1421"/>
    </row>
    <row r="74" spans="1:8" s="1770" customFormat="1" ht="27" customHeight="1">
      <c r="A74" s="927" t="s">
        <v>170</v>
      </c>
      <c r="B74" s="100" t="s">
        <v>176</v>
      </c>
      <c r="C74" s="774"/>
      <c r="D74" s="773" t="s">
        <v>715</v>
      </c>
      <c r="F74" s="1774"/>
      <c r="G74" s="1775"/>
      <c r="H74" s="1421"/>
    </row>
    <row r="75" spans="1:8" s="1770" customFormat="1" ht="18.75" customHeight="1">
      <c r="A75" s="927" t="s">
        <v>340</v>
      </c>
      <c r="B75" s="100" t="s">
        <v>331</v>
      </c>
      <c r="C75" s="102"/>
      <c r="D75" s="910" t="s">
        <v>366</v>
      </c>
      <c r="F75" s="1774"/>
      <c r="G75" s="1775"/>
      <c r="H75" s="1421"/>
    </row>
    <row r="76" spans="1:8">
      <c r="A76" s="174" t="s">
        <v>409</v>
      </c>
      <c r="B76" s="910" t="s">
        <v>335</v>
      </c>
      <c r="C76" s="910"/>
    </row>
    <row r="77" spans="1:8" ht="23.25" customHeight="1">
      <c r="B77" s="910" t="s">
        <v>334</v>
      </c>
      <c r="C77" s="910"/>
    </row>
    <row r="78" spans="1:8" ht="17.25" customHeight="1">
      <c r="B78" s="910"/>
      <c r="C78" s="910"/>
    </row>
    <row r="79" spans="1:8" ht="48.75" customHeight="1">
      <c r="A79" s="927" t="s">
        <v>410</v>
      </c>
      <c r="B79" s="910" t="s">
        <v>339</v>
      </c>
      <c r="C79" s="910"/>
    </row>
    <row r="80" spans="1:8" ht="18" customHeight="1">
      <c r="B80" s="910" t="s">
        <v>375</v>
      </c>
      <c r="C80" s="910"/>
    </row>
    <row r="81" spans="5:8" ht="24" customHeight="1">
      <c r="E81" s="916"/>
    </row>
    <row r="82" spans="5:8" ht="15" customHeight="1">
      <c r="E82" s="916"/>
      <c r="F82" s="3052" t="s">
        <v>364</v>
      </c>
    </row>
    <row r="83" spans="5:8" ht="95.25" customHeight="1">
      <c r="E83" s="917"/>
      <c r="F83" s="3052"/>
      <c r="G83" s="2527" t="s">
        <v>333</v>
      </c>
    </row>
    <row r="84" spans="5:8" ht="17.25" customHeight="1">
      <c r="E84" s="918"/>
      <c r="G84" s="2527"/>
    </row>
    <row r="85" spans="5:8" ht="28.5" customHeight="1"/>
    <row r="86" spans="5:8" ht="26.25" customHeight="1">
      <c r="F86" s="916"/>
      <c r="H86" s="910"/>
    </row>
    <row r="87" spans="5:8" ht="90" customHeight="1">
      <c r="F87" s="916"/>
      <c r="H87" s="910"/>
    </row>
    <row r="88" spans="5:8" ht="76.5" customHeight="1">
      <c r="F88" s="916"/>
      <c r="H88" s="910"/>
    </row>
    <row r="89" spans="5:8" ht="19.5" customHeight="1">
      <c r="F89" s="916"/>
      <c r="H89" s="910"/>
    </row>
    <row r="90" spans="5:8" ht="23.25" customHeight="1">
      <c r="F90" s="916"/>
      <c r="H90" s="910"/>
    </row>
  </sheetData>
  <sheetProtection formatCells="0" formatColumns="0" formatRows="0" selectLockedCells="1"/>
  <mergeCells count="16">
    <mergeCell ref="B54:D54"/>
    <mergeCell ref="B65:D65"/>
    <mergeCell ref="F82:F83"/>
    <mergeCell ref="B69:D69"/>
    <mergeCell ref="G83:G84"/>
    <mergeCell ref="A55:B55"/>
    <mergeCell ref="A56:A60"/>
    <mergeCell ref="A61:A62"/>
    <mergeCell ref="B61:B62"/>
    <mergeCell ref="C61:D62"/>
    <mergeCell ref="A40:A41"/>
    <mergeCell ref="A20:B21"/>
    <mergeCell ref="D20:D21"/>
    <mergeCell ref="A37:A38"/>
    <mergeCell ref="A5:D5"/>
    <mergeCell ref="A6:B6"/>
  </mergeCells>
  <dataValidations count="7">
    <dataValidation type="list" allowBlank="1" sqref="B14">
      <formula1>$G$22:$G$32</formula1>
    </dataValidation>
    <dataValidation type="list" allowBlank="1" sqref="B27">
      <formula1>Witterung</formula1>
    </dataValidation>
    <dataValidation type="list" allowBlank="1" sqref="B24">
      <formula1>J12:J18</formula1>
    </dataValidation>
    <dataValidation type="list" allowBlank="1" sqref="C28">
      <mc:AlternateContent xmlns:x12ac="http://schemas.microsoft.com/office/spreadsheetml/2011/1/ac" xmlns:mc="http://schemas.openxmlformats.org/markup-compatibility/2006">
        <mc:Choice Requires="x12ac">
          <x12ac:list>8,"8,5",9,"9,5",10,"10,5",11,"11,5",12,"12,5",13,"13,5",14,"14,5"</x12ac:list>
        </mc:Choice>
        <mc:Fallback>
          <formula1>"8,8,5,9,9,5,10,10,5,11,11,5,12,12,5,13,13,5,14,14,5"</formula1>
        </mc:Fallback>
      </mc:AlternateContent>
    </dataValidation>
    <dataValidation type="list" allowBlank="1" sqref="B17">
      <formula1>"bis 4 %, größer 4 %"</formula1>
    </dataValidation>
    <dataValidation type="list" allowBlank="1" sqref="J8:J9">
      <formula1>"Humusgehalt"</formula1>
    </dataValidation>
    <dataValidation type="list" allowBlank="1" sqref="B15">
      <formula1>Vorfrucht</formula1>
    </dataValidation>
  </dataValidations>
  <pageMargins left="0.7" right="0.7" top="0.78740157499999996" bottom="0.78740157499999996" header="0.3" footer="0.3"/>
  <pageSetup paperSize="9" scale="66" orientation="portrait" horizontalDpi="4294967293" verticalDpi="4294967293" r:id="rId1"/>
  <rowBreaks count="1" manualBreakCount="1">
    <brk id="53"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pageSetUpPr fitToPage="1"/>
  </sheetPr>
  <dimension ref="A1:K88"/>
  <sheetViews>
    <sheetView topLeftCell="A41" zoomScaleNormal="100" workbookViewId="0">
      <selection activeCell="C59" sqref="C59"/>
    </sheetView>
  </sheetViews>
  <sheetFormatPr baseColWidth="10" defaultRowHeight="15"/>
  <cols>
    <col min="1" max="1" width="37.28515625" style="174" customWidth="1"/>
    <col min="2" max="2" width="39.42578125" style="175" customWidth="1"/>
    <col min="3" max="3" width="22.28515625" style="916" customWidth="1"/>
    <col min="4" max="4" width="31.85546875" style="910" customWidth="1"/>
    <col min="5" max="5" width="22.140625" style="910" customWidth="1"/>
    <col min="6" max="6" width="38.140625" style="910" customWidth="1"/>
    <col min="7" max="7" width="33.5703125" style="910" customWidth="1"/>
    <col min="8" max="8" width="24" style="916" customWidth="1"/>
    <col min="9" max="9" width="22.7109375" style="910" customWidth="1"/>
    <col min="10" max="10" width="37.85546875" style="910" customWidth="1"/>
    <col min="11" max="11" width="21" style="910" customWidth="1"/>
    <col min="12" max="16384" width="11.42578125" style="910"/>
  </cols>
  <sheetData>
    <row r="1" spans="1:11">
      <c r="B1" s="412" t="str">
        <f>'DüV-N-Ackerbau'!C1</f>
        <v>Karl vom Land</v>
      </c>
      <c r="C1" s="412" t="str">
        <f>'DüV-N-Ackerbau'!F1</f>
        <v>Erntejahr</v>
      </c>
      <c r="E1" s="12" t="s">
        <v>36</v>
      </c>
    </row>
    <row r="2" spans="1:11">
      <c r="B2" s="412" t="str">
        <f>'DüV-N-Ackerbau'!C2</f>
        <v>Höfen 1</v>
      </c>
      <c r="C2" s="412">
        <f>'DüV-N-Ackerbau'!G1</f>
        <v>2022</v>
      </c>
      <c r="E2" s="13" t="s">
        <v>34</v>
      </c>
    </row>
    <row r="3" spans="1:11">
      <c r="B3" s="412" t="str">
        <f>'DüV-N-Ackerbau'!C3</f>
        <v>12345 Auf dem Feld</v>
      </c>
      <c r="C3" s="174"/>
    </row>
    <row r="4" spans="1:11" ht="6" customHeight="1" thickBot="1"/>
    <row r="5" spans="1:11" ht="21.75" thickBot="1">
      <c r="A5" s="3046" t="s">
        <v>96</v>
      </c>
      <c r="B5" s="3047"/>
      <c r="C5" s="3047"/>
      <c r="D5" s="3048"/>
    </row>
    <row r="6" spans="1:11" ht="48" thickBot="1">
      <c r="A6" s="3049" t="s">
        <v>574</v>
      </c>
      <c r="B6" s="3050"/>
      <c r="C6" s="327" t="s">
        <v>573</v>
      </c>
      <c r="D6" s="472" t="s">
        <v>526</v>
      </c>
      <c r="G6" s="480"/>
      <c r="H6" s="479" t="s">
        <v>5</v>
      </c>
      <c r="I6" s="480"/>
      <c r="J6" s="480"/>
      <c r="K6" s="480"/>
    </row>
    <row r="7" spans="1:11" ht="15.75">
      <c r="A7" s="69"/>
      <c r="B7" s="48" t="s">
        <v>669</v>
      </c>
      <c r="C7" s="440">
        <v>70</v>
      </c>
      <c r="D7" s="441"/>
      <c r="G7" s="479" t="s">
        <v>6</v>
      </c>
      <c r="H7" s="480"/>
      <c r="I7" s="480"/>
      <c r="J7" s="480" t="s">
        <v>159</v>
      </c>
      <c r="K7" s="480"/>
    </row>
    <row r="8" spans="1:11" ht="15.75">
      <c r="A8" s="69"/>
      <c r="B8" s="48"/>
      <c r="C8" s="474" t="str">
        <f>IF(OR(C7&lt;30,C7&gt;150),"Sind Sie sicher?"," ")</f>
        <v xml:space="preserve"> </v>
      </c>
      <c r="D8" s="441"/>
      <c r="G8" s="480" t="s">
        <v>503</v>
      </c>
      <c r="H8" s="480">
        <v>0</v>
      </c>
      <c r="I8" s="480"/>
      <c r="J8" s="480" t="s">
        <v>160</v>
      </c>
      <c r="K8" s="480">
        <v>0</v>
      </c>
    </row>
    <row r="9" spans="1:11" ht="15.75">
      <c r="A9" s="69"/>
      <c r="B9" s="48"/>
      <c r="C9" s="469" t="s">
        <v>4</v>
      </c>
      <c r="D9" s="441"/>
      <c r="G9" s="480" t="s">
        <v>22</v>
      </c>
      <c r="H9" s="480">
        <v>10</v>
      </c>
      <c r="I9" s="480"/>
      <c r="J9" s="480" t="s">
        <v>161</v>
      </c>
      <c r="K9" s="480">
        <v>20</v>
      </c>
    </row>
    <row r="10" spans="1:11" ht="15.75">
      <c r="A10" s="69"/>
      <c r="B10" s="48" t="s">
        <v>37</v>
      </c>
      <c r="C10" s="924">
        <f>IF(C7&lt;=69,65+C7*1.5,(IF(C7&gt;=70,100+C7)))</f>
        <v>170</v>
      </c>
      <c r="D10" s="442"/>
      <c r="G10" s="480" t="s">
        <v>528</v>
      </c>
      <c r="H10" s="480">
        <v>10</v>
      </c>
      <c r="I10" s="480"/>
      <c r="J10" s="480"/>
      <c r="K10" s="480"/>
    </row>
    <row r="11" spans="1:11" ht="18">
      <c r="A11" s="69"/>
      <c r="B11" s="48" t="s">
        <v>38</v>
      </c>
      <c r="C11" s="490">
        <v>18</v>
      </c>
      <c r="D11" s="442"/>
      <c r="G11" s="480" t="s">
        <v>7</v>
      </c>
      <c r="H11" s="480">
        <v>10</v>
      </c>
      <c r="I11" s="480"/>
      <c r="J11" s="479" t="s">
        <v>49</v>
      </c>
      <c r="K11" s="480"/>
    </row>
    <row r="12" spans="1:11" ht="18">
      <c r="A12" s="69"/>
      <c r="B12" s="48" t="s">
        <v>39</v>
      </c>
      <c r="C12" s="490">
        <v>14</v>
      </c>
      <c r="D12" s="442"/>
      <c r="G12" s="480" t="s">
        <v>17</v>
      </c>
      <c r="H12" s="480">
        <v>20</v>
      </c>
      <c r="I12" s="480"/>
      <c r="J12" s="1488" t="s">
        <v>1198</v>
      </c>
      <c r="K12" s="1488">
        <v>1</v>
      </c>
    </row>
    <row r="13" spans="1:11" ht="18">
      <c r="A13" s="69"/>
      <c r="B13" s="48" t="s">
        <v>40</v>
      </c>
      <c r="C13" s="490">
        <v>8</v>
      </c>
      <c r="D13" s="442"/>
      <c r="G13" s="480" t="s">
        <v>23</v>
      </c>
      <c r="H13" s="480">
        <v>0</v>
      </c>
      <c r="I13" s="480"/>
      <c r="J13" s="1488" t="s">
        <v>184</v>
      </c>
      <c r="K13" s="1488">
        <v>0.5</v>
      </c>
    </row>
    <row r="14" spans="1:11">
      <c r="A14" s="69" t="s">
        <v>8</v>
      </c>
      <c r="B14" s="342" t="s">
        <v>31</v>
      </c>
      <c r="C14" s="149">
        <f>VLOOKUP(B14,G22:H32,2,FALSE)</f>
        <v>0</v>
      </c>
      <c r="D14" s="442"/>
      <c r="G14" s="480" t="s">
        <v>20</v>
      </c>
      <c r="H14" s="480">
        <v>20</v>
      </c>
      <c r="I14" s="480"/>
      <c r="J14" s="1488" t="s">
        <v>1200</v>
      </c>
      <c r="K14" s="1488">
        <v>0.6</v>
      </c>
    </row>
    <row r="15" spans="1:11">
      <c r="A15" s="69" t="s">
        <v>6</v>
      </c>
      <c r="B15" s="342" t="s">
        <v>503</v>
      </c>
      <c r="C15" s="149">
        <f>VLOOKUP(B15,G8:H18,2,FALSE)</f>
        <v>0</v>
      </c>
      <c r="D15" s="442"/>
      <c r="G15" s="480" t="s">
        <v>19</v>
      </c>
      <c r="H15" s="480">
        <v>10</v>
      </c>
      <c r="I15" s="480"/>
      <c r="J15" s="1488" t="s">
        <v>1201</v>
      </c>
      <c r="K15" s="1488">
        <v>0.4</v>
      </c>
    </row>
    <row r="16" spans="1:11" ht="15.75">
      <c r="A16" s="69" t="s">
        <v>1057</v>
      </c>
      <c r="B16" s="915" t="s">
        <v>24</v>
      </c>
      <c r="C16" s="928"/>
      <c r="D16" s="442"/>
      <c r="E16" s="489" t="str">
        <f>IF(C16&gt;25,"Sind Sie sicher?"," ")</f>
        <v xml:space="preserve"> </v>
      </c>
      <c r="G16" s="480" t="s">
        <v>529</v>
      </c>
      <c r="H16" s="480">
        <v>0</v>
      </c>
      <c r="I16" s="480"/>
      <c r="J16" s="1488" t="s">
        <v>1199</v>
      </c>
      <c r="K16" s="1488">
        <v>0.35</v>
      </c>
    </row>
    <row r="17" spans="1:11" ht="15.75" thickBot="1">
      <c r="A17" s="69" t="s">
        <v>159</v>
      </c>
      <c r="B17" s="342" t="s">
        <v>160</v>
      </c>
      <c r="C17" s="926">
        <f>VLOOKUP(B17,J8:K9,2,FALSE)</f>
        <v>0</v>
      </c>
      <c r="D17" s="443"/>
      <c r="G17" s="480" t="s">
        <v>21</v>
      </c>
      <c r="H17" s="480">
        <v>10</v>
      </c>
      <c r="I17" s="480"/>
      <c r="J17" s="1488" t="s">
        <v>48</v>
      </c>
      <c r="K17" s="1488">
        <v>0.3</v>
      </c>
    </row>
    <row r="18" spans="1:11" ht="16.5" thickBot="1">
      <c r="A18" s="283"/>
      <c r="B18" s="284" t="s">
        <v>468</v>
      </c>
      <c r="C18" s="276">
        <f>C10-SUM(C11:C17)</f>
        <v>130</v>
      </c>
      <c r="D18" s="285" t="s">
        <v>470</v>
      </c>
      <c r="G18" s="480" t="s">
        <v>18</v>
      </c>
      <c r="H18" s="480">
        <v>20</v>
      </c>
      <c r="I18" s="480"/>
      <c r="J18" s="1488" t="s">
        <v>31</v>
      </c>
      <c r="K18" s="1488">
        <v>0</v>
      </c>
    </row>
    <row r="19" spans="1:11" ht="19.5" customHeight="1" thickBot="1">
      <c r="A19" s="48"/>
      <c r="B19" s="167"/>
      <c r="C19" s="11"/>
      <c r="D19" s="296"/>
      <c r="G19" s="480"/>
      <c r="H19" s="480"/>
      <c r="I19" s="480"/>
      <c r="J19" s="480"/>
      <c r="K19" s="480"/>
    </row>
    <row r="20" spans="1:11" ht="18" customHeight="1">
      <c r="A20" s="3040" t="s">
        <v>491</v>
      </c>
      <c r="B20" s="2542"/>
      <c r="C20" s="265" t="s">
        <v>174</v>
      </c>
      <c r="D20" s="2543" t="s">
        <v>336</v>
      </c>
      <c r="G20" s="480"/>
      <c r="H20" s="480"/>
      <c r="I20" s="480"/>
      <c r="J20" s="480"/>
      <c r="K20" s="480"/>
    </row>
    <row r="21" spans="1:11" ht="19.5" customHeight="1" thickBot="1">
      <c r="A21" s="3042"/>
      <c r="B21" s="2544"/>
      <c r="C21" s="266" t="s">
        <v>173</v>
      </c>
      <c r="D21" s="2488"/>
      <c r="G21" s="479" t="s">
        <v>8</v>
      </c>
      <c r="H21" s="480"/>
      <c r="I21" s="480"/>
      <c r="J21" s="480"/>
      <c r="K21" s="480"/>
    </row>
    <row r="22" spans="1:11" ht="19.5" customHeight="1">
      <c r="A22" s="81" t="s">
        <v>35</v>
      </c>
      <c r="B22" s="345">
        <v>60</v>
      </c>
      <c r="C22" s="59">
        <f>IF(OR(B22&lt;1,B22&gt;100),"Zahl 0 bis 100 eingeben",(-0.0025*B22*B22+0.75*B22-26)*0.4)</f>
        <v>4</v>
      </c>
      <c r="D22" s="82" t="s">
        <v>163</v>
      </c>
      <c r="G22" s="480" t="s">
        <v>31</v>
      </c>
      <c r="H22" s="480">
        <v>0</v>
      </c>
      <c r="I22" s="480"/>
      <c r="J22" s="479" t="s">
        <v>69</v>
      </c>
      <c r="K22" s="480"/>
    </row>
    <row r="23" spans="1:11" ht="19.5" customHeight="1">
      <c r="A23" s="81" t="s">
        <v>162</v>
      </c>
      <c r="B23" s="345">
        <v>200</v>
      </c>
      <c r="C23" s="59">
        <f>IF(OR(B23&lt;40,B23&gt;800),"gibt es nicht",(B23*0.025-1))</f>
        <v>4</v>
      </c>
      <c r="D23" s="82" t="s">
        <v>164</v>
      </c>
      <c r="G23" s="480" t="s">
        <v>25</v>
      </c>
      <c r="H23" s="480">
        <v>0</v>
      </c>
      <c r="I23" s="480"/>
      <c r="J23" s="480" t="s">
        <v>250</v>
      </c>
      <c r="K23" s="480">
        <v>10</v>
      </c>
    </row>
    <row r="24" spans="1:11" ht="19.5" customHeight="1">
      <c r="A24" s="81" t="s">
        <v>51</v>
      </c>
      <c r="B24" s="342" t="s">
        <v>31</v>
      </c>
      <c r="C24" s="66">
        <f>VLOOKUP(B24,J12:K18,2,FALSE)</f>
        <v>0</v>
      </c>
      <c r="D24" s="83" t="s">
        <v>50</v>
      </c>
      <c r="G24" s="480" t="s">
        <v>26</v>
      </c>
      <c r="H24" s="480">
        <v>0</v>
      </c>
      <c r="I24" s="480"/>
      <c r="J24" s="480" t="s">
        <v>54</v>
      </c>
      <c r="K24" s="480">
        <v>0</v>
      </c>
    </row>
    <row r="25" spans="1:11" ht="19.5" customHeight="1">
      <c r="A25" s="81" t="s">
        <v>46</v>
      </c>
      <c r="B25" s="493">
        <v>0</v>
      </c>
      <c r="C25" s="54">
        <f>B25*10*C24</f>
        <v>0</v>
      </c>
      <c r="D25" s="82" t="s">
        <v>163</v>
      </c>
      <c r="G25" s="480" t="s">
        <v>27</v>
      </c>
      <c r="H25" s="480">
        <v>20</v>
      </c>
      <c r="I25" s="480"/>
      <c r="J25" s="480"/>
      <c r="K25" s="480"/>
    </row>
    <row r="26" spans="1:11" ht="28.5" customHeight="1">
      <c r="A26" s="84" t="s">
        <v>47</v>
      </c>
      <c r="B26" s="492" t="str">
        <f>IF(B25&gt;3,"Sind Sie sicher?"," ")</f>
        <v xml:space="preserve"> </v>
      </c>
      <c r="C26" s="54"/>
      <c r="D26" s="82"/>
      <c r="G26" s="480" t="s">
        <v>28</v>
      </c>
      <c r="H26" s="480">
        <v>10</v>
      </c>
      <c r="I26" s="480"/>
      <c r="J26" s="480"/>
      <c r="K26" s="480"/>
    </row>
    <row r="27" spans="1:11" ht="24" customHeight="1">
      <c r="A27" s="81" t="s">
        <v>69</v>
      </c>
      <c r="B27" s="522" t="s">
        <v>54</v>
      </c>
      <c r="C27" s="54">
        <f>VLOOKUP(B27,J23:K24,2,FALSE)</f>
        <v>0</v>
      </c>
      <c r="D27" s="85" t="s">
        <v>70</v>
      </c>
      <c r="G27" s="480" t="s">
        <v>29</v>
      </c>
      <c r="H27" s="480">
        <v>10</v>
      </c>
      <c r="I27" s="480"/>
      <c r="J27" s="480"/>
      <c r="K27" s="480"/>
    </row>
    <row r="28" spans="1:11" ht="11.25" customHeight="1">
      <c r="A28" s="81"/>
      <c r="B28" s="287" t="s">
        <v>348</v>
      </c>
      <c r="C28" s="444">
        <v>11</v>
      </c>
      <c r="D28" s="225" t="s">
        <v>365</v>
      </c>
      <c r="E28" s="14"/>
      <c r="G28" s="480" t="s">
        <v>673</v>
      </c>
      <c r="H28" s="480">
        <v>30</v>
      </c>
      <c r="I28" s="480"/>
      <c r="J28" s="480"/>
      <c r="K28" s="480"/>
    </row>
    <row r="29" spans="1:11" ht="27.75" thickBot="1">
      <c r="A29" s="86"/>
      <c r="B29" s="87" t="s">
        <v>458</v>
      </c>
      <c r="C29" s="54"/>
      <c r="D29" s="88" t="s">
        <v>64</v>
      </c>
      <c r="G29" s="480" t="s">
        <v>30</v>
      </c>
      <c r="H29" s="480">
        <v>40</v>
      </c>
      <c r="I29" s="480"/>
      <c r="J29" s="480"/>
      <c r="K29" s="480"/>
    </row>
    <row r="30" spans="1:11" ht="15.75" customHeight="1">
      <c r="A30" s="89" t="s">
        <v>61</v>
      </c>
      <c r="B30" s="49">
        <f>B33*0.35+C23*0.6</f>
        <v>60.129839999999994</v>
      </c>
      <c r="C30" s="267">
        <f>B30-C11-C12*0.5+C27</f>
        <v>35.129839999999994</v>
      </c>
      <c r="D30" s="46" t="s">
        <v>711</v>
      </c>
      <c r="F30" s="16"/>
      <c r="G30" s="480" t="s">
        <v>9</v>
      </c>
      <c r="H30" s="480">
        <v>0</v>
      </c>
      <c r="I30" s="480"/>
      <c r="J30" s="480"/>
      <c r="K30" s="480"/>
    </row>
    <row r="31" spans="1:11" ht="18.75">
      <c r="A31" s="89" t="s">
        <v>62</v>
      </c>
      <c r="B31" s="90">
        <f>B33*0.45+C23*0.4</f>
        <v>75.824079999999995</v>
      </c>
      <c r="C31" s="268">
        <f>B31-C12*0.5-C13*0.67-C14*0.4-C15*0.4-C16*0.3-C22*0.5-C25*0.4-C27</f>
        <v>61.464079999999996</v>
      </c>
      <c r="D31" s="113" t="s">
        <v>433</v>
      </c>
      <c r="G31" s="480" t="s">
        <v>10</v>
      </c>
      <c r="H31" s="480">
        <v>10</v>
      </c>
      <c r="I31" s="916"/>
      <c r="J31" s="916"/>
      <c r="K31" s="916"/>
    </row>
    <row r="32" spans="1:11" ht="19.5" thickBot="1">
      <c r="A32" s="89" t="s">
        <v>63</v>
      </c>
      <c r="B32" s="90">
        <f>B33*0.2</f>
        <v>32.988480000000003</v>
      </c>
      <c r="C32" s="269">
        <f>B32-C14*0.6-C15*0.6-C16*0.35-C22*0.5-C25*0.6</f>
        <v>30.988480000000003</v>
      </c>
      <c r="D32" s="113" t="s">
        <v>166</v>
      </c>
      <c r="F32" s="911"/>
      <c r="G32" s="480" t="s">
        <v>31</v>
      </c>
      <c r="H32" s="480">
        <v>0</v>
      </c>
      <c r="I32" s="916"/>
      <c r="J32" s="916"/>
      <c r="K32" s="916"/>
    </row>
    <row r="33" spans="1:11" ht="27">
      <c r="A33" s="923" t="s">
        <v>367</v>
      </c>
      <c r="B33" s="110">
        <f>(C47+C49)*1.2</f>
        <v>164.94239999999999</v>
      </c>
      <c r="C33" s="245">
        <f>C30+C31+C32</f>
        <v>127.58240000000001</v>
      </c>
      <c r="D33" s="222" t="str">
        <f>IF(C33&gt;C18,"Obergrenze einhalten!!!"," ")</f>
        <v xml:space="preserve"> </v>
      </c>
      <c r="G33" s="916"/>
      <c r="I33" s="916"/>
      <c r="J33" s="916"/>
      <c r="K33" s="916"/>
    </row>
    <row r="34" spans="1:11" ht="19.5" customHeight="1">
      <c r="A34" s="783"/>
      <c r="B34" s="49"/>
      <c r="C34" s="11"/>
      <c r="D34" s="165"/>
      <c r="H34" s="910"/>
    </row>
    <row r="35" spans="1:11" ht="31.5">
      <c r="A35" s="404"/>
      <c r="B35" s="405"/>
      <c r="C35" s="406" t="s">
        <v>719</v>
      </c>
      <c r="D35" s="407"/>
      <c r="H35" s="910"/>
    </row>
    <row r="36" spans="1:11" ht="16.5" customHeight="1">
      <c r="A36" s="408"/>
      <c r="B36" s="371" t="s">
        <v>42</v>
      </c>
      <c r="C36" s="409">
        <f>C18</f>
        <v>130</v>
      </c>
      <c r="D36" s="410" t="s">
        <v>4</v>
      </c>
      <c r="H36" s="910"/>
    </row>
    <row r="37" spans="1:11" ht="30.75" customHeight="1">
      <c r="A37" s="3044" t="s">
        <v>702</v>
      </c>
      <c r="B37" s="775" t="s">
        <v>701</v>
      </c>
      <c r="C37" s="781">
        <v>0</v>
      </c>
      <c r="D37" s="779" t="s">
        <v>484</v>
      </c>
      <c r="H37" s="910"/>
    </row>
    <row r="38" spans="1:11" ht="32.25" customHeight="1">
      <c r="A38" s="3045"/>
      <c r="B38" s="776" t="s">
        <v>704</v>
      </c>
      <c r="C38" s="771">
        <v>0</v>
      </c>
      <c r="D38" s="415" t="s">
        <v>485</v>
      </c>
    </row>
    <row r="39" spans="1:11" ht="31.5" customHeight="1">
      <c r="A39" s="859" t="s">
        <v>817</v>
      </c>
      <c r="B39" s="777" t="s">
        <v>705</v>
      </c>
      <c r="C39" s="780">
        <v>0</v>
      </c>
      <c r="D39" s="415" t="s">
        <v>254</v>
      </c>
    </row>
    <row r="40" spans="1:11" ht="24.75" customHeight="1">
      <c r="A40" s="3044" t="s">
        <v>703</v>
      </c>
      <c r="B40" s="775" t="s">
        <v>706</v>
      </c>
      <c r="C40" s="771">
        <v>0</v>
      </c>
      <c r="D40" s="779" t="s">
        <v>484</v>
      </c>
    </row>
    <row r="41" spans="1:11" ht="24.75" customHeight="1">
      <c r="A41" s="3045"/>
      <c r="B41" s="776" t="s">
        <v>707</v>
      </c>
      <c r="C41" s="771">
        <v>0</v>
      </c>
      <c r="D41" s="415" t="s">
        <v>485</v>
      </c>
    </row>
    <row r="42" spans="1:11" ht="15.75">
      <c r="A42" s="859" t="s">
        <v>817</v>
      </c>
      <c r="B42" s="778" t="s">
        <v>708</v>
      </c>
      <c r="C42" s="771">
        <v>0</v>
      </c>
      <c r="D42" s="415" t="s">
        <v>254</v>
      </c>
    </row>
    <row r="43" spans="1:11" ht="17.25" customHeight="1">
      <c r="A43" s="379"/>
      <c r="B43" s="412" t="s">
        <v>255</v>
      </c>
      <c r="C43" s="414">
        <f>(C37*C38*C39/100)+(C40*C41*C42/100)</f>
        <v>0</v>
      </c>
      <c r="D43" s="416" t="s">
        <v>4</v>
      </c>
    </row>
    <row r="44" spans="1:11" ht="30" customHeight="1">
      <c r="A44" s="411"/>
      <c r="B44" s="413" t="s">
        <v>136</v>
      </c>
      <c r="C44" s="414">
        <f>C36-C43</f>
        <v>130</v>
      </c>
      <c r="D44" s="417" t="s">
        <v>4</v>
      </c>
      <c r="F44" s="920" t="s">
        <v>183</v>
      </c>
      <c r="G44" s="925" t="s">
        <v>186</v>
      </c>
      <c r="H44" s="925"/>
      <c r="I44" s="925"/>
    </row>
    <row r="45" spans="1:11" ht="19.5" customHeight="1">
      <c r="B45" s="19"/>
      <c r="C45" s="20"/>
      <c r="D45" s="21"/>
      <c r="F45" s="919" t="s">
        <v>179</v>
      </c>
      <c r="G45" s="919">
        <v>90</v>
      </c>
      <c r="H45" s="914"/>
      <c r="I45" s="914"/>
    </row>
    <row r="46" spans="1:11" ht="19.5" customHeight="1">
      <c r="A46" s="78"/>
      <c r="B46" s="79"/>
      <c r="C46" s="921" t="s">
        <v>60</v>
      </c>
      <c r="D46" s="80"/>
      <c r="F46" s="919" t="s">
        <v>804</v>
      </c>
      <c r="G46" s="919">
        <v>70</v>
      </c>
      <c r="H46" s="914"/>
      <c r="I46" s="914"/>
    </row>
    <row r="47" spans="1:11" ht="19.5" customHeight="1">
      <c r="A47" s="81"/>
      <c r="B47" s="48" t="s">
        <v>12</v>
      </c>
      <c r="C47" s="218">
        <f>C7*0.86*C28/6.25</f>
        <v>105.95199999999998</v>
      </c>
      <c r="D47" s="104" t="str">
        <f>IF(C47&gt;200,"mehr als 200 kg Korn-N/ha ist unrealistisch!","Korn-N-Abfuhr")</f>
        <v>Korn-N-Abfuhr</v>
      </c>
      <c r="F47" s="919" t="s">
        <v>805</v>
      </c>
      <c r="G47" s="919">
        <v>70</v>
      </c>
      <c r="H47" s="914"/>
      <c r="I47" s="914"/>
    </row>
    <row r="48" spans="1:11" ht="19.5" customHeight="1">
      <c r="A48" s="81"/>
      <c r="B48" s="93" t="s">
        <v>14</v>
      </c>
      <c r="C48" s="219">
        <f>(125-0.5*C7)/100</f>
        <v>0.9</v>
      </c>
      <c r="D48" s="94" t="s">
        <v>338</v>
      </c>
      <c r="F48" s="919" t="s">
        <v>809</v>
      </c>
      <c r="G48" s="920">
        <v>70</v>
      </c>
      <c r="H48" s="914"/>
      <c r="I48" s="914"/>
    </row>
    <row r="49" spans="1:11" ht="19.5" customHeight="1">
      <c r="A49" s="81"/>
      <c r="B49" s="48" t="s">
        <v>13</v>
      </c>
      <c r="C49" s="59">
        <f>C7*C48*C28/22</f>
        <v>31.5</v>
      </c>
      <c r="D49" s="82"/>
      <c r="F49" s="782" t="s">
        <v>810</v>
      </c>
      <c r="G49" s="920">
        <v>60</v>
      </c>
      <c r="H49" s="914"/>
      <c r="I49" s="914"/>
    </row>
    <row r="50" spans="1:11" ht="19.5" customHeight="1">
      <c r="A50" s="28" t="s">
        <v>68</v>
      </c>
      <c r="B50" s="48" t="s">
        <v>65</v>
      </c>
      <c r="C50" s="115">
        <f>C33-C47</f>
        <v>21.630400000000023</v>
      </c>
      <c r="D50" s="96" t="s">
        <v>4</v>
      </c>
      <c r="F50" s="919" t="s">
        <v>48</v>
      </c>
      <c r="G50" s="920">
        <v>60</v>
      </c>
      <c r="H50" s="914"/>
      <c r="I50" s="914"/>
    </row>
    <row r="51" spans="1:11" ht="19.5" customHeight="1">
      <c r="A51" s="793" t="s">
        <v>729</v>
      </c>
      <c r="B51" s="48" t="s">
        <v>66</v>
      </c>
      <c r="C51" s="220">
        <f>C33-C47-C49</f>
        <v>-9.8695999999999771</v>
      </c>
      <c r="D51" s="96" t="s">
        <v>4</v>
      </c>
      <c r="F51" s="919" t="s">
        <v>811</v>
      </c>
      <c r="G51" s="919">
        <v>45</v>
      </c>
      <c r="H51" s="914"/>
      <c r="I51" s="914"/>
    </row>
    <row r="52" spans="1:11" ht="19.5" customHeight="1">
      <c r="A52" s="792" t="s">
        <v>67</v>
      </c>
      <c r="B52" s="48" t="s">
        <v>65</v>
      </c>
      <c r="C52" s="220">
        <f>C18-C47</f>
        <v>24.048000000000016</v>
      </c>
      <c r="D52" s="96" t="s">
        <v>4</v>
      </c>
      <c r="F52" s="782" t="s">
        <v>806</v>
      </c>
      <c r="G52" s="920">
        <v>30</v>
      </c>
      <c r="H52" s="914"/>
      <c r="I52" s="914"/>
    </row>
    <row r="53" spans="1:11" ht="19.5" customHeight="1">
      <c r="A53" s="987" t="s">
        <v>729</v>
      </c>
      <c r="B53" s="97" t="s">
        <v>66</v>
      </c>
      <c r="C53" s="221">
        <f>C18-C47-C49</f>
        <v>-7.451999999999984</v>
      </c>
      <c r="D53" s="99" t="s">
        <v>4</v>
      </c>
      <c r="F53" s="951" t="s">
        <v>1019</v>
      </c>
      <c r="G53" s="920">
        <v>30</v>
      </c>
      <c r="H53" s="914"/>
      <c r="I53" s="914"/>
    </row>
    <row r="54" spans="1:11" ht="19.5" customHeight="1" thickBot="1">
      <c r="A54" s="988"/>
      <c r="B54" s="48"/>
      <c r="C54" s="49"/>
      <c r="D54" s="989"/>
      <c r="F54" s="919" t="s">
        <v>187</v>
      </c>
      <c r="G54" s="920">
        <v>30</v>
      </c>
      <c r="H54" s="914"/>
      <c r="I54" s="914"/>
    </row>
    <row r="55" spans="1:11" ht="19.5" customHeight="1">
      <c r="A55" s="3049" t="s">
        <v>578</v>
      </c>
      <c r="B55" s="3053"/>
      <c r="C55" s="1777" t="s">
        <v>587</v>
      </c>
      <c r="D55" s="603" t="s">
        <v>587</v>
      </c>
      <c r="E55" s="14"/>
      <c r="F55" s="919" t="s">
        <v>813</v>
      </c>
      <c r="G55" s="920">
        <v>30</v>
      </c>
      <c r="H55" s="914"/>
      <c r="I55" s="914"/>
    </row>
    <row r="56" spans="1:11" ht="19.5" customHeight="1">
      <c r="A56" s="3054" t="s">
        <v>590</v>
      </c>
      <c r="B56" s="626" t="s">
        <v>579</v>
      </c>
      <c r="C56" s="622" t="s">
        <v>580</v>
      </c>
      <c r="D56" s="625" t="s">
        <v>581</v>
      </c>
      <c r="F56" s="919" t="s">
        <v>814</v>
      </c>
      <c r="G56" s="920">
        <v>30</v>
      </c>
      <c r="H56" s="914"/>
      <c r="I56" s="914"/>
    </row>
    <row r="57" spans="1:11" ht="19.5" customHeight="1">
      <c r="A57" s="3055"/>
      <c r="B57" s="601" t="s">
        <v>583</v>
      </c>
      <c r="C57" s="263">
        <f>C59*2</f>
        <v>112</v>
      </c>
      <c r="D57" s="602">
        <f>D59*2</f>
        <v>0</v>
      </c>
      <c r="F57" s="919" t="s">
        <v>815</v>
      </c>
      <c r="G57" s="920">
        <v>30</v>
      </c>
      <c r="H57" s="914"/>
      <c r="I57" s="914"/>
    </row>
    <row r="58" spans="1:11" ht="19.5" customHeight="1">
      <c r="A58" s="3055"/>
      <c r="B58" s="601" t="s">
        <v>584</v>
      </c>
      <c r="C58" s="263">
        <f>C59*1.5</f>
        <v>84</v>
      </c>
      <c r="D58" s="602">
        <f>D59*1.5</f>
        <v>0</v>
      </c>
      <c r="F58" s="919" t="s">
        <v>180</v>
      </c>
      <c r="G58" s="920">
        <v>25</v>
      </c>
      <c r="H58" s="914"/>
      <c r="I58" s="914"/>
      <c r="J58" s="916"/>
      <c r="K58" s="916"/>
    </row>
    <row r="59" spans="1:11" ht="19.5" customHeight="1">
      <c r="A59" s="3055"/>
      <c r="B59" s="601" t="s">
        <v>585</v>
      </c>
      <c r="C59" s="605">
        <f>C7*0.8</f>
        <v>56</v>
      </c>
      <c r="D59" s="606">
        <f>C42*1.07</f>
        <v>0</v>
      </c>
      <c r="F59" s="919" t="s">
        <v>807</v>
      </c>
      <c r="G59" s="920">
        <v>25</v>
      </c>
    </row>
    <row r="60" spans="1:11" ht="19.5" customHeight="1">
      <c r="A60" s="3055"/>
      <c r="B60" s="601" t="s">
        <v>586</v>
      </c>
      <c r="C60" s="263">
        <f>C59*0.5</f>
        <v>28</v>
      </c>
      <c r="D60" s="602">
        <f>D59*0.5</f>
        <v>0</v>
      </c>
      <c r="F60" s="782" t="s">
        <v>808</v>
      </c>
      <c r="G60" s="920">
        <v>25</v>
      </c>
    </row>
    <row r="61" spans="1:11" ht="32.25" customHeight="1">
      <c r="A61" s="3065"/>
      <c r="B61" s="3067" t="s">
        <v>588</v>
      </c>
      <c r="C61" s="3060" t="s">
        <v>591</v>
      </c>
      <c r="D61" s="3061"/>
      <c r="F61" s="782" t="s">
        <v>816</v>
      </c>
      <c r="G61" s="920">
        <v>10</v>
      </c>
    </row>
    <row r="62" spans="1:11" ht="19.5" customHeight="1" thickBot="1">
      <c r="A62" s="3066"/>
      <c r="B62" s="3068"/>
      <c r="C62" s="3062"/>
      <c r="D62" s="3063"/>
      <c r="F62" s="782" t="s">
        <v>181</v>
      </c>
      <c r="G62" s="920">
        <v>10</v>
      </c>
    </row>
    <row r="63" spans="1:11" ht="19.5" customHeight="1">
      <c r="A63" s="48"/>
      <c r="B63" s="912"/>
      <c r="C63" s="913"/>
      <c r="D63" s="913"/>
      <c r="F63" s="782" t="s">
        <v>188</v>
      </c>
      <c r="G63" s="920">
        <v>5</v>
      </c>
    </row>
    <row r="64" spans="1:11" ht="19.5" customHeight="1">
      <c r="A64" s="103" t="s">
        <v>167</v>
      </c>
      <c r="B64" s="101"/>
      <c r="C64" s="774"/>
      <c r="F64" s="782" t="s">
        <v>182</v>
      </c>
      <c r="G64" s="920">
        <v>3</v>
      </c>
    </row>
    <row r="65" spans="1:8" s="1770" customFormat="1" ht="30.75" customHeight="1">
      <c r="A65" s="927" t="s">
        <v>328</v>
      </c>
      <c r="B65" s="3051" t="s">
        <v>368</v>
      </c>
      <c r="C65" s="2413"/>
      <c r="D65" s="2413"/>
      <c r="F65" s="1774"/>
      <c r="G65" s="1775"/>
      <c r="H65" s="1421"/>
    </row>
    <row r="66" spans="1:8" s="1770" customFormat="1" ht="19.5" customHeight="1">
      <c r="A66" s="927"/>
      <c r="B66" s="100" t="s">
        <v>369</v>
      </c>
      <c r="C66" s="102" t="s">
        <v>370</v>
      </c>
      <c r="D66" s="910"/>
      <c r="F66" s="1774"/>
      <c r="G66" s="1775"/>
      <c r="H66" s="1421"/>
    </row>
    <row r="67" spans="1:8" s="1770" customFormat="1" ht="19.5" customHeight="1">
      <c r="A67" s="927"/>
      <c r="B67" s="100" t="s">
        <v>371</v>
      </c>
      <c r="C67" s="102" t="s">
        <v>372</v>
      </c>
      <c r="D67" s="910"/>
      <c r="F67" s="1774"/>
      <c r="G67" s="1775"/>
      <c r="H67" s="1421"/>
    </row>
    <row r="68" spans="1:8" s="1770" customFormat="1" ht="19.5" customHeight="1">
      <c r="A68" s="927"/>
      <c r="B68" s="910"/>
      <c r="C68" s="910"/>
      <c r="D68" s="910"/>
      <c r="F68" s="1774"/>
      <c r="G68" s="1775"/>
      <c r="H68" s="1421"/>
    </row>
    <row r="69" spans="1:8" s="1770" customFormat="1" ht="27.75" customHeight="1">
      <c r="A69" s="927" t="s">
        <v>324</v>
      </c>
      <c r="B69" s="3051" t="s">
        <v>373</v>
      </c>
      <c r="C69" s="2736"/>
      <c r="D69" s="2736"/>
      <c r="F69" s="1774"/>
      <c r="G69" s="1775"/>
      <c r="H69" s="1421"/>
    </row>
    <row r="70" spans="1:8" s="1770" customFormat="1" ht="19.5" customHeight="1">
      <c r="A70" s="927"/>
      <c r="B70" s="101"/>
      <c r="C70" s="774"/>
      <c r="D70" s="910"/>
      <c r="F70" s="1774"/>
      <c r="G70" s="1775"/>
      <c r="H70" s="1421"/>
    </row>
    <row r="71" spans="1:8" ht="19.5" customHeight="1">
      <c r="A71" s="927"/>
      <c r="B71" s="100" t="s">
        <v>329</v>
      </c>
      <c r="C71" s="774"/>
      <c r="D71" s="916" t="s">
        <v>330</v>
      </c>
    </row>
    <row r="72" spans="1:8" ht="20.25" customHeight="1">
      <c r="A72" s="927" t="s">
        <v>168</v>
      </c>
      <c r="B72" s="100" t="s">
        <v>337</v>
      </c>
      <c r="C72" s="774"/>
      <c r="D72" s="774" t="s">
        <v>360</v>
      </c>
    </row>
    <row r="73" spans="1:8" ht="13.5" customHeight="1">
      <c r="A73" s="927" t="s">
        <v>169</v>
      </c>
      <c r="B73" s="100" t="s">
        <v>358</v>
      </c>
      <c r="C73" s="774"/>
      <c r="D73" s="772" t="s">
        <v>363</v>
      </c>
    </row>
    <row r="74" spans="1:8" ht="42" customHeight="1">
      <c r="A74" s="927" t="s">
        <v>170</v>
      </c>
      <c r="B74" s="100" t="s">
        <v>359</v>
      </c>
      <c r="C74" s="774"/>
      <c r="D74" s="773" t="s">
        <v>715</v>
      </c>
    </row>
    <row r="75" spans="1:8" ht="22.5" customHeight="1">
      <c r="A75" s="927" t="s">
        <v>340</v>
      </c>
      <c r="B75" s="100" t="s">
        <v>331</v>
      </c>
      <c r="C75" s="102"/>
      <c r="D75" s="910" t="s">
        <v>366</v>
      </c>
    </row>
    <row r="76" spans="1:8" ht="20.25" customHeight="1">
      <c r="A76" s="174" t="s">
        <v>409</v>
      </c>
      <c r="B76" s="910" t="s">
        <v>335</v>
      </c>
      <c r="C76" s="910"/>
      <c r="E76" s="916"/>
    </row>
    <row r="77" spans="1:8" ht="19.5" customHeight="1">
      <c r="B77" s="910" t="s">
        <v>334</v>
      </c>
      <c r="C77" s="910"/>
      <c r="E77" s="916"/>
      <c r="F77" s="3052" t="s">
        <v>364</v>
      </c>
      <c r="G77" s="2527" t="s">
        <v>333</v>
      </c>
    </row>
    <row r="78" spans="1:8" ht="93.75" customHeight="1">
      <c r="B78" s="910"/>
      <c r="C78" s="910"/>
      <c r="E78" s="917"/>
      <c r="F78" s="3052"/>
      <c r="G78" s="2527"/>
    </row>
    <row r="79" spans="1:8" ht="16.5" customHeight="1">
      <c r="A79" s="927" t="s">
        <v>410</v>
      </c>
      <c r="B79" s="910" t="s">
        <v>339</v>
      </c>
      <c r="C79" s="910"/>
      <c r="E79" s="918"/>
    </row>
    <row r="80" spans="1:8" ht="24" customHeight="1">
      <c r="B80" s="910" t="s">
        <v>374</v>
      </c>
      <c r="C80" s="910"/>
      <c r="H80" s="910"/>
    </row>
    <row r="81" spans="6:8" ht="25.5" customHeight="1">
      <c r="F81" s="916"/>
      <c r="H81" s="910"/>
    </row>
    <row r="82" spans="6:8" ht="96" customHeight="1">
      <c r="F82" s="916"/>
      <c r="H82" s="910"/>
    </row>
    <row r="83" spans="6:8" ht="81.75" customHeight="1">
      <c r="F83" s="916"/>
      <c r="H83" s="910"/>
    </row>
    <row r="84" spans="6:8" ht="24.75" customHeight="1">
      <c r="F84" s="916"/>
      <c r="H84" s="910"/>
    </row>
    <row r="85" spans="6:8" ht="24" customHeight="1">
      <c r="F85" s="916"/>
    </row>
    <row r="88" spans="6:8" ht="19.5" customHeight="1"/>
  </sheetData>
  <sheetProtection formatCells="0" formatColumns="0" formatRows="0" selectLockedCells="1"/>
  <mergeCells count="15">
    <mergeCell ref="B65:D65"/>
    <mergeCell ref="F77:F78"/>
    <mergeCell ref="G77:G78"/>
    <mergeCell ref="B69:D69"/>
    <mergeCell ref="A40:A41"/>
    <mergeCell ref="A55:B55"/>
    <mergeCell ref="A56:A60"/>
    <mergeCell ref="A61:A62"/>
    <mergeCell ref="B61:B62"/>
    <mergeCell ref="C61:D62"/>
    <mergeCell ref="A20:B21"/>
    <mergeCell ref="D20:D21"/>
    <mergeCell ref="A37:A38"/>
    <mergeCell ref="A5:D5"/>
    <mergeCell ref="A6:B6"/>
  </mergeCells>
  <dataValidations count="7">
    <dataValidation type="list" allowBlank="1" sqref="B14">
      <formula1>$G$22:$G$32</formula1>
    </dataValidation>
    <dataValidation type="list" allowBlank="1" sqref="B15">
      <formula1>Vorfrucht</formula1>
    </dataValidation>
    <dataValidation type="list" allowBlank="1" sqref="J8:J9">
      <formula1>"Humusgehalt"</formula1>
    </dataValidation>
    <dataValidation type="list" allowBlank="1" sqref="B17">
      <formula1>"bis 4 %, größer 4 %"</formula1>
    </dataValidation>
    <dataValidation type="list" allowBlank="1" sqref="C28">
      <mc:AlternateContent xmlns:x12ac="http://schemas.microsoft.com/office/spreadsheetml/2011/1/ac" xmlns:mc="http://schemas.openxmlformats.org/markup-compatibility/2006">
        <mc:Choice Requires="x12ac">
          <x12ac:list>8,"8,5",9,"9,5",10,"10,5",11,"11,5",12,"12,5",13,"13,5",14,"14,5"</x12ac:list>
        </mc:Choice>
        <mc:Fallback>
          <formula1>"8,8,5,9,9,5,10,10,5,11,11,5,12,12,5,13,13,5,14,14,5"</formula1>
        </mc:Fallback>
      </mc:AlternateContent>
    </dataValidation>
    <dataValidation type="list" allowBlank="1" sqref="B24">
      <formula1>J12:J18</formula1>
    </dataValidation>
    <dataValidation type="list" allowBlank="1" sqref="B27">
      <formula1>Witterung</formula1>
    </dataValidation>
  </dataValidations>
  <pageMargins left="0.7" right="0.7" top="0.78740157499999996" bottom="0.78740157499999996" header="0.3" footer="0.3"/>
  <pageSetup paperSize="9" scale="66" orientation="portrait" horizontalDpi="4294967293" verticalDpi="4294967293" r:id="rId1"/>
  <rowBreaks count="1" manualBreakCount="1">
    <brk id="77" max="3" man="1"/>
  </rowBreaks>
  <colBreaks count="1" manualBreakCount="1">
    <brk id="4"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0"/>
    <pageSetUpPr fitToPage="1"/>
  </sheetPr>
  <dimension ref="A1:K85"/>
  <sheetViews>
    <sheetView topLeftCell="A47" zoomScaleNormal="100" workbookViewId="0">
      <selection activeCell="C58" sqref="C58"/>
    </sheetView>
  </sheetViews>
  <sheetFormatPr baseColWidth="10" defaultRowHeight="15"/>
  <cols>
    <col min="1" max="1" width="38.140625" style="174" customWidth="1"/>
    <col min="2" max="2" width="39" style="175" customWidth="1"/>
    <col min="3" max="3" width="29.42578125" style="916" customWidth="1"/>
    <col min="4" max="4" width="30.5703125" style="910" customWidth="1"/>
    <col min="5" max="5" width="22.140625" style="910" customWidth="1"/>
    <col min="6" max="6" width="34.7109375" style="910" customWidth="1"/>
    <col min="7" max="7" width="34.85546875" style="910" customWidth="1"/>
    <col min="8" max="8" width="26.42578125" style="916" customWidth="1"/>
    <col min="9" max="9" width="23.5703125" style="910" customWidth="1"/>
    <col min="10" max="10" width="37.85546875" style="910" customWidth="1"/>
    <col min="11" max="11" width="21" style="910" customWidth="1"/>
    <col min="12" max="16384" width="11.42578125" style="910"/>
  </cols>
  <sheetData>
    <row r="1" spans="1:11">
      <c r="B1" s="412" t="str">
        <f>'DüV-N-Ackerbau'!C1</f>
        <v>Karl vom Land</v>
      </c>
      <c r="C1" s="412" t="str">
        <f>'DüV-N-Ackerbau'!F1</f>
        <v>Erntejahr</v>
      </c>
      <c r="E1" s="12" t="s">
        <v>36</v>
      </c>
    </row>
    <row r="2" spans="1:11">
      <c r="B2" s="412" t="str">
        <f>'DüV-N-Ackerbau'!C2</f>
        <v>Höfen 1</v>
      </c>
      <c r="C2" s="412">
        <f>'DüV-N-Ackerbau'!G1</f>
        <v>2022</v>
      </c>
      <c r="E2" s="13" t="s">
        <v>34</v>
      </c>
    </row>
    <row r="3" spans="1:11">
      <c r="B3" s="412" t="str">
        <f>'DüV-N-Ackerbau'!C3</f>
        <v>12345 Auf dem Feld</v>
      </c>
      <c r="C3" s="174"/>
    </row>
    <row r="4" spans="1:11" ht="6" customHeight="1" thickBot="1"/>
    <row r="5" spans="1:11" ht="21.75" thickBot="1">
      <c r="A5" s="3046" t="s">
        <v>509</v>
      </c>
      <c r="B5" s="3047"/>
      <c r="C5" s="3047"/>
      <c r="D5" s="3048"/>
    </row>
    <row r="6" spans="1:11" ht="48" thickBot="1">
      <c r="A6" s="3049" t="s">
        <v>575</v>
      </c>
      <c r="B6" s="3050"/>
      <c r="C6" s="327" t="s">
        <v>573</v>
      </c>
      <c r="D6" s="472" t="s">
        <v>526</v>
      </c>
      <c r="G6" s="480"/>
      <c r="H6" s="479" t="s">
        <v>5</v>
      </c>
      <c r="I6" s="480"/>
      <c r="J6" s="480"/>
      <c r="K6" s="480"/>
    </row>
    <row r="7" spans="1:11" ht="15.75">
      <c r="A7" s="69"/>
      <c r="B7" s="48" t="s">
        <v>669</v>
      </c>
      <c r="C7" s="449">
        <v>70</v>
      </c>
      <c r="D7" s="441"/>
      <c r="G7" s="479" t="s">
        <v>6</v>
      </c>
      <c r="H7" s="480"/>
      <c r="I7" s="480"/>
      <c r="J7" s="480" t="s">
        <v>159</v>
      </c>
      <c r="K7" s="480"/>
    </row>
    <row r="8" spans="1:11" ht="15.75">
      <c r="A8" s="69"/>
      <c r="B8" s="48"/>
      <c r="C8" s="474" t="str">
        <f>IF(OR(C7&lt;30,C7&gt;150),"Sind Sie sicher?"," ")</f>
        <v xml:space="preserve"> </v>
      </c>
      <c r="D8" s="441"/>
      <c r="G8" s="480" t="s">
        <v>503</v>
      </c>
      <c r="H8" s="480">
        <v>0</v>
      </c>
      <c r="I8" s="480"/>
      <c r="J8" s="480" t="s">
        <v>160</v>
      </c>
      <c r="K8" s="480">
        <v>0</v>
      </c>
    </row>
    <row r="9" spans="1:11" ht="15.75">
      <c r="A9" s="69"/>
      <c r="B9" s="48"/>
      <c r="C9" s="469" t="s">
        <v>4</v>
      </c>
      <c r="D9" s="441"/>
      <c r="G9" s="480" t="s">
        <v>22</v>
      </c>
      <c r="H9" s="480">
        <v>10</v>
      </c>
      <c r="I9" s="480"/>
      <c r="J9" s="480" t="s">
        <v>161</v>
      </c>
      <c r="K9" s="480">
        <v>20</v>
      </c>
    </row>
    <row r="10" spans="1:11" ht="15.75">
      <c r="A10" s="69"/>
      <c r="B10" s="48" t="s">
        <v>37</v>
      </c>
      <c r="C10" s="924">
        <f>IF(C7&lt;=69,75+C7*1.5,(IF(C7&gt;=70,110+C7)))</f>
        <v>180</v>
      </c>
      <c r="D10" s="442"/>
      <c r="G10" s="480" t="s">
        <v>528</v>
      </c>
      <c r="H10" s="480">
        <v>10</v>
      </c>
      <c r="I10" s="480"/>
      <c r="J10" s="480"/>
      <c r="K10" s="480"/>
    </row>
    <row r="11" spans="1:11" ht="18">
      <c r="A11" s="69"/>
      <c r="B11" s="48" t="s">
        <v>38</v>
      </c>
      <c r="C11" s="490">
        <v>15</v>
      </c>
      <c r="D11" s="442"/>
      <c r="G11" s="480" t="s">
        <v>7</v>
      </c>
      <c r="H11" s="480">
        <v>10</v>
      </c>
      <c r="I11" s="480"/>
      <c r="J11" s="479" t="s">
        <v>49</v>
      </c>
      <c r="K11" s="480"/>
    </row>
    <row r="12" spans="1:11" ht="18">
      <c r="A12" s="69"/>
      <c r="B12" s="48" t="s">
        <v>39</v>
      </c>
      <c r="C12" s="490">
        <v>10</v>
      </c>
      <c r="D12" s="442"/>
      <c r="G12" s="480" t="s">
        <v>17</v>
      </c>
      <c r="H12" s="480">
        <v>20</v>
      </c>
      <c r="I12" s="480"/>
      <c r="J12" s="1488" t="s">
        <v>1198</v>
      </c>
      <c r="K12" s="1488">
        <v>1</v>
      </c>
    </row>
    <row r="13" spans="1:11" ht="18">
      <c r="A13" s="69"/>
      <c r="B13" s="48" t="s">
        <v>40</v>
      </c>
      <c r="C13" s="490">
        <v>5</v>
      </c>
      <c r="D13" s="442"/>
      <c r="G13" s="480" t="s">
        <v>23</v>
      </c>
      <c r="H13" s="480">
        <v>0</v>
      </c>
      <c r="I13" s="480"/>
      <c r="J13" s="1488" t="s">
        <v>184</v>
      </c>
      <c r="K13" s="1488">
        <v>0.5</v>
      </c>
    </row>
    <row r="14" spans="1:11">
      <c r="A14" s="69" t="s">
        <v>8</v>
      </c>
      <c r="B14" s="342" t="s">
        <v>31</v>
      </c>
      <c r="C14" s="149">
        <f>VLOOKUP(B14,G22:H32,2,FALSE)</f>
        <v>0</v>
      </c>
      <c r="D14" s="442"/>
      <c r="G14" s="480" t="s">
        <v>20</v>
      </c>
      <c r="H14" s="480">
        <v>20</v>
      </c>
      <c r="I14" s="480"/>
      <c r="J14" s="1488" t="s">
        <v>1200</v>
      </c>
      <c r="K14" s="1488">
        <v>0.6</v>
      </c>
    </row>
    <row r="15" spans="1:11">
      <c r="A15" s="69" t="s">
        <v>6</v>
      </c>
      <c r="B15" s="342" t="s">
        <v>503</v>
      </c>
      <c r="C15" s="149">
        <f>VLOOKUP(B15,G8:H18,2,FALSE)</f>
        <v>0</v>
      </c>
      <c r="D15" s="442"/>
      <c r="G15" s="480" t="s">
        <v>19</v>
      </c>
      <c r="H15" s="480">
        <v>10</v>
      </c>
      <c r="I15" s="480"/>
      <c r="J15" s="1488" t="s">
        <v>1201</v>
      </c>
      <c r="K15" s="1488">
        <v>0.4</v>
      </c>
    </row>
    <row r="16" spans="1:11" ht="15.75">
      <c r="A16" s="69" t="s">
        <v>1057</v>
      </c>
      <c r="B16" s="915" t="s">
        <v>24</v>
      </c>
      <c r="C16" s="928">
        <v>0</v>
      </c>
      <c r="D16" s="442"/>
      <c r="E16" s="489" t="str">
        <f>IF(C16&gt;25,"Sind Sie sicher?"," ")</f>
        <v xml:space="preserve"> </v>
      </c>
      <c r="G16" s="480" t="s">
        <v>529</v>
      </c>
      <c r="H16" s="480">
        <v>0</v>
      </c>
      <c r="I16" s="480"/>
      <c r="J16" s="1488" t="s">
        <v>1199</v>
      </c>
      <c r="K16" s="1488">
        <v>0.35</v>
      </c>
    </row>
    <row r="17" spans="1:11" ht="15.75" thickBot="1">
      <c r="A17" s="69" t="s">
        <v>159</v>
      </c>
      <c r="B17" s="342" t="s">
        <v>160</v>
      </c>
      <c r="C17" s="926">
        <f>VLOOKUP(B17,J8:K9,2,FALSE)</f>
        <v>0</v>
      </c>
      <c r="D17" s="443"/>
      <c r="G17" s="480" t="s">
        <v>21</v>
      </c>
      <c r="H17" s="480">
        <v>10</v>
      </c>
      <c r="I17" s="480"/>
      <c r="J17" s="1488" t="s">
        <v>48</v>
      </c>
      <c r="K17" s="1488">
        <v>0.3</v>
      </c>
    </row>
    <row r="18" spans="1:11" ht="16.5" thickBot="1">
      <c r="A18" s="283"/>
      <c r="B18" s="284" t="s">
        <v>468</v>
      </c>
      <c r="C18" s="276">
        <f>C10-SUM(C11:C17)</f>
        <v>150</v>
      </c>
      <c r="D18" s="285" t="s">
        <v>470</v>
      </c>
      <c r="G18" s="480" t="s">
        <v>18</v>
      </c>
      <c r="H18" s="480">
        <v>20</v>
      </c>
      <c r="I18" s="480"/>
      <c r="J18" s="1488" t="s">
        <v>31</v>
      </c>
      <c r="K18" s="1488">
        <v>0</v>
      </c>
    </row>
    <row r="19" spans="1:11" ht="18" customHeight="1" thickBot="1">
      <c r="G19" s="480"/>
      <c r="H19" s="480"/>
      <c r="I19" s="480"/>
      <c r="J19" s="480"/>
      <c r="K19" s="480"/>
    </row>
    <row r="20" spans="1:11" ht="18" customHeight="1">
      <c r="A20" s="3040" t="s">
        <v>491</v>
      </c>
      <c r="B20" s="2542"/>
      <c r="C20" s="265" t="s">
        <v>174</v>
      </c>
      <c r="D20" s="2543" t="s">
        <v>336</v>
      </c>
      <c r="G20" s="480"/>
      <c r="H20" s="480"/>
      <c r="I20" s="480"/>
      <c r="J20" s="480"/>
      <c r="K20" s="480"/>
    </row>
    <row r="21" spans="1:11" ht="21" customHeight="1" thickBot="1">
      <c r="A21" s="3042"/>
      <c r="B21" s="2544"/>
      <c r="C21" s="328" t="s">
        <v>486</v>
      </c>
      <c r="D21" s="2488"/>
      <c r="G21" s="479" t="s">
        <v>8</v>
      </c>
      <c r="H21" s="480"/>
      <c r="I21" s="480"/>
      <c r="J21" s="480"/>
      <c r="K21" s="480"/>
    </row>
    <row r="22" spans="1:11" ht="21" customHeight="1">
      <c r="A22" s="81" t="s">
        <v>35</v>
      </c>
      <c r="B22" s="345">
        <v>40</v>
      </c>
      <c r="C22" s="59">
        <f>IF(OR(B22&lt;1,B22&gt;100),"Zahl 0 bis 100 eingeben",(-0.0025*B22*B22+0.75*B22-26)*0.4)</f>
        <v>0</v>
      </c>
      <c r="D22" s="82" t="s">
        <v>163</v>
      </c>
      <c r="G22" s="480" t="s">
        <v>31</v>
      </c>
      <c r="H22" s="480">
        <v>0</v>
      </c>
      <c r="I22" s="480"/>
      <c r="J22" s="479" t="s">
        <v>69</v>
      </c>
      <c r="K22" s="480"/>
    </row>
    <row r="23" spans="1:11" ht="21" customHeight="1">
      <c r="A23" s="81" t="s">
        <v>162</v>
      </c>
      <c r="B23" s="345">
        <v>200</v>
      </c>
      <c r="C23" s="59">
        <f>IF(OR(B23&lt;40,B23&gt;800),"gibt es nicht",(B23*0.025-1))</f>
        <v>4</v>
      </c>
      <c r="D23" s="82" t="s">
        <v>164</v>
      </c>
      <c r="G23" s="480" t="s">
        <v>25</v>
      </c>
      <c r="H23" s="480">
        <v>0</v>
      </c>
      <c r="I23" s="480"/>
      <c r="J23" s="480" t="s">
        <v>250</v>
      </c>
      <c r="K23" s="480">
        <v>10</v>
      </c>
    </row>
    <row r="24" spans="1:11" ht="21" customHeight="1">
      <c r="A24" s="81" t="s">
        <v>51</v>
      </c>
      <c r="B24" s="342" t="s">
        <v>31</v>
      </c>
      <c r="C24" s="66">
        <f>VLOOKUP(B24,J12:K18,2,FALSE)</f>
        <v>0</v>
      </c>
      <c r="D24" s="83" t="s">
        <v>50</v>
      </c>
      <c r="G24" s="480" t="s">
        <v>26</v>
      </c>
      <c r="H24" s="480">
        <v>0</v>
      </c>
      <c r="I24" s="480"/>
      <c r="J24" s="480" t="s">
        <v>54</v>
      </c>
      <c r="K24" s="480">
        <v>0</v>
      </c>
    </row>
    <row r="25" spans="1:11" ht="18.75" customHeight="1">
      <c r="A25" s="81" t="s">
        <v>46</v>
      </c>
      <c r="B25" s="493">
        <v>0</v>
      </c>
      <c r="C25" s="54">
        <f>B25*10*C24</f>
        <v>0</v>
      </c>
      <c r="D25" s="82" t="s">
        <v>163</v>
      </c>
      <c r="G25" s="480" t="s">
        <v>27</v>
      </c>
      <c r="H25" s="480">
        <v>20</v>
      </c>
      <c r="I25" s="480"/>
      <c r="J25" s="480"/>
      <c r="K25" s="480"/>
    </row>
    <row r="26" spans="1:11" ht="21.75" customHeight="1">
      <c r="A26" s="84" t="s">
        <v>47</v>
      </c>
      <c r="B26" s="261" t="str">
        <f>IF(B25&gt;3,"Sind Sie sicher?"," ")</f>
        <v xml:space="preserve"> </v>
      </c>
      <c r="C26" s="54"/>
      <c r="D26" s="82"/>
      <c r="G26" s="480" t="s">
        <v>28</v>
      </c>
      <c r="H26" s="480">
        <v>10</v>
      </c>
      <c r="I26" s="480"/>
      <c r="J26" s="480"/>
      <c r="K26" s="480"/>
    </row>
    <row r="27" spans="1:11" ht="26.25" customHeight="1">
      <c r="A27" s="81" t="s">
        <v>69</v>
      </c>
      <c r="B27" s="522" t="s">
        <v>54</v>
      </c>
      <c r="C27" s="54">
        <f>VLOOKUP(B27,J23:K24,2,FALSE)</f>
        <v>0</v>
      </c>
      <c r="D27" s="85" t="s">
        <v>70</v>
      </c>
      <c r="G27" s="480" t="s">
        <v>29</v>
      </c>
      <c r="H27" s="480">
        <v>10</v>
      </c>
      <c r="I27" s="480"/>
      <c r="J27" s="480"/>
      <c r="K27" s="480"/>
    </row>
    <row r="28" spans="1:11" ht="34.5" customHeight="1">
      <c r="A28" s="81"/>
      <c r="B28" s="287" t="s">
        <v>348</v>
      </c>
      <c r="C28" s="444">
        <v>12</v>
      </c>
      <c r="D28" s="225" t="s">
        <v>377</v>
      </c>
      <c r="E28" s="14"/>
      <c r="G28" s="480" t="s">
        <v>673</v>
      </c>
      <c r="H28" s="480">
        <v>30</v>
      </c>
      <c r="I28" s="480"/>
      <c r="J28" s="480"/>
      <c r="K28" s="480"/>
    </row>
    <row r="29" spans="1:11" ht="16.5" thickBot="1">
      <c r="A29" s="86"/>
      <c r="B29" s="87" t="s">
        <v>542</v>
      </c>
      <c r="C29" s="54"/>
      <c r="D29" s="88" t="s">
        <v>64</v>
      </c>
      <c r="G29" s="480" t="s">
        <v>30</v>
      </c>
      <c r="H29" s="480">
        <v>40</v>
      </c>
      <c r="I29" s="480"/>
      <c r="J29" s="480"/>
      <c r="K29" s="480"/>
    </row>
    <row r="30" spans="1:11" ht="15.75" customHeight="1">
      <c r="A30" s="89" t="s">
        <v>61</v>
      </c>
      <c r="B30" s="49">
        <f>B32*0.5+C23*0.6</f>
        <v>87.253440000000012</v>
      </c>
      <c r="C30" s="267">
        <f>B30-C11-C12*0.67+C27</f>
        <v>65.553440000000009</v>
      </c>
      <c r="D30" s="46" t="s">
        <v>712</v>
      </c>
      <c r="F30" s="16"/>
      <c r="G30" s="480" t="s">
        <v>9</v>
      </c>
      <c r="H30" s="480">
        <v>0</v>
      </c>
      <c r="I30" s="480"/>
      <c r="J30" s="480"/>
      <c r="K30" s="480"/>
    </row>
    <row r="31" spans="1:11" ht="19.5" thickBot="1">
      <c r="A31" s="89" t="s">
        <v>788</v>
      </c>
      <c r="B31" s="90">
        <f>B32*0.5+C23*0.4</f>
        <v>86.453440000000001</v>
      </c>
      <c r="C31" s="269">
        <f>B31-C12*0.33-C13*0.5-C14*0.75-C15*0.75-C16*0.6-C22-C25*0.75-C27</f>
        <v>80.653440000000003</v>
      </c>
      <c r="D31" s="113" t="s">
        <v>789</v>
      </c>
      <c r="G31" s="480" t="s">
        <v>10</v>
      </c>
      <c r="H31" s="480">
        <v>10</v>
      </c>
    </row>
    <row r="32" spans="1:11" ht="27.75" thickBot="1">
      <c r="A32" s="923" t="s">
        <v>380</v>
      </c>
      <c r="B32" s="110">
        <f>(C46+C48)*1.22</f>
        <v>169.70688000000001</v>
      </c>
      <c r="C32" s="276">
        <f>C30+C31</f>
        <v>146.20688000000001</v>
      </c>
      <c r="D32" s="826" t="str">
        <f>IF(C32&gt;C18,"Obergrenze einhalten!!!"," ")</f>
        <v xml:space="preserve"> </v>
      </c>
      <c r="F32" s="911"/>
      <c r="G32" s="480" t="s">
        <v>31</v>
      </c>
      <c r="H32" s="480">
        <v>0</v>
      </c>
    </row>
    <row r="33" spans="1:9" ht="15.75">
      <c r="A33" s="783"/>
      <c r="B33" s="49"/>
      <c r="C33" s="11"/>
      <c r="D33" s="165"/>
      <c r="H33" s="910"/>
    </row>
    <row r="34" spans="1:9" ht="31.5">
      <c r="A34" s="404"/>
      <c r="B34" s="405"/>
      <c r="C34" s="406" t="s">
        <v>719</v>
      </c>
      <c r="D34" s="407"/>
      <c r="H34" s="910"/>
    </row>
    <row r="35" spans="1:9" ht="15.75">
      <c r="A35" s="408"/>
      <c r="B35" s="371" t="s">
        <v>42</v>
      </c>
      <c r="C35" s="409">
        <f>C18</f>
        <v>150</v>
      </c>
      <c r="D35" s="410" t="s">
        <v>4</v>
      </c>
      <c r="H35" s="910"/>
    </row>
    <row r="36" spans="1:9" ht="17.25" customHeight="1">
      <c r="A36" s="3044" t="s">
        <v>702</v>
      </c>
      <c r="B36" s="775" t="s">
        <v>701</v>
      </c>
      <c r="C36" s="781">
        <v>0</v>
      </c>
      <c r="D36" s="779" t="s">
        <v>484</v>
      </c>
      <c r="H36" s="910"/>
    </row>
    <row r="37" spans="1:9" ht="33" customHeight="1">
      <c r="A37" s="3045"/>
      <c r="B37" s="776" t="s">
        <v>704</v>
      </c>
      <c r="C37" s="771">
        <v>0</v>
      </c>
      <c r="D37" s="415" t="s">
        <v>485</v>
      </c>
      <c r="H37" s="910"/>
    </row>
    <row r="38" spans="1:9" ht="26.25" customHeight="1">
      <c r="A38" s="859" t="s">
        <v>817</v>
      </c>
      <c r="B38" s="777" t="s">
        <v>705</v>
      </c>
      <c r="C38" s="780">
        <v>0</v>
      </c>
      <c r="D38" s="415" t="s">
        <v>254</v>
      </c>
    </row>
    <row r="39" spans="1:9" ht="20.25" customHeight="1">
      <c r="A39" s="3044" t="s">
        <v>703</v>
      </c>
      <c r="B39" s="775" t="s">
        <v>706</v>
      </c>
      <c r="C39" s="771">
        <v>0</v>
      </c>
      <c r="D39" s="779" t="s">
        <v>484</v>
      </c>
    </row>
    <row r="40" spans="1:9" ht="20.25" customHeight="1">
      <c r="A40" s="3045"/>
      <c r="B40" s="776" t="s">
        <v>707</v>
      </c>
      <c r="C40" s="771">
        <v>0</v>
      </c>
      <c r="D40" s="415" t="s">
        <v>485</v>
      </c>
    </row>
    <row r="41" spans="1:9" ht="15.75">
      <c r="A41" s="859" t="s">
        <v>817</v>
      </c>
      <c r="B41" s="778" t="s">
        <v>708</v>
      </c>
      <c r="C41" s="771">
        <v>0</v>
      </c>
      <c r="D41" s="415" t="s">
        <v>254</v>
      </c>
    </row>
    <row r="42" spans="1:9" ht="19.5" customHeight="1">
      <c r="A42" s="379"/>
      <c r="B42" s="412" t="s">
        <v>255</v>
      </c>
      <c r="C42" s="414">
        <f>(C36*C37*C38/100)+(C39*C40*C41/100)</f>
        <v>0</v>
      </c>
      <c r="D42" s="416" t="s">
        <v>4</v>
      </c>
    </row>
    <row r="43" spans="1:9" ht="30" customHeight="1">
      <c r="A43" s="411"/>
      <c r="B43" s="413" t="s">
        <v>136</v>
      </c>
      <c r="C43" s="414">
        <f>C35-C42</f>
        <v>150</v>
      </c>
      <c r="D43" s="417" t="s">
        <v>4</v>
      </c>
      <c r="F43" s="920" t="s">
        <v>183</v>
      </c>
      <c r="G43" s="925" t="s">
        <v>186</v>
      </c>
    </row>
    <row r="44" spans="1:9" ht="18.75" customHeight="1">
      <c r="B44" s="19"/>
      <c r="C44" s="20"/>
      <c r="D44" s="21"/>
      <c r="F44" s="919" t="s">
        <v>179</v>
      </c>
      <c r="G44" s="919">
        <v>90</v>
      </c>
      <c r="H44" s="925"/>
      <c r="I44" s="925"/>
    </row>
    <row r="45" spans="1:9" ht="18.75" customHeight="1">
      <c r="A45" s="78"/>
      <c r="B45" s="79"/>
      <c r="C45" s="921" t="s">
        <v>60</v>
      </c>
      <c r="D45" s="80"/>
      <c r="F45" s="919" t="s">
        <v>804</v>
      </c>
      <c r="G45" s="919">
        <v>70</v>
      </c>
      <c r="H45" s="914"/>
      <c r="I45" s="914"/>
    </row>
    <row r="46" spans="1:9" ht="18.75" customHeight="1">
      <c r="A46" s="81"/>
      <c r="B46" s="48" t="s">
        <v>12</v>
      </c>
      <c r="C46" s="218">
        <f>C7*0.86*C28/6.25</f>
        <v>115.584</v>
      </c>
      <c r="D46" s="104" t="str">
        <f>IF(C46&gt;200,"mehr als 200 kg Korn-N/ha ist unrealistisch!","Korn-N-Abfuhr")</f>
        <v>Korn-N-Abfuhr</v>
      </c>
      <c r="F46" s="919" t="s">
        <v>805</v>
      </c>
      <c r="G46" s="919">
        <v>70</v>
      </c>
      <c r="H46" s="914"/>
      <c r="I46" s="914"/>
    </row>
    <row r="47" spans="1:9" ht="18.75" customHeight="1">
      <c r="A47" s="81"/>
      <c r="B47" s="93" t="s">
        <v>14</v>
      </c>
      <c r="C47" s="219">
        <f>(105-0.5*C7)/100</f>
        <v>0.7</v>
      </c>
      <c r="D47" s="94" t="s">
        <v>338</v>
      </c>
      <c r="F47" s="919" t="s">
        <v>809</v>
      </c>
      <c r="G47" s="920">
        <v>70</v>
      </c>
      <c r="H47" s="914"/>
      <c r="I47" s="914"/>
    </row>
    <row r="48" spans="1:9" ht="18.75" customHeight="1">
      <c r="A48" s="81"/>
      <c r="B48" s="48" t="s">
        <v>13</v>
      </c>
      <c r="C48" s="59">
        <f>C7*C47*C28/25</f>
        <v>23.52</v>
      </c>
      <c r="D48" s="82"/>
      <c r="F48" s="782" t="s">
        <v>810</v>
      </c>
      <c r="G48" s="920">
        <v>60</v>
      </c>
      <c r="H48" s="914"/>
      <c r="I48" s="914"/>
    </row>
    <row r="49" spans="1:11" ht="18.75" customHeight="1">
      <c r="A49" s="28" t="s">
        <v>68</v>
      </c>
      <c r="B49" s="48" t="s">
        <v>65</v>
      </c>
      <c r="C49" s="115">
        <f>C32-C46</f>
        <v>30.622880000000009</v>
      </c>
      <c r="D49" s="96" t="s">
        <v>4</v>
      </c>
      <c r="F49" s="919" t="s">
        <v>48</v>
      </c>
      <c r="G49" s="920">
        <v>60</v>
      </c>
      <c r="H49" s="914"/>
      <c r="I49" s="914"/>
    </row>
    <row r="50" spans="1:11" ht="18.75" customHeight="1">
      <c r="A50" s="793" t="s">
        <v>729</v>
      </c>
      <c r="B50" s="48" t="s">
        <v>66</v>
      </c>
      <c r="C50" s="220">
        <f>C32-C46-C48</f>
        <v>7.1028800000000096</v>
      </c>
      <c r="D50" s="96" t="s">
        <v>4</v>
      </c>
      <c r="F50" s="919" t="s">
        <v>811</v>
      </c>
      <c r="G50" s="919">
        <v>45</v>
      </c>
      <c r="H50" s="914"/>
      <c r="I50" s="914"/>
    </row>
    <row r="51" spans="1:11" ht="18.75" customHeight="1">
      <c r="A51" s="794" t="s">
        <v>67</v>
      </c>
      <c r="B51" s="48" t="s">
        <v>65</v>
      </c>
      <c r="C51" s="220">
        <f>C18-C46</f>
        <v>34.415999999999997</v>
      </c>
      <c r="D51" s="96" t="s">
        <v>4</v>
      </c>
      <c r="F51" s="782" t="s">
        <v>806</v>
      </c>
      <c r="G51" s="920">
        <v>30</v>
      </c>
      <c r="H51" s="914"/>
      <c r="I51" s="914"/>
    </row>
    <row r="52" spans="1:11" ht="18.75" customHeight="1">
      <c r="A52" s="987" t="s">
        <v>729</v>
      </c>
      <c r="B52" s="97" t="s">
        <v>66</v>
      </c>
      <c r="C52" s="221">
        <f>C18-C46-C48</f>
        <v>10.895999999999997</v>
      </c>
      <c r="D52" s="99" t="s">
        <v>4</v>
      </c>
      <c r="F52" s="951" t="s">
        <v>1019</v>
      </c>
      <c r="G52" s="920">
        <v>30</v>
      </c>
      <c r="H52" s="914"/>
      <c r="I52" s="914"/>
    </row>
    <row r="53" spans="1:11" ht="18.75" customHeight="1" thickBot="1">
      <c r="A53" s="988"/>
      <c r="B53" s="48"/>
      <c r="C53" s="49"/>
      <c r="D53" s="989"/>
      <c r="F53" s="919" t="s">
        <v>187</v>
      </c>
      <c r="G53" s="920">
        <v>30</v>
      </c>
      <c r="H53" s="914"/>
      <c r="I53" s="914"/>
    </row>
    <row r="54" spans="1:11" ht="18.75" customHeight="1">
      <c r="A54" s="3049" t="s">
        <v>578</v>
      </c>
      <c r="B54" s="3053"/>
      <c r="C54" s="1777" t="s">
        <v>587</v>
      </c>
      <c r="D54" s="603" t="s">
        <v>587</v>
      </c>
      <c r="E54" s="14"/>
      <c r="F54" s="919" t="s">
        <v>813</v>
      </c>
      <c r="G54" s="920">
        <v>30</v>
      </c>
      <c r="H54" s="914"/>
      <c r="I54" s="914"/>
    </row>
    <row r="55" spans="1:11" ht="18.75" customHeight="1">
      <c r="A55" s="3054" t="s">
        <v>590</v>
      </c>
      <c r="B55" s="626" t="s">
        <v>579</v>
      </c>
      <c r="C55" s="622" t="s">
        <v>580</v>
      </c>
      <c r="D55" s="625" t="s">
        <v>581</v>
      </c>
      <c r="F55" s="919" t="s">
        <v>814</v>
      </c>
      <c r="G55" s="920">
        <v>30</v>
      </c>
      <c r="H55" s="914"/>
      <c r="I55" s="914"/>
    </row>
    <row r="56" spans="1:11" ht="18.75" customHeight="1">
      <c r="A56" s="3055"/>
      <c r="B56" s="601" t="s">
        <v>583</v>
      </c>
      <c r="C56" s="263">
        <f>C58*2</f>
        <v>112</v>
      </c>
      <c r="D56" s="602">
        <f>D58*2</f>
        <v>0</v>
      </c>
      <c r="F56" s="919" t="s">
        <v>815</v>
      </c>
      <c r="G56" s="920">
        <v>30</v>
      </c>
      <c r="H56" s="914"/>
      <c r="I56" s="914"/>
    </row>
    <row r="57" spans="1:11" ht="18.75" customHeight="1">
      <c r="A57" s="3055"/>
      <c r="B57" s="601" t="s">
        <v>584</v>
      </c>
      <c r="C57" s="263">
        <f>C58*1.5</f>
        <v>84</v>
      </c>
      <c r="D57" s="602">
        <f>D58*1.5</f>
        <v>0</v>
      </c>
      <c r="F57" s="919" t="s">
        <v>180</v>
      </c>
      <c r="G57" s="920">
        <v>25</v>
      </c>
      <c r="H57" s="914"/>
      <c r="I57" s="914"/>
      <c r="J57" s="916"/>
      <c r="K57" s="916"/>
    </row>
    <row r="58" spans="1:11" ht="18.75" customHeight="1">
      <c r="A58" s="3055"/>
      <c r="B58" s="601" t="s">
        <v>585</v>
      </c>
      <c r="C58" s="605">
        <f>C7*0.8</f>
        <v>56</v>
      </c>
      <c r="D58" s="606">
        <f>C41*1.01</f>
        <v>0</v>
      </c>
      <c r="F58" s="919" t="s">
        <v>807</v>
      </c>
      <c r="G58" s="920">
        <v>25</v>
      </c>
      <c r="H58" s="914"/>
      <c r="I58" s="914"/>
    </row>
    <row r="59" spans="1:11" ht="18.75" customHeight="1">
      <c r="A59" s="2959"/>
      <c r="B59" s="623" t="s">
        <v>586</v>
      </c>
      <c r="C59" s="263">
        <f>C58*0.5</f>
        <v>28</v>
      </c>
      <c r="D59" s="602">
        <f>D58*0.5</f>
        <v>0</v>
      </c>
      <c r="F59" s="782" t="s">
        <v>808</v>
      </c>
      <c r="G59" s="920">
        <v>25</v>
      </c>
    </row>
    <row r="60" spans="1:11" ht="24.75" customHeight="1">
      <c r="A60" s="3069"/>
      <c r="B60" s="3070" t="s">
        <v>588</v>
      </c>
      <c r="C60" s="3060" t="s">
        <v>591</v>
      </c>
      <c r="D60" s="3061"/>
      <c r="F60" s="782" t="s">
        <v>816</v>
      </c>
      <c r="G60" s="920">
        <v>10</v>
      </c>
    </row>
    <row r="61" spans="1:11" ht="29.25" customHeight="1" thickBot="1">
      <c r="A61" s="3066"/>
      <c r="B61" s="3068"/>
      <c r="C61" s="3062"/>
      <c r="D61" s="3063"/>
      <c r="F61" s="782" t="s">
        <v>181</v>
      </c>
      <c r="G61" s="920">
        <v>10</v>
      </c>
    </row>
    <row r="62" spans="1:11" ht="18.75" customHeight="1">
      <c r="A62" s="988"/>
      <c r="B62" s="48"/>
      <c r="C62" s="49"/>
      <c r="D62" s="989"/>
      <c r="F62" s="782" t="s">
        <v>188</v>
      </c>
      <c r="G62" s="920">
        <v>5</v>
      </c>
    </row>
    <row r="63" spans="1:11" ht="18.75" customHeight="1">
      <c r="A63" s="103" t="s">
        <v>167</v>
      </c>
      <c r="B63" s="101"/>
      <c r="C63" s="774"/>
      <c r="F63" s="782" t="s">
        <v>182</v>
      </c>
      <c r="G63" s="920">
        <v>3</v>
      </c>
    </row>
    <row r="64" spans="1:11" s="1770" customFormat="1" ht="18.75" customHeight="1">
      <c r="A64" s="927" t="s">
        <v>328</v>
      </c>
      <c r="B64" s="3051" t="s">
        <v>381</v>
      </c>
      <c r="C64" s="2413"/>
      <c r="D64" s="2413"/>
      <c r="F64" s="1774"/>
      <c r="G64" s="1775"/>
      <c r="H64" s="1421"/>
    </row>
    <row r="65" spans="1:8" s="1770" customFormat="1" ht="18.75" customHeight="1">
      <c r="A65" s="927"/>
      <c r="B65" s="100" t="s">
        <v>378</v>
      </c>
      <c r="C65" s="102" t="s">
        <v>379</v>
      </c>
      <c r="D65" s="910"/>
      <c r="F65" s="1774"/>
      <c r="G65" s="1775"/>
      <c r="H65" s="1421"/>
    </row>
    <row r="66" spans="1:8" s="1770" customFormat="1" ht="18.75" customHeight="1">
      <c r="A66" s="927"/>
      <c r="B66" s="100" t="s">
        <v>343</v>
      </c>
      <c r="C66" s="102" t="s">
        <v>344</v>
      </c>
      <c r="D66" s="910"/>
      <c r="F66" s="1774"/>
      <c r="G66" s="1775"/>
      <c r="H66" s="1421"/>
    </row>
    <row r="67" spans="1:8" s="1770" customFormat="1" ht="18.75" customHeight="1">
      <c r="A67" s="927"/>
      <c r="B67" s="910"/>
      <c r="C67" s="910"/>
      <c r="D67" s="910"/>
      <c r="F67" s="1774"/>
      <c r="G67" s="1775"/>
      <c r="H67" s="1421"/>
    </row>
    <row r="68" spans="1:8" s="1770" customFormat="1" ht="18.75" customHeight="1">
      <c r="A68" s="927" t="s">
        <v>324</v>
      </c>
      <c r="B68" s="3051" t="s">
        <v>382</v>
      </c>
      <c r="C68" s="2736"/>
      <c r="D68" s="2736"/>
      <c r="F68" s="1774"/>
      <c r="G68" s="1775"/>
      <c r="H68" s="1421"/>
    </row>
    <row r="69" spans="1:8" s="1770" customFormat="1" ht="26.25" customHeight="1">
      <c r="A69" s="927"/>
      <c r="B69" s="101"/>
      <c r="C69" s="774"/>
      <c r="D69" s="910"/>
      <c r="F69" s="1774"/>
      <c r="G69" s="1775"/>
      <c r="H69" s="1421"/>
    </row>
    <row r="70" spans="1:8" s="1770" customFormat="1" ht="26.25" customHeight="1">
      <c r="A70" s="927"/>
      <c r="B70" s="100" t="s">
        <v>404</v>
      </c>
      <c r="C70" s="774"/>
      <c r="D70" s="916" t="s">
        <v>330</v>
      </c>
      <c r="F70" s="1774"/>
      <c r="G70" s="1775"/>
      <c r="H70" s="1421"/>
    </row>
    <row r="71" spans="1:8" s="1770" customFormat="1" ht="18.75" customHeight="1">
      <c r="A71" s="927" t="s">
        <v>168</v>
      </c>
      <c r="B71" s="100" t="s">
        <v>417</v>
      </c>
      <c r="C71" s="774"/>
      <c r="D71" s="774" t="s">
        <v>790</v>
      </c>
      <c r="F71" s="1774"/>
      <c r="G71" s="1775"/>
      <c r="H71" s="1421"/>
    </row>
    <row r="72" spans="1:8" ht="16.5" customHeight="1">
      <c r="A72" s="927" t="s">
        <v>169</v>
      </c>
      <c r="B72" s="100" t="s">
        <v>418</v>
      </c>
      <c r="C72" s="774"/>
      <c r="D72" s="772" t="s">
        <v>791</v>
      </c>
    </row>
    <row r="73" spans="1:8" ht="43.5" customHeight="1">
      <c r="A73" s="927" t="s">
        <v>340</v>
      </c>
      <c r="B73" s="100" t="s">
        <v>331</v>
      </c>
      <c r="C73" s="102"/>
      <c r="D73" s="910" t="s">
        <v>366</v>
      </c>
    </row>
    <row r="74" spans="1:8" ht="18.75" customHeight="1">
      <c r="A74" s="174" t="s">
        <v>409</v>
      </c>
      <c r="B74" s="910" t="s">
        <v>335</v>
      </c>
      <c r="C74" s="910"/>
    </row>
    <row r="75" spans="1:8" ht="22.5" customHeight="1">
      <c r="B75" s="910" t="s">
        <v>334</v>
      </c>
      <c r="C75" s="910"/>
      <c r="E75" s="916"/>
    </row>
    <row r="76" spans="1:8" ht="16.5" customHeight="1">
      <c r="B76" s="910"/>
      <c r="C76" s="910"/>
      <c r="E76" s="916"/>
      <c r="F76" s="3052" t="s">
        <v>364</v>
      </c>
    </row>
    <row r="77" spans="1:8" ht="94.5" customHeight="1">
      <c r="A77" s="927" t="s">
        <v>410</v>
      </c>
      <c r="B77" s="910" t="s">
        <v>339</v>
      </c>
      <c r="C77" s="910"/>
      <c r="E77" s="917"/>
      <c r="F77" s="3052"/>
      <c r="G77" s="2527" t="s">
        <v>333</v>
      </c>
    </row>
    <row r="78" spans="1:8" ht="24.75" customHeight="1">
      <c r="B78" s="910" t="s">
        <v>384</v>
      </c>
      <c r="C78" s="910"/>
      <c r="E78" s="918"/>
      <c r="G78" s="2527"/>
    </row>
    <row r="79" spans="1:8" ht="25.5" customHeight="1"/>
    <row r="80" spans="1:8" ht="24.75" customHeight="1">
      <c r="F80" s="916"/>
      <c r="H80" s="910"/>
    </row>
    <row r="81" spans="6:8">
      <c r="F81" s="916"/>
      <c r="H81" s="910"/>
    </row>
    <row r="82" spans="6:8" ht="18.75" customHeight="1">
      <c r="F82" s="916"/>
      <c r="H82" s="910"/>
    </row>
    <row r="83" spans="6:8" ht="21.75" customHeight="1">
      <c r="F83" s="916"/>
      <c r="H83" s="910"/>
    </row>
    <row r="85" spans="6:8" ht="9.75" customHeight="1"/>
  </sheetData>
  <sheetProtection formatCells="0" formatColumns="0" formatRows="0" selectLockedCells="1"/>
  <mergeCells count="15">
    <mergeCell ref="B64:D64"/>
    <mergeCell ref="F76:F77"/>
    <mergeCell ref="B68:D68"/>
    <mergeCell ref="G77:G78"/>
    <mergeCell ref="A39:A40"/>
    <mergeCell ref="A54:B54"/>
    <mergeCell ref="A55:A59"/>
    <mergeCell ref="A60:A61"/>
    <mergeCell ref="B60:B61"/>
    <mergeCell ref="C60:D61"/>
    <mergeCell ref="A20:B21"/>
    <mergeCell ref="D20:D21"/>
    <mergeCell ref="A36:A37"/>
    <mergeCell ref="A5:D5"/>
    <mergeCell ref="A6:B6"/>
  </mergeCells>
  <dataValidations count="7">
    <dataValidation type="list" allowBlank="1" sqref="B14">
      <formula1>$G$22:$G$32</formula1>
    </dataValidation>
    <dataValidation type="list" allowBlank="1" sqref="B27">
      <formula1>Witterung</formula1>
    </dataValidation>
    <dataValidation type="list" allowBlank="1" sqref="B24">
      <formula1>J12:J18</formula1>
    </dataValidation>
    <dataValidation type="list" allowBlank="1" sqref="C28">
      <mc:AlternateContent xmlns:x12ac="http://schemas.microsoft.com/office/spreadsheetml/2011/1/ac" xmlns:mc="http://schemas.openxmlformats.org/markup-compatibility/2006">
        <mc:Choice Requires="x12ac">
          <x12ac:list>8,"8,5",9,"9,5",10,"10,5",11,"11,5",12,"12,5",13,"13,5",14,"14,5"</x12ac:list>
        </mc:Choice>
        <mc:Fallback>
          <formula1>"8,8,5,9,9,5,10,10,5,11,11,5,12,12,5,13,13,5,14,14,5"</formula1>
        </mc:Fallback>
      </mc:AlternateContent>
    </dataValidation>
    <dataValidation type="list" allowBlank="1" sqref="B17">
      <formula1>"bis 4 %, größer 4 %"</formula1>
    </dataValidation>
    <dataValidation type="list" allowBlank="1" sqref="J8:J9">
      <formula1>"Humusgehalt"</formula1>
    </dataValidation>
    <dataValidation type="list" allowBlank="1" sqref="B15">
      <formula1>Vorfrucht</formula1>
    </dataValidation>
  </dataValidations>
  <pageMargins left="0.7" right="0.7" top="0.78740157499999996" bottom="0.78740157499999996" header="0.3" footer="0.3"/>
  <pageSetup paperSize="9" scale="63"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132"/>
  <sheetViews>
    <sheetView zoomScale="80" zoomScaleNormal="80" zoomScaleSheetLayoutView="80" workbookViewId="0">
      <selection activeCell="A8" sqref="A8"/>
    </sheetView>
  </sheetViews>
  <sheetFormatPr baseColWidth="10" defaultRowHeight="15.75"/>
  <cols>
    <col min="1" max="1" width="20.42578125" style="175" customWidth="1"/>
    <col min="2" max="2" width="8.7109375" style="1268" customWidth="1"/>
    <col min="3" max="3" width="22.140625" style="1268" customWidth="1"/>
    <col min="4" max="4" width="6.85546875" style="175" customWidth="1"/>
    <col min="5" max="6" width="8.5703125" style="1268" customWidth="1"/>
    <col min="7" max="7" width="11.140625" style="1268" customWidth="1"/>
    <col min="8" max="8" width="16.28515625" style="1268" customWidth="1"/>
    <col min="9" max="9" width="5.42578125" style="1268" customWidth="1"/>
    <col min="10" max="10" width="16.7109375" style="1268" customWidth="1"/>
    <col min="11" max="11" width="4.28515625" style="1268" customWidth="1"/>
    <col min="12" max="12" width="6.85546875" style="1268" customWidth="1"/>
    <col min="13" max="14" width="8" style="1268" customWidth="1"/>
    <col min="15" max="15" width="4" style="1268" customWidth="1"/>
    <col min="16" max="16" width="12" style="1268" customWidth="1"/>
    <col min="17" max="17" width="8.85546875" style="175" customWidth="1"/>
    <col min="18" max="18" width="9.7109375" style="282" customWidth="1"/>
    <col min="19" max="19" width="8.85546875" style="638" customWidth="1"/>
    <col min="20" max="20" width="9.140625" style="1268" customWidth="1"/>
    <col min="21" max="21" width="1.85546875" style="1268" customWidth="1"/>
    <col min="22" max="22" width="14.7109375" style="1268" customWidth="1"/>
    <col min="23" max="23" width="12.85546875" style="1268" customWidth="1"/>
    <col min="24" max="24" width="2.7109375" style="1268" customWidth="1"/>
    <col min="25" max="25" width="2.28515625" style="1268" customWidth="1"/>
    <col min="26" max="26" width="1.7109375" style="1268" customWidth="1"/>
    <col min="27" max="29" width="1.85546875" style="1268" customWidth="1"/>
    <col min="30" max="30" width="1.28515625" style="1268" customWidth="1"/>
    <col min="31" max="31" width="10" style="1268" customWidth="1"/>
    <col min="32" max="32" width="12.85546875" style="1268" customWidth="1"/>
    <col min="33" max="33" width="6.5703125" style="1268" customWidth="1"/>
    <col min="34" max="36" width="6.85546875" style="1268" customWidth="1"/>
    <col min="37" max="37" width="1.28515625" style="1268" customWidth="1"/>
    <col min="38" max="38" width="10.140625" style="1268" customWidth="1"/>
    <col min="39" max="39" width="12.85546875" style="1268" customWidth="1"/>
    <col min="40" max="40" width="6.5703125" style="1268" customWidth="1"/>
    <col min="41" max="43" width="6.140625" style="1268" customWidth="1"/>
    <col min="44" max="44" width="1.85546875" style="1268" customWidth="1"/>
    <col min="45" max="45" width="10.140625" style="1268" customWidth="1"/>
    <col min="46" max="46" width="10.28515625" style="1268" customWidth="1"/>
    <col min="47" max="47" width="8.140625" style="1268" customWidth="1"/>
    <col min="48" max="48" width="6.7109375" style="1268" customWidth="1"/>
    <col min="49" max="49" width="6.42578125" style="1268" customWidth="1"/>
    <col min="50" max="50" width="6.28515625" style="1268" customWidth="1"/>
    <col min="51" max="51" width="2.140625" style="1268" customWidth="1"/>
    <col min="52" max="57" width="2.85546875" style="1268" customWidth="1"/>
    <col min="58" max="58" width="1.5703125" style="1268" customWidth="1"/>
    <col min="59" max="59" width="7.42578125" style="1268" customWidth="1"/>
    <col min="60" max="61" width="5.85546875" style="1268" customWidth="1"/>
    <col min="62" max="62" width="7.140625" style="1268" customWidth="1"/>
    <col min="63" max="63" width="5.85546875" style="1268" customWidth="1"/>
    <col min="64" max="64" width="3.140625" style="1268" customWidth="1"/>
    <col min="65" max="65" width="7.85546875" style="1268" customWidth="1"/>
    <col min="66" max="66" width="6.42578125" style="1268" customWidth="1"/>
    <col min="67" max="67" width="6.7109375" style="1268" customWidth="1"/>
    <col min="68" max="68" width="7.28515625" style="1268" customWidth="1"/>
    <col min="69" max="70" width="5.5703125" style="1268" customWidth="1"/>
    <col min="71" max="71" width="12.85546875" style="1268" customWidth="1"/>
    <col min="72" max="73" width="5.42578125" style="525" customWidth="1"/>
    <col min="74" max="74" width="13.5703125" style="1268" customWidth="1"/>
    <col min="75" max="75" width="48.85546875" style="1268" customWidth="1"/>
    <col min="76" max="76" width="7" style="1070" customWidth="1"/>
    <col min="77" max="77" width="16" style="1070" customWidth="1"/>
    <col min="78" max="78" width="11.42578125" style="1070"/>
    <col min="79" max="79" width="13" style="1070" customWidth="1"/>
    <col min="80" max="80" width="29.85546875" style="808" customWidth="1"/>
    <col min="81" max="81" width="24.85546875" style="749" customWidth="1"/>
    <col min="82" max="82" width="11.42578125" style="480"/>
    <col min="83" max="16384" width="11.42578125" style="1268"/>
  </cols>
  <sheetData>
    <row r="1" spans="1:85" ht="18.75" customHeight="1">
      <c r="A1" s="2559" t="s">
        <v>1142</v>
      </c>
      <c r="B1" s="2560"/>
      <c r="C1" s="412" t="str">
        <f>'DüV-N-Ackerbau'!C1</f>
        <v>Karl vom Land</v>
      </c>
      <c r="D1" s="412"/>
      <c r="E1" s="1258"/>
      <c r="F1" s="314" t="s">
        <v>229</v>
      </c>
      <c r="H1" s="1258"/>
      <c r="I1" s="2447" t="s">
        <v>34</v>
      </c>
      <c r="J1" s="2448"/>
      <c r="K1" s="1258"/>
      <c r="L1" s="2524" t="s">
        <v>1059</v>
      </c>
      <c r="M1" s="2525"/>
      <c r="N1" s="2525"/>
      <c r="O1" s="2525"/>
      <c r="P1" s="2575"/>
      <c r="Q1" s="2568" t="s">
        <v>1143</v>
      </c>
      <c r="R1" s="2568"/>
      <c r="S1" s="637"/>
      <c r="T1" s="1265"/>
      <c r="U1" s="1251"/>
      <c r="V1" s="2559" t="s">
        <v>1142</v>
      </c>
      <c r="W1" s="2560"/>
      <c r="X1" s="2569" t="s">
        <v>1182</v>
      </c>
      <c r="Y1" s="2569"/>
      <c r="Z1" s="2569"/>
      <c r="AA1" s="2569"/>
      <c r="AB1" s="2569"/>
      <c r="AC1" s="2569"/>
      <c r="AD1" s="2570"/>
      <c r="AE1" s="2570"/>
      <c r="AF1" s="2570"/>
      <c r="AG1" s="2570"/>
      <c r="AH1" s="2570"/>
      <c r="AI1" s="2570"/>
      <c r="AJ1" s="2570"/>
      <c r="AK1" s="2571"/>
      <c r="AL1" s="2571"/>
      <c r="AM1" s="2571"/>
      <c r="AN1" s="2571"/>
      <c r="AO1" s="2571"/>
      <c r="AP1" s="2571"/>
      <c r="AQ1" s="2571"/>
      <c r="AR1" s="2571"/>
      <c r="AS1" s="2571"/>
      <c r="AT1" s="2571"/>
      <c r="AU1" s="2571"/>
      <c r="AV1" s="2571"/>
      <c r="AW1" s="2571"/>
      <c r="AX1" s="2571"/>
      <c r="AY1" s="2571"/>
      <c r="AZ1" s="2571"/>
      <c r="BA1" s="2571"/>
      <c r="BB1" s="2571"/>
      <c r="BC1" s="2571"/>
      <c r="BD1" s="2571"/>
      <c r="BE1" s="2571"/>
      <c r="BF1" s="1251"/>
      <c r="BG1" s="2541" t="s">
        <v>1310</v>
      </c>
      <c r="BH1" s="2542"/>
      <c r="BI1" s="2542"/>
      <c r="BJ1" s="2542"/>
      <c r="BK1" s="2542"/>
      <c r="BL1" s="2542"/>
      <c r="BM1" s="2542"/>
      <c r="BN1" s="2542"/>
      <c r="BO1" s="2542"/>
      <c r="BP1" s="2542"/>
      <c r="BQ1" s="2543"/>
      <c r="BR1" s="1251"/>
      <c r="BS1" s="1251"/>
      <c r="BT1" s="524"/>
      <c r="BU1" s="524"/>
      <c r="BW1" s="1254" t="s">
        <v>231</v>
      </c>
      <c r="BX1" s="1254" t="s">
        <v>33</v>
      </c>
      <c r="BY1" s="1254" t="s">
        <v>220</v>
      </c>
      <c r="BZ1" s="70" t="s">
        <v>221</v>
      </c>
      <c r="CA1" s="70" t="s">
        <v>222</v>
      </c>
      <c r="CB1" s="810" t="s">
        <v>323</v>
      </c>
      <c r="CC1" s="749" t="s">
        <v>758</v>
      </c>
      <c r="CD1" s="805" t="s">
        <v>761</v>
      </c>
    </row>
    <row r="2" spans="1:85" ht="21.75" customHeight="1">
      <c r="A2" s="2560"/>
      <c r="B2" s="2560"/>
      <c r="C2" s="412" t="str">
        <f>'DüV-N-Ackerbau'!C2</f>
        <v>Höfen 1</v>
      </c>
      <c r="D2" s="412"/>
      <c r="E2" s="1260"/>
      <c r="F2" s="412">
        <f>'DüV-N-Ackerbau'!G1</f>
        <v>2022</v>
      </c>
      <c r="G2" s="1261"/>
      <c r="H2" s="1251"/>
      <c r="I2" s="2451" t="s">
        <v>36</v>
      </c>
      <c r="J2" s="2452"/>
      <c r="K2" s="1251"/>
      <c r="L2" s="2526"/>
      <c r="M2" s="2526"/>
      <c r="N2" s="2526"/>
      <c r="O2" s="2526"/>
      <c r="P2" s="2486"/>
      <c r="Q2" s="2568"/>
      <c r="R2" s="2568"/>
      <c r="S2" s="634"/>
      <c r="T2" s="1264"/>
      <c r="U2" s="1251"/>
      <c r="V2" s="2560"/>
      <c r="W2" s="2560"/>
      <c r="X2" s="2569"/>
      <c r="Y2" s="2569"/>
      <c r="Z2" s="2569"/>
      <c r="AA2" s="2569"/>
      <c r="AB2" s="2569"/>
      <c r="AC2" s="2569"/>
      <c r="AD2" s="2570"/>
      <c r="AE2" s="2570"/>
      <c r="AF2" s="2570"/>
      <c r="AG2" s="2570"/>
      <c r="AH2" s="2570"/>
      <c r="AI2" s="2570"/>
      <c r="AJ2" s="2570"/>
      <c r="AK2" s="2571"/>
      <c r="AL2" s="2571"/>
      <c r="AM2" s="2571"/>
      <c r="AN2" s="2571"/>
      <c r="AO2" s="2571"/>
      <c r="AP2" s="2571"/>
      <c r="AQ2" s="2571"/>
      <c r="AR2" s="2571"/>
      <c r="AS2" s="2571"/>
      <c r="AT2" s="2571"/>
      <c r="AU2" s="2571"/>
      <c r="AV2" s="2571"/>
      <c r="AW2" s="2571"/>
      <c r="AX2" s="2571"/>
      <c r="AY2" s="2571"/>
      <c r="AZ2" s="2571"/>
      <c r="BA2" s="2571"/>
      <c r="BB2" s="2571"/>
      <c r="BC2" s="2571"/>
      <c r="BD2" s="2571"/>
      <c r="BE2" s="2571"/>
      <c r="BF2" s="1251"/>
      <c r="BG2" s="2485"/>
      <c r="BH2" s="2526"/>
      <c r="BI2" s="2526"/>
      <c r="BJ2" s="2526"/>
      <c r="BK2" s="2526"/>
      <c r="BL2" s="2526"/>
      <c r="BM2" s="2526"/>
      <c r="BN2" s="2526"/>
      <c r="BO2" s="2526"/>
      <c r="BP2" s="2526"/>
      <c r="BQ2" s="2486"/>
      <c r="BR2" s="1251"/>
      <c r="BS2" s="1251"/>
      <c r="BT2" s="524"/>
      <c r="BU2" s="524"/>
      <c r="BW2" s="150" t="s">
        <v>764</v>
      </c>
      <c r="BX2" s="1254"/>
      <c r="BY2" s="1254"/>
      <c r="BZ2" s="70"/>
      <c r="CA2" s="70"/>
    </row>
    <row r="3" spans="1:85" ht="15.75" customHeight="1" thickBot="1">
      <c r="A3" s="2560"/>
      <c r="B3" s="2560"/>
      <c r="C3" s="412" t="str">
        <f>'DüV-N-Ackerbau'!C3</f>
        <v>12345 Auf dem Feld</v>
      </c>
      <c r="D3" s="412"/>
      <c r="E3" s="502"/>
      <c r="F3" s="502"/>
      <c r="G3" s="1251"/>
      <c r="H3" s="1251"/>
      <c r="I3" s="1251"/>
      <c r="J3" s="1262"/>
      <c r="K3" s="1261"/>
      <c r="L3" s="2528"/>
      <c r="M3" s="2528"/>
      <c r="N3" s="2528"/>
      <c r="O3" s="2528"/>
      <c r="P3" s="2576"/>
      <c r="Q3" s="2568"/>
      <c r="R3" s="2568"/>
      <c r="S3" s="634"/>
      <c r="T3" s="1264"/>
      <c r="U3" s="1251"/>
      <c r="V3" s="2560"/>
      <c r="W3" s="2560"/>
      <c r="X3" s="2569"/>
      <c r="Y3" s="2569"/>
      <c r="Z3" s="2569"/>
      <c r="AA3" s="2569"/>
      <c r="AB3" s="2569"/>
      <c r="AC3" s="2569"/>
      <c r="AD3" s="2570"/>
      <c r="AE3" s="2570"/>
      <c r="AF3" s="2570"/>
      <c r="AG3" s="2570"/>
      <c r="AH3" s="2570"/>
      <c r="AI3" s="2570"/>
      <c r="AJ3" s="2570"/>
      <c r="AK3" s="2571"/>
      <c r="AL3" s="2571"/>
      <c r="AM3" s="2571"/>
      <c r="AN3" s="2571"/>
      <c r="AO3" s="2571"/>
      <c r="AP3" s="2571"/>
      <c r="AQ3" s="2571"/>
      <c r="AR3" s="2571"/>
      <c r="AS3" s="2571"/>
      <c r="AT3" s="2571"/>
      <c r="AU3" s="2571"/>
      <c r="AV3" s="2571"/>
      <c r="AW3" s="2571"/>
      <c r="AX3" s="2571"/>
      <c r="AY3" s="2571"/>
      <c r="AZ3" s="2571"/>
      <c r="BA3" s="2571"/>
      <c r="BB3" s="2571"/>
      <c r="BC3" s="2571"/>
      <c r="BD3" s="2571"/>
      <c r="BE3" s="2571"/>
      <c r="BF3" s="1262"/>
      <c r="BG3" s="2485"/>
      <c r="BH3" s="2526"/>
      <c r="BI3" s="2526"/>
      <c r="BJ3" s="2526"/>
      <c r="BK3" s="2526"/>
      <c r="BL3" s="2526"/>
      <c r="BM3" s="2526"/>
      <c r="BN3" s="2526"/>
      <c r="BO3" s="2526"/>
      <c r="BP3" s="2526"/>
      <c r="BQ3" s="2486"/>
      <c r="BR3" s="1251"/>
      <c r="BS3" s="1251"/>
      <c r="BT3" s="524"/>
      <c r="BU3" s="524"/>
      <c r="BW3" s="143" t="s">
        <v>31</v>
      </c>
      <c r="BX3" s="143">
        <v>0</v>
      </c>
      <c r="BY3" s="143">
        <v>0</v>
      </c>
      <c r="BZ3" s="279">
        <v>0</v>
      </c>
      <c r="CA3" s="279">
        <v>0</v>
      </c>
      <c r="CB3" s="808">
        <v>0</v>
      </c>
      <c r="CC3" s="749">
        <v>0</v>
      </c>
      <c r="CD3" s="480">
        <f>BX3*CC3</f>
        <v>0</v>
      </c>
    </row>
    <row r="4" spans="1:85" ht="39" customHeight="1">
      <c r="A4" s="2443" t="s">
        <v>1084</v>
      </c>
      <c r="B4" s="2545"/>
      <c r="C4" s="2537"/>
      <c r="D4" s="2537"/>
      <c r="E4" s="2537"/>
      <c r="F4" s="2537"/>
      <c r="G4" s="2537"/>
      <c r="H4" s="2537"/>
      <c r="I4" s="2537"/>
      <c r="J4" s="2537"/>
      <c r="K4" s="2537"/>
      <c r="L4" s="2537"/>
      <c r="M4" s="2537"/>
      <c r="N4" s="2537"/>
      <c r="O4" s="2537"/>
      <c r="P4" s="2537"/>
      <c r="Q4" s="2545"/>
      <c r="R4" s="2545"/>
      <c r="S4" s="2537"/>
      <c r="T4" s="2538"/>
      <c r="U4" s="1251"/>
      <c r="V4" s="2511" t="s">
        <v>1150</v>
      </c>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490"/>
      <c r="BC4" s="2490"/>
      <c r="BD4" s="2490"/>
      <c r="BE4" s="2490"/>
      <c r="BF4" s="1251"/>
      <c r="BG4" s="2487"/>
      <c r="BH4" s="2544"/>
      <c r="BI4" s="2544"/>
      <c r="BJ4" s="2544"/>
      <c r="BK4" s="2544"/>
      <c r="BL4" s="2544"/>
      <c r="BM4" s="2544"/>
      <c r="BN4" s="2544"/>
      <c r="BO4" s="2544"/>
      <c r="BP4" s="2544"/>
      <c r="BQ4" s="2488"/>
      <c r="BR4" s="1251"/>
      <c r="BS4" s="1251"/>
      <c r="BT4" s="524"/>
      <c r="BU4" s="524"/>
      <c r="BW4" s="280" t="s">
        <v>238</v>
      </c>
      <c r="BX4" s="280">
        <v>20</v>
      </c>
      <c r="BY4" s="280">
        <v>80</v>
      </c>
      <c r="BZ4" s="280">
        <v>1</v>
      </c>
      <c r="CA4" s="280">
        <v>1.5</v>
      </c>
      <c r="CB4" s="811">
        <v>60</v>
      </c>
      <c r="CC4" s="749">
        <v>2</v>
      </c>
      <c r="CD4" s="480">
        <f t="shared" ref="CD4:CD26" si="0">BX4*CC4</f>
        <v>40</v>
      </c>
    </row>
    <row r="5" spans="1:85" ht="17.25" customHeight="1" thickBot="1">
      <c r="A5" s="2539" t="s">
        <v>1151</v>
      </c>
      <c r="B5" s="2528"/>
      <c r="C5" s="2528"/>
      <c r="D5" s="2528"/>
      <c r="E5" s="2528"/>
      <c r="F5" s="2528"/>
      <c r="G5" s="2528"/>
      <c r="H5" s="2528"/>
      <c r="I5" s="2528"/>
      <c r="J5" s="2528"/>
      <c r="K5" s="2528"/>
      <c r="L5" s="2526"/>
      <c r="M5" s="2526"/>
      <c r="N5" s="2528"/>
      <c r="O5" s="2528"/>
      <c r="P5" s="2528"/>
      <c r="Q5" s="2528"/>
      <c r="R5" s="2528"/>
      <c r="S5" s="2528"/>
      <c r="T5" s="2540"/>
      <c r="U5" s="1251"/>
      <c r="V5" s="2516" t="s">
        <v>1018</v>
      </c>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1251"/>
      <c r="BG5" s="2546" t="s">
        <v>1065</v>
      </c>
      <c r="BH5" s="2546"/>
      <c r="BI5" s="2546"/>
      <c r="BJ5" s="2546"/>
      <c r="BK5" s="2546"/>
      <c r="BL5" s="1136"/>
      <c r="BM5" s="2548" t="s">
        <v>1076</v>
      </c>
      <c r="BN5" s="2549"/>
      <c r="BO5" s="2549"/>
      <c r="BP5" s="2549"/>
      <c r="BQ5" s="2549"/>
      <c r="BR5" s="1137"/>
      <c r="BS5" s="1251"/>
      <c r="BT5" s="524"/>
      <c r="BU5" s="524"/>
      <c r="BW5" s="748" t="s">
        <v>598</v>
      </c>
      <c r="BX5" s="748">
        <v>120</v>
      </c>
      <c r="BY5" s="748">
        <v>200</v>
      </c>
      <c r="BZ5" s="748">
        <v>0.5</v>
      </c>
      <c r="CA5" s="748">
        <v>0.75</v>
      </c>
      <c r="CB5" s="808">
        <v>90</v>
      </c>
      <c r="CC5" s="749">
        <v>0.5</v>
      </c>
      <c r="CD5" s="480">
        <f t="shared" si="0"/>
        <v>60</v>
      </c>
    </row>
    <row r="6" spans="1:85" ht="35.25" customHeight="1">
      <c r="A6" s="2551" t="s">
        <v>1075</v>
      </c>
      <c r="B6" s="2553" t="s">
        <v>562</v>
      </c>
      <c r="C6" s="2555" t="s">
        <v>300</v>
      </c>
      <c r="D6" s="2557" t="s">
        <v>295</v>
      </c>
      <c r="E6" s="2558"/>
      <c r="F6" s="2557" t="s">
        <v>296</v>
      </c>
      <c r="G6" s="2558"/>
      <c r="H6" s="2536" t="s">
        <v>6</v>
      </c>
      <c r="I6" s="2561" t="s">
        <v>163</v>
      </c>
      <c r="J6" s="2536" t="s">
        <v>8</v>
      </c>
      <c r="K6" s="2561" t="s">
        <v>163</v>
      </c>
      <c r="L6" s="2564" t="s">
        <v>534</v>
      </c>
      <c r="M6" s="2566" t="s">
        <v>223</v>
      </c>
      <c r="N6" s="2536" t="s">
        <v>256</v>
      </c>
      <c r="O6" s="2561" t="s">
        <v>163</v>
      </c>
      <c r="P6" s="2562" t="s">
        <v>1055</v>
      </c>
      <c r="Q6" s="2499" t="s">
        <v>1013</v>
      </c>
      <c r="R6" s="2573"/>
      <c r="S6" s="2497" t="s">
        <v>1132</v>
      </c>
      <c r="T6" s="2574"/>
      <c r="U6" s="1251"/>
      <c r="V6" s="2501" t="s">
        <v>1134</v>
      </c>
      <c r="W6" s="2515" t="s">
        <v>623</v>
      </c>
      <c r="X6" s="2503" t="s">
        <v>1414</v>
      </c>
      <c r="Y6" s="2504"/>
      <c r="Z6" s="2504"/>
      <c r="AA6" s="2504"/>
      <c r="AB6" s="2504"/>
      <c r="AC6" s="2504"/>
      <c r="AD6" s="1421"/>
      <c r="AE6" s="2495" t="s">
        <v>1415</v>
      </c>
      <c r="AF6" s="2496"/>
      <c r="AG6" s="2496"/>
      <c r="AH6" s="2496"/>
      <c r="AI6" s="2496"/>
      <c r="AJ6" s="2496"/>
      <c r="AK6" s="111"/>
      <c r="AL6" s="2495" t="s">
        <v>1416</v>
      </c>
      <c r="AM6" s="2496"/>
      <c r="AN6" s="2496"/>
      <c r="AO6" s="2496"/>
      <c r="AP6" s="2496"/>
      <c r="AQ6" s="2496"/>
      <c r="AR6" s="131"/>
      <c r="AS6" s="2495" t="s">
        <v>1417</v>
      </c>
      <c r="AT6" s="2496"/>
      <c r="AU6" s="2496"/>
      <c r="AV6" s="2496"/>
      <c r="AW6" s="2496"/>
      <c r="AX6" s="2496"/>
      <c r="AY6" s="864"/>
      <c r="AZ6" s="2495" t="s">
        <v>1418</v>
      </c>
      <c r="BA6" s="2496"/>
      <c r="BB6" s="2496"/>
      <c r="BC6" s="2496"/>
      <c r="BD6" s="2496"/>
      <c r="BE6" s="2496"/>
      <c r="BG6" s="2547"/>
      <c r="BH6" s="2547"/>
      <c r="BI6" s="2547"/>
      <c r="BJ6" s="2547"/>
      <c r="BK6" s="2547"/>
      <c r="BL6" s="1136"/>
      <c r="BM6" s="2550"/>
      <c r="BN6" s="2550"/>
      <c r="BO6" s="2550"/>
      <c r="BP6" s="2550"/>
      <c r="BQ6" s="2550"/>
      <c r="BR6" s="1137"/>
      <c r="BS6" s="1251"/>
      <c r="BT6" s="524"/>
      <c r="BU6" s="524"/>
      <c r="BW6" s="735" t="s">
        <v>749</v>
      </c>
      <c r="BX6" s="735">
        <v>60</v>
      </c>
      <c r="BY6" s="735">
        <v>200</v>
      </c>
      <c r="BZ6" s="735">
        <v>1</v>
      </c>
      <c r="CA6" s="735">
        <v>1.5</v>
      </c>
      <c r="CB6" s="808">
        <v>90</v>
      </c>
      <c r="CC6" s="749">
        <v>0.8</v>
      </c>
      <c r="CD6" s="480">
        <f t="shared" si="0"/>
        <v>48</v>
      </c>
      <c r="CE6" s="111"/>
      <c r="CF6" s="111"/>
      <c r="CG6" s="111"/>
    </row>
    <row r="7" spans="1:85" ht="66" customHeight="1" thickBot="1">
      <c r="A7" s="2552"/>
      <c r="B7" s="2554"/>
      <c r="C7" s="2556"/>
      <c r="D7" s="561" t="s">
        <v>33</v>
      </c>
      <c r="E7" s="562" t="s">
        <v>297</v>
      </c>
      <c r="F7" s="1743" t="s">
        <v>597</v>
      </c>
      <c r="G7" s="562" t="s">
        <v>298</v>
      </c>
      <c r="H7" s="2444"/>
      <c r="I7" s="2440"/>
      <c r="J7" s="2444"/>
      <c r="K7" s="2440"/>
      <c r="L7" s="2565"/>
      <c r="M7" s="2567"/>
      <c r="N7" s="2444"/>
      <c r="O7" s="2440"/>
      <c r="P7" s="2563"/>
      <c r="Q7" s="736" t="s">
        <v>322</v>
      </c>
      <c r="R7" s="2236" t="s">
        <v>793</v>
      </c>
      <c r="S7" s="642" t="s">
        <v>599</v>
      </c>
      <c r="T7" s="641" t="s">
        <v>794</v>
      </c>
      <c r="U7" s="1266"/>
      <c r="V7" s="2502"/>
      <c r="W7" s="2490"/>
      <c r="X7" s="2078" t="s">
        <v>839</v>
      </c>
      <c r="Y7" s="2077" t="s">
        <v>819</v>
      </c>
      <c r="Z7" s="2084" t="s">
        <v>33</v>
      </c>
      <c r="AA7" s="2076" t="s">
        <v>1062</v>
      </c>
      <c r="AB7" s="2084" t="s">
        <v>1063</v>
      </c>
      <c r="AC7" s="2076" t="s">
        <v>1064</v>
      </c>
      <c r="AD7" s="1421"/>
      <c r="AE7" s="2078" t="s">
        <v>839</v>
      </c>
      <c r="AF7" s="2077" t="s">
        <v>819</v>
      </c>
      <c r="AG7" s="2084" t="s">
        <v>33</v>
      </c>
      <c r="AH7" s="2076" t="s">
        <v>1062</v>
      </c>
      <c r="AI7" s="2084" t="s">
        <v>1063</v>
      </c>
      <c r="AJ7" s="2076" t="s">
        <v>1064</v>
      </c>
      <c r="AK7" s="279"/>
      <c r="AL7" s="2078" t="s">
        <v>839</v>
      </c>
      <c r="AM7" s="2077" t="s">
        <v>819</v>
      </c>
      <c r="AN7" s="2084" t="s">
        <v>33</v>
      </c>
      <c r="AO7" s="2076" t="s">
        <v>1062</v>
      </c>
      <c r="AP7" s="2084" t="s">
        <v>1063</v>
      </c>
      <c r="AQ7" s="2076" t="s">
        <v>1064</v>
      </c>
      <c r="AR7" s="279"/>
      <c r="AS7" s="2078" t="s">
        <v>839</v>
      </c>
      <c r="AT7" s="2077" t="s">
        <v>819</v>
      </c>
      <c r="AU7" s="2084" t="s">
        <v>33</v>
      </c>
      <c r="AV7" s="2076" t="s">
        <v>1062</v>
      </c>
      <c r="AW7" s="2084" t="s">
        <v>1063</v>
      </c>
      <c r="AX7" s="2076" t="s">
        <v>1064</v>
      </c>
      <c r="AY7" s="279"/>
      <c r="AZ7" s="2078" t="s">
        <v>839</v>
      </c>
      <c r="BA7" s="2077" t="s">
        <v>819</v>
      </c>
      <c r="BB7" s="2084" t="s">
        <v>33</v>
      </c>
      <c r="BC7" s="2076" t="s">
        <v>1062</v>
      </c>
      <c r="BD7" s="2084" t="s">
        <v>1063</v>
      </c>
      <c r="BE7" s="2076" t="s">
        <v>1064</v>
      </c>
      <c r="BF7" s="935"/>
      <c r="BG7" s="1809" t="s">
        <v>1080</v>
      </c>
      <c r="BH7" s="1270" t="s">
        <v>1066</v>
      </c>
      <c r="BI7" s="1307" t="s">
        <v>1309</v>
      </c>
      <c r="BJ7" s="906" t="s">
        <v>1241</v>
      </c>
      <c r="BK7" s="1270" t="s">
        <v>284</v>
      </c>
      <c r="BL7" s="1256"/>
      <c r="BM7" s="1809" t="s">
        <v>1080</v>
      </c>
      <c r="BN7" s="1270" t="s">
        <v>1066</v>
      </c>
      <c r="BO7" s="1307" t="s">
        <v>1309</v>
      </c>
      <c r="BP7" s="906" t="s">
        <v>1241</v>
      </c>
      <c r="BQ7" s="1270" t="s">
        <v>284</v>
      </c>
      <c r="BR7" s="1256"/>
      <c r="BS7" s="1266"/>
      <c r="BT7" s="527" t="s">
        <v>225</v>
      </c>
      <c r="BU7" s="527" t="s">
        <v>226</v>
      </c>
      <c r="BW7" s="530" t="s">
        <v>541</v>
      </c>
      <c r="BX7" s="530">
        <v>55</v>
      </c>
      <c r="BY7" s="530">
        <v>200</v>
      </c>
      <c r="BZ7" s="530">
        <v>1</v>
      </c>
      <c r="CA7" s="530">
        <v>1.5</v>
      </c>
      <c r="CB7" s="808">
        <v>60</v>
      </c>
      <c r="CC7" s="749">
        <v>0.8</v>
      </c>
      <c r="CD7" s="480">
        <f t="shared" si="0"/>
        <v>44</v>
      </c>
      <c r="CE7" s="126"/>
      <c r="CF7" s="173"/>
    </row>
    <row r="8" spans="1:85" s="1070" customFormat="1" ht="26.25" customHeight="1">
      <c r="A8" s="513" t="s">
        <v>829</v>
      </c>
      <c r="B8" s="1698">
        <v>0</v>
      </c>
      <c r="C8" s="758" t="s">
        <v>31</v>
      </c>
      <c r="D8" s="1426">
        <f t="shared" ref="D8:D51" si="1">VLOOKUP(C8,BW$3:CA$58,2,FALSE)</f>
        <v>0</v>
      </c>
      <c r="E8" s="583">
        <f t="shared" ref="E8:E52" si="2">VLOOKUP(C8,BW$3:CA$58,3,FALSE)</f>
        <v>0</v>
      </c>
      <c r="F8" s="1689">
        <v>0</v>
      </c>
      <c r="G8" s="569">
        <f t="shared" ref="G8:G52" si="3">IF(F8&lt;=D8,E8-(D8-F8)*BU8,E8+(F8-D8)*BT8)</f>
        <v>0</v>
      </c>
      <c r="H8" s="763" t="s">
        <v>503</v>
      </c>
      <c r="I8" s="583">
        <f t="shared" ref="I8:I52" si="4">VLOOKUP(H8,BW$62:BX$72,2,FALSE)</f>
        <v>0</v>
      </c>
      <c r="J8" s="586" t="s">
        <v>31</v>
      </c>
      <c r="K8" s="764">
        <f t="shared" ref="K8:K52" si="5">VLOOKUP(J8,BW$75:BX$84,2,FALSE)</f>
        <v>0</v>
      </c>
      <c r="L8" s="563">
        <f t="shared" ref="L8:L52" si="6">VLOOKUP(C8,BW$3:CB$58,6,FALSE)</f>
        <v>0</v>
      </c>
      <c r="M8" s="1692">
        <v>0</v>
      </c>
      <c r="N8" s="612" t="s">
        <v>160</v>
      </c>
      <c r="O8" s="583">
        <f t="shared" ref="O8:O52" si="7">VLOOKUP(N8,BW$87:BX$88,2,FALSE)</f>
        <v>0</v>
      </c>
      <c r="P8" s="1695">
        <v>0</v>
      </c>
      <c r="Q8" s="2369">
        <f>IF(G8-M8-P8-O8-I8-K8&lt;0,0,G8-M8-P8-O8-I8-K8)</f>
        <v>0</v>
      </c>
      <c r="R8" s="2370">
        <f>IF(Q8&lt;0,0,Q8*B8)</f>
        <v>0</v>
      </c>
      <c r="S8" s="2366">
        <f t="shared" ref="S8:S51" si="8">F8*VLOOKUP(C8,BW$3:CC$58,7,FALSE)</f>
        <v>0</v>
      </c>
      <c r="T8" s="591">
        <f t="shared" ref="T8:T52" si="9">IF(S8&lt;0,0,S8*B8)</f>
        <v>0</v>
      </c>
      <c r="U8" s="1251"/>
      <c r="V8" s="1281" t="str">
        <f t="shared" ref="V8:V52" si="10">A8</f>
        <v>Bewirtsch.einh. 1</v>
      </c>
      <c r="W8" s="1281" t="str">
        <f t="shared" ref="W8:W52" si="11">C8</f>
        <v>keine</v>
      </c>
      <c r="X8" s="1329"/>
      <c r="Y8" s="1330" t="s">
        <v>795</v>
      </c>
      <c r="Z8" s="1424">
        <v>0</v>
      </c>
      <c r="AA8" s="1033">
        <f>VLOOKUP(Y8,Düngemittel!$B$6:$E$64,2,FALSE)*(VLOOKUP(Y8,Düngemittel!$B$6:$E$64,3,FALSE))/100*Z8</f>
        <v>0</v>
      </c>
      <c r="AB8" s="1033">
        <f>VLOOKUP(Y8,Düngemittel!$B$6:$E$64,2,FALSE)*Z8</f>
        <v>0</v>
      </c>
      <c r="AC8" s="1033">
        <f>VLOOKUP(Y8,Düngemittel!$B$6:$E$64,4,FALSE)*Z8</f>
        <v>0</v>
      </c>
      <c r="AD8" s="92"/>
      <c r="AE8" s="1329"/>
      <c r="AF8" s="1330" t="s">
        <v>795</v>
      </c>
      <c r="AG8" s="1424">
        <v>0</v>
      </c>
      <c r="AH8" s="1033">
        <f>VLOOKUP(AF8,Düngemittel!$B$6:$E$64,2,FALSE)*(VLOOKUP(AF8,Düngemittel!$B$6:$E$64,3,FALSE))/100*AG8</f>
        <v>0</v>
      </c>
      <c r="AI8" s="1033">
        <f>VLOOKUP(AF8,Düngemittel!$B$6:$E$64,2,FALSE)*AG8</f>
        <v>0</v>
      </c>
      <c r="AJ8" s="1033">
        <f>VLOOKUP(AF8,Düngemittel!$B$6:$E$64,4,FALSE)*AG8</f>
        <v>0</v>
      </c>
      <c r="AK8" s="92"/>
      <c r="AL8" s="1329"/>
      <c r="AM8" s="1330" t="s">
        <v>795</v>
      </c>
      <c r="AN8" s="1424">
        <v>0</v>
      </c>
      <c r="AO8" s="1033">
        <f>VLOOKUP(AM8,Düngemittel!$B$6:$E$64,2,FALSE)*(VLOOKUP(AM8,Düngemittel!$B$6:$E$64,3,FALSE))/100*AN8</f>
        <v>0</v>
      </c>
      <c r="AP8" s="1033">
        <f>VLOOKUP(AM8,Düngemittel!$B$6:$E$64,2,FALSE)*AN8</f>
        <v>0</v>
      </c>
      <c r="AQ8" s="1033">
        <f>VLOOKUP(AM8,Düngemittel!$B$6:$E$64,4,FALSE)*AN8</f>
        <v>0</v>
      </c>
      <c r="AR8" s="92"/>
      <c r="AS8" s="1329"/>
      <c r="AT8" s="1330" t="s">
        <v>795</v>
      </c>
      <c r="AU8" s="1424">
        <v>0</v>
      </c>
      <c r="AV8" s="1033">
        <f>VLOOKUP(AT8,Düngemittel!$B$6:$E$64,2,FALSE)*(VLOOKUP(AT8,Düngemittel!$B$6:$E$64,3,FALSE))/100*AU8</f>
        <v>0</v>
      </c>
      <c r="AW8" s="1033">
        <f>VLOOKUP(AT8,Düngemittel!$B$6:$E$64,2,FALSE)*AU8</f>
        <v>0</v>
      </c>
      <c r="AX8" s="1033">
        <f>VLOOKUP(AT8,Düngemittel!$B$6:$E$64,4,FALSE)*AU8</f>
        <v>0</v>
      </c>
      <c r="AY8" s="92"/>
      <c r="AZ8" s="1329"/>
      <c r="BA8" s="1330" t="s">
        <v>795</v>
      </c>
      <c r="BB8" s="1424">
        <v>0</v>
      </c>
      <c r="BC8" s="1033">
        <f>VLOOKUP(BA8,Düngemittel!$B$6:$E$64,2,FALSE)*(VLOOKUP(BA8,Düngemittel!$B$6:$E$64,3,FALSE))/100*BB8</f>
        <v>0</v>
      </c>
      <c r="BD8" s="1033">
        <f>VLOOKUP(BA8,Düngemittel!$B$6:$E$64,2,FALSE)*BB8</f>
        <v>0</v>
      </c>
      <c r="BE8" s="1033">
        <f>VLOOKUP(BA8,Düngemittel!$B$6:$E$64,4,FALSE)*BB8</f>
        <v>0</v>
      </c>
      <c r="BF8" s="1251"/>
      <c r="BG8" s="1812">
        <f>IF(AA8&lt;AB8,0,AA8)+IF(AH8&lt;AI8,0,AH8)+IF(AO8&lt;AP8,0,AO8)+IF(AV8&lt;AW8,0,AV8)+IF(BC8&lt;BD8,0,BC8)</f>
        <v>0</v>
      </c>
      <c r="BH8" s="1277">
        <f>(AA8+AH8+AO8+AV8+BC8)</f>
        <v>0</v>
      </c>
      <c r="BI8" s="1812">
        <f>(AB8+AI8+AP8+AW8+BD8)</f>
        <v>0</v>
      </c>
      <c r="BJ8" s="1138">
        <f>IF(AA8&lt;AB8,AB8,0)+IF(AH8&lt;AI8,AI8,0)+IF(AO8&lt;AP8,AP8,0)+IF(AV8&lt;AW8,AW8,0)+IF(BC8&lt;BD8,BD8,0)</f>
        <v>0</v>
      </c>
      <c r="BK8" s="1277">
        <f>(AC8+AJ8+AQ8+AX8+BE8)</f>
        <v>0</v>
      </c>
      <c r="BL8" s="95"/>
      <c r="BM8" s="1810">
        <f>BG8*$B8</f>
        <v>0</v>
      </c>
      <c r="BN8" s="1135">
        <f t="shared" ref="BN8:BQ8" si="12">BH8*$B8</f>
        <v>0</v>
      </c>
      <c r="BO8" s="1810">
        <f t="shared" si="12"/>
        <v>0</v>
      </c>
      <c r="BP8" s="1807">
        <f t="shared" si="12"/>
        <v>0</v>
      </c>
      <c r="BQ8" s="1135">
        <f t="shared" si="12"/>
        <v>0</v>
      </c>
      <c r="BR8" s="1251"/>
      <c r="BS8" s="1251"/>
      <c r="BT8" s="528">
        <f t="shared" ref="BT8:BT52" si="13">VLOOKUP(C8,BW$3:CB$58,4,FALSE)</f>
        <v>0</v>
      </c>
      <c r="BU8" s="528">
        <f t="shared" ref="BU8:BU52" si="14">VLOOKUP(C8,BW$3:CB$58,5,FALSE)</f>
        <v>0</v>
      </c>
      <c r="BV8" s="1257"/>
      <c r="BW8" s="281" t="s">
        <v>750</v>
      </c>
      <c r="BX8" s="281">
        <v>40</v>
      </c>
      <c r="BY8" s="756">
        <v>115</v>
      </c>
      <c r="BZ8" s="281">
        <v>1</v>
      </c>
      <c r="CA8" s="281">
        <v>1.5</v>
      </c>
      <c r="CB8" s="808">
        <v>90</v>
      </c>
      <c r="CC8" s="749">
        <v>0.8</v>
      </c>
      <c r="CD8" s="480">
        <f t="shared" si="0"/>
        <v>32</v>
      </c>
      <c r="CE8" s="173"/>
      <c r="CF8" s="969"/>
      <c r="CG8" s="1268"/>
    </row>
    <row r="9" spans="1:85" ht="26.25" customHeight="1">
      <c r="A9" s="468" t="s">
        <v>568</v>
      </c>
      <c r="B9" s="1699">
        <v>0</v>
      </c>
      <c r="C9" s="759" t="s">
        <v>31</v>
      </c>
      <c r="D9" s="1427">
        <f t="shared" si="1"/>
        <v>0</v>
      </c>
      <c r="E9" s="584">
        <f t="shared" si="2"/>
        <v>0</v>
      </c>
      <c r="F9" s="1690">
        <v>0</v>
      </c>
      <c r="G9" s="570">
        <f t="shared" si="3"/>
        <v>0</v>
      </c>
      <c r="H9" s="761" t="s">
        <v>503</v>
      </c>
      <c r="I9" s="584">
        <f t="shared" si="4"/>
        <v>0</v>
      </c>
      <c r="J9" s="587" t="s">
        <v>31</v>
      </c>
      <c r="K9" s="765">
        <f t="shared" si="5"/>
        <v>0</v>
      </c>
      <c r="L9" s="565">
        <f t="shared" si="6"/>
        <v>0</v>
      </c>
      <c r="M9" s="1693">
        <v>0</v>
      </c>
      <c r="N9" s="609" t="s">
        <v>160</v>
      </c>
      <c r="O9" s="584">
        <f t="shared" si="7"/>
        <v>0</v>
      </c>
      <c r="P9" s="1696">
        <v>0</v>
      </c>
      <c r="Q9" s="1894">
        <f t="shared" ref="Q9:Q52" si="15">IF(G9-M9-P9-O9-I9-K9&lt;0,0,G9-M9-P9-O9-I9-K9)</f>
        <v>0</v>
      </c>
      <c r="R9" s="2371">
        <f t="shared" ref="R9:R52" si="16">IF(Q9&lt;0,0,Q9*B9)</f>
        <v>0</v>
      </c>
      <c r="S9" s="2367">
        <f t="shared" si="8"/>
        <v>0</v>
      </c>
      <c r="T9" s="592">
        <f t="shared" si="9"/>
        <v>0</v>
      </c>
      <c r="U9" s="1251"/>
      <c r="V9" s="1281" t="str">
        <f t="shared" si="10"/>
        <v>Fläche 2</v>
      </c>
      <c r="W9" s="1281" t="str">
        <f t="shared" si="11"/>
        <v>keine</v>
      </c>
      <c r="X9" s="1329"/>
      <c r="Y9" s="1330" t="s">
        <v>795</v>
      </c>
      <c r="Z9" s="1424">
        <v>0</v>
      </c>
      <c r="AA9" s="1033">
        <f>VLOOKUP(Y9,Düngemittel!$B$6:$E$64,2,FALSE)*(VLOOKUP(Y9,Düngemittel!$B$6:$E$64,3,FALSE))/100*Z9</f>
        <v>0</v>
      </c>
      <c r="AB9" s="1033">
        <f>VLOOKUP(Y9,Düngemittel!$B$6:$E$64,2,FALSE)*Z9</f>
        <v>0</v>
      </c>
      <c r="AC9" s="1033">
        <f>VLOOKUP(Y9,Düngemittel!$B$6:$E$64,4,FALSE)*Z9</f>
        <v>0</v>
      </c>
      <c r="AD9" s="2081"/>
      <c r="AE9" s="1329"/>
      <c r="AF9" s="1330" t="s">
        <v>795</v>
      </c>
      <c r="AG9" s="1424">
        <v>0</v>
      </c>
      <c r="AH9" s="1033">
        <f>VLOOKUP(AF9,Düngemittel!$B$6:$E$64,2,FALSE)*(VLOOKUP(AF9,Düngemittel!$B$6:$E$64,3,FALSE))/100*AG9</f>
        <v>0</v>
      </c>
      <c r="AI9" s="1033">
        <f>VLOOKUP(AF9,Düngemittel!$B$6:$E$64,2,FALSE)*AG9</f>
        <v>0</v>
      </c>
      <c r="AJ9" s="1033">
        <f>VLOOKUP(AF9,Düngemittel!$B$6:$E$64,4,FALSE)*AG9</f>
        <v>0</v>
      </c>
      <c r="AK9" s="2081"/>
      <c r="AL9" s="1329"/>
      <c r="AM9" s="1330" t="s">
        <v>795</v>
      </c>
      <c r="AN9" s="1424">
        <v>0</v>
      </c>
      <c r="AO9" s="1033">
        <f>VLOOKUP(AM9,Düngemittel!$B$6:$E$64,2,FALSE)*(VLOOKUP(AM9,Düngemittel!$B$6:$E$64,3,FALSE))/100*AN9</f>
        <v>0</v>
      </c>
      <c r="AP9" s="1033">
        <f>VLOOKUP(AM9,Düngemittel!$B$6:$E$64,2,FALSE)*AN9</f>
        <v>0</v>
      </c>
      <c r="AQ9" s="1033">
        <f>VLOOKUP(AM9,Düngemittel!$B$6:$E$64,4,FALSE)*AN9</f>
        <v>0</v>
      </c>
      <c r="AR9" s="2081"/>
      <c r="AS9" s="1329"/>
      <c r="AT9" s="1330" t="s">
        <v>795</v>
      </c>
      <c r="AU9" s="1424">
        <v>0</v>
      </c>
      <c r="AV9" s="1033">
        <f>VLOOKUP(AT9,Düngemittel!$B$6:$E$64,2,FALSE)*(VLOOKUP(AT9,Düngemittel!$B$6:$E$64,3,FALSE))/100*AU9</f>
        <v>0</v>
      </c>
      <c r="AW9" s="1033">
        <f>VLOOKUP(AT9,Düngemittel!$B$6:$E$64,2,FALSE)*AU9</f>
        <v>0</v>
      </c>
      <c r="AX9" s="1033">
        <f>VLOOKUP(AT9,Düngemittel!$B$6:$E$64,4,FALSE)*AU9</f>
        <v>0</v>
      </c>
      <c r="AY9" s="2081"/>
      <c r="AZ9" s="1329"/>
      <c r="BA9" s="1330" t="s">
        <v>795</v>
      </c>
      <c r="BB9" s="1424">
        <v>0</v>
      </c>
      <c r="BC9" s="1033">
        <f>VLOOKUP(BA9,Düngemittel!$B$6:$E$64,2,FALSE)*(VLOOKUP(BA9,Düngemittel!$B$6:$E$64,3,FALSE))/100*BB9</f>
        <v>0</v>
      </c>
      <c r="BD9" s="1033">
        <f>VLOOKUP(BA9,Düngemittel!$B$6:$E$64,2,FALSE)*BB9</f>
        <v>0</v>
      </c>
      <c r="BE9" s="1033">
        <f>VLOOKUP(BA9,Düngemittel!$B$6:$E$64,4,FALSE)*BB9</f>
        <v>0</v>
      </c>
      <c r="BF9" s="1251"/>
      <c r="BG9" s="1812">
        <f t="shared" ref="BG9:BG52" si="17">IF(AA9&lt;AB9,0,AA9)+IF(AH9&lt;AI9,0,AH9)+IF(AO9&lt;AP9,0,AO9)+IF(AV9&lt;AW9,0,AV9)+IF(BC9&lt;BD9,0,BC9)</f>
        <v>0</v>
      </c>
      <c r="BH9" s="1277">
        <f t="shared" ref="BH9:BI52" si="18">(AA9+AH9+AO9+AV9+BC9)</f>
        <v>0</v>
      </c>
      <c r="BI9" s="1812">
        <f t="shared" si="18"/>
        <v>0</v>
      </c>
      <c r="BJ9" s="1138">
        <f t="shared" ref="BJ9:BJ52" si="19">IF(AA9&lt;AB9,AB9,0)+IF(AH9&lt;AI9,AI9,0)+IF(AO9&lt;AP9,AP9,0)+IF(AV9&lt;AW9,AW9,0)+IF(BC9&lt;BD9,BD9,0)</f>
        <v>0</v>
      </c>
      <c r="BK9" s="1277">
        <f t="shared" ref="BK9:BK52" si="20">(AC9+AJ9+AQ9+AX9+BE9)</f>
        <v>0</v>
      </c>
      <c r="BL9" s="95"/>
      <c r="BM9" s="1810">
        <f t="shared" ref="BM9:BM52" si="21">BG9*$B9</f>
        <v>0</v>
      </c>
      <c r="BN9" s="1135">
        <f t="shared" ref="BN9:BN52" si="22">BH9*$B9</f>
        <v>0</v>
      </c>
      <c r="BO9" s="1810">
        <f t="shared" ref="BO9:BO52" si="23">BI9*$B9</f>
        <v>0</v>
      </c>
      <c r="BP9" s="1807">
        <f t="shared" ref="BP9:BP52" si="24">BJ9*$B9</f>
        <v>0</v>
      </c>
      <c r="BQ9" s="1135">
        <f t="shared" ref="BQ9:BQ52" si="25">BK9*$B9</f>
        <v>0</v>
      </c>
      <c r="BR9" s="1251"/>
      <c r="BS9" s="1251"/>
      <c r="BT9" s="528">
        <f t="shared" si="13"/>
        <v>0</v>
      </c>
      <c r="BU9" s="528">
        <f t="shared" si="14"/>
        <v>0</v>
      </c>
      <c r="BW9" s="735" t="s">
        <v>754</v>
      </c>
      <c r="BX9" s="735">
        <v>150</v>
      </c>
      <c r="BY9" s="735">
        <v>160</v>
      </c>
      <c r="BZ9" s="735">
        <v>0.2</v>
      </c>
      <c r="CA9" s="735">
        <v>0.3</v>
      </c>
      <c r="CB9" s="808">
        <v>60</v>
      </c>
      <c r="CC9" s="749">
        <v>0.32</v>
      </c>
      <c r="CD9" s="480">
        <f t="shared" si="0"/>
        <v>48</v>
      </c>
      <c r="CE9" s="126"/>
      <c r="CF9" s="969"/>
    </row>
    <row r="10" spans="1:85" ht="26.25" customHeight="1">
      <c r="A10" s="468" t="s">
        <v>569</v>
      </c>
      <c r="B10" s="1699">
        <v>0</v>
      </c>
      <c r="C10" s="759" t="s">
        <v>31</v>
      </c>
      <c r="D10" s="1427">
        <f t="shared" si="1"/>
        <v>0</v>
      </c>
      <c r="E10" s="584">
        <f t="shared" si="2"/>
        <v>0</v>
      </c>
      <c r="F10" s="1690">
        <v>0</v>
      </c>
      <c r="G10" s="570">
        <f t="shared" si="3"/>
        <v>0</v>
      </c>
      <c r="H10" s="761" t="s">
        <v>503</v>
      </c>
      <c r="I10" s="584">
        <f t="shared" si="4"/>
        <v>0</v>
      </c>
      <c r="J10" s="587" t="s">
        <v>31</v>
      </c>
      <c r="K10" s="765">
        <f t="shared" si="5"/>
        <v>0</v>
      </c>
      <c r="L10" s="565">
        <f t="shared" si="6"/>
        <v>0</v>
      </c>
      <c r="M10" s="1693">
        <v>0</v>
      </c>
      <c r="N10" s="609" t="s">
        <v>160</v>
      </c>
      <c r="O10" s="584">
        <f t="shared" si="7"/>
        <v>0</v>
      </c>
      <c r="P10" s="1696">
        <v>0</v>
      </c>
      <c r="Q10" s="1894">
        <f t="shared" si="15"/>
        <v>0</v>
      </c>
      <c r="R10" s="2371">
        <f t="shared" si="16"/>
        <v>0</v>
      </c>
      <c r="S10" s="2367">
        <f t="shared" si="8"/>
        <v>0</v>
      </c>
      <c r="T10" s="592">
        <f t="shared" si="9"/>
        <v>0</v>
      </c>
      <c r="U10" s="1251"/>
      <c r="V10" s="1281" t="str">
        <f t="shared" si="10"/>
        <v>Acker 3</v>
      </c>
      <c r="W10" s="1281" t="str">
        <f t="shared" si="11"/>
        <v>keine</v>
      </c>
      <c r="X10" s="1329"/>
      <c r="Y10" s="1330" t="s">
        <v>795</v>
      </c>
      <c r="Z10" s="1424">
        <v>0</v>
      </c>
      <c r="AA10" s="1033">
        <f>VLOOKUP(Y10,Düngemittel!$B$6:$E$64,2,FALSE)*(VLOOKUP(Y10,Düngemittel!$B$6:$E$64,3,FALSE))/100*Z10</f>
        <v>0</v>
      </c>
      <c r="AB10" s="1033">
        <f>VLOOKUP(Y10,Düngemittel!$B$6:$E$64,2,FALSE)*Z10</f>
        <v>0</v>
      </c>
      <c r="AC10" s="1033">
        <f>VLOOKUP(Y10,Düngemittel!$B$6:$E$64,4,FALSE)*Z10</f>
        <v>0</v>
      </c>
      <c r="AD10" s="2081"/>
      <c r="AE10" s="1329"/>
      <c r="AF10" s="1330" t="s">
        <v>795</v>
      </c>
      <c r="AG10" s="1424">
        <v>0</v>
      </c>
      <c r="AH10" s="1033">
        <f>VLOOKUP(AF10,Düngemittel!$B$6:$E$64,2,FALSE)*(VLOOKUP(AF10,Düngemittel!$B$6:$E$64,3,FALSE))/100*AG10</f>
        <v>0</v>
      </c>
      <c r="AI10" s="1033">
        <f>VLOOKUP(AF10,Düngemittel!$B$6:$E$64,2,FALSE)*AG10</f>
        <v>0</v>
      </c>
      <c r="AJ10" s="1033">
        <f>VLOOKUP(AF10,Düngemittel!$B$6:$E$64,4,FALSE)*AG10</f>
        <v>0</v>
      </c>
      <c r="AK10" s="2081"/>
      <c r="AL10" s="1329"/>
      <c r="AM10" s="1330" t="s">
        <v>795</v>
      </c>
      <c r="AN10" s="1424">
        <v>0</v>
      </c>
      <c r="AO10" s="1033">
        <f>VLOOKUP(AM10,Düngemittel!$B$6:$E$64,2,FALSE)*(VLOOKUP(AM10,Düngemittel!$B$6:$E$64,3,FALSE))/100*AN10</f>
        <v>0</v>
      </c>
      <c r="AP10" s="1033">
        <f>VLOOKUP(AM10,Düngemittel!$B$6:$E$64,2,FALSE)*AN10</f>
        <v>0</v>
      </c>
      <c r="AQ10" s="1033">
        <f>VLOOKUP(AM10,Düngemittel!$B$6:$E$64,4,FALSE)*AN10</f>
        <v>0</v>
      </c>
      <c r="AR10" s="2081"/>
      <c r="AS10" s="1329"/>
      <c r="AT10" s="1330" t="s">
        <v>795</v>
      </c>
      <c r="AU10" s="1424">
        <v>0</v>
      </c>
      <c r="AV10" s="1033">
        <f>VLOOKUP(AT10,Düngemittel!$B$6:$E$64,2,FALSE)*(VLOOKUP(AT10,Düngemittel!$B$6:$E$64,3,FALSE))/100*AU10</f>
        <v>0</v>
      </c>
      <c r="AW10" s="1033">
        <f>VLOOKUP(AT10,Düngemittel!$B$6:$E$64,2,FALSE)*AU10</f>
        <v>0</v>
      </c>
      <c r="AX10" s="1033">
        <f>VLOOKUP(AT10,Düngemittel!$B$6:$E$64,4,FALSE)*AU10</f>
        <v>0</v>
      </c>
      <c r="AY10" s="2081"/>
      <c r="AZ10" s="1329"/>
      <c r="BA10" s="1330" t="s">
        <v>795</v>
      </c>
      <c r="BB10" s="1424">
        <v>0</v>
      </c>
      <c r="BC10" s="1033">
        <f>VLOOKUP(BA10,Düngemittel!$B$6:$E$64,2,FALSE)*(VLOOKUP(BA10,Düngemittel!$B$6:$E$64,3,FALSE))/100*BB10</f>
        <v>0</v>
      </c>
      <c r="BD10" s="1033">
        <f>VLOOKUP(BA10,Düngemittel!$B$6:$E$64,2,FALSE)*BB10</f>
        <v>0</v>
      </c>
      <c r="BE10" s="1033">
        <f>VLOOKUP(BA10,Düngemittel!$B$6:$E$64,4,FALSE)*BB10</f>
        <v>0</v>
      </c>
      <c r="BF10" s="1251"/>
      <c r="BG10" s="1812">
        <f t="shared" si="17"/>
        <v>0</v>
      </c>
      <c r="BH10" s="1277">
        <f t="shared" si="18"/>
        <v>0</v>
      </c>
      <c r="BI10" s="1812">
        <f t="shared" si="18"/>
        <v>0</v>
      </c>
      <c r="BJ10" s="1138">
        <f t="shared" si="19"/>
        <v>0</v>
      </c>
      <c r="BK10" s="1277">
        <f t="shared" si="20"/>
        <v>0</v>
      </c>
      <c r="BL10" s="95"/>
      <c r="BM10" s="1810">
        <f t="shared" si="21"/>
        <v>0</v>
      </c>
      <c r="BN10" s="1135">
        <f t="shared" si="22"/>
        <v>0</v>
      </c>
      <c r="BO10" s="1810">
        <f t="shared" si="23"/>
        <v>0</v>
      </c>
      <c r="BP10" s="1807">
        <f t="shared" si="24"/>
        <v>0</v>
      </c>
      <c r="BQ10" s="1135">
        <f t="shared" si="25"/>
        <v>0</v>
      </c>
      <c r="BR10" s="1251"/>
      <c r="BS10" s="1251"/>
      <c r="BT10" s="528">
        <f t="shared" si="13"/>
        <v>0</v>
      </c>
      <c r="BU10" s="528">
        <f t="shared" si="14"/>
        <v>0</v>
      </c>
      <c r="BW10" s="748" t="s">
        <v>682</v>
      </c>
      <c r="BX10" s="735">
        <v>80</v>
      </c>
      <c r="BY10" s="735">
        <v>100</v>
      </c>
      <c r="BZ10" s="735">
        <v>1</v>
      </c>
      <c r="CA10" s="735">
        <v>1.5</v>
      </c>
      <c r="CB10" s="808">
        <v>60</v>
      </c>
      <c r="CC10" s="749">
        <v>0.64</v>
      </c>
      <c r="CD10" s="480">
        <f t="shared" si="0"/>
        <v>51.2</v>
      </c>
      <c r="CE10" s="126"/>
      <c r="CF10" s="969"/>
    </row>
    <row r="11" spans="1:85" ht="26.25" customHeight="1">
      <c r="A11" s="468" t="s">
        <v>565</v>
      </c>
      <c r="B11" s="1699">
        <v>0</v>
      </c>
      <c r="C11" s="759" t="s">
        <v>31</v>
      </c>
      <c r="D11" s="1427">
        <f t="shared" si="1"/>
        <v>0</v>
      </c>
      <c r="E11" s="584">
        <f t="shared" si="2"/>
        <v>0</v>
      </c>
      <c r="F11" s="1690">
        <v>0</v>
      </c>
      <c r="G11" s="570">
        <f t="shared" si="3"/>
        <v>0</v>
      </c>
      <c r="H11" s="761" t="s">
        <v>503</v>
      </c>
      <c r="I11" s="584">
        <f t="shared" si="4"/>
        <v>0</v>
      </c>
      <c r="J11" s="587" t="s">
        <v>31</v>
      </c>
      <c r="K11" s="765">
        <f t="shared" si="5"/>
        <v>0</v>
      </c>
      <c r="L11" s="565">
        <f t="shared" si="6"/>
        <v>0</v>
      </c>
      <c r="M11" s="1693">
        <v>0</v>
      </c>
      <c r="N11" s="609" t="s">
        <v>160</v>
      </c>
      <c r="O11" s="584">
        <f t="shared" si="7"/>
        <v>0</v>
      </c>
      <c r="P11" s="1696">
        <v>0</v>
      </c>
      <c r="Q11" s="1894">
        <f t="shared" si="15"/>
        <v>0</v>
      </c>
      <c r="R11" s="2371">
        <f t="shared" si="16"/>
        <v>0</v>
      </c>
      <c r="S11" s="2367">
        <f t="shared" si="8"/>
        <v>0</v>
      </c>
      <c r="T11" s="592">
        <f t="shared" si="9"/>
        <v>0</v>
      </c>
      <c r="U11" s="1251"/>
      <c r="V11" s="1281" t="str">
        <f t="shared" si="10"/>
        <v>Schlag 4</v>
      </c>
      <c r="W11" s="1281" t="str">
        <f t="shared" si="11"/>
        <v>keine</v>
      </c>
      <c r="X11" s="1329"/>
      <c r="Y11" s="1330" t="s">
        <v>795</v>
      </c>
      <c r="Z11" s="1424">
        <v>0</v>
      </c>
      <c r="AA11" s="1033">
        <f>VLOOKUP(Y11,Düngemittel!$B$6:$E$64,2,FALSE)*(VLOOKUP(Y11,Düngemittel!$B$6:$E$64,3,FALSE))/100*Z11</f>
        <v>0</v>
      </c>
      <c r="AB11" s="1033">
        <f>VLOOKUP(Y11,Düngemittel!$B$6:$E$64,2,FALSE)*Z11</f>
        <v>0</v>
      </c>
      <c r="AC11" s="1033">
        <f>VLOOKUP(Y11,Düngemittel!$B$6:$E$64,4,FALSE)*Z11</f>
        <v>0</v>
      </c>
      <c r="AD11" s="2081"/>
      <c r="AE11" s="1329"/>
      <c r="AF11" s="1330" t="s">
        <v>795</v>
      </c>
      <c r="AG11" s="1424">
        <v>0</v>
      </c>
      <c r="AH11" s="1033">
        <f>VLOOKUP(AF11,Düngemittel!$B$6:$E$64,2,FALSE)*(VLOOKUP(AF11,Düngemittel!$B$6:$E$64,3,FALSE))/100*AG11</f>
        <v>0</v>
      </c>
      <c r="AI11" s="1033">
        <f>VLOOKUP(AF11,Düngemittel!$B$6:$E$64,2,FALSE)*AG11</f>
        <v>0</v>
      </c>
      <c r="AJ11" s="1033">
        <f>VLOOKUP(AF11,Düngemittel!$B$6:$E$64,4,FALSE)*AG11</f>
        <v>0</v>
      </c>
      <c r="AK11" s="2081"/>
      <c r="AL11" s="1329"/>
      <c r="AM11" s="1330" t="s">
        <v>795</v>
      </c>
      <c r="AN11" s="1424">
        <v>0</v>
      </c>
      <c r="AO11" s="1033">
        <f>VLOOKUP(AM11,Düngemittel!$B$6:$E$64,2,FALSE)*(VLOOKUP(AM11,Düngemittel!$B$6:$E$64,3,FALSE))/100*AN11</f>
        <v>0</v>
      </c>
      <c r="AP11" s="1033">
        <f>VLOOKUP(AM11,Düngemittel!$B$6:$E$64,2,FALSE)*AN11</f>
        <v>0</v>
      </c>
      <c r="AQ11" s="1033">
        <f>VLOOKUP(AM11,Düngemittel!$B$6:$E$64,4,FALSE)*AN11</f>
        <v>0</v>
      </c>
      <c r="AR11" s="2081"/>
      <c r="AS11" s="1329"/>
      <c r="AT11" s="1330" t="s">
        <v>795</v>
      </c>
      <c r="AU11" s="1424">
        <v>0</v>
      </c>
      <c r="AV11" s="1033">
        <f>VLOOKUP(AT11,Düngemittel!$B$6:$E$64,2,FALSE)*(VLOOKUP(AT11,Düngemittel!$B$6:$E$64,3,FALSE))/100*AU11</f>
        <v>0</v>
      </c>
      <c r="AW11" s="1033">
        <f>VLOOKUP(AT11,Düngemittel!$B$6:$E$64,2,FALSE)*AU11</f>
        <v>0</v>
      </c>
      <c r="AX11" s="1033">
        <f>VLOOKUP(AT11,Düngemittel!$B$6:$E$64,4,FALSE)*AU11</f>
        <v>0</v>
      </c>
      <c r="AY11" s="2081"/>
      <c r="AZ11" s="1329"/>
      <c r="BA11" s="1330" t="s">
        <v>795</v>
      </c>
      <c r="BB11" s="1424">
        <v>0</v>
      </c>
      <c r="BC11" s="1033">
        <f>VLOOKUP(BA11,Düngemittel!$B$6:$E$64,2,FALSE)*(VLOOKUP(BA11,Düngemittel!$B$6:$E$64,3,FALSE))/100*BB11</f>
        <v>0</v>
      </c>
      <c r="BD11" s="1033">
        <f>VLOOKUP(BA11,Düngemittel!$B$6:$E$64,2,FALSE)*BB11</f>
        <v>0</v>
      </c>
      <c r="BE11" s="1033">
        <f>VLOOKUP(BA11,Düngemittel!$B$6:$E$64,4,FALSE)*BB11</f>
        <v>0</v>
      </c>
      <c r="BF11" s="1251"/>
      <c r="BG11" s="1812">
        <f t="shared" si="17"/>
        <v>0</v>
      </c>
      <c r="BH11" s="1277">
        <f t="shared" si="18"/>
        <v>0</v>
      </c>
      <c r="BI11" s="1812">
        <f t="shared" si="18"/>
        <v>0</v>
      </c>
      <c r="BJ11" s="1138">
        <f t="shared" si="19"/>
        <v>0</v>
      </c>
      <c r="BK11" s="1277">
        <f t="shared" si="20"/>
        <v>0</v>
      </c>
      <c r="BL11" s="95"/>
      <c r="BM11" s="1810">
        <f t="shared" si="21"/>
        <v>0</v>
      </c>
      <c r="BN11" s="1135">
        <f t="shared" si="22"/>
        <v>0</v>
      </c>
      <c r="BO11" s="1810">
        <f t="shared" si="23"/>
        <v>0</v>
      </c>
      <c r="BP11" s="1807">
        <f t="shared" si="24"/>
        <v>0</v>
      </c>
      <c r="BQ11" s="1135">
        <f t="shared" si="25"/>
        <v>0</v>
      </c>
      <c r="BR11" s="1251"/>
      <c r="BS11" s="1251"/>
      <c r="BT11" s="528">
        <f t="shared" si="13"/>
        <v>0</v>
      </c>
      <c r="BU11" s="528">
        <f t="shared" si="14"/>
        <v>0</v>
      </c>
      <c r="BW11" s="279" t="s">
        <v>219</v>
      </c>
      <c r="BX11" s="279">
        <v>400</v>
      </c>
      <c r="BY11" s="279">
        <v>220</v>
      </c>
      <c r="BZ11" s="752">
        <v>0.2</v>
      </c>
      <c r="CA11" s="752">
        <v>0.2</v>
      </c>
      <c r="CB11" s="808">
        <v>60</v>
      </c>
      <c r="CC11" s="749">
        <v>0.14000000000000001</v>
      </c>
      <c r="CD11" s="480">
        <f t="shared" si="0"/>
        <v>56.000000000000007</v>
      </c>
      <c r="CE11" s="126"/>
      <c r="CF11" s="969"/>
    </row>
    <row r="12" spans="1:85" ht="26.25" customHeight="1">
      <c r="A12" s="468" t="s">
        <v>1131</v>
      </c>
      <c r="B12" s="1699">
        <v>0</v>
      </c>
      <c r="C12" s="759" t="s">
        <v>31</v>
      </c>
      <c r="D12" s="1427">
        <f t="shared" si="1"/>
        <v>0</v>
      </c>
      <c r="E12" s="584">
        <f t="shared" si="2"/>
        <v>0</v>
      </c>
      <c r="F12" s="1690">
        <v>0</v>
      </c>
      <c r="G12" s="570">
        <f t="shared" si="3"/>
        <v>0</v>
      </c>
      <c r="H12" s="761" t="s">
        <v>503</v>
      </c>
      <c r="I12" s="584">
        <f t="shared" si="4"/>
        <v>0</v>
      </c>
      <c r="J12" s="587" t="s">
        <v>31</v>
      </c>
      <c r="K12" s="765">
        <f t="shared" si="5"/>
        <v>0</v>
      </c>
      <c r="L12" s="565">
        <f t="shared" si="6"/>
        <v>0</v>
      </c>
      <c r="M12" s="1693">
        <v>0</v>
      </c>
      <c r="N12" s="609" t="s">
        <v>160</v>
      </c>
      <c r="O12" s="584">
        <f t="shared" si="7"/>
        <v>0</v>
      </c>
      <c r="P12" s="1696">
        <v>0</v>
      </c>
      <c r="Q12" s="1894">
        <f t="shared" si="15"/>
        <v>0</v>
      </c>
      <c r="R12" s="2371">
        <f t="shared" si="16"/>
        <v>0</v>
      </c>
      <c r="S12" s="2367">
        <f t="shared" si="8"/>
        <v>0</v>
      </c>
      <c r="T12" s="592">
        <f t="shared" si="9"/>
        <v>0</v>
      </c>
      <c r="U12" s="1251"/>
      <c r="V12" s="1281" t="str">
        <f t="shared" si="10"/>
        <v>Flurstück 5</v>
      </c>
      <c r="W12" s="1281" t="str">
        <f t="shared" si="11"/>
        <v>keine</v>
      </c>
      <c r="X12" s="1329"/>
      <c r="Y12" s="1330" t="s">
        <v>795</v>
      </c>
      <c r="Z12" s="1424">
        <v>0</v>
      </c>
      <c r="AA12" s="1033">
        <f>VLOOKUP(Y12,Düngemittel!$B$6:$E$64,2,FALSE)*(VLOOKUP(Y12,Düngemittel!$B$6:$E$64,3,FALSE))/100*Z12</f>
        <v>0</v>
      </c>
      <c r="AB12" s="1033">
        <f>VLOOKUP(Y12,Düngemittel!$B$6:$E$64,2,FALSE)*Z12</f>
        <v>0</v>
      </c>
      <c r="AC12" s="1033">
        <f>VLOOKUP(Y12,Düngemittel!$B$6:$E$64,4,FALSE)*Z12</f>
        <v>0</v>
      </c>
      <c r="AD12" s="2081"/>
      <c r="AE12" s="1329"/>
      <c r="AF12" s="1330" t="s">
        <v>795</v>
      </c>
      <c r="AG12" s="1424">
        <v>0</v>
      </c>
      <c r="AH12" s="1033">
        <f>VLOOKUP(AF12,Düngemittel!$B$6:$E$64,2,FALSE)*(VLOOKUP(AF12,Düngemittel!$B$6:$E$64,3,FALSE))/100*AG12</f>
        <v>0</v>
      </c>
      <c r="AI12" s="1033">
        <f>VLOOKUP(AF12,Düngemittel!$B$6:$E$64,2,FALSE)*AG12</f>
        <v>0</v>
      </c>
      <c r="AJ12" s="1033">
        <f>VLOOKUP(AF12,Düngemittel!$B$6:$E$64,4,FALSE)*AG12</f>
        <v>0</v>
      </c>
      <c r="AK12" s="2081"/>
      <c r="AL12" s="1329"/>
      <c r="AM12" s="1330" t="s">
        <v>795</v>
      </c>
      <c r="AN12" s="1424">
        <v>0</v>
      </c>
      <c r="AO12" s="1033">
        <f>VLOOKUP(AM12,Düngemittel!$B$6:$E$64,2,FALSE)*(VLOOKUP(AM12,Düngemittel!$B$6:$E$64,3,FALSE))/100*AN12</f>
        <v>0</v>
      </c>
      <c r="AP12" s="1033">
        <f>VLOOKUP(AM12,Düngemittel!$B$6:$E$64,2,FALSE)*AN12</f>
        <v>0</v>
      </c>
      <c r="AQ12" s="1033">
        <f>VLOOKUP(AM12,Düngemittel!$B$6:$E$64,4,FALSE)*AN12</f>
        <v>0</v>
      </c>
      <c r="AR12" s="2081"/>
      <c r="AS12" s="1329"/>
      <c r="AT12" s="1330" t="s">
        <v>795</v>
      </c>
      <c r="AU12" s="1424">
        <v>0</v>
      </c>
      <c r="AV12" s="1033">
        <f>VLOOKUP(AT12,Düngemittel!$B$6:$E$64,2,FALSE)*(VLOOKUP(AT12,Düngemittel!$B$6:$E$64,3,FALSE))/100*AU12</f>
        <v>0</v>
      </c>
      <c r="AW12" s="1033">
        <f>VLOOKUP(AT12,Düngemittel!$B$6:$E$64,2,FALSE)*AU12</f>
        <v>0</v>
      </c>
      <c r="AX12" s="1033">
        <f>VLOOKUP(AT12,Düngemittel!$B$6:$E$64,4,FALSE)*AU12</f>
        <v>0</v>
      </c>
      <c r="AY12" s="2081"/>
      <c r="AZ12" s="1329"/>
      <c r="BA12" s="1330" t="s">
        <v>795</v>
      </c>
      <c r="BB12" s="1424">
        <v>0</v>
      </c>
      <c r="BC12" s="1033">
        <f>VLOOKUP(BA12,Düngemittel!$B$6:$E$64,2,FALSE)*(VLOOKUP(BA12,Düngemittel!$B$6:$E$64,3,FALSE))/100*BB12</f>
        <v>0</v>
      </c>
      <c r="BD12" s="1033">
        <f>VLOOKUP(BA12,Düngemittel!$B$6:$E$64,2,FALSE)*BB12</f>
        <v>0</v>
      </c>
      <c r="BE12" s="1033">
        <f>VLOOKUP(BA12,Düngemittel!$B$6:$E$64,4,FALSE)*BB12</f>
        <v>0</v>
      </c>
      <c r="BF12" s="1251"/>
      <c r="BG12" s="1812">
        <f t="shared" si="17"/>
        <v>0</v>
      </c>
      <c r="BH12" s="1277">
        <f t="shared" si="18"/>
        <v>0</v>
      </c>
      <c r="BI12" s="1812">
        <f t="shared" si="18"/>
        <v>0</v>
      </c>
      <c r="BJ12" s="1138">
        <f t="shared" si="19"/>
        <v>0</v>
      </c>
      <c r="BK12" s="1277">
        <f t="shared" si="20"/>
        <v>0</v>
      </c>
      <c r="BL12" s="95"/>
      <c r="BM12" s="1810">
        <f t="shared" si="21"/>
        <v>0</v>
      </c>
      <c r="BN12" s="1135">
        <f t="shared" si="22"/>
        <v>0</v>
      </c>
      <c r="BO12" s="1810">
        <f t="shared" si="23"/>
        <v>0</v>
      </c>
      <c r="BP12" s="1807">
        <f t="shared" si="24"/>
        <v>0</v>
      </c>
      <c r="BQ12" s="1135">
        <f t="shared" si="25"/>
        <v>0</v>
      </c>
      <c r="BR12" s="1251"/>
      <c r="BS12" s="1251"/>
      <c r="BT12" s="528">
        <f t="shared" si="13"/>
        <v>0</v>
      </c>
      <c r="BU12" s="528">
        <f t="shared" si="14"/>
        <v>0</v>
      </c>
      <c r="BW12" s="748" t="s">
        <v>683</v>
      </c>
      <c r="BX12" s="748">
        <v>350</v>
      </c>
      <c r="BY12" s="748">
        <v>190</v>
      </c>
      <c r="BZ12" s="748">
        <v>0.2</v>
      </c>
      <c r="CA12" s="748">
        <v>0.3</v>
      </c>
      <c r="CB12" s="808">
        <v>90</v>
      </c>
      <c r="CC12" s="749">
        <v>0.28000000000000003</v>
      </c>
      <c r="CD12" s="480">
        <f t="shared" si="0"/>
        <v>98.000000000000014</v>
      </c>
      <c r="CE12" s="126"/>
      <c r="CF12" s="969"/>
    </row>
    <row r="13" spans="1:85" ht="26.25" customHeight="1">
      <c r="A13" s="468">
        <v>6</v>
      </c>
      <c r="B13" s="1699">
        <v>0</v>
      </c>
      <c r="C13" s="1425" t="s">
        <v>31</v>
      </c>
      <c r="D13" s="1427">
        <f t="shared" si="1"/>
        <v>0</v>
      </c>
      <c r="E13" s="584">
        <f t="shared" si="2"/>
        <v>0</v>
      </c>
      <c r="F13" s="1690">
        <v>0</v>
      </c>
      <c r="G13" s="570">
        <f t="shared" si="3"/>
        <v>0</v>
      </c>
      <c r="H13" s="761" t="s">
        <v>503</v>
      </c>
      <c r="I13" s="584">
        <f t="shared" si="4"/>
        <v>0</v>
      </c>
      <c r="J13" s="587" t="s">
        <v>31</v>
      </c>
      <c r="K13" s="765">
        <f t="shared" si="5"/>
        <v>0</v>
      </c>
      <c r="L13" s="565">
        <f t="shared" si="6"/>
        <v>0</v>
      </c>
      <c r="M13" s="1693">
        <v>0</v>
      </c>
      <c r="N13" s="609" t="s">
        <v>160</v>
      </c>
      <c r="O13" s="584">
        <f t="shared" si="7"/>
        <v>0</v>
      </c>
      <c r="P13" s="1696">
        <v>0</v>
      </c>
      <c r="Q13" s="1894">
        <f t="shared" si="15"/>
        <v>0</v>
      </c>
      <c r="R13" s="2371">
        <f t="shared" si="16"/>
        <v>0</v>
      </c>
      <c r="S13" s="2367">
        <f t="shared" si="8"/>
        <v>0</v>
      </c>
      <c r="T13" s="592">
        <f t="shared" si="9"/>
        <v>0</v>
      </c>
      <c r="U13" s="1251"/>
      <c r="V13" s="1281">
        <f t="shared" si="10"/>
        <v>6</v>
      </c>
      <c r="W13" s="1281" t="str">
        <f t="shared" si="11"/>
        <v>keine</v>
      </c>
      <c r="X13" s="1329"/>
      <c r="Y13" s="1330" t="s">
        <v>795</v>
      </c>
      <c r="Z13" s="1424">
        <v>0</v>
      </c>
      <c r="AA13" s="1033">
        <f>VLOOKUP(Y13,Düngemittel!$B$6:$E$64,2,FALSE)*(VLOOKUP(Y13,Düngemittel!$B$6:$E$64,3,FALSE))/100*Z13</f>
        <v>0</v>
      </c>
      <c r="AB13" s="1033">
        <f>VLOOKUP(Y13,Düngemittel!$B$6:$E$64,2,FALSE)*Z13</f>
        <v>0</v>
      </c>
      <c r="AC13" s="1033">
        <f>VLOOKUP(Y13,Düngemittel!$B$6:$E$64,4,FALSE)*Z13</f>
        <v>0</v>
      </c>
      <c r="AD13" s="2081"/>
      <c r="AE13" s="1329"/>
      <c r="AF13" s="1330" t="s">
        <v>795</v>
      </c>
      <c r="AG13" s="1424">
        <v>0</v>
      </c>
      <c r="AH13" s="1033">
        <f>VLOOKUP(AF13,Düngemittel!$B$6:$E$64,2,FALSE)*(VLOOKUP(AF13,Düngemittel!$B$6:$E$64,3,FALSE))/100*AG13</f>
        <v>0</v>
      </c>
      <c r="AI13" s="1033">
        <f>VLOOKUP(AF13,Düngemittel!$B$6:$E$64,2,FALSE)*AG13</f>
        <v>0</v>
      </c>
      <c r="AJ13" s="1033">
        <f>VLOOKUP(AF13,Düngemittel!$B$6:$E$64,4,FALSE)*AG13</f>
        <v>0</v>
      </c>
      <c r="AK13" s="2081"/>
      <c r="AL13" s="1329"/>
      <c r="AM13" s="1330" t="s">
        <v>795</v>
      </c>
      <c r="AN13" s="1424">
        <v>0</v>
      </c>
      <c r="AO13" s="1033">
        <f>VLOOKUP(AM13,Düngemittel!$B$6:$E$64,2,FALSE)*(VLOOKUP(AM13,Düngemittel!$B$6:$E$64,3,FALSE))/100*AN13</f>
        <v>0</v>
      </c>
      <c r="AP13" s="1033">
        <f>VLOOKUP(AM13,Düngemittel!$B$6:$E$64,2,FALSE)*AN13</f>
        <v>0</v>
      </c>
      <c r="AQ13" s="1033">
        <f>VLOOKUP(AM13,Düngemittel!$B$6:$E$64,4,FALSE)*AN13</f>
        <v>0</v>
      </c>
      <c r="AR13" s="2081"/>
      <c r="AS13" s="1329"/>
      <c r="AT13" s="1330" t="s">
        <v>795</v>
      </c>
      <c r="AU13" s="1424">
        <v>0</v>
      </c>
      <c r="AV13" s="1033">
        <f>VLOOKUP(AT13,Düngemittel!$B$6:$E$64,2,FALSE)*(VLOOKUP(AT13,Düngemittel!$B$6:$E$64,3,FALSE))/100*AU13</f>
        <v>0</v>
      </c>
      <c r="AW13" s="1033">
        <f>VLOOKUP(AT13,Düngemittel!$B$6:$E$64,2,FALSE)*AU13</f>
        <v>0</v>
      </c>
      <c r="AX13" s="1033">
        <f>VLOOKUP(AT13,Düngemittel!$B$6:$E$64,4,FALSE)*AU13</f>
        <v>0</v>
      </c>
      <c r="AY13" s="2081"/>
      <c r="AZ13" s="1329"/>
      <c r="BA13" s="1330" t="s">
        <v>795</v>
      </c>
      <c r="BB13" s="1424">
        <v>0</v>
      </c>
      <c r="BC13" s="1033">
        <f>VLOOKUP(BA13,Düngemittel!$B$6:$E$64,2,FALSE)*(VLOOKUP(BA13,Düngemittel!$B$6:$E$64,3,FALSE))/100*BB13</f>
        <v>0</v>
      </c>
      <c r="BD13" s="1033">
        <f>VLOOKUP(BA13,Düngemittel!$B$6:$E$64,2,FALSE)*BB13</f>
        <v>0</v>
      </c>
      <c r="BE13" s="1033">
        <f>VLOOKUP(BA13,Düngemittel!$B$6:$E$64,4,FALSE)*BB13</f>
        <v>0</v>
      </c>
      <c r="BF13" s="1251"/>
      <c r="BG13" s="1812">
        <f t="shared" si="17"/>
        <v>0</v>
      </c>
      <c r="BH13" s="1277">
        <f t="shared" si="18"/>
        <v>0</v>
      </c>
      <c r="BI13" s="1812">
        <f t="shared" si="18"/>
        <v>0</v>
      </c>
      <c r="BJ13" s="1138">
        <f t="shared" si="19"/>
        <v>0</v>
      </c>
      <c r="BK13" s="1277">
        <f t="shared" si="20"/>
        <v>0</v>
      </c>
      <c r="BL13" s="95"/>
      <c r="BM13" s="1810">
        <f t="shared" si="21"/>
        <v>0</v>
      </c>
      <c r="BN13" s="1135">
        <f t="shared" si="22"/>
        <v>0</v>
      </c>
      <c r="BO13" s="1810">
        <f t="shared" si="23"/>
        <v>0</v>
      </c>
      <c r="BP13" s="1807">
        <f t="shared" si="24"/>
        <v>0</v>
      </c>
      <c r="BQ13" s="1135">
        <f t="shared" si="25"/>
        <v>0</v>
      </c>
      <c r="BR13" s="1251"/>
      <c r="BS13" s="1251"/>
      <c r="BT13" s="528">
        <f t="shared" si="13"/>
        <v>0</v>
      </c>
      <c r="BU13" s="528">
        <f t="shared" si="14"/>
        <v>0</v>
      </c>
      <c r="BW13" s="748" t="s">
        <v>684</v>
      </c>
      <c r="BX13" s="748">
        <v>350</v>
      </c>
      <c r="BY13" s="748">
        <v>100</v>
      </c>
      <c r="BZ13" s="748">
        <v>0.2</v>
      </c>
      <c r="CA13" s="748">
        <v>0.3</v>
      </c>
      <c r="CB13" s="808">
        <v>60</v>
      </c>
      <c r="CC13" s="749">
        <v>0.15</v>
      </c>
      <c r="CD13" s="480">
        <f t="shared" si="0"/>
        <v>52.5</v>
      </c>
      <c r="CE13" s="126"/>
      <c r="CF13" s="969"/>
    </row>
    <row r="14" spans="1:85" ht="26.25" customHeight="1">
      <c r="A14" s="468">
        <v>7</v>
      </c>
      <c r="B14" s="1699">
        <v>0</v>
      </c>
      <c r="C14" s="759" t="s">
        <v>31</v>
      </c>
      <c r="D14" s="1427">
        <f t="shared" si="1"/>
        <v>0</v>
      </c>
      <c r="E14" s="584">
        <f t="shared" si="2"/>
        <v>0</v>
      </c>
      <c r="F14" s="1690">
        <v>0</v>
      </c>
      <c r="G14" s="570">
        <f t="shared" si="3"/>
        <v>0</v>
      </c>
      <c r="H14" s="761" t="s">
        <v>503</v>
      </c>
      <c r="I14" s="584">
        <f t="shared" si="4"/>
        <v>0</v>
      </c>
      <c r="J14" s="587" t="s">
        <v>31</v>
      </c>
      <c r="K14" s="765">
        <f t="shared" si="5"/>
        <v>0</v>
      </c>
      <c r="L14" s="565">
        <f t="shared" si="6"/>
        <v>0</v>
      </c>
      <c r="M14" s="1693">
        <v>0</v>
      </c>
      <c r="N14" s="609" t="s">
        <v>160</v>
      </c>
      <c r="O14" s="584">
        <f t="shared" si="7"/>
        <v>0</v>
      </c>
      <c r="P14" s="1696">
        <v>0</v>
      </c>
      <c r="Q14" s="1894">
        <f t="shared" si="15"/>
        <v>0</v>
      </c>
      <c r="R14" s="2371">
        <f t="shared" si="16"/>
        <v>0</v>
      </c>
      <c r="S14" s="2367">
        <f t="shared" si="8"/>
        <v>0</v>
      </c>
      <c r="T14" s="592">
        <f t="shared" si="9"/>
        <v>0</v>
      </c>
      <c r="U14" s="1251"/>
      <c r="V14" s="1281">
        <f t="shared" si="10"/>
        <v>7</v>
      </c>
      <c r="W14" s="1281" t="str">
        <f t="shared" si="11"/>
        <v>keine</v>
      </c>
      <c r="X14" s="1329"/>
      <c r="Y14" s="1330" t="s">
        <v>795</v>
      </c>
      <c r="Z14" s="1424">
        <v>0</v>
      </c>
      <c r="AA14" s="1033">
        <f>VLOOKUP(Y14,Düngemittel!$B$6:$E$64,2,FALSE)*(VLOOKUP(Y14,Düngemittel!$B$6:$E$64,3,FALSE))/100*Z14</f>
        <v>0</v>
      </c>
      <c r="AB14" s="1033">
        <f>VLOOKUP(Y14,Düngemittel!$B$6:$E$64,2,FALSE)*Z14</f>
        <v>0</v>
      </c>
      <c r="AC14" s="1033">
        <f>VLOOKUP(Y14,Düngemittel!$B$6:$E$64,4,FALSE)*Z14</f>
        <v>0</v>
      </c>
      <c r="AD14" s="2081"/>
      <c r="AE14" s="1329"/>
      <c r="AF14" s="1330" t="s">
        <v>795</v>
      </c>
      <c r="AG14" s="1424">
        <v>0</v>
      </c>
      <c r="AH14" s="1033">
        <f>VLOOKUP(AF14,Düngemittel!$B$6:$E$64,2,FALSE)*(VLOOKUP(AF14,Düngemittel!$B$6:$E$64,3,FALSE))/100*AG14</f>
        <v>0</v>
      </c>
      <c r="AI14" s="1033">
        <f>VLOOKUP(AF14,Düngemittel!$B$6:$E$64,2,FALSE)*AG14</f>
        <v>0</v>
      </c>
      <c r="AJ14" s="1033">
        <f>VLOOKUP(AF14,Düngemittel!$B$6:$E$64,4,FALSE)*AG14</f>
        <v>0</v>
      </c>
      <c r="AK14" s="2081"/>
      <c r="AL14" s="1329"/>
      <c r="AM14" s="1330" t="s">
        <v>795</v>
      </c>
      <c r="AN14" s="1424">
        <v>0</v>
      </c>
      <c r="AO14" s="1033">
        <f>VLOOKUP(AM14,Düngemittel!$B$6:$E$64,2,FALSE)*(VLOOKUP(AM14,Düngemittel!$B$6:$E$64,3,FALSE))/100*AN14</f>
        <v>0</v>
      </c>
      <c r="AP14" s="1033">
        <f>VLOOKUP(AM14,Düngemittel!$B$6:$E$64,2,FALSE)*AN14</f>
        <v>0</v>
      </c>
      <c r="AQ14" s="1033">
        <f>VLOOKUP(AM14,Düngemittel!$B$6:$E$64,4,FALSE)*AN14</f>
        <v>0</v>
      </c>
      <c r="AR14" s="2081"/>
      <c r="AS14" s="1329"/>
      <c r="AT14" s="1330" t="s">
        <v>795</v>
      </c>
      <c r="AU14" s="1424">
        <v>0</v>
      </c>
      <c r="AV14" s="1033">
        <f>VLOOKUP(AT14,Düngemittel!$B$6:$E$64,2,FALSE)*(VLOOKUP(AT14,Düngemittel!$B$6:$E$64,3,FALSE))/100*AU14</f>
        <v>0</v>
      </c>
      <c r="AW14" s="1033">
        <f>VLOOKUP(AT14,Düngemittel!$B$6:$E$64,2,FALSE)*AU14</f>
        <v>0</v>
      </c>
      <c r="AX14" s="1033">
        <f>VLOOKUP(AT14,Düngemittel!$B$6:$E$64,4,FALSE)*AU14</f>
        <v>0</v>
      </c>
      <c r="AY14" s="2081"/>
      <c r="AZ14" s="1329"/>
      <c r="BA14" s="1330" t="s">
        <v>795</v>
      </c>
      <c r="BB14" s="1424">
        <v>0</v>
      </c>
      <c r="BC14" s="1033">
        <f>VLOOKUP(BA14,Düngemittel!$B$6:$E$64,2,FALSE)*(VLOOKUP(BA14,Düngemittel!$B$6:$E$64,3,FALSE))/100*BB14</f>
        <v>0</v>
      </c>
      <c r="BD14" s="1033">
        <f>VLOOKUP(BA14,Düngemittel!$B$6:$E$64,2,FALSE)*BB14</f>
        <v>0</v>
      </c>
      <c r="BE14" s="1033">
        <f>VLOOKUP(BA14,Düngemittel!$B$6:$E$64,4,FALSE)*BB14</f>
        <v>0</v>
      </c>
      <c r="BF14" s="1251"/>
      <c r="BG14" s="1812">
        <f t="shared" si="17"/>
        <v>0</v>
      </c>
      <c r="BH14" s="1277">
        <f t="shared" si="18"/>
        <v>0</v>
      </c>
      <c r="BI14" s="1812">
        <f t="shared" si="18"/>
        <v>0</v>
      </c>
      <c r="BJ14" s="1138">
        <f t="shared" si="19"/>
        <v>0</v>
      </c>
      <c r="BK14" s="1277">
        <f t="shared" si="20"/>
        <v>0</v>
      </c>
      <c r="BL14" s="95"/>
      <c r="BM14" s="1810">
        <f t="shared" si="21"/>
        <v>0</v>
      </c>
      <c r="BN14" s="1135">
        <f t="shared" si="22"/>
        <v>0</v>
      </c>
      <c r="BO14" s="1810">
        <f t="shared" si="23"/>
        <v>0</v>
      </c>
      <c r="BP14" s="1807">
        <f t="shared" si="24"/>
        <v>0</v>
      </c>
      <c r="BQ14" s="1135">
        <f t="shared" si="25"/>
        <v>0</v>
      </c>
      <c r="BR14" s="1251"/>
      <c r="BS14" s="1251"/>
      <c r="BT14" s="528">
        <f t="shared" si="13"/>
        <v>0</v>
      </c>
      <c r="BU14" s="528">
        <f t="shared" si="14"/>
        <v>0</v>
      </c>
      <c r="BW14" s="748" t="s">
        <v>685</v>
      </c>
      <c r="BX14" s="748">
        <v>350</v>
      </c>
      <c r="BY14" s="748">
        <v>180</v>
      </c>
      <c r="BZ14" s="748">
        <v>0.2</v>
      </c>
      <c r="CA14" s="748">
        <v>0.3</v>
      </c>
      <c r="CB14" s="808">
        <v>60</v>
      </c>
      <c r="CC14" s="749">
        <v>0.15</v>
      </c>
      <c r="CD14" s="480">
        <f t="shared" si="0"/>
        <v>52.5</v>
      </c>
      <c r="CE14" s="126"/>
      <c r="CF14"/>
    </row>
    <row r="15" spans="1:85" ht="26.25" customHeight="1">
      <c r="A15" s="468">
        <v>8</v>
      </c>
      <c r="B15" s="1699">
        <v>0</v>
      </c>
      <c r="C15" s="759" t="s">
        <v>31</v>
      </c>
      <c r="D15" s="1427">
        <f t="shared" si="1"/>
        <v>0</v>
      </c>
      <c r="E15" s="584">
        <f t="shared" si="2"/>
        <v>0</v>
      </c>
      <c r="F15" s="1690">
        <v>0</v>
      </c>
      <c r="G15" s="570">
        <f t="shared" si="3"/>
        <v>0</v>
      </c>
      <c r="H15" s="761" t="s">
        <v>503</v>
      </c>
      <c r="I15" s="584">
        <f t="shared" si="4"/>
        <v>0</v>
      </c>
      <c r="J15" s="587" t="s">
        <v>31</v>
      </c>
      <c r="K15" s="765">
        <f t="shared" si="5"/>
        <v>0</v>
      </c>
      <c r="L15" s="565">
        <f t="shared" si="6"/>
        <v>0</v>
      </c>
      <c r="M15" s="1693">
        <v>0</v>
      </c>
      <c r="N15" s="609" t="s">
        <v>160</v>
      </c>
      <c r="O15" s="584">
        <f t="shared" si="7"/>
        <v>0</v>
      </c>
      <c r="P15" s="1696">
        <v>0</v>
      </c>
      <c r="Q15" s="1894">
        <f t="shared" si="15"/>
        <v>0</v>
      </c>
      <c r="R15" s="2371">
        <f t="shared" si="16"/>
        <v>0</v>
      </c>
      <c r="S15" s="2367">
        <f t="shared" si="8"/>
        <v>0</v>
      </c>
      <c r="T15" s="592">
        <f t="shared" si="9"/>
        <v>0</v>
      </c>
      <c r="U15" s="1251"/>
      <c r="V15" s="1281">
        <f t="shared" si="10"/>
        <v>8</v>
      </c>
      <c r="W15" s="1281" t="str">
        <f t="shared" si="11"/>
        <v>keine</v>
      </c>
      <c r="X15" s="1329"/>
      <c r="Y15" s="1330" t="s">
        <v>795</v>
      </c>
      <c r="Z15" s="1424">
        <v>0</v>
      </c>
      <c r="AA15" s="1033">
        <f>VLOOKUP(Y15,Düngemittel!$B$6:$E$64,2,FALSE)*(VLOOKUP(Y15,Düngemittel!$B$6:$E$64,3,FALSE))/100*Z15</f>
        <v>0</v>
      </c>
      <c r="AB15" s="1033">
        <f>VLOOKUP(Y15,Düngemittel!$B$6:$E$64,2,FALSE)*Z15</f>
        <v>0</v>
      </c>
      <c r="AC15" s="1033">
        <f>VLOOKUP(Y15,Düngemittel!$B$6:$E$64,4,FALSE)*Z15</f>
        <v>0</v>
      </c>
      <c r="AD15" s="2081"/>
      <c r="AE15" s="1329"/>
      <c r="AF15" s="1330" t="s">
        <v>795</v>
      </c>
      <c r="AG15" s="1424">
        <v>0</v>
      </c>
      <c r="AH15" s="1033">
        <f>VLOOKUP(AF15,Düngemittel!$B$6:$E$64,2,FALSE)*(VLOOKUP(AF15,Düngemittel!$B$6:$E$64,3,FALSE))/100*AG15</f>
        <v>0</v>
      </c>
      <c r="AI15" s="1033">
        <f>VLOOKUP(AF15,Düngemittel!$B$6:$E$64,2,FALSE)*AG15</f>
        <v>0</v>
      </c>
      <c r="AJ15" s="1033">
        <f>VLOOKUP(AF15,Düngemittel!$B$6:$E$64,4,FALSE)*AG15</f>
        <v>0</v>
      </c>
      <c r="AK15" s="2081"/>
      <c r="AL15" s="1329"/>
      <c r="AM15" s="1330" t="s">
        <v>795</v>
      </c>
      <c r="AN15" s="1424">
        <v>0</v>
      </c>
      <c r="AO15" s="1033">
        <f>VLOOKUP(AM15,Düngemittel!$B$6:$E$64,2,FALSE)*(VLOOKUP(AM15,Düngemittel!$B$6:$E$64,3,FALSE))/100*AN15</f>
        <v>0</v>
      </c>
      <c r="AP15" s="1033">
        <f>VLOOKUP(AM15,Düngemittel!$B$6:$E$64,2,FALSE)*AN15</f>
        <v>0</v>
      </c>
      <c r="AQ15" s="1033">
        <f>VLOOKUP(AM15,Düngemittel!$B$6:$E$64,4,FALSE)*AN15</f>
        <v>0</v>
      </c>
      <c r="AR15" s="2081"/>
      <c r="AS15" s="1329"/>
      <c r="AT15" s="1330" t="s">
        <v>795</v>
      </c>
      <c r="AU15" s="1424">
        <v>0</v>
      </c>
      <c r="AV15" s="1033">
        <f>VLOOKUP(AT15,Düngemittel!$B$6:$E$64,2,FALSE)*(VLOOKUP(AT15,Düngemittel!$B$6:$E$64,3,FALSE))/100*AU15</f>
        <v>0</v>
      </c>
      <c r="AW15" s="1033">
        <f>VLOOKUP(AT15,Düngemittel!$B$6:$E$64,2,FALSE)*AU15</f>
        <v>0</v>
      </c>
      <c r="AX15" s="1033">
        <f>VLOOKUP(AT15,Düngemittel!$B$6:$E$64,4,FALSE)*AU15</f>
        <v>0</v>
      </c>
      <c r="AY15" s="2081"/>
      <c r="AZ15" s="1329"/>
      <c r="BA15" s="1330" t="s">
        <v>795</v>
      </c>
      <c r="BB15" s="1424">
        <v>0</v>
      </c>
      <c r="BC15" s="1033">
        <f>VLOOKUP(BA15,Düngemittel!$B$6:$E$64,2,FALSE)*(VLOOKUP(BA15,Düngemittel!$B$6:$E$64,3,FALSE))/100*BB15</f>
        <v>0</v>
      </c>
      <c r="BD15" s="1033">
        <f>VLOOKUP(BA15,Düngemittel!$B$6:$E$64,2,FALSE)*BB15</f>
        <v>0</v>
      </c>
      <c r="BE15" s="1033">
        <f>VLOOKUP(BA15,Düngemittel!$B$6:$E$64,4,FALSE)*BB15</f>
        <v>0</v>
      </c>
      <c r="BF15" s="1251"/>
      <c r="BG15" s="1812">
        <f t="shared" si="17"/>
        <v>0</v>
      </c>
      <c r="BH15" s="1277">
        <f t="shared" si="18"/>
        <v>0</v>
      </c>
      <c r="BI15" s="1812">
        <f t="shared" si="18"/>
        <v>0</v>
      </c>
      <c r="BJ15" s="1138">
        <f t="shared" si="19"/>
        <v>0</v>
      </c>
      <c r="BK15" s="1277">
        <f t="shared" si="20"/>
        <v>0</v>
      </c>
      <c r="BL15" s="95"/>
      <c r="BM15" s="1810">
        <f t="shared" si="21"/>
        <v>0</v>
      </c>
      <c r="BN15" s="1135">
        <f t="shared" si="22"/>
        <v>0</v>
      </c>
      <c r="BO15" s="1810">
        <f t="shared" si="23"/>
        <v>0</v>
      </c>
      <c r="BP15" s="1807">
        <f t="shared" si="24"/>
        <v>0</v>
      </c>
      <c r="BQ15" s="1135">
        <f t="shared" si="25"/>
        <v>0</v>
      </c>
      <c r="BR15" s="1251"/>
      <c r="BS15" s="1251"/>
      <c r="BT15" s="528">
        <f t="shared" si="13"/>
        <v>0</v>
      </c>
      <c r="BU15" s="528">
        <f t="shared" si="14"/>
        <v>0</v>
      </c>
      <c r="BW15" s="280" t="s">
        <v>692</v>
      </c>
      <c r="BX15" s="280">
        <v>650</v>
      </c>
      <c r="BY15" s="753">
        <v>190</v>
      </c>
      <c r="BZ15" s="754">
        <v>0.2</v>
      </c>
      <c r="CA15" s="754">
        <v>0.24</v>
      </c>
      <c r="CB15" s="806">
        <v>90</v>
      </c>
      <c r="CC15" s="749">
        <v>0.09</v>
      </c>
      <c r="CD15" s="480">
        <f t="shared" si="0"/>
        <v>58.5</v>
      </c>
    </row>
    <row r="16" spans="1:85" ht="26.25" customHeight="1">
      <c r="A16" s="468">
        <v>9</v>
      </c>
      <c r="B16" s="1699">
        <v>0</v>
      </c>
      <c r="C16" s="759" t="s">
        <v>31</v>
      </c>
      <c r="D16" s="1427">
        <f t="shared" si="1"/>
        <v>0</v>
      </c>
      <c r="E16" s="584">
        <f t="shared" si="2"/>
        <v>0</v>
      </c>
      <c r="F16" s="1690">
        <v>0</v>
      </c>
      <c r="G16" s="570">
        <f t="shared" si="3"/>
        <v>0</v>
      </c>
      <c r="H16" s="761" t="s">
        <v>503</v>
      </c>
      <c r="I16" s="584">
        <f t="shared" si="4"/>
        <v>0</v>
      </c>
      <c r="J16" s="587" t="s">
        <v>31</v>
      </c>
      <c r="K16" s="765">
        <f t="shared" si="5"/>
        <v>0</v>
      </c>
      <c r="L16" s="565">
        <f t="shared" si="6"/>
        <v>0</v>
      </c>
      <c r="M16" s="1693">
        <v>0</v>
      </c>
      <c r="N16" s="609" t="s">
        <v>160</v>
      </c>
      <c r="O16" s="584">
        <f t="shared" si="7"/>
        <v>0</v>
      </c>
      <c r="P16" s="1696">
        <v>0</v>
      </c>
      <c r="Q16" s="1894">
        <f t="shared" si="15"/>
        <v>0</v>
      </c>
      <c r="R16" s="2371">
        <f t="shared" si="16"/>
        <v>0</v>
      </c>
      <c r="S16" s="2367">
        <f t="shared" si="8"/>
        <v>0</v>
      </c>
      <c r="T16" s="592">
        <f t="shared" si="9"/>
        <v>0</v>
      </c>
      <c r="U16" s="1251"/>
      <c r="V16" s="1281">
        <f t="shared" si="10"/>
        <v>9</v>
      </c>
      <c r="W16" s="1281" t="str">
        <f t="shared" si="11"/>
        <v>keine</v>
      </c>
      <c r="X16" s="1329"/>
      <c r="Y16" s="1330" t="s">
        <v>795</v>
      </c>
      <c r="Z16" s="1424">
        <v>0</v>
      </c>
      <c r="AA16" s="1033">
        <f>VLOOKUP(Y16,Düngemittel!$B$6:$E$64,2,FALSE)*(VLOOKUP(Y16,Düngemittel!$B$6:$E$64,3,FALSE))/100*Z16</f>
        <v>0</v>
      </c>
      <c r="AB16" s="1033">
        <f>VLOOKUP(Y16,Düngemittel!$B$6:$E$64,2,FALSE)*Z16</f>
        <v>0</v>
      </c>
      <c r="AC16" s="1033">
        <f>VLOOKUP(Y16,Düngemittel!$B$6:$E$64,4,FALSE)*Z16</f>
        <v>0</v>
      </c>
      <c r="AD16" s="2081"/>
      <c r="AE16" s="1329"/>
      <c r="AF16" s="1330" t="s">
        <v>795</v>
      </c>
      <c r="AG16" s="1424">
        <v>0</v>
      </c>
      <c r="AH16" s="1033">
        <f>VLOOKUP(AF16,Düngemittel!$B$6:$E$64,2,FALSE)*(VLOOKUP(AF16,Düngemittel!$B$6:$E$64,3,FALSE))/100*AG16</f>
        <v>0</v>
      </c>
      <c r="AI16" s="1033">
        <f>VLOOKUP(AF16,Düngemittel!$B$6:$E$64,2,FALSE)*AG16</f>
        <v>0</v>
      </c>
      <c r="AJ16" s="1033">
        <f>VLOOKUP(AF16,Düngemittel!$B$6:$E$64,4,FALSE)*AG16</f>
        <v>0</v>
      </c>
      <c r="AK16" s="2081"/>
      <c r="AL16" s="1329"/>
      <c r="AM16" s="1330" t="s">
        <v>795</v>
      </c>
      <c r="AN16" s="1424">
        <v>0</v>
      </c>
      <c r="AO16" s="1033">
        <f>VLOOKUP(AM16,Düngemittel!$B$6:$E$64,2,FALSE)*(VLOOKUP(AM16,Düngemittel!$B$6:$E$64,3,FALSE))/100*AN16</f>
        <v>0</v>
      </c>
      <c r="AP16" s="1033">
        <f>VLOOKUP(AM16,Düngemittel!$B$6:$E$64,2,FALSE)*AN16</f>
        <v>0</v>
      </c>
      <c r="AQ16" s="1033">
        <f>VLOOKUP(AM16,Düngemittel!$B$6:$E$64,4,FALSE)*AN16</f>
        <v>0</v>
      </c>
      <c r="AR16" s="2081"/>
      <c r="AS16" s="1329"/>
      <c r="AT16" s="1330" t="s">
        <v>795</v>
      </c>
      <c r="AU16" s="1424">
        <v>0</v>
      </c>
      <c r="AV16" s="1033">
        <f>VLOOKUP(AT16,Düngemittel!$B$6:$E$64,2,FALSE)*(VLOOKUP(AT16,Düngemittel!$B$6:$E$64,3,FALSE))/100*AU16</f>
        <v>0</v>
      </c>
      <c r="AW16" s="1033">
        <f>VLOOKUP(AT16,Düngemittel!$B$6:$E$64,2,FALSE)*AU16</f>
        <v>0</v>
      </c>
      <c r="AX16" s="1033">
        <f>VLOOKUP(AT16,Düngemittel!$B$6:$E$64,4,FALSE)*AU16</f>
        <v>0</v>
      </c>
      <c r="AY16" s="2081"/>
      <c r="AZ16" s="1329"/>
      <c r="BA16" s="1330" t="s">
        <v>795</v>
      </c>
      <c r="BB16" s="1424">
        <v>0</v>
      </c>
      <c r="BC16" s="1033">
        <f>VLOOKUP(BA16,Düngemittel!$B$6:$E$64,2,FALSE)*(VLOOKUP(BA16,Düngemittel!$B$6:$E$64,3,FALSE))/100*BB16</f>
        <v>0</v>
      </c>
      <c r="BD16" s="1033">
        <f>VLOOKUP(BA16,Düngemittel!$B$6:$E$64,2,FALSE)*BB16</f>
        <v>0</v>
      </c>
      <c r="BE16" s="1033">
        <f>VLOOKUP(BA16,Düngemittel!$B$6:$E$64,4,FALSE)*BB16</f>
        <v>0</v>
      </c>
      <c r="BF16" s="1251"/>
      <c r="BG16" s="1812">
        <f t="shared" si="17"/>
        <v>0</v>
      </c>
      <c r="BH16" s="1277">
        <f t="shared" si="18"/>
        <v>0</v>
      </c>
      <c r="BI16" s="1812">
        <f t="shared" si="18"/>
        <v>0</v>
      </c>
      <c r="BJ16" s="1138">
        <f t="shared" si="19"/>
        <v>0</v>
      </c>
      <c r="BK16" s="1277">
        <f t="shared" si="20"/>
        <v>0</v>
      </c>
      <c r="BL16" s="95"/>
      <c r="BM16" s="1810">
        <f t="shared" si="21"/>
        <v>0</v>
      </c>
      <c r="BN16" s="1135">
        <f t="shared" si="22"/>
        <v>0</v>
      </c>
      <c r="BO16" s="1810">
        <f t="shared" si="23"/>
        <v>0</v>
      </c>
      <c r="BP16" s="1807">
        <f t="shared" si="24"/>
        <v>0</v>
      </c>
      <c r="BQ16" s="1135">
        <f t="shared" si="25"/>
        <v>0</v>
      </c>
      <c r="BR16" s="1251"/>
      <c r="BS16" s="1251"/>
      <c r="BT16" s="528">
        <f t="shared" si="13"/>
        <v>0</v>
      </c>
      <c r="BU16" s="528">
        <f t="shared" si="14"/>
        <v>0</v>
      </c>
      <c r="BW16" s="279" t="s">
        <v>16</v>
      </c>
      <c r="BX16" s="279">
        <v>55</v>
      </c>
      <c r="BY16" s="279">
        <v>130</v>
      </c>
      <c r="BZ16" s="279">
        <v>1</v>
      </c>
      <c r="CA16" s="279">
        <v>1.5</v>
      </c>
      <c r="CB16" s="808">
        <v>60</v>
      </c>
      <c r="CC16" s="749">
        <v>0.8</v>
      </c>
      <c r="CD16" s="480">
        <f>BX16*CC16</f>
        <v>44</v>
      </c>
      <c r="CE16" s="173"/>
      <c r="CF16" s="969"/>
    </row>
    <row r="17" spans="1:84" ht="26.25" customHeight="1">
      <c r="A17" s="468">
        <v>10</v>
      </c>
      <c r="B17" s="1699">
        <v>0</v>
      </c>
      <c r="C17" s="759" t="s">
        <v>31</v>
      </c>
      <c r="D17" s="1427">
        <f t="shared" si="1"/>
        <v>0</v>
      </c>
      <c r="E17" s="584">
        <f t="shared" si="2"/>
        <v>0</v>
      </c>
      <c r="F17" s="1690">
        <v>0</v>
      </c>
      <c r="G17" s="570">
        <f t="shared" si="3"/>
        <v>0</v>
      </c>
      <c r="H17" s="761" t="s">
        <v>503</v>
      </c>
      <c r="I17" s="584">
        <f t="shared" si="4"/>
        <v>0</v>
      </c>
      <c r="J17" s="587" t="s">
        <v>31</v>
      </c>
      <c r="K17" s="765">
        <f t="shared" si="5"/>
        <v>0</v>
      </c>
      <c r="L17" s="565">
        <f t="shared" si="6"/>
        <v>0</v>
      </c>
      <c r="M17" s="1693">
        <v>0</v>
      </c>
      <c r="N17" s="609" t="s">
        <v>160</v>
      </c>
      <c r="O17" s="584">
        <f t="shared" si="7"/>
        <v>0</v>
      </c>
      <c r="P17" s="1696">
        <v>0</v>
      </c>
      <c r="Q17" s="1894">
        <f t="shared" si="15"/>
        <v>0</v>
      </c>
      <c r="R17" s="2371">
        <f t="shared" si="16"/>
        <v>0</v>
      </c>
      <c r="S17" s="2367">
        <f t="shared" si="8"/>
        <v>0</v>
      </c>
      <c r="T17" s="592">
        <f t="shared" si="9"/>
        <v>0</v>
      </c>
      <c r="U17" s="1251"/>
      <c r="V17" s="1281">
        <f t="shared" si="10"/>
        <v>10</v>
      </c>
      <c r="W17" s="1281" t="str">
        <f t="shared" si="11"/>
        <v>keine</v>
      </c>
      <c r="X17" s="1329"/>
      <c r="Y17" s="1330" t="s">
        <v>795</v>
      </c>
      <c r="Z17" s="1424">
        <v>0</v>
      </c>
      <c r="AA17" s="1033">
        <f>VLOOKUP(Y17,Düngemittel!$B$6:$E$64,2,FALSE)*(VLOOKUP(Y17,Düngemittel!$B$6:$E$64,3,FALSE))/100*Z17</f>
        <v>0</v>
      </c>
      <c r="AB17" s="1033">
        <f>VLOOKUP(Y17,Düngemittel!$B$6:$E$64,2,FALSE)*Z17</f>
        <v>0</v>
      </c>
      <c r="AC17" s="1033">
        <f>VLOOKUP(Y17,Düngemittel!$B$6:$E$64,4,FALSE)*Z17</f>
        <v>0</v>
      </c>
      <c r="AD17" s="2081"/>
      <c r="AE17" s="1329"/>
      <c r="AF17" s="1330" t="s">
        <v>795</v>
      </c>
      <c r="AG17" s="1424">
        <v>0</v>
      </c>
      <c r="AH17" s="1033">
        <f>VLOOKUP(AF17,Düngemittel!$B$6:$E$64,2,FALSE)*(VLOOKUP(AF17,Düngemittel!$B$6:$E$64,3,FALSE))/100*AG17</f>
        <v>0</v>
      </c>
      <c r="AI17" s="1033">
        <f>VLOOKUP(AF17,Düngemittel!$B$6:$E$64,2,FALSE)*AG17</f>
        <v>0</v>
      </c>
      <c r="AJ17" s="1033">
        <f>VLOOKUP(AF17,Düngemittel!$B$6:$E$64,4,FALSE)*AG17</f>
        <v>0</v>
      </c>
      <c r="AK17" s="2081"/>
      <c r="AL17" s="1329"/>
      <c r="AM17" s="1330" t="s">
        <v>795</v>
      </c>
      <c r="AN17" s="1424">
        <v>0</v>
      </c>
      <c r="AO17" s="1033">
        <f>VLOOKUP(AM17,Düngemittel!$B$6:$E$64,2,FALSE)*(VLOOKUP(AM17,Düngemittel!$B$6:$E$64,3,FALSE))/100*AN17</f>
        <v>0</v>
      </c>
      <c r="AP17" s="1033">
        <f>VLOOKUP(AM17,Düngemittel!$B$6:$E$64,2,FALSE)*AN17</f>
        <v>0</v>
      </c>
      <c r="AQ17" s="1033">
        <f>VLOOKUP(AM17,Düngemittel!$B$6:$E$64,4,FALSE)*AN17</f>
        <v>0</v>
      </c>
      <c r="AR17" s="2081"/>
      <c r="AS17" s="1329"/>
      <c r="AT17" s="1330" t="s">
        <v>795</v>
      </c>
      <c r="AU17" s="1424">
        <v>0</v>
      </c>
      <c r="AV17" s="1033">
        <f>VLOOKUP(AT17,Düngemittel!$B$6:$E$64,2,FALSE)*(VLOOKUP(AT17,Düngemittel!$B$6:$E$64,3,FALSE))/100*AU17</f>
        <v>0</v>
      </c>
      <c r="AW17" s="1033">
        <f>VLOOKUP(AT17,Düngemittel!$B$6:$E$64,2,FALSE)*AU17</f>
        <v>0</v>
      </c>
      <c r="AX17" s="1033">
        <f>VLOOKUP(AT17,Düngemittel!$B$6:$E$64,4,FALSE)*AU17</f>
        <v>0</v>
      </c>
      <c r="AY17" s="2081"/>
      <c r="AZ17" s="1329"/>
      <c r="BA17" s="1330" t="s">
        <v>795</v>
      </c>
      <c r="BB17" s="1424">
        <v>0</v>
      </c>
      <c r="BC17" s="1033">
        <f>VLOOKUP(BA17,Düngemittel!$B$6:$E$64,2,FALSE)*(VLOOKUP(BA17,Düngemittel!$B$6:$E$64,3,FALSE))/100*BB17</f>
        <v>0</v>
      </c>
      <c r="BD17" s="1033">
        <f>VLOOKUP(BA17,Düngemittel!$B$6:$E$64,2,FALSE)*BB17</f>
        <v>0</v>
      </c>
      <c r="BE17" s="1033">
        <f>VLOOKUP(BA17,Düngemittel!$B$6:$E$64,4,FALSE)*BB17</f>
        <v>0</v>
      </c>
      <c r="BF17" s="1251"/>
      <c r="BG17" s="1812">
        <f t="shared" si="17"/>
        <v>0</v>
      </c>
      <c r="BH17" s="1277">
        <f t="shared" si="18"/>
        <v>0</v>
      </c>
      <c r="BI17" s="1812">
        <f t="shared" si="18"/>
        <v>0</v>
      </c>
      <c r="BJ17" s="1138">
        <f t="shared" si="19"/>
        <v>0</v>
      </c>
      <c r="BK17" s="1277">
        <f t="shared" si="20"/>
        <v>0</v>
      </c>
      <c r="BL17" s="95"/>
      <c r="BM17" s="1810">
        <f t="shared" si="21"/>
        <v>0</v>
      </c>
      <c r="BN17" s="1135">
        <f t="shared" si="22"/>
        <v>0</v>
      </c>
      <c r="BO17" s="1810">
        <f t="shared" si="23"/>
        <v>0</v>
      </c>
      <c r="BP17" s="1807">
        <f t="shared" si="24"/>
        <v>0</v>
      </c>
      <c r="BQ17" s="1135">
        <f t="shared" si="25"/>
        <v>0</v>
      </c>
      <c r="BR17" s="1251"/>
      <c r="BS17" s="1251"/>
      <c r="BT17" s="528">
        <f t="shared" si="13"/>
        <v>0</v>
      </c>
      <c r="BU17" s="528">
        <f t="shared" si="14"/>
        <v>0</v>
      </c>
      <c r="BW17" s="735" t="s">
        <v>759</v>
      </c>
      <c r="BX17" s="735">
        <v>550</v>
      </c>
      <c r="BY17" s="735">
        <v>200</v>
      </c>
      <c r="BZ17" s="735">
        <v>0.2</v>
      </c>
      <c r="CA17" s="735">
        <v>0.3</v>
      </c>
      <c r="CB17" s="750">
        <v>60</v>
      </c>
      <c r="CC17" s="749">
        <v>0.12</v>
      </c>
      <c r="CD17" s="480">
        <f t="shared" si="0"/>
        <v>66</v>
      </c>
      <c r="CE17" s="126"/>
      <c r="CF17" s="969"/>
    </row>
    <row r="18" spans="1:84" ht="26.25" customHeight="1">
      <c r="A18" s="468">
        <v>11</v>
      </c>
      <c r="B18" s="1699">
        <v>0</v>
      </c>
      <c r="C18" s="759" t="s">
        <v>31</v>
      </c>
      <c r="D18" s="1427">
        <f t="shared" si="1"/>
        <v>0</v>
      </c>
      <c r="E18" s="584">
        <f t="shared" si="2"/>
        <v>0</v>
      </c>
      <c r="F18" s="1690">
        <v>0</v>
      </c>
      <c r="G18" s="570">
        <f t="shared" si="3"/>
        <v>0</v>
      </c>
      <c r="H18" s="761" t="s">
        <v>503</v>
      </c>
      <c r="I18" s="584">
        <f t="shared" si="4"/>
        <v>0</v>
      </c>
      <c r="J18" s="587" t="s">
        <v>31</v>
      </c>
      <c r="K18" s="765">
        <f t="shared" si="5"/>
        <v>0</v>
      </c>
      <c r="L18" s="565">
        <f t="shared" si="6"/>
        <v>0</v>
      </c>
      <c r="M18" s="1693">
        <v>0</v>
      </c>
      <c r="N18" s="609" t="s">
        <v>160</v>
      </c>
      <c r="O18" s="584">
        <f t="shared" si="7"/>
        <v>0</v>
      </c>
      <c r="P18" s="1696">
        <v>0</v>
      </c>
      <c r="Q18" s="1894">
        <f t="shared" si="15"/>
        <v>0</v>
      </c>
      <c r="R18" s="2371">
        <f t="shared" si="16"/>
        <v>0</v>
      </c>
      <c r="S18" s="2367">
        <f t="shared" si="8"/>
        <v>0</v>
      </c>
      <c r="T18" s="592">
        <f t="shared" si="9"/>
        <v>0</v>
      </c>
      <c r="U18" s="1251"/>
      <c r="V18" s="1281">
        <f t="shared" si="10"/>
        <v>11</v>
      </c>
      <c r="W18" s="1281" t="str">
        <f t="shared" si="11"/>
        <v>keine</v>
      </c>
      <c r="X18" s="1329"/>
      <c r="Y18" s="1330" t="s">
        <v>795</v>
      </c>
      <c r="Z18" s="1424">
        <v>0</v>
      </c>
      <c r="AA18" s="1033">
        <f>VLOOKUP(Y18,Düngemittel!$B$6:$E$64,2,FALSE)*(VLOOKUP(Y18,Düngemittel!$B$6:$E$64,3,FALSE))/100*Z18</f>
        <v>0</v>
      </c>
      <c r="AB18" s="1033">
        <f>VLOOKUP(Y18,Düngemittel!$B$6:$E$64,2,FALSE)*Z18</f>
        <v>0</v>
      </c>
      <c r="AC18" s="1033">
        <f>VLOOKUP(Y18,Düngemittel!$B$6:$E$64,4,FALSE)*Z18</f>
        <v>0</v>
      </c>
      <c r="AD18" s="2081"/>
      <c r="AE18" s="1329"/>
      <c r="AF18" s="1330" t="s">
        <v>795</v>
      </c>
      <c r="AG18" s="1424">
        <v>0</v>
      </c>
      <c r="AH18" s="1033">
        <f>VLOOKUP(AF18,Düngemittel!$B$6:$E$64,2,FALSE)*(VLOOKUP(AF18,Düngemittel!$B$6:$E$64,3,FALSE))/100*AG18</f>
        <v>0</v>
      </c>
      <c r="AI18" s="1033">
        <f>VLOOKUP(AF18,Düngemittel!$B$6:$E$64,2,FALSE)*AG18</f>
        <v>0</v>
      </c>
      <c r="AJ18" s="1033">
        <f>VLOOKUP(AF18,Düngemittel!$B$6:$E$64,4,FALSE)*AG18</f>
        <v>0</v>
      </c>
      <c r="AK18" s="2081"/>
      <c r="AL18" s="1329"/>
      <c r="AM18" s="1330" t="s">
        <v>795</v>
      </c>
      <c r="AN18" s="1424">
        <v>0</v>
      </c>
      <c r="AO18" s="1033">
        <f>VLOOKUP(AM18,Düngemittel!$B$6:$E$64,2,FALSE)*(VLOOKUP(AM18,Düngemittel!$B$6:$E$64,3,FALSE))/100*AN18</f>
        <v>0</v>
      </c>
      <c r="AP18" s="1033">
        <f>VLOOKUP(AM18,Düngemittel!$B$6:$E$64,2,FALSE)*AN18</f>
        <v>0</v>
      </c>
      <c r="AQ18" s="1033">
        <f>VLOOKUP(AM18,Düngemittel!$B$6:$E$64,4,FALSE)*AN18</f>
        <v>0</v>
      </c>
      <c r="AR18" s="2081"/>
      <c r="AS18" s="1329"/>
      <c r="AT18" s="1330" t="s">
        <v>795</v>
      </c>
      <c r="AU18" s="1424">
        <v>0</v>
      </c>
      <c r="AV18" s="1033">
        <f>VLOOKUP(AT18,Düngemittel!$B$6:$E$64,2,FALSE)*(VLOOKUP(AT18,Düngemittel!$B$6:$E$64,3,FALSE))/100*AU18</f>
        <v>0</v>
      </c>
      <c r="AW18" s="1033">
        <f>VLOOKUP(AT18,Düngemittel!$B$6:$E$64,2,FALSE)*AU18</f>
        <v>0</v>
      </c>
      <c r="AX18" s="1033">
        <f>VLOOKUP(AT18,Düngemittel!$B$6:$E$64,4,FALSE)*AU18</f>
        <v>0</v>
      </c>
      <c r="AY18" s="2081"/>
      <c r="AZ18" s="1329"/>
      <c r="BA18" s="1330" t="s">
        <v>795</v>
      </c>
      <c r="BB18" s="1424">
        <v>0</v>
      </c>
      <c r="BC18" s="1033">
        <f>VLOOKUP(BA18,Düngemittel!$B$6:$E$64,2,FALSE)*(VLOOKUP(BA18,Düngemittel!$B$6:$E$64,3,FALSE))/100*BB18</f>
        <v>0</v>
      </c>
      <c r="BD18" s="1033">
        <f>VLOOKUP(BA18,Düngemittel!$B$6:$E$64,2,FALSE)*BB18</f>
        <v>0</v>
      </c>
      <c r="BE18" s="1033">
        <f>VLOOKUP(BA18,Düngemittel!$B$6:$E$64,4,FALSE)*BB18</f>
        <v>0</v>
      </c>
      <c r="BF18" s="1251"/>
      <c r="BG18" s="1812">
        <f t="shared" si="17"/>
        <v>0</v>
      </c>
      <c r="BH18" s="1277">
        <f t="shared" si="18"/>
        <v>0</v>
      </c>
      <c r="BI18" s="1812">
        <f t="shared" si="18"/>
        <v>0</v>
      </c>
      <c r="BJ18" s="1138">
        <f t="shared" si="19"/>
        <v>0</v>
      </c>
      <c r="BK18" s="1277">
        <f t="shared" si="20"/>
        <v>0</v>
      </c>
      <c r="BL18" s="95"/>
      <c r="BM18" s="1810">
        <f t="shared" si="21"/>
        <v>0</v>
      </c>
      <c r="BN18" s="1135">
        <f t="shared" si="22"/>
        <v>0</v>
      </c>
      <c r="BO18" s="1810">
        <f t="shared" si="23"/>
        <v>0</v>
      </c>
      <c r="BP18" s="1807">
        <f t="shared" si="24"/>
        <v>0</v>
      </c>
      <c r="BQ18" s="1135">
        <f t="shared" si="25"/>
        <v>0</v>
      </c>
      <c r="BR18" s="1251"/>
      <c r="BS18" s="1251"/>
      <c r="BT18" s="528">
        <f t="shared" si="13"/>
        <v>0</v>
      </c>
      <c r="BU18" s="528">
        <f t="shared" si="14"/>
        <v>0</v>
      </c>
      <c r="BW18" s="279" t="s">
        <v>218</v>
      </c>
      <c r="BX18" s="279">
        <v>450</v>
      </c>
      <c r="BY18" s="279">
        <v>180</v>
      </c>
      <c r="BZ18" s="752">
        <v>0.2</v>
      </c>
      <c r="CA18" s="752">
        <v>0.2</v>
      </c>
      <c r="CB18" s="808">
        <v>60</v>
      </c>
      <c r="CC18" s="749">
        <v>0.14000000000000001</v>
      </c>
      <c r="CD18" s="480">
        <f t="shared" si="0"/>
        <v>63.000000000000007</v>
      </c>
      <c r="CE18" s="126"/>
      <c r="CF18" s="969"/>
    </row>
    <row r="19" spans="1:84" ht="26.25" customHeight="1">
      <c r="A19" s="468">
        <v>12</v>
      </c>
      <c r="B19" s="1699">
        <v>0</v>
      </c>
      <c r="C19" s="759" t="s">
        <v>31</v>
      </c>
      <c r="D19" s="1427">
        <f t="shared" si="1"/>
        <v>0</v>
      </c>
      <c r="E19" s="584">
        <f t="shared" si="2"/>
        <v>0</v>
      </c>
      <c r="F19" s="1690">
        <v>0</v>
      </c>
      <c r="G19" s="570">
        <f t="shared" si="3"/>
        <v>0</v>
      </c>
      <c r="H19" s="761" t="s">
        <v>503</v>
      </c>
      <c r="I19" s="584">
        <f t="shared" si="4"/>
        <v>0</v>
      </c>
      <c r="J19" s="587" t="s">
        <v>31</v>
      </c>
      <c r="K19" s="765">
        <f t="shared" si="5"/>
        <v>0</v>
      </c>
      <c r="L19" s="565">
        <f t="shared" si="6"/>
        <v>0</v>
      </c>
      <c r="M19" s="1693">
        <v>0</v>
      </c>
      <c r="N19" s="609" t="s">
        <v>160</v>
      </c>
      <c r="O19" s="584">
        <f t="shared" si="7"/>
        <v>0</v>
      </c>
      <c r="P19" s="1696">
        <v>0</v>
      </c>
      <c r="Q19" s="1894">
        <f t="shared" si="15"/>
        <v>0</v>
      </c>
      <c r="R19" s="2371">
        <f t="shared" si="16"/>
        <v>0</v>
      </c>
      <c r="S19" s="2367">
        <f t="shared" si="8"/>
        <v>0</v>
      </c>
      <c r="T19" s="592">
        <f t="shared" si="9"/>
        <v>0</v>
      </c>
      <c r="U19" s="1251"/>
      <c r="V19" s="1281">
        <f t="shared" si="10"/>
        <v>12</v>
      </c>
      <c r="W19" s="1281" t="str">
        <f t="shared" si="11"/>
        <v>keine</v>
      </c>
      <c r="X19" s="1329"/>
      <c r="Y19" s="1330" t="s">
        <v>795</v>
      </c>
      <c r="Z19" s="1424">
        <v>0</v>
      </c>
      <c r="AA19" s="1033">
        <f>VLOOKUP(Y19,Düngemittel!$B$6:$E$64,2,FALSE)*(VLOOKUP(Y19,Düngemittel!$B$6:$E$64,3,FALSE))/100*Z19</f>
        <v>0</v>
      </c>
      <c r="AB19" s="1033">
        <f>VLOOKUP(Y19,Düngemittel!$B$6:$E$64,2,FALSE)*Z19</f>
        <v>0</v>
      </c>
      <c r="AC19" s="1033">
        <f>VLOOKUP(Y19,Düngemittel!$B$6:$E$64,4,FALSE)*Z19</f>
        <v>0</v>
      </c>
      <c r="AD19" s="2081"/>
      <c r="AE19" s="1329"/>
      <c r="AF19" s="1330" t="s">
        <v>795</v>
      </c>
      <c r="AG19" s="1424">
        <v>0</v>
      </c>
      <c r="AH19" s="1033">
        <f>VLOOKUP(AF19,Düngemittel!$B$6:$E$64,2,FALSE)*(VLOOKUP(AF19,Düngemittel!$B$6:$E$64,3,FALSE))/100*AG19</f>
        <v>0</v>
      </c>
      <c r="AI19" s="1033">
        <f>VLOOKUP(AF19,Düngemittel!$B$6:$E$64,2,FALSE)*AG19</f>
        <v>0</v>
      </c>
      <c r="AJ19" s="1033">
        <f>VLOOKUP(AF19,Düngemittel!$B$6:$E$64,4,FALSE)*AG19</f>
        <v>0</v>
      </c>
      <c r="AK19" s="2081"/>
      <c r="AL19" s="1329"/>
      <c r="AM19" s="1330" t="s">
        <v>795</v>
      </c>
      <c r="AN19" s="1424">
        <v>0</v>
      </c>
      <c r="AO19" s="1033">
        <f>VLOOKUP(AM19,Düngemittel!$B$6:$E$64,2,FALSE)*(VLOOKUP(AM19,Düngemittel!$B$6:$E$64,3,FALSE))/100*AN19</f>
        <v>0</v>
      </c>
      <c r="AP19" s="1033">
        <f>VLOOKUP(AM19,Düngemittel!$B$6:$E$64,2,FALSE)*AN19</f>
        <v>0</v>
      </c>
      <c r="AQ19" s="1033">
        <f>VLOOKUP(AM19,Düngemittel!$B$6:$E$64,4,FALSE)*AN19</f>
        <v>0</v>
      </c>
      <c r="AR19" s="2081"/>
      <c r="AS19" s="1329"/>
      <c r="AT19" s="1330" t="s">
        <v>795</v>
      </c>
      <c r="AU19" s="1424">
        <v>0</v>
      </c>
      <c r="AV19" s="1033">
        <f>VLOOKUP(AT19,Düngemittel!$B$6:$E$64,2,FALSE)*(VLOOKUP(AT19,Düngemittel!$B$6:$E$64,3,FALSE))/100*AU19</f>
        <v>0</v>
      </c>
      <c r="AW19" s="1033">
        <f>VLOOKUP(AT19,Düngemittel!$B$6:$E$64,2,FALSE)*AU19</f>
        <v>0</v>
      </c>
      <c r="AX19" s="1033">
        <f>VLOOKUP(AT19,Düngemittel!$B$6:$E$64,4,FALSE)*AU19</f>
        <v>0</v>
      </c>
      <c r="AY19" s="2081"/>
      <c r="AZ19" s="1329"/>
      <c r="BA19" s="1330" t="s">
        <v>795</v>
      </c>
      <c r="BB19" s="1424">
        <v>0</v>
      </c>
      <c r="BC19" s="1033">
        <f>VLOOKUP(BA19,Düngemittel!$B$6:$E$64,2,FALSE)*(VLOOKUP(BA19,Düngemittel!$B$6:$E$64,3,FALSE))/100*BB19</f>
        <v>0</v>
      </c>
      <c r="BD19" s="1033">
        <f>VLOOKUP(BA19,Düngemittel!$B$6:$E$64,2,FALSE)*BB19</f>
        <v>0</v>
      </c>
      <c r="BE19" s="1033">
        <f>VLOOKUP(BA19,Düngemittel!$B$6:$E$64,4,FALSE)*BB19</f>
        <v>0</v>
      </c>
      <c r="BF19" s="1251"/>
      <c r="BG19" s="1812">
        <f t="shared" si="17"/>
        <v>0</v>
      </c>
      <c r="BH19" s="1277">
        <f t="shared" si="18"/>
        <v>0</v>
      </c>
      <c r="BI19" s="1812">
        <f t="shared" si="18"/>
        <v>0</v>
      </c>
      <c r="BJ19" s="1138">
        <f t="shared" si="19"/>
        <v>0</v>
      </c>
      <c r="BK19" s="1277">
        <f t="shared" si="20"/>
        <v>0</v>
      </c>
      <c r="BL19" s="95"/>
      <c r="BM19" s="1810">
        <f t="shared" si="21"/>
        <v>0</v>
      </c>
      <c r="BN19" s="1135">
        <f t="shared" si="22"/>
        <v>0</v>
      </c>
      <c r="BO19" s="1810">
        <f t="shared" si="23"/>
        <v>0</v>
      </c>
      <c r="BP19" s="1807">
        <f t="shared" si="24"/>
        <v>0</v>
      </c>
      <c r="BQ19" s="1135">
        <f t="shared" si="25"/>
        <v>0</v>
      </c>
      <c r="BR19" s="1251"/>
      <c r="BS19" s="1251"/>
      <c r="BT19" s="528">
        <f t="shared" si="13"/>
        <v>0</v>
      </c>
      <c r="BU19" s="528">
        <f t="shared" si="14"/>
        <v>0</v>
      </c>
      <c r="BW19" s="279" t="s">
        <v>31</v>
      </c>
      <c r="BX19" s="279">
        <v>0</v>
      </c>
      <c r="BY19" s="279">
        <v>0</v>
      </c>
      <c r="BZ19" s="279">
        <v>0</v>
      </c>
      <c r="CA19" s="279">
        <v>0</v>
      </c>
      <c r="CB19" s="808">
        <v>0</v>
      </c>
      <c r="CC19" s="749">
        <v>0</v>
      </c>
      <c r="CD19" s="480">
        <f t="shared" si="0"/>
        <v>0</v>
      </c>
      <c r="CE19" s="126"/>
      <c r="CF19" s="969"/>
    </row>
    <row r="20" spans="1:84" ht="26.25" customHeight="1">
      <c r="A20" s="468">
        <v>13</v>
      </c>
      <c r="B20" s="1699">
        <v>0</v>
      </c>
      <c r="C20" s="759" t="s">
        <v>31</v>
      </c>
      <c r="D20" s="1427">
        <f t="shared" si="1"/>
        <v>0</v>
      </c>
      <c r="E20" s="584">
        <f t="shared" si="2"/>
        <v>0</v>
      </c>
      <c r="F20" s="1690">
        <v>0</v>
      </c>
      <c r="G20" s="570">
        <f t="shared" si="3"/>
        <v>0</v>
      </c>
      <c r="H20" s="761" t="s">
        <v>503</v>
      </c>
      <c r="I20" s="584">
        <f t="shared" si="4"/>
        <v>0</v>
      </c>
      <c r="J20" s="587" t="s">
        <v>31</v>
      </c>
      <c r="K20" s="765">
        <f t="shared" si="5"/>
        <v>0</v>
      </c>
      <c r="L20" s="565">
        <f t="shared" si="6"/>
        <v>0</v>
      </c>
      <c r="M20" s="1693">
        <v>0</v>
      </c>
      <c r="N20" s="609" t="s">
        <v>160</v>
      </c>
      <c r="O20" s="584">
        <f t="shared" si="7"/>
        <v>0</v>
      </c>
      <c r="P20" s="1696">
        <v>0</v>
      </c>
      <c r="Q20" s="1894">
        <f t="shared" si="15"/>
        <v>0</v>
      </c>
      <c r="R20" s="2371">
        <f t="shared" si="16"/>
        <v>0</v>
      </c>
      <c r="S20" s="2367">
        <f t="shared" si="8"/>
        <v>0</v>
      </c>
      <c r="T20" s="592">
        <f t="shared" si="9"/>
        <v>0</v>
      </c>
      <c r="U20" s="1251"/>
      <c r="V20" s="1281">
        <f t="shared" si="10"/>
        <v>13</v>
      </c>
      <c r="W20" s="1281" t="str">
        <f t="shared" si="11"/>
        <v>keine</v>
      </c>
      <c r="X20" s="1329"/>
      <c r="Y20" s="1330" t="s">
        <v>795</v>
      </c>
      <c r="Z20" s="1424">
        <v>0</v>
      </c>
      <c r="AA20" s="1033">
        <f>VLOOKUP(Y20,Düngemittel!$B$6:$E$64,2,FALSE)*(VLOOKUP(Y20,Düngemittel!$B$6:$E$64,3,FALSE))/100*Z20</f>
        <v>0</v>
      </c>
      <c r="AB20" s="1033">
        <f>VLOOKUP(Y20,Düngemittel!$B$6:$E$64,2,FALSE)*Z20</f>
        <v>0</v>
      </c>
      <c r="AC20" s="1033">
        <f>VLOOKUP(Y20,Düngemittel!$B$6:$E$64,4,FALSE)*Z20</f>
        <v>0</v>
      </c>
      <c r="AD20" s="2081"/>
      <c r="AE20" s="1329"/>
      <c r="AF20" s="1330" t="s">
        <v>795</v>
      </c>
      <c r="AG20" s="1424">
        <v>0</v>
      </c>
      <c r="AH20" s="1033">
        <f>VLOOKUP(AF20,Düngemittel!$B$6:$E$64,2,FALSE)*(VLOOKUP(AF20,Düngemittel!$B$6:$E$64,3,FALSE))/100*AG20</f>
        <v>0</v>
      </c>
      <c r="AI20" s="1033">
        <f>VLOOKUP(AF20,Düngemittel!$B$6:$E$64,2,FALSE)*AG20</f>
        <v>0</v>
      </c>
      <c r="AJ20" s="1033">
        <f>VLOOKUP(AF20,Düngemittel!$B$6:$E$64,4,FALSE)*AG20</f>
        <v>0</v>
      </c>
      <c r="AK20" s="2081"/>
      <c r="AL20" s="1329"/>
      <c r="AM20" s="1330" t="s">
        <v>795</v>
      </c>
      <c r="AN20" s="1424">
        <v>0</v>
      </c>
      <c r="AO20" s="1033">
        <f>VLOOKUP(AM20,Düngemittel!$B$6:$E$64,2,FALSE)*(VLOOKUP(AM20,Düngemittel!$B$6:$E$64,3,FALSE))/100*AN20</f>
        <v>0</v>
      </c>
      <c r="AP20" s="1033">
        <f>VLOOKUP(AM20,Düngemittel!$B$6:$E$64,2,FALSE)*AN20</f>
        <v>0</v>
      </c>
      <c r="AQ20" s="1033">
        <f>VLOOKUP(AM20,Düngemittel!$B$6:$E$64,4,FALSE)*AN20</f>
        <v>0</v>
      </c>
      <c r="AR20" s="2081"/>
      <c r="AS20" s="1329"/>
      <c r="AT20" s="1330" t="s">
        <v>795</v>
      </c>
      <c r="AU20" s="1424">
        <v>0</v>
      </c>
      <c r="AV20" s="1033">
        <f>VLOOKUP(AT20,Düngemittel!$B$6:$E$64,2,FALSE)*(VLOOKUP(AT20,Düngemittel!$B$6:$E$64,3,FALSE))/100*AU20</f>
        <v>0</v>
      </c>
      <c r="AW20" s="1033">
        <f>VLOOKUP(AT20,Düngemittel!$B$6:$E$64,2,FALSE)*AU20</f>
        <v>0</v>
      </c>
      <c r="AX20" s="1033">
        <f>VLOOKUP(AT20,Düngemittel!$B$6:$E$64,4,FALSE)*AU20</f>
        <v>0</v>
      </c>
      <c r="AY20" s="2081"/>
      <c r="AZ20" s="1329"/>
      <c r="BA20" s="1330" t="s">
        <v>795</v>
      </c>
      <c r="BB20" s="1424">
        <v>0</v>
      </c>
      <c r="BC20" s="1033">
        <f>VLOOKUP(BA20,Düngemittel!$B$6:$E$64,2,FALSE)*(VLOOKUP(BA20,Düngemittel!$B$6:$E$64,3,FALSE))/100*BB20</f>
        <v>0</v>
      </c>
      <c r="BD20" s="1033">
        <f>VLOOKUP(BA20,Düngemittel!$B$6:$E$64,2,FALSE)*BB20</f>
        <v>0</v>
      </c>
      <c r="BE20" s="1033">
        <f>VLOOKUP(BA20,Düngemittel!$B$6:$E$64,4,FALSE)*BB20</f>
        <v>0</v>
      </c>
      <c r="BF20" s="1251"/>
      <c r="BG20" s="1812">
        <f t="shared" si="17"/>
        <v>0</v>
      </c>
      <c r="BH20" s="1277">
        <f t="shared" si="18"/>
        <v>0</v>
      </c>
      <c r="BI20" s="1812">
        <f t="shared" si="18"/>
        <v>0</v>
      </c>
      <c r="BJ20" s="1138">
        <f t="shared" si="19"/>
        <v>0</v>
      </c>
      <c r="BK20" s="1277">
        <f t="shared" si="20"/>
        <v>0</v>
      </c>
      <c r="BL20" s="95"/>
      <c r="BM20" s="1810">
        <f t="shared" si="21"/>
        <v>0</v>
      </c>
      <c r="BN20" s="1135">
        <f t="shared" si="22"/>
        <v>0</v>
      </c>
      <c r="BO20" s="1810">
        <f t="shared" si="23"/>
        <v>0</v>
      </c>
      <c r="BP20" s="1807">
        <f t="shared" si="24"/>
        <v>0</v>
      </c>
      <c r="BQ20" s="1135">
        <f t="shared" si="25"/>
        <v>0</v>
      </c>
      <c r="BR20" s="1251"/>
      <c r="BS20" s="1251"/>
      <c r="BT20" s="528">
        <f t="shared" si="13"/>
        <v>0</v>
      </c>
      <c r="BU20" s="528">
        <f t="shared" si="14"/>
        <v>0</v>
      </c>
      <c r="BW20" s="281" t="s">
        <v>681</v>
      </c>
      <c r="BX20" s="281">
        <v>250</v>
      </c>
      <c r="BY20" s="281">
        <v>185</v>
      </c>
      <c r="BZ20" s="281">
        <v>0.2</v>
      </c>
      <c r="CA20" s="281">
        <v>0.3</v>
      </c>
      <c r="CB20" s="808">
        <v>60</v>
      </c>
      <c r="CC20" s="749">
        <v>0.2</v>
      </c>
      <c r="CD20" s="480">
        <f t="shared" si="0"/>
        <v>50</v>
      </c>
      <c r="CE20" s="126"/>
      <c r="CF20" s="969"/>
    </row>
    <row r="21" spans="1:84" ht="26.25" customHeight="1">
      <c r="A21" s="468">
        <v>14</v>
      </c>
      <c r="B21" s="1699">
        <v>0</v>
      </c>
      <c r="C21" s="759" t="s">
        <v>31</v>
      </c>
      <c r="D21" s="1427">
        <f t="shared" si="1"/>
        <v>0</v>
      </c>
      <c r="E21" s="584">
        <f t="shared" si="2"/>
        <v>0</v>
      </c>
      <c r="F21" s="1690">
        <v>0</v>
      </c>
      <c r="G21" s="570">
        <f t="shared" si="3"/>
        <v>0</v>
      </c>
      <c r="H21" s="761" t="s">
        <v>503</v>
      </c>
      <c r="I21" s="584">
        <f t="shared" si="4"/>
        <v>0</v>
      </c>
      <c r="J21" s="587" t="s">
        <v>31</v>
      </c>
      <c r="K21" s="765">
        <f t="shared" si="5"/>
        <v>0</v>
      </c>
      <c r="L21" s="565">
        <f t="shared" si="6"/>
        <v>0</v>
      </c>
      <c r="M21" s="1693">
        <v>0</v>
      </c>
      <c r="N21" s="609" t="s">
        <v>160</v>
      </c>
      <c r="O21" s="584">
        <f t="shared" si="7"/>
        <v>0</v>
      </c>
      <c r="P21" s="1696">
        <v>0</v>
      </c>
      <c r="Q21" s="1894">
        <f t="shared" si="15"/>
        <v>0</v>
      </c>
      <c r="R21" s="2371">
        <f t="shared" si="16"/>
        <v>0</v>
      </c>
      <c r="S21" s="2367">
        <f t="shared" si="8"/>
        <v>0</v>
      </c>
      <c r="T21" s="592">
        <f t="shared" si="9"/>
        <v>0</v>
      </c>
      <c r="U21" s="1251"/>
      <c r="V21" s="1281">
        <f t="shared" si="10"/>
        <v>14</v>
      </c>
      <c r="W21" s="1281" t="str">
        <f t="shared" si="11"/>
        <v>keine</v>
      </c>
      <c r="X21" s="1329"/>
      <c r="Y21" s="1330" t="s">
        <v>795</v>
      </c>
      <c r="Z21" s="1424">
        <v>0</v>
      </c>
      <c r="AA21" s="1033">
        <f>VLOOKUP(Y21,Düngemittel!$B$6:$E$64,2,FALSE)*(VLOOKUP(Y21,Düngemittel!$B$6:$E$64,3,FALSE))/100*Z21</f>
        <v>0</v>
      </c>
      <c r="AB21" s="1033">
        <f>VLOOKUP(Y21,Düngemittel!$B$6:$E$64,2,FALSE)*Z21</f>
        <v>0</v>
      </c>
      <c r="AC21" s="1033">
        <f>VLOOKUP(Y21,Düngemittel!$B$6:$E$64,4,FALSE)*Z21</f>
        <v>0</v>
      </c>
      <c r="AD21" s="2081"/>
      <c r="AE21" s="1329"/>
      <c r="AF21" s="1330" t="s">
        <v>795</v>
      </c>
      <c r="AG21" s="1424">
        <v>0</v>
      </c>
      <c r="AH21" s="1033">
        <f>VLOOKUP(AF21,Düngemittel!$B$6:$E$64,2,FALSE)*(VLOOKUP(AF21,Düngemittel!$B$6:$E$64,3,FALSE))/100*AG21</f>
        <v>0</v>
      </c>
      <c r="AI21" s="1033">
        <f>VLOOKUP(AF21,Düngemittel!$B$6:$E$64,2,FALSE)*AG21</f>
        <v>0</v>
      </c>
      <c r="AJ21" s="1033">
        <f>VLOOKUP(AF21,Düngemittel!$B$6:$E$64,4,FALSE)*AG21</f>
        <v>0</v>
      </c>
      <c r="AK21" s="2081"/>
      <c r="AL21" s="1329"/>
      <c r="AM21" s="1330" t="s">
        <v>795</v>
      </c>
      <c r="AN21" s="1424">
        <v>0</v>
      </c>
      <c r="AO21" s="1033">
        <f>VLOOKUP(AM21,Düngemittel!$B$6:$E$64,2,FALSE)*(VLOOKUP(AM21,Düngemittel!$B$6:$E$64,3,FALSE))/100*AN21</f>
        <v>0</v>
      </c>
      <c r="AP21" s="1033">
        <f>VLOOKUP(AM21,Düngemittel!$B$6:$E$64,2,FALSE)*AN21</f>
        <v>0</v>
      </c>
      <c r="AQ21" s="1033">
        <f>VLOOKUP(AM21,Düngemittel!$B$6:$E$64,4,FALSE)*AN21</f>
        <v>0</v>
      </c>
      <c r="AR21" s="2081"/>
      <c r="AS21" s="1329"/>
      <c r="AT21" s="1330" t="s">
        <v>795</v>
      </c>
      <c r="AU21" s="1424">
        <v>0</v>
      </c>
      <c r="AV21" s="1033">
        <f>VLOOKUP(AT21,Düngemittel!$B$6:$E$64,2,FALSE)*(VLOOKUP(AT21,Düngemittel!$B$6:$E$64,3,FALSE))/100*AU21</f>
        <v>0</v>
      </c>
      <c r="AW21" s="1033">
        <f>VLOOKUP(AT21,Düngemittel!$B$6:$E$64,2,FALSE)*AU21</f>
        <v>0</v>
      </c>
      <c r="AX21" s="1033">
        <f>VLOOKUP(AT21,Düngemittel!$B$6:$E$64,4,FALSE)*AU21</f>
        <v>0</v>
      </c>
      <c r="AY21" s="2081"/>
      <c r="AZ21" s="1329"/>
      <c r="BA21" s="1330" t="s">
        <v>795</v>
      </c>
      <c r="BB21" s="1424">
        <v>0</v>
      </c>
      <c r="BC21" s="1033">
        <f>VLOOKUP(BA21,Düngemittel!$B$6:$E$64,2,FALSE)*(VLOOKUP(BA21,Düngemittel!$B$6:$E$64,3,FALSE))/100*BB21</f>
        <v>0</v>
      </c>
      <c r="BD21" s="1033">
        <f>VLOOKUP(BA21,Düngemittel!$B$6:$E$64,2,FALSE)*BB21</f>
        <v>0</v>
      </c>
      <c r="BE21" s="1033">
        <f>VLOOKUP(BA21,Düngemittel!$B$6:$E$64,4,FALSE)*BB21</f>
        <v>0</v>
      </c>
      <c r="BF21" s="1251"/>
      <c r="BG21" s="1812">
        <f t="shared" si="17"/>
        <v>0</v>
      </c>
      <c r="BH21" s="1277">
        <f t="shared" si="18"/>
        <v>0</v>
      </c>
      <c r="BI21" s="1812">
        <f t="shared" si="18"/>
        <v>0</v>
      </c>
      <c r="BJ21" s="1138">
        <f t="shared" si="19"/>
        <v>0</v>
      </c>
      <c r="BK21" s="1277">
        <f t="shared" si="20"/>
        <v>0</v>
      </c>
      <c r="BL21" s="95"/>
      <c r="BM21" s="1810">
        <f t="shared" si="21"/>
        <v>0</v>
      </c>
      <c r="BN21" s="1135">
        <f t="shared" si="22"/>
        <v>0</v>
      </c>
      <c r="BO21" s="1810">
        <f t="shared" si="23"/>
        <v>0</v>
      </c>
      <c r="BP21" s="1807">
        <f t="shared" si="24"/>
        <v>0</v>
      </c>
      <c r="BQ21" s="1135">
        <f t="shared" si="25"/>
        <v>0</v>
      </c>
      <c r="BR21" s="1251"/>
      <c r="BS21" s="1251"/>
      <c r="BT21" s="528">
        <f t="shared" si="13"/>
        <v>0</v>
      </c>
      <c r="BU21" s="528">
        <f t="shared" si="14"/>
        <v>0</v>
      </c>
      <c r="BW21" s="748" t="s">
        <v>751</v>
      </c>
      <c r="BX21" s="748">
        <v>50</v>
      </c>
      <c r="BY21" s="748">
        <v>130</v>
      </c>
      <c r="BZ21" s="748">
        <v>1</v>
      </c>
      <c r="CA21" s="748">
        <v>1.5</v>
      </c>
      <c r="CB21" s="808">
        <v>60</v>
      </c>
      <c r="CC21" s="749">
        <v>0.8</v>
      </c>
      <c r="CD21" s="480">
        <f t="shared" si="0"/>
        <v>40</v>
      </c>
      <c r="CE21" s="126"/>
      <c r="CF21" s="969"/>
    </row>
    <row r="22" spans="1:84" ht="26.25" customHeight="1">
      <c r="A22" s="468">
        <v>15</v>
      </c>
      <c r="B22" s="1699">
        <v>0</v>
      </c>
      <c r="C22" s="759" t="s">
        <v>31</v>
      </c>
      <c r="D22" s="1427">
        <f t="shared" si="1"/>
        <v>0</v>
      </c>
      <c r="E22" s="584">
        <f t="shared" si="2"/>
        <v>0</v>
      </c>
      <c r="F22" s="1690">
        <v>0</v>
      </c>
      <c r="G22" s="570">
        <f t="shared" si="3"/>
        <v>0</v>
      </c>
      <c r="H22" s="761" t="s">
        <v>503</v>
      </c>
      <c r="I22" s="584">
        <f t="shared" si="4"/>
        <v>0</v>
      </c>
      <c r="J22" s="587" t="s">
        <v>31</v>
      </c>
      <c r="K22" s="765">
        <f t="shared" si="5"/>
        <v>0</v>
      </c>
      <c r="L22" s="565">
        <f t="shared" si="6"/>
        <v>0</v>
      </c>
      <c r="M22" s="1693">
        <v>0</v>
      </c>
      <c r="N22" s="609" t="s">
        <v>160</v>
      </c>
      <c r="O22" s="584">
        <f t="shared" si="7"/>
        <v>0</v>
      </c>
      <c r="P22" s="1696">
        <v>0</v>
      </c>
      <c r="Q22" s="1894">
        <f t="shared" si="15"/>
        <v>0</v>
      </c>
      <c r="R22" s="2371">
        <f t="shared" si="16"/>
        <v>0</v>
      </c>
      <c r="S22" s="2367">
        <f t="shared" si="8"/>
        <v>0</v>
      </c>
      <c r="T22" s="592">
        <f t="shared" si="9"/>
        <v>0</v>
      </c>
      <c r="U22" s="1251"/>
      <c r="V22" s="1281">
        <f t="shared" si="10"/>
        <v>15</v>
      </c>
      <c r="W22" s="1281" t="str">
        <f t="shared" si="11"/>
        <v>keine</v>
      </c>
      <c r="X22" s="1329"/>
      <c r="Y22" s="1330" t="s">
        <v>795</v>
      </c>
      <c r="Z22" s="1424">
        <v>0</v>
      </c>
      <c r="AA22" s="1033">
        <f>VLOOKUP(Y22,Düngemittel!$B$6:$E$64,2,FALSE)*(VLOOKUP(Y22,Düngemittel!$B$6:$E$64,3,FALSE))/100*Z22</f>
        <v>0</v>
      </c>
      <c r="AB22" s="1033">
        <f>VLOOKUP(Y22,Düngemittel!$B$6:$E$64,2,FALSE)*Z22</f>
        <v>0</v>
      </c>
      <c r="AC22" s="1033">
        <f>VLOOKUP(Y22,Düngemittel!$B$6:$E$64,4,FALSE)*Z22</f>
        <v>0</v>
      </c>
      <c r="AD22" s="2081"/>
      <c r="AE22" s="1329"/>
      <c r="AF22" s="1330" t="s">
        <v>795</v>
      </c>
      <c r="AG22" s="1424">
        <v>0</v>
      </c>
      <c r="AH22" s="1033">
        <f>VLOOKUP(AF22,Düngemittel!$B$6:$E$64,2,FALSE)*(VLOOKUP(AF22,Düngemittel!$B$6:$E$64,3,FALSE))/100*AG22</f>
        <v>0</v>
      </c>
      <c r="AI22" s="1033">
        <f>VLOOKUP(AF22,Düngemittel!$B$6:$E$64,2,FALSE)*AG22</f>
        <v>0</v>
      </c>
      <c r="AJ22" s="1033">
        <f>VLOOKUP(AF22,Düngemittel!$B$6:$E$64,4,FALSE)*AG22</f>
        <v>0</v>
      </c>
      <c r="AK22" s="2081"/>
      <c r="AL22" s="1329"/>
      <c r="AM22" s="1330" t="s">
        <v>795</v>
      </c>
      <c r="AN22" s="1424">
        <v>0</v>
      </c>
      <c r="AO22" s="1033">
        <f>VLOOKUP(AM22,Düngemittel!$B$6:$E$64,2,FALSE)*(VLOOKUP(AM22,Düngemittel!$B$6:$E$64,3,FALSE))/100*AN22</f>
        <v>0</v>
      </c>
      <c r="AP22" s="1033">
        <f>VLOOKUP(AM22,Düngemittel!$B$6:$E$64,2,FALSE)*AN22</f>
        <v>0</v>
      </c>
      <c r="AQ22" s="1033">
        <f>VLOOKUP(AM22,Düngemittel!$B$6:$E$64,4,FALSE)*AN22</f>
        <v>0</v>
      </c>
      <c r="AR22" s="2081"/>
      <c r="AS22" s="1329"/>
      <c r="AT22" s="1330" t="s">
        <v>795</v>
      </c>
      <c r="AU22" s="1424">
        <v>0</v>
      </c>
      <c r="AV22" s="1033">
        <f>VLOOKUP(AT22,Düngemittel!$B$6:$E$64,2,FALSE)*(VLOOKUP(AT22,Düngemittel!$B$6:$E$64,3,FALSE))/100*AU22</f>
        <v>0</v>
      </c>
      <c r="AW22" s="1033">
        <f>VLOOKUP(AT22,Düngemittel!$B$6:$E$64,2,FALSE)*AU22</f>
        <v>0</v>
      </c>
      <c r="AX22" s="1033">
        <f>VLOOKUP(AT22,Düngemittel!$B$6:$E$64,4,FALSE)*AU22</f>
        <v>0</v>
      </c>
      <c r="AY22" s="2081"/>
      <c r="AZ22" s="1329"/>
      <c r="BA22" s="1330" t="s">
        <v>795</v>
      </c>
      <c r="BB22" s="1424">
        <v>0</v>
      </c>
      <c r="BC22" s="1033">
        <f>VLOOKUP(BA22,Düngemittel!$B$6:$E$64,2,FALSE)*(VLOOKUP(BA22,Düngemittel!$B$6:$E$64,3,FALSE))/100*BB22</f>
        <v>0</v>
      </c>
      <c r="BD22" s="1033">
        <f>VLOOKUP(BA22,Düngemittel!$B$6:$E$64,2,FALSE)*BB22</f>
        <v>0</v>
      </c>
      <c r="BE22" s="1033">
        <f>VLOOKUP(BA22,Düngemittel!$B$6:$E$64,4,FALSE)*BB22</f>
        <v>0</v>
      </c>
      <c r="BF22" s="1251"/>
      <c r="BG22" s="1812">
        <f t="shared" si="17"/>
        <v>0</v>
      </c>
      <c r="BH22" s="1277">
        <f t="shared" si="18"/>
        <v>0</v>
      </c>
      <c r="BI22" s="1812">
        <f t="shared" si="18"/>
        <v>0</v>
      </c>
      <c r="BJ22" s="1138">
        <f t="shared" si="19"/>
        <v>0</v>
      </c>
      <c r="BK22" s="1277">
        <f t="shared" si="20"/>
        <v>0</v>
      </c>
      <c r="BL22" s="95"/>
      <c r="BM22" s="1810">
        <f t="shared" si="21"/>
        <v>0</v>
      </c>
      <c r="BN22" s="1135">
        <f t="shared" si="22"/>
        <v>0</v>
      </c>
      <c r="BO22" s="1810">
        <f t="shared" si="23"/>
        <v>0</v>
      </c>
      <c r="BP22" s="1807">
        <f t="shared" si="24"/>
        <v>0</v>
      </c>
      <c r="BQ22" s="1135">
        <f t="shared" si="25"/>
        <v>0</v>
      </c>
      <c r="BR22" s="1251"/>
      <c r="BS22" s="1251"/>
      <c r="BT22" s="528">
        <f t="shared" si="13"/>
        <v>0</v>
      </c>
      <c r="BU22" s="528">
        <f t="shared" si="14"/>
        <v>0</v>
      </c>
      <c r="BW22" s="529" t="s">
        <v>695</v>
      </c>
      <c r="BX22" s="529">
        <v>40</v>
      </c>
      <c r="BY22" s="529">
        <v>60</v>
      </c>
      <c r="BZ22" s="529">
        <v>0</v>
      </c>
      <c r="CA22" s="529">
        <v>0</v>
      </c>
      <c r="CB22" s="812">
        <v>30</v>
      </c>
      <c r="CC22" s="749">
        <v>1.2</v>
      </c>
      <c r="CD22" s="480">
        <f t="shared" si="0"/>
        <v>48</v>
      </c>
      <c r="CE22" s="126"/>
      <c r="CF22" s="969"/>
    </row>
    <row r="23" spans="1:84" ht="26.25" customHeight="1">
      <c r="A23" s="468">
        <v>16</v>
      </c>
      <c r="B23" s="1699">
        <v>0</v>
      </c>
      <c r="C23" s="759" t="s">
        <v>31</v>
      </c>
      <c r="D23" s="1427">
        <f t="shared" si="1"/>
        <v>0</v>
      </c>
      <c r="E23" s="584">
        <f t="shared" si="2"/>
        <v>0</v>
      </c>
      <c r="F23" s="1690">
        <v>0</v>
      </c>
      <c r="G23" s="570">
        <f t="shared" si="3"/>
        <v>0</v>
      </c>
      <c r="H23" s="761" t="s">
        <v>503</v>
      </c>
      <c r="I23" s="584">
        <f t="shared" si="4"/>
        <v>0</v>
      </c>
      <c r="J23" s="587" t="s">
        <v>31</v>
      </c>
      <c r="K23" s="765">
        <f t="shared" si="5"/>
        <v>0</v>
      </c>
      <c r="L23" s="565">
        <f t="shared" si="6"/>
        <v>0</v>
      </c>
      <c r="M23" s="1693">
        <v>0</v>
      </c>
      <c r="N23" s="609" t="s">
        <v>160</v>
      </c>
      <c r="O23" s="584">
        <f t="shared" si="7"/>
        <v>0</v>
      </c>
      <c r="P23" s="1696">
        <v>0</v>
      </c>
      <c r="Q23" s="1894">
        <f t="shared" si="15"/>
        <v>0</v>
      </c>
      <c r="R23" s="2371">
        <f t="shared" si="16"/>
        <v>0</v>
      </c>
      <c r="S23" s="2367">
        <f t="shared" si="8"/>
        <v>0</v>
      </c>
      <c r="T23" s="592">
        <f t="shared" si="9"/>
        <v>0</v>
      </c>
      <c r="U23" s="1251"/>
      <c r="V23" s="1281">
        <f t="shared" si="10"/>
        <v>16</v>
      </c>
      <c r="W23" s="1281" t="str">
        <f t="shared" si="11"/>
        <v>keine</v>
      </c>
      <c r="X23" s="1329"/>
      <c r="Y23" s="1330" t="s">
        <v>795</v>
      </c>
      <c r="Z23" s="1424">
        <v>0</v>
      </c>
      <c r="AA23" s="1033">
        <f>VLOOKUP(Y23,Düngemittel!$B$6:$E$64,2,FALSE)*(VLOOKUP(Y23,Düngemittel!$B$6:$E$64,3,FALSE))/100*Z23</f>
        <v>0</v>
      </c>
      <c r="AB23" s="1033">
        <f>VLOOKUP(Y23,Düngemittel!$B$6:$E$64,2,FALSE)*Z23</f>
        <v>0</v>
      </c>
      <c r="AC23" s="1033">
        <f>VLOOKUP(Y23,Düngemittel!$B$6:$E$64,4,FALSE)*Z23</f>
        <v>0</v>
      </c>
      <c r="AD23" s="2081"/>
      <c r="AE23" s="1329"/>
      <c r="AF23" s="1330" t="s">
        <v>795</v>
      </c>
      <c r="AG23" s="1424">
        <v>0</v>
      </c>
      <c r="AH23" s="1033">
        <f>VLOOKUP(AF23,Düngemittel!$B$6:$E$64,2,FALSE)*(VLOOKUP(AF23,Düngemittel!$B$6:$E$64,3,FALSE))/100*AG23</f>
        <v>0</v>
      </c>
      <c r="AI23" s="1033">
        <f>VLOOKUP(AF23,Düngemittel!$B$6:$E$64,2,FALSE)*AG23</f>
        <v>0</v>
      </c>
      <c r="AJ23" s="1033">
        <f>VLOOKUP(AF23,Düngemittel!$B$6:$E$64,4,FALSE)*AG23</f>
        <v>0</v>
      </c>
      <c r="AK23" s="2081"/>
      <c r="AL23" s="1329"/>
      <c r="AM23" s="1330" t="s">
        <v>795</v>
      </c>
      <c r="AN23" s="1424">
        <v>0</v>
      </c>
      <c r="AO23" s="1033">
        <f>VLOOKUP(AM23,Düngemittel!$B$6:$E$64,2,FALSE)*(VLOOKUP(AM23,Düngemittel!$B$6:$E$64,3,FALSE))/100*AN23</f>
        <v>0</v>
      </c>
      <c r="AP23" s="1033">
        <f>VLOOKUP(AM23,Düngemittel!$B$6:$E$64,2,FALSE)*AN23</f>
        <v>0</v>
      </c>
      <c r="AQ23" s="1033">
        <f>VLOOKUP(AM23,Düngemittel!$B$6:$E$64,4,FALSE)*AN23</f>
        <v>0</v>
      </c>
      <c r="AR23" s="2081"/>
      <c r="AS23" s="1329"/>
      <c r="AT23" s="1330" t="s">
        <v>795</v>
      </c>
      <c r="AU23" s="1424">
        <v>0</v>
      </c>
      <c r="AV23" s="1033">
        <f>VLOOKUP(AT23,Düngemittel!$B$6:$E$64,2,FALSE)*(VLOOKUP(AT23,Düngemittel!$B$6:$E$64,3,FALSE))/100*AU23</f>
        <v>0</v>
      </c>
      <c r="AW23" s="1033">
        <f>VLOOKUP(AT23,Düngemittel!$B$6:$E$64,2,FALSE)*AU23</f>
        <v>0</v>
      </c>
      <c r="AX23" s="1033">
        <f>VLOOKUP(AT23,Düngemittel!$B$6:$E$64,4,FALSE)*AU23</f>
        <v>0</v>
      </c>
      <c r="AY23" s="2081"/>
      <c r="AZ23" s="1329"/>
      <c r="BA23" s="1330" t="s">
        <v>795</v>
      </c>
      <c r="BB23" s="1424">
        <v>0</v>
      </c>
      <c r="BC23" s="1033">
        <f>VLOOKUP(BA23,Düngemittel!$B$6:$E$64,2,FALSE)*(VLOOKUP(BA23,Düngemittel!$B$6:$E$64,3,FALSE))/100*BB23</f>
        <v>0</v>
      </c>
      <c r="BD23" s="1033">
        <f>VLOOKUP(BA23,Düngemittel!$B$6:$E$64,2,FALSE)*BB23</f>
        <v>0</v>
      </c>
      <c r="BE23" s="1033">
        <f>VLOOKUP(BA23,Düngemittel!$B$6:$E$64,4,FALSE)*BB23</f>
        <v>0</v>
      </c>
      <c r="BF23" s="1251"/>
      <c r="BG23" s="1812">
        <f t="shared" si="17"/>
        <v>0</v>
      </c>
      <c r="BH23" s="1277">
        <f t="shared" si="18"/>
        <v>0</v>
      </c>
      <c r="BI23" s="1812">
        <f t="shared" si="18"/>
        <v>0</v>
      </c>
      <c r="BJ23" s="1138">
        <f t="shared" si="19"/>
        <v>0</v>
      </c>
      <c r="BK23" s="1277">
        <f t="shared" si="20"/>
        <v>0</v>
      </c>
      <c r="BL23" s="95"/>
      <c r="BM23" s="1810">
        <f t="shared" si="21"/>
        <v>0</v>
      </c>
      <c r="BN23" s="1135">
        <f t="shared" si="22"/>
        <v>0</v>
      </c>
      <c r="BO23" s="1810">
        <f t="shared" si="23"/>
        <v>0</v>
      </c>
      <c r="BP23" s="1807">
        <f t="shared" si="24"/>
        <v>0</v>
      </c>
      <c r="BQ23" s="1135">
        <f t="shared" si="25"/>
        <v>0</v>
      </c>
      <c r="BR23" s="1251"/>
      <c r="BS23" s="1251"/>
      <c r="BT23" s="528">
        <f t="shared" si="13"/>
        <v>0</v>
      </c>
      <c r="BU23" s="528">
        <f t="shared" si="14"/>
        <v>0</v>
      </c>
      <c r="BW23" s="279" t="s">
        <v>687</v>
      </c>
      <c r="BX23" s="279">
        <v>90</v>
      </c>
      <c r="BY23" s="279">
        <v>200</v>
      </c>
      <c r="BZ23" s="279">
        <v>1</v>
      </c>
      <c r="CA23" s="279">
        <v>1.5</v>
      </c>
      <c r="CB23" s="808">
        <v>90</v>
      </c>
      <c r="CC23" s="749">
        <v>0.8</v>
      </c>
      <c r="CD23" s="480">
        <f t="shared" si="0"/>
        <v>72</v>
      </c>
    </row>
    <row r="24" spans="1:84" ht="26.25" customHeight="1">
      <c r="A24" s="468">
        <v>17</v>
      </c>
      <c r="B24" s="1699">
        <v>0</v>
      </c>
      <c r="C24" s="759" t="s">
        <v>31</v>
      </c>
      <c r="D24" s="1427">
        <f t="shared" si="1"/>
        <v>0</v>
      </c>
      <c r="E24" s="584">
        <f t="shared" si="2"/>
        <v>0</v>
      </c>
      <c r="F24" s="1690">
        <v>0</v>
      </c>
      <c r="G24" s="570">
        <f t="shared" si="3"/>
        <v>0</v>
      </c>
      <c r="H24" s="761" t="s">
        <v>503</v>
      </c>
      <c r="I24" s="584">
        <f t="shared" si="4"/>
        <v>0</v>
      </c>
      <c r="J24" s="587" t="s">
        <v>31</v>
      </c>
      <c r="K24" s="765">
        <f t="shared" si="5"/>
        <v>0</v>
      </c>
      <c r="L24" s="565">
        <f t="shared" si="6"/>
        <v>0</v>
      </c>
      <c r="M24" s="1693">
        <v>0</v>
      </c>
      <c r="N24" s="609" t="s">
        <v>160</v>
      </c>
      <c r="O24" s="584">
        <f t="shared" si="7"/>
        <v>0</v>
      </c>
      <c r="P24" s="1696">
        <v>0</v>
      </c>
      <c r="Q24" s="1894">
        <f t="shared" si="15"/>
        <v>0</v>
      </c>
      <c r="R24" s="2371">
        <f t="shared" si="16"/>
        <v>0</v>
      </c>
      <c r="S24" s="2367">
        <f t="shared" si="8"/>
        <v>0</v>
      </c>
      <c r="T24" s="592">
        <f t="shared" si="9"/>
        <v>0</v>
      </c>
      <c r="U24" s="1251"/>
      <c r="V24" s="1281">
        <f t="shared" si="10"/>
        <v>17</v>
      </c>
      <c r="W24" s="1281" t="str">
        <f t="shared" si="11"/>
        <v>keine</v>
      </c>
      <c r="X24" s="1329"/>
      <c r="Y24" s="1330" t="s">
        <v>795</v>
      </c>
      <c r="Z24" s="1424">
        <v>0</v>
      </c>
      <c r="AA24" s="1033">
        <f>VLOOKUP(Y24,Düngemittel!$B$6:$E$64,2,FALSE)*(VLOOKUP(Y24,Düngemittel!$B$6:$E$64,3,FALSE))/100*Z24</f>
        <v>0</v>
      </c>
      <c r="AB24" s="1033">
        <f>VLOOKUP(Y24,Düngemittel!$B$6:$E$64,2,FALSE)*Z24</f>
        <v>0</v>
      </c>
      <c r="AC24" s="1033">
        <f>VLOOKUP(Y24,Düngemittel!$B$6:$E$64,4,FALSE)*Z24</f>
        <v>0</v>
      </c>
      <c r="AD24" s="2081"/>
      <c r="AE24" s="1329"/>
      <c r="AF24" s="1330" t="s">
        <v>795</v>
      </c>
      <c r="AG24" s="1424">
        <v>0</v>
      </c>
      <c r="AH24" s="1033">
        <f>VLOOKUP(AF24,Düngemittel!$B$6:$E$64,2,FALSE)*(VLOOKUP(AF24,Düngemittel!$B$6:$E$64,3,FALSE))/100*AG24</f>
        <v>0</v>
      </c>
      <c r="AI24" s="1033">
        <f>VLOOKUP(AF24,Düngemittel!$B$6:$E$64,2,FALSE)*AG24</f>
        <v>0</v>
      </c>
      <c r="AJ24" s="1033">
        <f>VLOOKUP(AF24,Düngemittel!$B$6:$E$64,4,FALSE)*AG24</f>
        <v>0</v>
      </c>
      <c r="AK24" s="2081"/>
      <c r="AL24" s="1329"/>
      <c r="AM24" s="1330" t="s">
        <v>795</v>
      </c>
      <c r="AN24" s="1424">
        <v>0</v>
      </c>
      <c r="AO24" s="1033">
        <f>VLOOKUP(AM24,Düngemittel!$B$6:$E$64,2,FALSE)*(VLOOKUP(AM24,Düngemittel!$B$6:$E$64,3,FALSE))/100*AN24</f>
        <v>0</v>
      </c>
      <c r="AP24" s="1033">
        <f>VLOOKUP(AM24,Düngemittel!$B$6:$E$64,2,FALSE)*AN24</f>
        <v>0</v>
      </c>
      <c r="AQ24" s="1033">
        <f>VLOOKUP(AM24,Düngemittel!$B$6:$E$64,4,FALSE)*AN24</f>
        <v>0</v>
      </c>
      <c r="AR24" s="2081"/>
      <c r="AS24" s="1329"/>
      <c r="AT24" s="1330" t="s">
        <v>795</v>
      </c>
      <c r="AU24" s="1424">
        <v>0</v>
      </c>
      <c r="AV24" s="1033">
        <f>VLOOKUP(AT24,Düngemittel!$B$6:$E$64,2,FALSE)*(VLOOKUP(AT24,Düngemittel!$B$6:$E$64,3,FALSE))/100*AU24</f>
        <v>0</v>
      </c>
      <c r="AW24" s="1033">
        <f>VLOOKUP(AT24,Düngemittel!$B$6:$E$64,2,FALSE)*AU24</f>
        <v>0</v>
      </c>
      <c r="AX24" s="1033">
        <f>VLOOKUP(AT24,Düngemittel!$B$6:$E$64,4,FALSE)*AU24</f>
        <v>0</v>
      </c>
      <c r="AY24" s="2081"/>
      <c r="AZ24" s="1329"/>
      <c r="BA24" s="1330" t="s">
        <v>795</v>
      </c>
      <c r="BB24" s="1424">
        <v>0</v>
      </c>
      <c r="BC24" s="1033">
        <f>VLOOKUP(BA24,Düngemittel!$B$6:$E$64,2,FALSE)*(VLOOKUP(BA24,Düngemittel!$B$6:$E$64,3,FALSE))/100*BB24</f>
        <v>0</v>
      </c>
      <c r="BD24" s="1033">
        <f>VLOOKUP(BA24,Düngemittel!$B$6:$E$64,2,FALSE)*BB24</f>
        <v>0</v>
      </c>
      <c r="BE24" s="1033">
        <f>VLOOKUP(BA24,Düngemittel!$B$6:$E$64,4,FALSE)*BB24</f>
        <v>0</v>
      </c>
      <c r="BF24" s="1251"/>
      <c r="BG24" s="1812">
        <f t="shared" si="17"/>
        <v>0</v>
      </c>
      <c r="BH24" s="1277">
        <f t="shared" si="18"/>
        <v>0</v>
      </c>
      <c r="BI24" s="1812">
        <f t="shared" si="18"/>
        <v>0</v>
      </c>
      <c r="BJ24" s="1138">
        <f t="shared" si="19"/>
        <v>0</v>
      </c>
      <c r="BK24" s="1277">
        <f t="shared" si="20"/>
        <v>0</v>
      </c>
      <c r="BL24" s="95"/>
      <c r="BM24" s="1810">
        <f t="shared" si="21"/>
        <v>0</v>
      </c>
      <c r="BN24" s="1135">
        <f t="shared" si="22"/>
        <v>0</v>
      </c>
      <c r="BO24" s="1810">
        <f t="shared" si="23"/>
        <v>0</v>
      </c>
      <c r="BP24" s="1807">
        <f t="shared" si="24"/>
        <v>0</v>
      </c>
      <c r="BQ24" s="1135">
        <f t="shared" si="25"/>
        <v>0</v>
      </c>
      <c r="BR24" s="1251"/>
      <c r="BS24" s="1251"/>
      <c r="BT24" s="528">
        <f t="shared" si="13"/>
        <v>0</v>
      </c>
      <c r="BU24" s="528">
        <f t="shared" si="14"/>
        <v>0</v>
      </c>
      <c r="BV24" s="147"/>
      <c r="BW24" s="280" t="s">
        <v>696</v>
      </c>
      <c r="BX24" s="280">
        <v>20</v>
      </c>
      <c r="BY24" s="753">
        <v>110</v>
      </c>
      <c r="BZ24" s="753">
        <v>2</v>
      </c>
      <c r="CA24" s="753">
        <v>3</v>
      </c>
      <c r="CB24" s="806">
        <v>60</v>
      </c>
      <c r="CC24" s="749">
        <v>2</v>
      </c>
      <c r="CD24" s="480">
        <f t="shared" si="0"/>
        <v>40</v>
      </c>
    </row>
    <row r="25" spans="1:84" ht="26.25" customHeight="1">
      <c r="A25" s="468">
        <v>18</v>
      </c>
      <c r="B25" s="1699">
        <v>0</v>
      </c>
      <c r="C25" s="759" t="s">
        <v>31</v>
      </c>
      <c r="D25" s="1427">
        <f t="shared" si="1"/>
        <v>0</v>
      </c>
      <c r="E25" s="584">
        <f t="shared" si="2"/>
        <v>0</v>
      </c>
      <c r="F25" s="1690">
        <v>0</v>
      </c>
      <c r="G25" s="570">
        <f t="shared" si="3"/>
        <v>0</v>
      </c>
      <c r="H25" s="761" t="s">
        <v>503</v>
      </c>
      <c r="I25" s="584">
        <f t="shared" si="4"/>
        <v>0</v>
      </c>
      <c r="J25" s="587" t="s">
        <v>31</v>
      </c>
      <c r="K25" s="765">
        <f t="shared" si="5"/>
        <v>0</v>
      </c>
      <c r="L25" s="565">
        <f t="shared" si="6"/>
        <v>0</v>
      </c>
      <c r="M25" s="1693">
        <v>0</v>
      </c>
      <c r="N25" s="609" t="s">
        <v>160</v>
      </c>
      <c r="O25" s="584">
        <f t="shared" si="7"/>
        <v>0</v>
      </c>
      <c r="P25" s="1696">
        <v>0</v>
      </c>
      <c r="Q25" s="1894">
        <f t="shared" si="15"/>
        <v>0</v>
      </c>
      <c r="R25" s="2371">
        <f t="shared" si="16"/>
        <v>0</v>
      </c>
      <c r="S25" s="2367">
        <f t="shared" si="8"/>
        <v>0</v>
      </c>
      <c r="T25" s="592">
        <f t="shared" si="9"/>
        <v>0</v>
      </c>
      <c r="U25" s="1251"/>
      <c r="V25" s="1281">
        <f t="shared" si="10"/>
        <v>18</v>
      </c>
      <c r="W25" s="1281" t="str">
        <f t="shared" si="11"/>
        <v>keine</v>
      </c>
      <c r="X25" s="1329"/>
      <c r="Y25" s="1330" t="s">
        <v>795</v>
      </c>
      <c r="Z25" s="1424">
        <v>0</v>
      </c>
      <c r="AA25" s="1033">
        <f>VLOOKUP(Y25,Düngemittel!$B$6:$E$64,2,FALSE)*(VLOOKUP(Y25,Düngemittel!$B$6:$E$64,3,FALSE))/100*Z25</f>
        <v>0</v>
      </c>
      <c r="AB25" s="1033">
        <f>VLOOKUP(Y25,Düngemittel!$B$6:$E$64,2,FALSE)*Z25</f>
        <v>0</v>
      </c>
      <c r="AC25" s="1033">
        <f>VLOOKUP(Y25,Düngemittel!$B$6:$E$64,4,FALSE)*Z25</f>
        <v>0</v>
      </c>
      <c r="AD25" s="2081"/>
      <c r="AE25" s="1329"/>
      <c r="AF25" s="1330" t="s">
        <v>795</v>
      </c>
      <c r="AG25" s="1424">
        <v>0</v>
      </c>
      <c r="AH25" s="1033">
        <f>VLOOKUP(AF25,Düngemittel!$B$6:$E$64,2,FALSE)*(VLOOKUP(AF25,Düngemittel!$B$6:$E$64,3,FALSE))/100*AG25</f>
        <v>0</v>
      </c>
      <c r="AI25" s="1033">
        <f>VLOOKUP(AF25,Düngemittel!$B$6:$E$64,2,FALSE)*AG25</f>
        <v>0</v>
      </c>
      <c r="AJ25" s="1033">
        <f>VLOOKUP(AF25,Düngemittel!$B$6:$E$64,4,FALSE)*AG25</f>
        <v>0</v>
      </c>
      <c r="AK25" s="2081"/>
      <c r="AL25" s="1329"/>
      <c r="AM25" s="1330" t="s">
        <v>795</v>
      </c>
      <c r="AN25" s="1424">
        <v>0</v>
      </c>
      <c r="AO25" s="1033">
        <f>VLOOKUP(AM25,Düngemittel!$B$6:$E$64,2,FALSE)*(VLOOKUP(AM25,Düngemittel!$B$6:$E$64,3,FALSE))/100*AN25</f>
        <v>0</v>
      </c>
      <c r="AP25" s="1033">
        <f>VLOOKUP(AM25,Düngemittel!$B$6:$E$64,2,FALSE)*AN25</f>
        <v>0</v>
      </c>
      <c r="AQ25" s="1033">
        <f>VLOOKUP(AM25,Düngemittel!$B$6:$E$64,4,FALSE)*AN25</f>
        <v>0</v>
      </c>
      <c r="AR25" s="2081"/>
      <c r="AS25" s="1329"/>
      <c r="AT25" s="1330" t="s">
        <v>795</v>
      </c>
      <c r="AU25" s="1424">
        <v>0</v>
      </c>
      <c r="AV25" s="1033">
        <f>VLOOKUP(AT25,Düngemittel!$B$6:$E$64,2,FALSE)*(VLOOKUP(AT25,Düngemittel!$B$6:$E$64,3,FALSE))/100*AU25</f>
        <v>0</v>
      </c>
      <c r="AW25" s="1033">
        <f>VLOOKUP(AT25,Düngemittel!$B$6:$E$64,2,FALSE)*AU25</f>
        <v>0</v>
      </c>
      <c r="AX25" s="1033">
        <f>VLOOKUP(AT25,Düngemittel!$B$6:$E$64,4,FALSE)*AU25</f>
        <v>0</v>
      </c>
      <c r="AY25" s="2081"/>
      <c r="AZ25" s="1329"/>
      <c r="BA25" s="1330" t="s">
        <v>795</v>
      </c>
      <c r="BB25" s="1424">
        <v>0</v>
      </c>
      <c r="BC25" s="1033">
        <f>VLOOKUP(BA25,Düngemittel!$B$6:$E$64,2,FALSE)*(VLOOKUP(BA25,Düngemittel!$B$6:$E$64,3,FALSE))/100*BB25</f>
        <v>0</v>
      </c>
      <c r="BD25" s="1033">
        <f>VLOOKUP(BA25,Düngemittel!$B$6:$E$64,2,FALSE)*BB25</f>
        <v>0</v>
      </c>
      <c r="BE25" s="1033">
        <f>VLOOKUP(BA25,Düngemittel!$B$6:$E$64,4,FALSE)*BB25</f>
        <v>0</v>
      </c>
      <c r="BF25" s="1251"/>
      <c r="BG25" s="1812">
        <f t="shared" si="17"/>
        <v>0</v>
      </c>
      <c r="BH25" s="1277">
        <f t="shared" si="18"/>
        <v>0</v>
      </c>
      <c r="BI25" s="1812">
        <f t="shared" si="18"/>
        <v>0</v>
      </c>
      <c r="BJ25" s="1138">
        <f t="shared" si="19"/>
        <v>0</v>
      </c>
      <c r="BK25" s="1277">
        <f t="shared" si="20"/>
        <v>0</v>
      </c>
      <c r="BL25" s="95"/>
      <c r="BM25" s="1810">
        <f t="shared" si="21"/>
        <v>0</v>
      </c>
      <c r="BN25" s="1135">
        <f t="shared" si="22"/>
        <v>0</v>
      </c>
      <c r="BO25" s="1810">
        <f t="shared" si="23"/>
        <v>0</v>
      </c>
      <c r="BP25" s="1807">
        <f t="shared" si="24"/>
        <v>0</v>
      </c>
      <c r="BQ25" s="1135">
        <f t="shared" si="25"/>
        <v>0</v>
      </c>
      <c r="BR25" s="1251"/>
      <c r="BS25" s="1251"/>
      <c r="BT25" s="528">
        <f t="shared" si="13"/>
        <v>0</v>
      </c>
      <c r="BU25" s="528">
        <f t="shared" si="14"/>
        <v>0</v>
      </c>
      <c r="BW25" s="280" t="s">
        <v>753</v>
      </c>
      <c r="BX25" s="280">
        <v>850</v>
      </c>
      <c r="BY25" s="753">
        <v>220</v>
      </c>
      <c r="BZ25" s="754">
        <v>0.18</v>
      </c>
      <c r="CA25" s="754">
        <v>0.22</v>
      </c>
      <c r="CB25" s="806">
        <v>90</v>
      </c>
      <c r="CC25" s="749">
        <v>7.0000000000000007E-2</v>
      </c>
      <c r="CD25" s="480">
        <f t="shared" si="0"/>
        <v>59.500000000000007</v>
      </c>
    </row>
    <row r="26" spans="1:84" ht="26.25" customHeight="1">
      <c r="A26" s="468">
        <v>19</v>
      </c>
      <c r="B26" s="1699">
        <v>0</v>
      </c>
      <c r="C26" s="759" t="s">
        <v>31</v>
      </c>
      <c r="D26" s="1427">
        <f t="shared" si="1"/>
        <v>0</v>
      </c>
      <c r="E26" s="584">
        <f t="shared" si="2"/>
        <v>0</v>
      </c>
      <c r="F26" s="1690">
        <v>0</v>
      </c>
      <c r="G26" s="570">
        <f t="shared" si="3"/>
        <v>0</v>
      </c>
      <c r="H26" s="761" t="s">
        <v>503</v>
      </c>
      <c r="I26" s="584">
        <f t="shared" si="4"/>
        <v>0</v>
      </c>
      <c r="J26" s="587" t="s">
        <v>31</v>
      </c>
      <c r="K26" s="765">
        <f t="shared" si="5"/>
        <v>0</v>
      </c>
      <c r="L26" s="565">
        <f t="shared" si="6"/>
        <v>0</v>
      </c>
      <c r="M26" s="1693">
        <v>0</v>
      </c>
      <c r="N26" s="609" t="s">
        <v>160</v>
      </c>
      <c r="O26" s="584">
        <f t="shared" si="7"/>
        <v>0</v>
      </c>
      <c r="P26" s="1696">
        <v>0</v>
      </c>
      <c r="Q26" s="1894">
        <f t="shared" si="15"/>
        <v>0</v>
      </c>
      <c r="R26" s="2371">
        <f t="shared" si="16"/>
        <v>0</v>
      </c>
      <c r="S26" s="2367">
        <f t="shared" si="8"/>
        <v>0</v>
      </c>
      <c r="T26" s="592">
        <f t="shared" si="9"/>
        <v>0</v>
      </c>
      <c r="U26" s="1251"/>
      <c r="V26" s="1281">
        <f t="shared" si="10"/>
        <v>19</v>
      </c>
      <c r="W26" s="1281" t="str">
        <f t="shared" si="11"/>
        <v>keine</v>
      </c>
      <c r="X26" s="1329"/>
      <c r="Y26" s="1330" t="s">
        <v>795</v>
      </c>
      <c r="Z26" s="1424">
        <v>0</v>
      </c>
      <c r="AA26" s="1033">
        <f>VLOOKUP(Y26,Düngemittel!$B$6:$E$64,2,FALSE)*(VLOOKUP(Y26,Düngemittel!$B$6:$E$64,3,FALSE))/100*Z26</f>
        <v>0</v>
      </c>
      <c r="AB26" s="1033">
        <f>VLOOKUP(Y26,Düngemittel!$B$6:$E$64,2,FALSE)*Z26</f>
        <v>0</v>
      </c>
      <c r="AC26" s="1033">
        <f>VLOOKUP(Y26,Düngemittel!$B$6:$E$64,4,FALSE)*Z26</f>
        <v>0</v>
      </c>
      <c r="AD26" s="2081"/>
      <c r="AE26" s="1329"/>
      <c r="AF26" s="1330" t="s">
        <v>795</v>
      </c>
      <c r="AG26" s="1424">
        <v>0</v>
      </c>
      <c r="AH26" s="1033">
        <f>VLOOKUP(AF26,Düngemittel!$B$6:$E$64,2,FALSE)*(VLOOKUP(AF26,Düngemittel!$B$6:$E$64,3,FALSE))/100*AG26</f>
        <v>0</v>
      </c>
      <c r="AI26" s="1033">
        <f>VLOOKUP(AF26,Düngemittel!$B$6:$E$64,2,FALSE)*AG26</f>
        <v>0</v>
      </c>
      <c r="AJ26" s="1033">
        <f>VLOOKUP(AF26,Düngemittel!$B$6:$E$64,4,FALSE)*AG26</f>
        <v>0</v>
      </c>
      <c r="AK26" s="2081"/>
      <c r="AL26" s="1329"/>
      <c r="AM26" s="1330" t="s">
        <v>795</v>
      </c>
      <c r="AN26" s="1424">
        <v>0</v>
      </c>
      <c r="AO26" s="1033">
        <f>VLOOKUP(AM26,Düngemittel!$B$6:$E$64,2,FALSE)*(VLOOKUP(AM26,Düngemittel!$B$6:$E$64,3,FALSE))/100*AN26</f>
        <v>0</v>
      </c>
      <c r="AP26" s="1033">
        <f>VLOOKUP(AM26,Düngemittel!$B$6:$E$64,2,FALSE)*AN26</f>
        <v>0</v>
      </c>
      <c r="AQ26" s="1033">
        <f>VLOOKUP(AM26,Düngemittel!$B$6:$E$64,4,FALSE)*AN26</f>
        <v>0</v>
      </c>
      <c r="AR26" s="2081"/>
      <c r="AS26" s="1329"/>
      <c r="AT26" s="1330" t="s">
        <v>795</v>
      </c>
      <c r="AU26" s="1424">
        <v>0</v>
      </c>
      <c r="AV26" s="1033">
        <f>VLOOKUP(AT26,Düngemittel!$B$6:$E$64,2,FALSE)*(VLOOKUP(AT26,Düngemittel!$B$6:$E$64,3,FALSE))/100*AU26</f>
        <v>0</v>
      </c>
      <c r="AW26" s="1033">
        <f>VLOOKUP(AT26,Düngemittel!$B$6:$E$64,2,FALSE)*AU26</f>
        <v>0</v>
      </c>
      <c r="AX26" s="1033">
        <f>VLOOKUP(AT26,Düngemittel!$B$6:$E$64,4,FALSE)*AU26</f>
        <v>0</v>
      </c>
      <c r="AY26" s="2081"/>
      <c r="AZ26" s="1329"/>
      <c r="BA26" s="1330" t="s">
        <v>795</v>
      </c>
      <c r="BB26" s="1424">
        <v>0</v>
      </c>
      <c r="BC26" s="1033">
        <f>VLOOKUP(BA26,Düngemittel!$B$6:$E$64,2,FALSE)*(VLOOKUP(BA26,Düngemittel!$B$6:$E$64,3,FALSE))/100*BB26</f>
        <v>0</v>
      </c>
      <c r="BD26" s="1033">
        <f>VLOOKUP(BA26,Düngemittel!$B$6:$E$64,2,FALSE)*BB26</f>
        <v>0</v>
      </c>
      <c r="BE26" s="1033">
        <f>VLOOKUP(BA26,Düngemittel!$B$6:$E$64,4,FALSE)*BB26</f>
        <v>0</v>
      </c>
      <c r="BF26" s="1251"/>
      <c r="BG26" s="1812">
        <f t="shared" si="17"/>
        <v>0</v>
      </c>
      <c r="BH26" s="1277">
        <f t="shared" si="18"/>
        <v>0</v>
      </c>
      <c r="BI26" s="1812">
        <f t="shared" si="18"/>
        <v>0</v>
      </c>
      <c r="BJ26" s="1138">
        <f t="shared" si="19"/>
        <v>0</v>
      </c>
      <c r="BK26" s="1277">
        <f t="shared" si="20"/>
        <v>0</v>
      </c>
      <c r="BL26" s="95"/>
      <c r="BM26" s="1810">
        <f t="shared" si="21"/>
        <v>0</v>
      </c>
      <c r="BN26" s="1135">
        <f t="shared" si="22"/>
        <v>0</v>
      </c>
      <c r="BO26" s="1810">
        <f t="shared" si="23"/>
        <v>0</v>
      </c>
      <c r="BP26" s="1807">
        <f t="shared" si="24"/>
        <v>0</v>
      </c>
      <c r="BQ26" s="1135">
        <f t="shared" si="25"/>
        <v>0</v>
      </c>
      <c r="BR26" s="1251"/>
      <c r="BS26" s="1251"/>
      <c r="BT26" s="528">
        <f t="shared" si="13"/>
        <v>0</v>
      </c>
      <c r="BU26" s="528">
        <f t="shared" si="14"/>
        <v>0</v>
      </c>
      <c r="BV26" s="148"/>
      <c r="BW26" s="813" t="s">
        <v>762</v>
      </c>
      <c r="BX26" s="813">
        <v>200</v>
      </c>
      <c r="BY26" s="813">
        <v>100</v>
      </c>
      <c r="BZ26" s="813">
        <v>0.2</v>
      </c>
      <c r="CA26" s="813">
        <v>0.3</v>
      </c>
      <c r="CB26" s="808">
        <v>60</v>
      </c>
      <c r="CC26" s="749">
        <v>0.24</v>
      </c>
      <c r="CD26" s="480">
        <f t="shared" si="0"/>
        <v>48</v>
      </c>
    </row>
    <row r="27" spans="1:84" s="1421" customFormat="1" ht="26.25" customHeight="1">
      <c r="A27" s="468">
        <v>20</v>
      </c>
      <c r="B27" s="1699">
        <v>0</v>
      </c>
      <c r="C27" s="759" t="s">
        <v>31</v>
      </c>
      <c r="D27" s="1427">
        <f t="shared" si="1"/>
        <v>0</v>
      </c>
      <c r="E27" s="584">
        <f t="shared" si="2"/>
        <v>0</v>
      </c>
      <c r="F27" s="1690">
        <v>0</v>
      </c>
      <c r="G27" s="570">
        <f t="shared" si="3"/>
        <v>0</v>
      </c>
      <c r="H27" s="761" t="s">
        <v>503</v>
      </c>
      <c r="I27" s="584">
        <f t="shared" si="4"/>
        <v>0</v>
      </c>
      <c r="J27" s="587" t="s">
        <v>31</v>
      </c>
      <c r="K27" s="765">
        <f t="shared" si="5"/>
        <v>0</v>
      </c>
      <c r="L27" s="565">
        <f t="shared" si="6"/>
        <v>0</v>
      </c>
      <c r="M27" s="1693">
        <v>0</v>
      </c>
      <c r="N27" s="609" t="s">
        <v>160</v>
      </c>
      <c r="O27" s="584">
        <f t="shared" si="7"/>
        <v>0</v>
      </c>
      <c r="P27" s="1696">
        <v>0</v>
      </c>
      <c r="Q27" s="1894">
        <f t="shared" si="15"/>
        <v>0</v>
      </c>
      <c r="R27" s="2371">
        <f t="shared" si="16"/>
        <v>0</v>
      </c>
      <c r="S27" s="2367">
        <f t="shared" si="8"/>
        <v>0</v>
      </c>
      <c r="T27" s="592">
        <f t="shared" si="9"/>
        <v>0</v>
      </c>
      <c r="U27" s="2324"/>
      <c r="V27" s="1281">
        <f t="shared" si="10"/>
        <v>20</v>
      </c>
      <c r="W27" s="1281" t="str">
        <f t="shared" si="11"/>
        <v>keine</v>
      </c>
      <c r="X27" s="1329"/>
      <c r="Y27" s="1330" t="s">
        <v>795</v>
      </c>
      <c r="Z27" s="1424">
        <v>0</v>
      </c>
      <c r="AA27" s="1033">
        <f>VLOOKUP(Y27,Düngemittel!$B$6:$E$64,2,FALSE)*(VLOOKUP(Y27,Düngemittel!$B$6:$E$64,3,FALSE))/100*Z27</f>
        <v>0</v>
      </c>
      <c r="AB27" s="1033">
        <f>VLOOKUP(Y27,Düngemittel!$B$6:$E$64,2,FALSE)*Z27</f>
        <v>0</v>
      </c>
      <c r="AC27" s="1033">
        <f>VLOOKUP(Y27,Düngemittel!$B$6:$E$64,4,FALSE)*Z27</f>
        <v>0</v>
      </c>
      <c r="AD27" s="2324"/>
      <c r="AE27" s="1329"/>
      <c r="AF27" s="1330" t="s">
        <v>795</v>
      </c>
      <c r="AG27" s="1424">
        <v>0</v>
      </c>
      <c r="AH27" s="1033">
        <f>VLOOKUP(AF27,Düngemittel!$B$6:$E$64,2,FALSE)*(VLOOKUP(AF27,Düngemittel!$B$6:$E$64,3,FALSE))/100*AG27</f>
        <v>0</v>
      </c>
      <c r="AI27" s="1033">
        <f>VLOOKUP(AF27,Düngemittel!$B$6:$E$64,2,FALSE)*AG27</f>
        <v>0</v>
      </c>
      <c r="AJ27" s="1033">
        <f>VLOOKUP(AF27,Düngemittel!$B$6:$E$64,4,FALSE)*AG27</f>
        <v>0</v>
      </c>
      <c r="AK27" s="2324"/>
      <c r="AL27" s="1329"/>
      <c r="AM27" s="1330" t="s">
        <v>795</v>
      </c>
      <c r="AN27" s="1424">
        <v>0</v>
      </c>
      <c r="AO27" s="1033">
        <f>VLOOKUP(AM27,Düngemittel!$B$6:$E$64,2,FALSE)*(VLOOKUP(AM27,Düngemittel!$B$6:$E$64,3,FALSE))/100*AN27</f>
        <v>0</v>
      </c>
      <c r="AP27" s="1033">
        <f>VLOOKUP(AM27,Düngemittel!$B$6:$E$64,2,FALSE)*AN27</f>
        <v>0</v>
      </c>
      <c r="AQ27" s="1033">
        <f>VLOOKUP(AM27,Düngemittel!$B$6:$E$64,4,FALSE)*AN27</f>
        <v>0</v>
      </c>
      <c r="AR27" s="2324"/>
      <c r="AS27" s="1329"/>
      <c r="AT27" s="1330" t="s">
        <v>795</v>
      </c>
      <c r="AU27" s="1424">
        <v>0</v>
      </c>
      <c r="AV27" s="1033">
        <f>VLOOKUP(AT27,Düngemittel!$B$6:$E$64,2,FALSE)*(VLOOKUP(AT27,Düngemittel!$B$6:$E$64,3,FALSE))/100*AU27</f>
        <v>0</v>
      </c>
      <c r="AW27" s="1033">
        <f>VLOOKUP(AT27,Düngemittel!$B$6:$E$64,2,FALSE)*AU27</f>
        <v>0</v>
      </c>
      <c r="AX27" s="1033">
        <f>VLOOKUP(AT27,Düngemittel!$B$6:$E$64,4,FALSE)*AU27</f>
        <v>0</v>
      </c>
      <c r="AY27" s="2324"/>
      <c r="AZ27" s="1329"/>
      <c r="BA27" s="1330" t="s">
        <v>795</v>
      </c>
      <c r="BB27" s="1424">
        <v>0</v>
      </c>
      <c r="BC27" s="1033">
        <f>VLOOKUP(BA27,Düngemittel!$B$6:$E$64,2,FALSE)*(VLOOKUP(BA27,Düngemittel!$B$6:$E$64,3,FALSE))/100*BB27</f>
        <v>0</v>
      </c>
      <c r="BD27" s="1033">
        <f>VLOOKUP(BA27,Düngemittel!$B$6:$E$64,2,FALSE)*BB27</f>
        <v>0</v>
      </c>
      <c r="BE27" s="1033">
        <f>VLOOKUP(BA27,Düngemittel!$B$6:$E$64,4,FALSE)*BB27</f>
        <v>0</v>
      </c>
      <c r="BF27" s="2324"/>
      <c r="BG27" s="1812">
        <f t="shared" ref="BG27:BG47" si="26">IF(AA27&lt;AB27,0,AA27)+IF(AH27&lt;AI27,0,AH27)+IF(AO27&lt;AP27,0,AO27)+IF(AV27&lt;AW27,0,AV27)+IF(BC27&lt;BD27,0,BC27)</f>
        <v>0</v>
      </c>
      <c r="BH27" s="2328">
        <f t="shared" ref="BH27:BH47" si="27">(AA27+AH27+AO27+AV27+BC27)</f>
        <v>0</v>
      </c>
      <c r="BI27" s="1812">
        <f t="shared" ref="BI27:BI47" si="28">(AB27+AI27+AP27+AW27+BD27)</f>
        <v>0</v>
      </c>
      <c r="BJ27" s="1138">
        <f t="shared" ref="BJ27:BJ47" si="29">IF(AA27&lt;AB27,AB27,0)+IF(AH27&lt;AI27,AI27,0)+IF(AO27&lt;AP27,AP27,0)+IF(AV27&lt;AW27,AW27,0)+IF(BC27&lt;BD27,BD27,0)</f>
        <v>0</v>
      </c>
      <c r="BK27" s="2328">
        <f t="shared" ref="BK27:BK47" si="30">(AC27+AJ27+AQ27+AX27+BE27)</f>
        <v>0</v>
      </c>
      <c r="BL27" s="95"/>
      <c r="BM27" s="1810">
        <f t="shared" ref="BM27:BM47" si="31">BG27*$B27</f>
        <v>0</v>
      </c>
      <c r="BN27" s="1135">
        <f t="shared" ref="BN27:BN47" si="32">BH27*$B27</f>
        <v>0</v>
      </c>
      <c r="BO27" s="1810">
        <f t="shared" ref="BO27:BO47" si="33">BI27*$B27</f>
        <v>0</v>
      </c>
      <c r="BP27" s="1807">
        <f t="shared" ref="BP27:BP47" si="34">BJ27*$B27</f>
        <v>0</v>
      </c>
      <c r="BQ27" s="1135">
        <f t="shared" ref="BQ27:BQ47" si="35">BK27*$B27</f>
        <v>0</v>
      </c>
      <c r="BR27" s="2324"/>
      <c r="BS27" s="2324"/>
      <c r="BT27" s="528">
        <f t="shared" si="13"/>
        <v>0</v>
      </c>
      <c r="BU27" s="528">
        <f t="shared" si="14"/>
        <v>0</v>
      </c>
      <c r="BV27" s="148"/>
      <c r="BW27" s="279" t="s">
        <v>693</v>
      </c>
      <c r="BX27" s="279">
        <v>20</v>
      </c>
      <c r="BY27" s="751">
        <v>100</v>
      </c>
      <c r="BZ27" s="807">
        <v>2</v>
      </c>
      <c r="CA27" s="807">
        <v>3</v>
      </c>
      <c r="CB27" s="806">
        <v>60</v>
      </c>
      <c r="CC27" s="749">
        <v>1.2</v>
      </c>
      <c r="CD27" s="480">
        <f t="shared" ref="CD27:CD58" si="36">BX27*CC27</f>
        <v>24</v>
      </c>
    </row>
    <row r="28" spans="1:84" s="1421" customFormat="1" ht="26.25" customHeight="1">
      <c r="A28" s="468">
        <v>21</v>
      </c>
      <c r="B28" s="1699">
        <v>0</v>
      </c>
      <c r="C28" s="759" t="s">
        <v>31</v>
      </c>
      <c r="D28" s="1427">
        <f t="shared" si="1"/>
        <v>0</v>
      </c>
      <c r="E28" s="584">
        <f t="shared" si="2"/>
        <v>0</v>
      </c>
      <c r="F28" s="1690">
        <v>0</v>
      </c>
      <c r="G28" s="570">
        <f t="shared" si="3"/>
        <v>0</v>
      </c>
      <c r="H28" s="761" t="s">
        <v>503</v>
      </c>
      <c r="I28" s="584">
        <f t="shared" si="4"/>
        <v>0</v>
      </c>
      <c r="J28" s="587" t="s">
        <v>31</v>
      </c>
      <c r="K28" s="765">
        <f t="shared" si="5"/>
        <v>0</v>
      </c>
      <c r="L28" s="565">
        <f t="shared" si="6"/>
        <v>0</v>
      </c>
      <c r="M28" s="1693">
        <v>0</v>
      </c>
      <c r="N28" s="609" t="s">
        <v>160</v>
      </c>
      <c r="O28" s="584">
        <f t="shared" si="7"/>
        <v>0</v>
      </c>
      <c r="P28" s="1696">
        <v>0</v>
      </c>
      <c r="Q28" s="1894">
        <f t="shared" si="15"/>
        <v>0</v>
      </c>
      <c r="R28" s="2371">
        <f t="shared" si="16"/>
        <v>0</v>
      </c>
      <c r="S28" s="2367">
        <f t="shared" si="8"/>
        <v>0</v>
      </c>
      <c r="T28" s="592">
        <f t="shared" si="9"/>
        <v>0</v>
      </c>
      <c r="U28" s="2324"/>
      <c r="V28" s="1281">
        <f t="shared" si="10"/>
        <v>21</v>
      </c>
      <c r="W28" s="1281" t="str">
        <f t="shared" si="11"/>
        <v>keine</v>
      </c>
      <c r="X28" s="1329"/>
      <c r="Y28" s="1330" t="s">
        <v>795</v>
      </c>
      <c r="Z28" s="1424">
        <v>0</v>
      </c>
      <c r="AA28" s="1033">
        <f>VLOOKUP(Y28,Düngemittel!$B$6:$E$64,2,FALSE)*(VLOOKUP(Y28,Düngemittel!$B$6:$E$64,3,FALSE))/100*Z28</f>
        <v>0</v>
      </c>
      <c r="AB28" s="1033">
        <f>VLOOKUP(Y28,Düngemittel!$B$6:$E$64,2,FALSE)*Z28</f>
        <v>0</v>
      </c>
      <c r="AC28" s="1033">
        <f>VLOOKUP(Y28,Düngemittel!$B$6:$E$64,4,FALSE)*Z28</f>
        <v>0</v>
      </c>
      <c r="AD28" s="2324"/>
      <c r="AE28" s="1329"/>
      <c r="AF28" s="1330" t="s">
        <v>795</v>
      </c>
      <c r="AG28" s="1424">
        <v>0</v>
      </c>
      <c r="AH28" s="1033">
        <f>VLOOKUP(AF28,Düngemittel!$B$6:$E$64,2,FALSE)*(VLOOKUP(AF28,Düngemittel!$B$6:$E$64,3,FALSE))/100*AG28</f>
        <v>0</v>
      </c>
      <c r="AI28" s="1033">
        <f>VLOOKUP(AF28,Düngemittel!$B$6:$E$64,2,FALSE)*AG28</f>
        <v>0</v>
      </c>
      <c r="AJ28" s="1033">
        <f>VLOOKUP(AF28,Düngemittel!$B$6:$E$64,4,FALSE)*AG28</f>
        <v>0</v>
      </c>
      <c r="AK28" s="2324"/>
      <c r="AL28" s="1329"/>
      <c r="AM28" s="1330" t="s">
        <v>795</v>
      </c>
      <c r="AN28" s="1424">
        <v>0</v>
      </c>
      <c r="AO28" s="1033">
        <f>VLOOKUP(AM28,Düngemittel!$B$6:$E$64,2,FALSE)*(VLOOKUP(AM28,Düngemittel!$B$6:$E$64,3,FALSE))/100*AN28</f>
        <v>0</v>
      </c>
      <c r="AP28" s="1033">
        <f>VLOOKUP(AM28,Düngemittel!$B$6:$E$64,2,FALSE)*AN28</f>
        <v>0</v>
      </c>
      <c r="AQ28" s="1033">
        <f>VLOOKUP(AM28,Düngemittel!$B$6:$E$64,4,FALSE)*AN28</f>
        <v>0</v>
      </c>
      <c r="AR28" s="2324"/>
      <c r="AS28" s="1329"/>
      <c r="AT28" s="1330" t="s">
        <v>795</v>
      </c>
      <c r="AU28" s="1424">
        <v>0</v>
      </c>
      <c r="AV28" s="1033">
        <f>VLOOKUP(AT28,Düngemittel!$B$6:$E$64,2,FALSE)*(VLOOKUP(AT28,Düngemittel!$B$6:$E$64,3,FALSE))/100*AU28</f>
        <v>0</v>
      </c>
      <c r="AW28" s="1033">
        <f>VLOOKUP(AT28,Düngemittel!$B$6:$E$64,2,FALSE)*AU28</f>
        <v>0</v>
      </c>
      <c r="AX28" s="1033">
        <f>VLOOKUP(AT28,Düngemittel!$B$6:$E$64,4,FALSE)*AU28</f>
        <v>0</v>
      </c>
      <c r="AY28" s="2324"/>
      <c r="AZ28" s="1329"/>
      <c r="BA28" s="1330" t="s">
        <v>795</v>
      </c>
      <c r="BB28" s="1424">
        <v>0</v>
      </c>
      <c r="BC28" s="1033">
        <f>VLOOKUP(BA28,Düngemittel!$B$6:$E$64,2,FALSE)*(VLOOKUP(BA28,Düngemittel!$B$6:$E$64,3,FALSE))/100*BB28</f>
        <v>0</v>
      </c>
      <c r="BD28" s="1033">
        <f>VLOOKUP(BA28,Düngemittel!$B$6:$E$64,2,FALSE)*BB28</f>
        <v>0</v>
      </c>
      <c r="BE28" s="1033">
        <f>VLOOKUP(BA28,Düngemittel!$B$6:$E$64,4,FALSE)*BB28</f>
        <v>0</v>
      </c>
      <c r="BF28" s="2324"/>
      <c r="BG28" s="1812">
        <f t="shared" si="26"/>
        <v>0</v>
      </c>
      <c r="BH28" s="2328">
        <f t="shared" si="27"/>
        <v>0</v>
      </c>
      <c r="BI28" s="1812">
        <f t="shared" si="28"/>
        <v>0</v>
      </c>
      <c r="BJ28" s="1138">
        <f t="shared" si="29"/>
        <v>0</v>
      </c>
      <c r="BK28" s="2328">
        <f t="shared" si="30"/>
        <v>0</v>
      </c>
      <c r="BL28" s="95"/>
      <c r="BM28" s="1810">
        <f t="shared" si="31"/>
        <v>0</v>
      </c>
      <c r="BN28" s="1135">
        <f t="shared" si="32"/>
        <v>0</v>
      </c>
      <c r="BO28" s="1810">
        <f t="shared" si="33"/>
        <v>0</v>
      </c>
      <c r="BP28" s="1807">
        <f t="shared" si="34"/>
        <v>0</v>
      </c>
      <c r="BQ28" s="1135">
        <f t="shared" si="35"/>
        <v>0</v>
      </c>
      <c r="BR28" s="2324"/>
      <c r="BS28" s="2324"/>
      <c r="BT28" s="528">
        <f t="shared" si="13"/>
        <v>0</v>
      </c>
      <c r="BU28" s="528">
        <f t="shared" si="14"/>
        <v>0</v>
      </c>
      <c r="BV28" s="148"/>
      <c r="BW28" s="280" t="s">
        <v>689</v>
      </c>
      <c r="BX28" s="280">
        <v>25</v>
      </c>
      <c r="BY28" s="753">
        <v>160</v>
      </c>
      <c r="BZ28" s="807">
        <v>2</v>
      </c>
      <c r="CA28" s="807">
        <v>3</v>
      </c>
      <c r="CB28" s="806">
        <v>60</v>
      </c>
      <c r="CC28" s="749">
        <v>1.77</v>
      </c>
      <c r="CD28" s="480">
        <f t="shared" si="36"/>
        <v>44.25</v>
      </c>
    </row>
    <row r="29" spans="1:84" s="1421" customFormat="1" ht="26.25" customHeight="1">
      <c r="A29" s="468">
        <v>22</v>
      </c>
      <c r="B29" s="1699">
        <v>0</v>
      </c>
      <c r="C29" s="759" t="s">
        <v>31</v>
      </c>
      <c r="D29" s="1427">
        <f t="shared" si="1"/>
        <v>0</v>
      </c>
      <c r="E29" s="584">
        <f t="shared" si="2"/>
        <v>0</v>
      </c>
      <c r="F29" s="1690">
        <v>0</v>
      </c>
      <c r="G29" s="570">
        <f t="shared" si="3"/>
        <v>0</v>
      </c>
      <c r="H29" s="761" t="s">
        <v>503</v>
      </c>
      <c r="I29" s="584">
        <f t="shared" si="4"/>
        <v>0</v>
      </c>
      <c r="J29" s="587" t="s">
        <v>31</v>
      </c>
      <c r="K29" s="765">
        <f t="shared" si="5"/>
        <v>0</v>
      </c>
      <c r="L29" s="565">
        <f t="shared" si="6"/>
        <v>0</v>
      </c>
      <c r="M29" s="1693">
        <v>0</v>
      </c>
      <c r="N29" s="609" t="s">
        <v>160</v>
      </c>
      <c r="O29" s="584">
        <f t="shared" si="7"/>
        <v>0</v>
      </c>
      <c r="P29" s="1696">
        <v>0</v>
      </c>
      <c r="Q29" s="1894">
        <f t="shared" si="15"/>
        <v>0</v>
      </c>
      <c r="R29" s="2371">
        <f t="shared" si="16"/>
        <v>0</v>
      </c>
      <c r="S29" s="2367">
        <f t="shared" si="8"/>
        <v>0</v>
      </c>
      <c r="T29" s="592">
        <f t="shared" si="9"/>
        <v>0</v>
      </c>
      <c r="U29" s="2324"/>
      <c r="V29" s="1281">
        <f t="shared" si="10"/>
        <v>22</v>
      </c>
      <c r="W29" s="1281" t="str">
        <f t="shared" si="11"/>
        <v>keine</v>
      </c>
      <c r="X29" s="1329"/>
      <c r="Y29" s="1330" t="s">
        <v>795</v>
      </c>
      <c r="Z29" s="1424">
        <v>0</v>
      </c>
      <c r="AA29" s="1033">
        <f>VLOOKUP(Y29,Düngemittel!$B$6:$E$64,2,FALSE)*(VLOOKUP(Y29,Düngemittel!$B$6:$E$64,3,FALSE))/100*Z29</f>
        <v>0</v>
      </c>
      <c r="AB29" s="1033">
        <f>VLOOKUP(Y29,Düngemittel!$B$6:$E$64,2,FALSE)*Z29</f>
        <v>0</v>
      </c>
      <c r="AC29" s="1033">
        <f>VLOOKUP(Y29,Düngemittel!$B$6:$E$64,4,FALSE)*Z29</f>
        <v>0</v>
      </c>
      <c r="AD29" s="2324"/>
      <c r="AE29" s="1329"/>
      <c r="AF29" s="1330" t="s">
        <v>795</v>
      </c>
      <c r="AG29" s="1424">
        <v>0</v>
      </c>
      <c r="AH29" s="1033">
        <f>VLOOKUP(AF29,Düngemittel!$B$6:$E$64,2,FALSE)*(VLOOKUP(AF29,Düngemittel!$B$6:$E$64,3,FALSE))/100*AG29</f>
        <v>0</v>
      </c>
      <c r="AI29" s="1033">
        <f>VLOOKUP(AF29,Düngemittel!$B$6:$E$64,2,FALSE)*AG29</f>
        <v>0</v>
      </c>
      <c r="AJ29" s="1033">
        <f>VLOOKUP(AF29,Düngemittel!$B$6:$E$64,4,FALSE)*AG29</f>
        <v>0</v>
      </c>
      <c r="AK29" s="2324"/>
      <c r="AL29" s="1329"/>
      <c r="AM29" s="1330" t="s">
        <v>795</v>
      </c>
      <c r="AN29" s="1424">
        <v>0</v>
      </c>
      <c r="AO29" s="1033">
        <f>VLOOKUP(AM29,Düngemittel!$B$6:$E$64,2,FALSE)*(VLOOKUP(AM29,Düngemittel!$B$6:$E$64,3,FALSE))/100*AN29</f>
        <v>0</v>
      </c>
      <c r="AP29" s="1033">
        <f>VLOOKUP(AM29,Düngemittel!$B$6:$E$64,2,FALSE)*AN29</f>
        <v>0</v>
      </c>
      <c r="AQ29" s="1033">
        <f>VLOOKUP(AM29,Düngemittel!$B$6:$E$64,4,FALSE)*AN29</f>
        <v>0</v>
      </c>
      <c r="AR29" s="2324"/>
      <c r="AS29" s="1329"/>
      <c r="AT29" s="1330" t="s">
        <v>795</v>
      </c>
      <c r="AU29" s="1424">
        <v>0</v>
      </c>
      <c r="AV29" s="1033">
        <f>VLOOKUP(AT29,Düngemittel!$B$6:$E$64,2,FALSE)*(VLOOKUP(AT29,Düngemittel!$B$6:$E$64,3,FALSE))/100*AU29</f>
        <v>0</v>
      </c>
      <c r="AW29" s="1033">
        <f>VLOOKUP(AT29,Düngemittel!$B$6:$E$64,2,FALSE)*AU29</f>
        <v>0</v>
      </c>
      <c r="AX29" s="1033">
        <f>VLOOKUP(AT29,Düngemittel!$B$6:$E$64,4,FALSE)*AU29</f>
        <v>0</v>
      </c>
      <c r="AY29" s="2324"/>
      <c r="AZ29" s="1329"/>
      <c r="BA29" s="1330" t="s">
        <v>795</v>
      </c>
      <c r="BB29" s="1424">
        <v>0</v>
      </c>
      <c r="BC29" s="1033">
        <f>VLOOKUP(BA29,Düngemittel!$B$6:$E$64,2,FALSE)*(VLOOKUP(BA29,Düngemittel!$B$6:$E$64,3,FALSE))/100*BB29</f>
        <v>0</v>
      </c>
      <c r="BD29" s="1033">
        <f>VLOOKUP(BA29,Düngemittel!$B$6:$E$64,2,FALSE)*BB29</f>
        <v>0</v>
      </c>
      <c r="BE29" s="1033">
        <f>VLOOKUP(BA29,Düngemittel!$B$6:$E$64,4,FALSE)*BB29</f>
        <v>0</v>
      </c>
      <c r="BF29" s="2324"/>
      <c r="BG29" s="1812">
        <f t="shared" si="26"/>
        <v>0</v>
      </c>
      <c r="BH29" s="2328">
        <f t="shared" si="27"/>
        <v>0</v>
      </c>
      <c r="BI29" s="1812">
        <f t="shared" si="28"/>
        <v>0</v>
      </c>
      <c r="BJ29" s="1138">
        <f t="shared" si="29"/>
        <v>0</v>
      </c>
      <c r="BK29" s="2328">
        <f t="shared" si="30"/>
        <v>0</v>
      </c>
      <c r="BL29" s="95"/>
      <c r="BM29" s="1810">
        <f t="shared" si="31"/>
        <v>0</v>
      </c>
      <c r="BN29" s="1135">
        <f t="shared" si="32"/>
        <v>0</v>
      </c>
      <c r="BO29" s="1810">
        <f t="shared" si="33"/>
        <v>0</v>
      </c>
      <c r="BP29" s="1807">
        <f t="shared" si="34"/>
        <v>0</v>
      </c>
      <c r="BQ29" s="1135">
        <f t="shared" si="35"/>
        <v>0</v>
      </c>
      <c r="BR29" s="2324"/>
      <c r="BS29" s="2324"/>
      <c r="BT29" s="528">
        <f t="shared" si="13"/>
        <v>0</v>
      </c>
      <c r="BU29" s="528">
        <f t="shared" si="14"/>
        <v>0</v>
      </c>
      <c r="BV29" s="148"/>
      <c r="BW29" s="735" t="s">
        <v>760</v>
      </c>
      <c r="BX29" s="735">
        <v>500</v>
      </c>
      <c r="BY29" s="807">
        <v>140</v>
      </c>
      <c r="BZ29" s="809">
        <v>0.2</v>
      </c>
      <c r="CA29" s="809">
        <v>0.3</v>
      </c>
      <c r="CB29" s="806">
        <v>60</v>
      </c>
      <c r="CC29" s="749">
        <v>0.14000000000000001</v>
      </c>
      <c r="CD29" s="480">
        <f t="shared" si="36"/>
        <v>70</v>
      </c>
    </row>
    <row r="30" spans="1:84" s="1421" customFormat="1" ht="26.25" customHeight="1">
      <c r="A30" s="468">
        <v>23</v>
      </c>
      <c r="B30" s="1699">
        <v>0</v>
      </c>
      <c r="C30" s="759" t="s">
        <v>31</v>
      </c>
      <c r="D30" s="1427">
        <f t="shared" si="1"/>
        <v>0</v>
      </c>
      <c r="E30" s="584">
        <f t="shared" si="2"/>
        <v>0</v>
      </c>
      <c r="F30" s="1690">
        <v>0</v>
      </c>
      <c r="G30" s="570">
        <f t="shared" si="3"/>
        <v>0</v>
      </c>
      <c r="H30" s="761" t="s">
        <v>503</v>
      </c>
      <c r="I30" s="584">
        <f t="shared" si="4"/>
        <v>0</v>
      </c>
      <c r="J30" s="587" t="s">
        <v>31</v>
      </c>
      <c r="K30" s="765">
        <f t="shared" si="5"/>
        <v>0</v>
      </c>
      <c r="L30" s="565">
        <f t="shared" si="6"/>
        <v>0</v>
      </c>
      <c r="M30" s="1693">
        <v>0</v>
      </c>
      <c r="N30" s="609" t="s">
        <v>160</v>
      </c>
      <c r="O30" s="584">
        <f t="shared" si="7"/>
        <v>0</v>
      </c>
      <c r="P30" s="1696">
        <v>0</v>
      </c>
      <c r="Q30" s="1894">
        <f t="shared" si="15"/>
        <v>0</v>
      </c>
      <c r="R30" s="2371">
        <f t="shared" si="16"/>
        <v>0</v>
      </c>
      <c r="S30" s="2367">
        <f t="shared" si="8"/>
        <v>0</v>
      </c>
      <c r="T30" s="592">
        <f t="shared" si="9"/>
        <v>0</v>
      </c>
      <c r="U30" s="2324"/>
      <c r="V30" s="1281">
        <f t="shared" si="10"/>
        <v>23</v>
      </c>
      <c r="W30" s="1281" t="str">
        <f t="shared" si="11"/>
        <v>keine</v>
      </c>
      <c r="X30" s="1329"/>
      <c r="Y30" s="1330" t="s">
        <v>795</v>
      </c>
      <c r="Z30" s="1424">
        <v>0</v>
      </c>
      <c r="AA30" s="1033">
        <f>VLOOKUP(Y30,Düngemittel!$B$6:$E$64,2,FALSE)*(VLOOKUP(Y30,Düngemittel!$B$6:$E$64,3,FALSE))/100*Z30</f>
        <v>0</v>
      </c>
      <c r="AB30" s="1033">
        <f>VLOOKUP(Y30,Düngemittel!$B$6:$E$64,2,FALSE)*Z30</f>
        <v>0</v>
      </c>
      <c r="AC30" s="1033">
        <f>VLOOKUP(Y30,Düngemittel!$B$6:$E$64,4,FALSE)*Z30</f>
        <v>0</v>
      </c>
      <c r="AD30" s="2324"/>
      <c r="AE30" s="1329"/>
      <c r="AF30" s="1330" t="s">
        <v>795</v>
      </c>
      <c r="AG30" s="1424">
        <v>0</v>
      </c>
      <c r="AH30" s="1033">
        <f>VLOOKUP(AF30,Düngemittel!$B$6:$E$64,2,FALSE)*(VLOOKUP(AF30,Düngemittel!$B$6:$E$64,3,FALSE))/100*AG30</f>
        <v>0</v>
      </c>
      <c r="AI30" s="1033">
        <f>VLOOKUP(AF30,Düngemittel!$B$6:$E$64,2,FALSE)*AG30</f>
        <v>0</v>
      </c>
      <c r="AJ30" s="1033">
        <f>VLOOKUP(AF30,Düngemittel!$B$6:$E$64,4,FALSE)*AG30</f>
        <v>0</v>
      </c>
      <c r="AK30" s="2324"/>
      <c r="AL30" s="1329"/>
      <c r="AM30" s="1330" t="s">
        <v>795</v>
      </c>
      <c r="AN30" s="1424">
        <v>0</v>
      </c>
      <c r="AO30" s="1033">
        <f>VLOOKUP(AM30,Düngemittel!$B$6:$E$64,2,FALSE)*(VLOOKUP(AM30,Düngemittel!$B$6:$E$64,3,FALSE))/100*AN30</f>
        <v>0</v>
      </c>
      <c r="AP30" s="1033">
        <f>VLOOKUP(AM30,Düngemittel!$B$6:$E$64,2,FALSE)*AN30</f>
        <v>0</v>
      </c>
      <c r="AQ30" s="1033">
        <f>VLOOKUP(AM30,Düngemittel!$B$6:$E$64,4,FALSE)*AN30</f>
        <v>0</v>
      </c>
      <c r="AR30" s="2324"/>
      <c r="AS30" s="1329"/>
      <c r="AT30" s="1330" t="s">
        <v>795</v>
      </c>
      <c r="AU30" s="1424">
        <v>0</v>
      </c>
      <c r="AV30" s="1033">
        <f>VLOOKUP(AT30,Düngemittel!$B$6:$E$64,2,FALSE)*(VLOOKUP(AT30,Düngemittel!$B$6:$E$64,3,FALSE))/100*AU30</f>
        <v>0</v>
      </c>
      <c r="AW30" s="1033">
        <f>VLOOKUP(AT30,Düngemittel!$B$6:$E$64,2,FALSE)*AU30</f>
        <v>0</v>
      </c>
      <c r="AX30" s="1033">
        <f>VLOOKUP(AT30,Düngemittel!$B$6:$E$64,4,FALSE)*AU30</f>
        <v>0</v>
      </c>
      <c r="AY30" s="2324"/>
      <c r="AZ30" s="1329"/>
      <c r="BA30" s="1330" t="s">
        <v>795</v>
      </c>
      <c r="BB30" s="1424">
        <v>0</v>
      </c>
      <c r="BC30" s="1033">
        <f>VLOOKUP(BA30,Düngemittel!$B$6:$E$64,2,FALSE)*(VLOOKUP(BA30,Düngemittel!$B$6:$E$64,3,FALSE))/100*BB30</f>
        <v>0</v>
      </c>
      <c r="BD30" s="1033">
        <f>VLOOKUP(BA30,Düngemittel!$B$6:$E$64,2,FALSE)*BB30</f>
        <v>0</v>
      </c>
      <c r="BE30" s="1033">
        <f>VLOOKUP(BA30,Düngemittel!$B$6:$E$64,4,FALSE)*BB30</f>
        <v>0</v>
      </c>
      <c r="BF30" s="2324"/>
      <c r="BG30" s="1812">
        <f t="shared" si="26"/>
        <v>0</v>
      </c>
      <c r="BH30" s="2328">
        <f t="shared" si="27"/>
        <v>0</v>
      </c>
      <c r="BI30" s="1812">
        <f t="shared" si="28"/>
        <v>0</v>
      </c>
      <c r="BJ30" s="1138">
        <f t="shared" si="29"/>
        <v>0</v>
      </c>
      <c r="BK30" s="2328">
        <f t="shared" si="30"/>
        <v>0</v>
      </c>
      <c r="BL30" s="95"/>
      <c r="BM30" s="1810">
        <f t="shared" si="31"/>
        <v>0</v>
      </c>
      <c r="BN30" s="1135">
        <f t="shared" si="32"/>
        <v>0</v>
      </c>
      <c r="BO30" s="1810">
        <f t="shared" si="33"/>
        <v>0</v>
      </c>
      <c r="BP30" s="1807">
        <f t="shared" si="34"/>
        <v>0</v>
      </c>
      <c r="BQ30" s="1135">
        <f t="shared" si="35"/>
        <v>0</v>
      </c>
      <c r="BR30" s="2324"/>
      <c r="BS30" s="2324"/>
      <c r="BT30" s="528">
        <f t="shared" si="13"/>
        <v>0</v>
      </c>
      <c r="BU30" s="528">
        <f t="shared" si="14"/>
        <v>0</v>
      </c>
      <c r="BV30" s="148"/>
      <c r="BW30" s="279" t="s">
        <v>688</v>
      </c>
      <c r="BX30" s="279">
        <v>450</v>
      </c>
      <c r="BY30" s="751">
        <v>200</v>
      </c>
      <c r="BZ30" s="752">
        <v>0.2</v>
      </c>
      <c r="CA30" s="752">
        <v>0.3</v>
      </c>
      <c r="CB30" s="808">
        <v>90</v>
      </c>
      <c r="CC30" s="749">
        <v>0.16</v>
      </c>
      <c r="CD30" s="480">
        <f t="shared" si="36"/>
        <v>72</v>
      </c>
    </row>
    <row r="31" spans="1:84" s="1421" customFormat="1" ht="26.25" customHeight="1">
      <c r="A31" s="468">
        <v>24</v>
      </c>
      <c r="B31" s="1699">
        <v>0</v>
      </c>
      <c r="C31" s="759" t="s">
        <v>31</v>
      </c>
      <c r="D31" s="1427">
        <f t="shared" si="1"/>
        <v>0</v>
      </c>
      <c r="E31" s="584">
        <f t="shared" si="2"/>
        <v>0</v>
      </c>
      <c r="F31" s="1690">
        <v>0</v>
      </c>
      <c r="G31" s="570">
        <f t="shared" si="3"/>
        <v>0</v>
      </c>
      <c r="H31" s="761" t="s">
        <v>503</v>
      </c>
      <c r="I31" s="584">
        <f t="shared" si="4"/>
        <v>0</v>
      </c>
      <c r="J31" s="587" t="s">
        <v>31</v>
      </c>
      <c r="K31" s="765">
        <f t="shared" si="5"/>
        <v>0</v>
      </c>
      <c r="L31" s="565">
        <f t="shared" si="6"/>
        <v>0</v>
      </c>
      <c r="M31" s="1693">
        <v>0</v>
      </c>
      <c r="N31" s="609" t="s">
        <v>160</v>
      </c>
      <c r="O31" s="584">
        <f t="shared" si="7"/>
        <v>0</v>
      </c>
      <c r="P31" s="1696">
        <v>0</v>
      </c>
      <c r="Q31" s="1894">
        <f t="shared" si="15"/>
        <v>0</v>
      </c>
      <c r="R31" s="2371">
        <f t="shared" si="16"/>
        <v>0</v>
      </c>
      <c r="S31" s="2367">
        <f t="shared" si="8"/>
        <v>0</v>
      </c>
      <c r="T31" s="592">
        <f t="shared" si="9"/>
        <v>0</v>
      </c>
      <c r="U31" s="2324"/>
      <c r="V31" s="1281">
        <f t="shared" si="10"/>
        <v>24</v>
      </c>
      <c r="W31" s="1281" t="str">
        <f t="shared" si="11"/>
        <v>keine</v>
      </c>
      <c r="X31" s="1329"/>
      <c r="Y31" s="1330" t="s">
        <v>795</v>
      </c>
      <c r="Z31" s="1424">
        <v>0</v>
      </c>
      <c r="AA31" s="1033">
        <f>VLOOKUP(Y31,Düngemittel!$B$6:$E$64,2,FALSE)*(VLOOKUP(Y31,Düngemittel!$B$6:$E$64,3,FALSE))/100*Z31</f>
        <v>0</v>
      </c>
      <c r="AB31" s="1033">
        <f>VLOOKUP(Y31,Düngemittel!$B$6:$E$64,2,FALSE)*Z31</f>
        <v>0</v>
      </c>
      <c r="AC31" s="1033">
        <f>VLOOKUP(Y31,Düngemittel!$B$6:$E$64,4,FALSE)*Z31</f>
        <v>0</v>
      </c>
      <c r="AD31" s="2324"/>
      <c r="AE31" s="1329"/>
      <c r="AF31" s="1330" t="s">
        <v>795</v>
      </c>
      <c r="AG31" s="1424">
        <v>0</v>
      </c>
      <c r="AH31" s="1033">
        <f>VLOOKUP(AF31,Düngemittel!$B$6:$E$64,2,FALSE)*(VLOOKUP(AF31,Düngemittel!$B$6:$E$64,3,FALSE))/100*AG31</f>
        <v>0</v>
      </c>
      <c r="AI31" s="1033">
        <f>VLOOKUP(AF31,Düngemittel!$B$6:$E$64,2,FALSE)*AG31</f>
        <v>0</v>
      </c>
      <c r="AJ31" s="1033">
        <f>VLOOKUP(AF31,Düngemittel!$B$6:$E$64,4,FALSE)*AG31</f>
        <v>0</v>
      </c>
      <c r="AK31" s="2324"/>
      <c r="AL31" s="1329"/>
      <c r="AM31" s="1330" t="s">
        <v>795</v>
      </c>
      <c r="AN31" s="1424">
        <v>0</v>
      </c>
      <c r="AO31" s="1033">
        <f>VLOOKUP(AM31,Düngemittel!$B$6:$E$64,2,FALSE)*(VLOOKUP(AM31,Düngemittel!$B$6:$E$64,3,FALSE))/100*AN31</f>
        <v>0</v>
      </c>
      <c r="AP31" s="1033">
        <f>VLOOKUP(AM31,Düngemittel!$B$6:$E$64,2,FALSE)*AN31</f>
        <v>0</v>
      </c>
      <c r="AQ31" s="1033">
        <f>VLOOKUP(AM31,Düngemittel!$B$6:$E$64,4,FALSE)*AN31</f>
        <v>0</v>
      </c>
      <c r="AR31" s="2324"/>
      <c r="AS31" s="1329"/>
      <c r="AT31" s="1330" t="s">
        <v>795</v>
      </c>
      <c r="AU31" s="1424">
        <v>0</v>
      </c>
      <c r="AV31" s="1033">
        <f>VLOOKUP(AT31,Düngemittel!$B$6:$E$64,2,FALSE)*(VLOOKUP(AT31,Düngemittel!$B$6:$E$64,3,FALSE))/100*AU31</f>
        <v>0</v>
      </c>
      <c r="AW31" s="1033">
        <f>VLOOKUP(AT31,Düngemittel!$B$6:$E$64,2,FALSE)*AU31</f>
        <v>0</v>
      </c>
      <c r="AX31" s="1033">
        <f>VLOOKUP(AT31,Düngemittel!$B$6:$E$64,4,FALSE)*AU31</f>
        <v>0</v>
      </c>
      <c r="AY31" s="2324"/>
      <c r="AZ31" s="1329"/>
      <c r="BA31" s="1330" t="s">
        <v>795</v>
      </c>
      <c r="BB31" s="1424">
        <v>0</v>
      </c>
      <c r="BC31" s="1033">
        <f>VLOOKUP(BA31,Düngemittel!$B$6:$E$64,2,FALSE)*(VLOOKUP(BA31,Düngemittel!$B$6:$E$64,3,FALSE))/100*BB31</f>
        <v>0</v>
      </c>
      <c r="BD31" s="1033">
        <f>VLOOKUP(BA31,Düngemittel!$B$6:$E$64,2,FALSE)*BB31</f>
        <v>0</v>
      </c>
      <c r="BE31" s="1033">
        <f>VLOOKUP(BA31,Düngemittel!$B$6:$E$64,4,FALSE)*BB31</f>
        <v>0</v>
      </c>
      <c r="BF31" s="2324"/>
      <c r="BG31" s="1812">
        <f t="shared" si="26"/>
        <v>0</v>
      </c>
      <c r="BH31" s="2328">
        <f t="shared" si="27"/>
        <v>0</v>
      </c>
      <c r="BI31" s="1812">
        <f t="shared" si="28"/>
        <v>0</v>
      </c>
      <c r="BJ31" s="1138">
        <f t="shared" si="29"/>
        <v>0</v>
      </c>
      <c r="BK31" s="2328">
        <f t="shared" si="30"/>
        <v>0</v>
      </c>
      <c r="BL31" s="95"/>
      <c r="BM31" s="1810">
        <f t="shared" si="31"/>
        <v>0</v>
      </c>
      <c r="BN31" s="1135">
        <f t="shared" si="32"/>
        <v>0</v>
      </c>
      <c r="BO31" s="1810">
        <f t="shared" si="33"/>
        <v>0</v>
      </c>
      <c r="BP31" s="1807">
        <f t="shared" si="34"/>
        <v>0</v>
      </c>
      <c r="BQ31" s="1135">
        <f t="shared" si="35"/>
        <v>0</v>
      </c>
      <c r="BR31" s="2324"/>
      <c r="BS31" s="2324"/>
      <c r="BT31" s="528">
        <f t="shared" si="13"/>
        <v>0</v>
      </c>
      <c r="BU31" s="528">
        <f t="shared" si="14"/>
        <v>0</v>
      </c>
      <c r="BV31" s="148"/>
      <c r="BW31" s="279" t="s">
        <v>41</v>
      </c>
      <c r="BX31" s="279">
        <v>50</v>
      </c>
      <c r="BY31" s="279">
        <v>140</v>
      </c>
      <c r="BZ31" s="279">
        <v>1</v>
      </c>
      <c r="CA31" s="279">
        <v>1.5</v>
      </c>
      <c r="CB31" s="808">
        <v>60</v>
      </c>
      <c r="CC31" s="749">
        <v>0.8</v>
      </c>
      <c r="CD31" s="480">
        <f t="shared" si="36"/>
        <v>40</v>
      </c>
    </row>
    <row r="32" spans="1:84" s="1421" customFormat="1" ht="26.25" customHeight="1">
      <c r="A32" s="468">
        <v>25</v>
      </c>
      <c r="B32" s="1699">
        <v>0</v>
      </c>
      <c r="C32" s="759" t="s">
        <v>31</v>
      </c>
      <c r="D32" s="1427">
        <f t="shared" si="1"/>
        <v>0</v>
      </c>
      <c r="E32" s="584">
        <f t="shared" si="2"/>
        <v>0</v>
      </c>
      <c r="F32" s="1690">
        <v>0</v>
      </c>
      <c r="G32" s="570">
        <f t="shared" si="3"/>
        <v>0</v>
      </c>
      <c r="H32" s="761" t="s">
        <v>503</v>
      </c>
      <c r="I32" s="584">
        <f t="shared" si="4"/>
        <v>0</v>
      </c>
      <c r="J32" s="587" t="s">
        <v>31</v>
      </c>
      <c r="K32" s="765">
        <f t="shared" si="5"/>
        <v>0</v>
      </c>
      <c r="L32" s="565">
        <f t="shared" si="6"/>
        <v>0</v>
      </c>
      <c r="M32" s="1693">
        <v>0</v>
      </c>
      <c r="N32" s="609" t="s">
        <v>160</v>
      </c>
      <c r="O32" s="584">
        <f t="shared" si="7"/>
        <v>0</v>
      </c>
      <c r="P32" s="1696">
        <v>0</v>
      </c>
      <c r="Q32" s="1894">
        <f t="shared" si="15"/>
        <v>0</v>
      </c>
      <c r="R32" s="2371">
        <f t="shared" si="16"/>
        <v>0</v>
      </c>
      <c r="S32" s="2367">
        <f t="shared" si="8"/>
        <v>0</v>
      </c>
      <c r="T32" s="592">
        <f t="shared" si="9"/>
        <v>0</v>
      </c>
      <c r="U32" s="2324"/>
      <c r="V32" s="1281">
        <f t="shared" si="10"/>
        <v>25</v>
      </c>
      <c r="W32" s="1281" t="str">
        <f t="shared" si="11"/>
        <v>keine</v>
      </c>
      <c r="X32" s="1329"/>
      <c r="Y32" s="1330" t="s">
        <v>795</v>
      </c>
      <c r="Z32" s="1424">
        <v>0</v>
      </c>
      <c r="AA32" s="1033">
        <f>VLOOKUP(Y32,Düngemittel!$B$6:$E$64,2,FALSE)*(VLOOKUP(Y32,Düngemittel!$B$6:$E$64,3,FALSE))/100*Z32</f>
        <v>0</v>
      </c>
      <c r="AB32" s="1033">
        <f>VLOOKUP(Y32,Düngemittel!$B$6:$E$64,2,FALSE)*Z32</f>
        <v>0</v>
      </c>
      <c r="AC32" s="1033">
        <f>VLOOKUP(Y32,Düngemittel!$B$6:$E$64,4,FALSE)*Z32</f>
        <v>0</v>
      </c>
      <c r="AD32" s="2324"/>
      <c r="AE32" s="1329"/>
      <c r="AF32" s="1330" t="s">
        <v>795</v>
      </c>
      <c r="AG32" s="1424">
        <v>0</v>
      </c>
      <c r="AH32" s="1033">
        <f>VLOOKUP(AF32,Düngemittel!$B$6:$E$64,2,FALSE)*(VLOOKUP(AF32,Düngemittel!$B$6:$E$64,3,FALSE))/100*AG32</f>
        <v>0</v>
      </c>
      <c r="AI32" s="1033">
        <f>VLOOKUP(AF32,Düngemittel!$B$6:$E$64,2,FALSE)*AG32</f>
        <v>0</v>
      </c>
      <c r="AJ32" s="1033">
        <f>VLOOKUP(AF32,Düngemittel!$B$6:$E$64,4,FALSE)*AG32</f>
        <v>0</v>
      </c>
      <c r="AK32" s="2324"/>
      <c r="AL32" s="1329"/>
      <c r="AM32" s="1330" t="s">
        <v>795</v>
      </c>
      <c r="AN32" s="1424">
        <v>0</v>
      </c>
      <c r="AO32" s="1033">
        <f>VLOOKUP(AM32,Düngemittel!$B$6:$E$64,2,FALSE)*(VLOOKUP(AM32,Düngemittel!$B$6:$E$64,3,FALSE))/100*AN32</f>
        <v>0</v>
      </c>
      <c r="AP32" s="1033">
        <f>VLOOKUP(AM32,Düngemittel!$B$6:$E$64,2,FALSE)*AN32</f>
        <v>0</v>
      </c>
      <c r="AQ32" s="1033">
        <f>VLOOKUP(AM32,Düngemittel!$B$6:$E$64,4,FALSE)*AN32</f>
        <v>0</v>
      </c>
      <c r="AR32" s="2324"/>
      <c r="AS32" s="1329"/>
      <c r="AT32" s="1330" t="s">
        <v>795</v>
      </c>
      <c r="AU32" s="1424">
        <v>0</v>
      </c>
      <c r="AV32" s="1033">
        <f>VLOOKUP(AT32,Düngemittel!$B$6:$E$64,2,FALSE)*(VLOOKUP(AT32,Düngemittel!$B$6:$E$64,3,FALSE))/100*AU32</f>
        <v>0</v>
      </c>
      <c r="AW32" s="1033">
        <f>VLOOKUP(AT32,Düngemittel!$B$6:$E$64,2,FALSE)*AU32</f>
        <v>0</v>
      </c>
      <c r="AX32" s="1033">
        <f>VLOOKUP(AT32,Düngemittel!$B$6:$E$64,4,FALSE)*AU32</f>
        <v>0</v>
      </c>
      <c r="AY32" s="2324"/>
      <c r="AZ32" s="1329"/>
      <c r="BA32" s="1330" t="s">
        <v>795</v>
      </c>
      <c r="BB32" s="1424">
        <v>0</v>
      </c>
      <c r="BC32" s="1033">
        <f>VLOOKUP(BA32,Düngemittel!$B$6:$E$64,2,FALSE)*(VLOOKUP(BA32,Düngemittel!$B$6:$E$64,3,FALSE))/100*BB32</f>
        <v>0</v>
      </c>
      <c r="BD32" s="1033">
        <f>VLOOKUP(BA32,Düngemittel!$B$6:$E$64,2,FALSE)*BB32</f>
        <v>0</v>
      </c>
      <c r="BE32" s="1033">
        <f>VLOOKUP(BA32,Düngemittel!$B$6:$E$64,4,FALSE)*BB32</f>
        <v>0</v>
      </c>
      <c r="BF32" s="2324"/>
      <c r="BG32" s="1812">
        <f t="shared" si="26"/>
        <v>0</v>
      </c>
      <c r="BH32" s="2328">
        <f t="shared" si="27"/>
        <v>0</v>
      </c>
      <c r="BI32" s="1812">
        <f t="shared" si="28"/>
        <v>0</v>
      </c>
      <c r="BJ32" s="1138">
        <f t="shared" si="29"/>
        <v>0</v>
      </c>
      <c r="BK32" s="2328">
        <f t="shared" si="30"/>
        <v>0</v>
      </c>
      <c r="BL32" s="95"/>
      <c r="BM32" s="1810">
        <f t="shared" si="31"/>
        <v>0</v>
      </c>
      <c r="BN32" s="1135">
        <f t="shared" si="32"/>
        <v>0</v>
      </c>
      <c r="BO32" s="1810">
        <f t="shared" si="33"/>
        <v>0</v>
      </c>
      <c r="BP32" s="1807">
        <f t="shared" si="34"/>
        <v>0</v>
      </c>
      <c r="BQ32" s="1135">
        <f t="shared" si="35"/>
        <v>0</v>
      </c>
      <c r="BR32" s="2324"/>
      <c r="BS32" s="2324"/>
      <c r="BT32" s="528">
        <f t="shared" si="13"/>
        <v>0</v>
      </c>
      <c r="BU32" s="528">
        <f t="shared" si="14"/>
        <v>0</v>
      </c>
      <c r="BV32" s="148"/>
      <c r="BW32" s="735" t="s">
        <v>699</v>
      </c>
      <c r="BX32" s="735">
        <v>350</v>
      </c>
      <c r="BY32" s="735">
        <v>180</v>
      </c>
      <c r="BZ32" s="735">
        <v>0.2</v>
      </c>
      <c r="CA32" s="735">
        <v>0.3</v>
      </c>
      <c r="CB32" s="808">
        <v>60</v>
      </c>
      <c r="CC32" s="749">
        <v>0.23</v>
      </c>
      <c r="CD32" s="480">
        <f t="shared" si="36"/>
        <v>80.5</v>
      </c>
    </row>
    <row r="33" spans="1:82" s="1421" customFormat="1" ht="26.25" customHeight="1">
      <c r="A33" s="468">
        <v>26</v>
      </c>
      <c r="B33" s="1699">
        <v>0</v>
      </c>
      <c r="C33" s="759" t="s">
        <v>31</v>
      </c>
      <c r="D33" s="1427">
        <f t="shared" si="1"/>
        <v>0</v>
      </c>
      <c r="E33" s="584">
        <f t="shared" si="2"/>
        <v>0</v>
      </c>
      <c r="F33" s="1690">
        <v>0</v>
      </c>
      <c r="G33" s="570">
        <f t="shared" si="3"/>
        <v>0</v>
      </c>
      <c r="H33" s="761" t="s">
        <v>503</v>
      </c>
      <c r="I33" s="584">
        <f t="shared" si="4"/>
        <v>0</v>
      </c>
      <c r="J33" s="587" t="s">
        <v>31</v>
      </c>
      <c r="K33" s="765">
        <f t="shared" si="5"/>
        <v>0</v>
      </c>
      <c r="L33" s="565">
        <f t="shared" si="6"/>
        <v>0</v>
      </c>
      <c r="M33" s="1693">
        <v>0</v>
      </c>
      <c r="N33" s="609" t="s">
        <v>160</v>
      </c>
      <c r="O33" s="584">
        <f t="shared" si="7"/>
        <v>0</v>
      </c>
      <c r="P33" s="1696">
        <v>0</v>
      </c>
      <c r="Q33" s="1894">
        <f t="shared" si="15"/>
        <v>0</v>
      </c>
      <c r="R33" s="2371">
        <f t="shared" si="16"/>
        <v>0</v>
      </c>
      <c r="S33" s="2367">
        <f t="shared" si="8"/>
        <v>0</v>
      </c>
      <c r="T33" s="592">
        <f t="shared" si="9"/>
        <v>0</v>
      </c>
      <c r="U33" s="2324"/>
      <c r="V33" s="1281">
        <f t="shared" si="10"/>
        <v>26</v>
      </c>
      <c r="W33" s="1281" t="str">
        <f t="shared" si="11"/>
        <v>keine</v>
      </c>
      <c r="X33" s="1329"/>
      <c r="Y33" s="1330" t="s">
        <v>795</v>
      </c>
      <c r="Z33" s="1424">
        <v>0</v>
      </c>
      <c r="AA33" s="1033">
        <f>VLOOKUP(Y33,Düngemittel!$B$6:$E$64,2,FALSE)*(VLOOKUP(Y33,Düngemittel!$B$6:$E$64,3,FALSE))/100*Z33</f>
        <v>0</v>
      </c>
      <c r="AB33" s="1033">
        <f>VLOOKUP(Y33,Düngemittel!$B$6:$E$64,2,FALSE)*Z33</f>
        <v>0</v>
      </c>
      <c r="AC33" s="1033">
        <f>VLOOKUP(Y33,Düngemittel!$B$6:$E$64,4,FALSE)*Z33</f>
        <v>0</v>
      </c>
      <c r="AD33" s="2324"/>
      <c r="AE33" s="1329"/>
      <c r="AF33" s="1330" t="s">
        <v>795</v>
      </c>
      <c r="AG33" s="1424">
        <v>0</v>
      </c>
      <c r="AH33" s="1033">
        <f>VLOOKUP(AF33,Düngemittel!$B$6:$E$64,2,FALSE)*(VLOOKUP(AF33,Düngemittel!$B$6:$E$64,3,FALSE))/100*AG33</f>
        <v>0</v>
      </c>
      <c r="AI33" s="1033">
        <f>VLOOKUP(AF33,Düngemittel!$B$6:$E$64,2,FALSE)*AG33</f>
        <v>0</v>
      </c>
      <c r="AJ33" s="1033">
        <f>VLOOKUP(AF33,Düngemittel!$B$6:$E$64,4,FALSE)*AG33</f>
        <v>0</v>
      </c>
      <c r="AK33" s="2324"/>
      <c r="AL33" s="1329"/>
      <c r="AM33" s="1330" t="s">
        <v>795</v>
      </c>
      <c r="AN33" s="1424">
        <v>0</v>
      </c>
      <c r="AO33" s="1033">
        <f>VLOOKUP(AM33,Düngemittel!$B$6:$E$64,2,FALSE)*(VLOOKUP(AM33,Düngemittel!$B$6:$E$64,3,FALSE))/100*AN33</f>
        <v>0</v>
      </c>
      <c r="AP33" s="1033">
        <f>VLOOKUP(AM33,Düngemittel!$B$6:$E$64,2,FALSE)*AN33</f>
        <v>0</v>
      </c>
      <c r="AQ33" s="1033">
        <f>VLOOKUP(AM33,Düngemittel!$B$6:$E$64,4,FALSE)*AN33</f>
        <v>0</v>
      </c>
      <c r="AR33" s="2324"/>
      <c r="AS33" s="1329"/>
      <c r="AT33" s="1330" t="s">
        <v>795</v>
      </c>
      <c r="AU33" s="1424">
        <v>0</v>
      </c>
      <c r="AV33" s="1033">
        <f>VLOOKUP(AT33,Düngemittel!$B$6:$E$64,2,FALSE)*(VLOOKUP(AT33,Düngemittel!$B$6:$E$64,3,FALSE))/100*AU33</f>
        <v>0</v>
      </c>
      <c r="AW33" s="1033">
        <f>VLOOKUP(AT33,Düngemittel!$B$6:$E$64,2,FALSE)*AU33</f>
        <v>0</v>
      </c>
      <c r="AX33" s="1033">
        <f>VLOOKUP(AT33,Düngemittel!$B$6:$E$64,4,FALSE)*AU33</f>
        <v>0</v>
      </c>
      <c r="AY33" s="2324"/>
      <c r="AZ33" s="1329"/>
      <c r="BA33" s="1330" t="s">
        <v>795</v>
      </c>
      <c r="BB33" s="1424">
        <v>0</v>
      </c>
      <c r="BC33" s="1033">
        <f>VLOOKUP(BA33,Düngemittel!$B$6:$E$64,2,FALSE)*(VLOOKUP(BA33,Düngemittel!$B$6:$E$64,3,FALSE))/100*BB33</f>
        <v>0</v>
      </c>
      <c r="BD33" s="1033">
        <f>VLOOKUP(BA33,Düngemittel!$B$6:$E$64,2,FALSE)*BB33</f>
        <v>0</v>
      </c>
      <c r="BE33" s="1033">
        <f>VLOOKUP(BA33,Düngemittel!$B$6:$E$64,4,FALSE)*BB33</f>
        <v>0</v>
      </c>
      <c r="BF33" s="2324"/>
      <c r="BG33" s="1812">
        <f t="shared" si="26"/>
        <v>0</v>
      </c>
      <c r="BH33" s="2328">
        <f t="shared" si="27"/>
        <v>0</v>
      </c>
      <c r="BI33" s="1812">
        <f t="shared" si="28"/>
        <v>0</v>
      </c>
      <c r="BJ33" s="1138">
        <f t="shared" si="29"/>
        <v>0</v>
      </c>
      <c r="BK33" s="2328">
        <f t="shared" si="30"/>
        <v>0</v>
      </c>
      <c r="BL33" s="95"/>
      <c r="BM33" s="1810">
        <f t="shared" si="31"/>
        <v>0</v>
      </c>
      <c r="BN33" s="1135">
        <f t="shared" si="32"/>
        <v>0</v>
      </c>
      <c r="BO33" s="1810">
        <f t="shared" si="33"/>
        <v>0</v>
      </c>
      <c r="BP33" s="1807">
        <f t="shared" si="34"/>
        <v>0</v>
      </c>
      <c r="BQ33" s="1135">
        <f t="shared" si="35"/>
        <v>0</v>
      </c>
      <c r="BR33" s="2324"/>
      <c r="BS33" s="2324"/>
      <c r="BT33" s="528">
        <f t="shared" si="13"/>
        <v>0</v>
      </c>
      <c r="BU33" s="528">
        <f t="shared" si="14"/>
        <v>0</v>
      </c>
      <c r="BV33" s="148"/>
      <c r="BW33" s="786" t="s">
        <v>717</v>
      </c>
      <c r="BX33" s="786">
        <v>350</v>
      </c>
      <c r="BY33" s="786">
        <v>140</v>
      </c>
      <c r="BZ33" s="786">
        <v>0.15</v>
      </c>
      <c r="CA33" s="786">
        <v>0.23</v>
      </c>
      <c r="CB33" s="808">
        <v>60</v>
      </c>
      <c r="CC33" s="749">
        <v>0.23</v>
      </c>
      <c r="CD33" s="480">
        <f t="shared" si="36"/>
        <v>80.5</v>
      </c>
    </row>
    <row r="34" spans="1:82" s="1421" customFormat="1" ht="26.25" customHeight="1">
      <c r="A34" s="468">
        <v>27</v>
      </c>
      <c r="B34" s="1699">
        <v>0</v>
      </c>
      <c r="C34" s="759" t="s">
        <v>31</v>
      </c>
      <c r="D34" s="1427">
        <f t="shared" si="1"/>
        <v>0</v>
      </c>
      <c r="E34" s="584">
        <f t="shared" si="2"/>
        <v>0</v>
      </c>
      <c r="F34" s="1690">
        <v>0</v>
      </c>
      <c r="G34" s="570">
        <f t="shared" si="3"/>
        <v>0</v>
      </c>
      <c r="H34" s="761" t="s">
        <v>503</v>
      </c>
      <c r="I34" s="584">
        <f t="shared" si="4"/>
        <v>0</v>
      </c>
      <c r="J34" s="587" t="s">
        <v>31</v>
      </c>
      <c r="K34" s="765">
        <f t="shared" si="5"/>
        <v>0</v>
      </c>
      <c r="L34" s="565">
        <f t="shared" si="6"/>
        <v>0</v>
      </c>
      <c r="M34" s="1693">
        <v>0</v>
      </c>
      <c r="N34" s="609" t="s">
        <v>160</v>
      </c>
      <c r="O34" s="584">
        <f t="shared" si="7"/>
        <v>0</v>
      </c>
      <c r="P34" s="1696">
        <v>0</v>
      </c>
      <c r="Q34" s="1894">
        <f t="shared" si="15"/>
        <v>0</v>
      </c>
      <c r="R34" s="2371">
        <f t="shared" si="16"/>
        <v>0</v>
      </c>
      <c r="S34" s="2367">
        <f t="shared" si="8"/>
        <v>0</v>
      </c>
      <c r="T34" s="592">
        <f t="shared" si="9"/>
        <v>0</v>
      </c>
      <c r="U34" s="2324"/>
      <c r="V34" s="1281">
        <f t="shared" si="10"/>
        <v>27</v>
      </c>
      <c r="W34" s="1281" t="str">
        <f t="shared" si="11"/>
        <v>keine</v>
      </c>
      <c r="X34" s="1329"/>
      <c r="Y34" s="1330" t="s">
        <v>795</v>
      </c>
      <c r="Z34" s="1424">
        <v>0</v>
      </c>
      <c r="AA34" s="1033">
        <f>VLOOKUP(Y34,Düngemittel!$B$6:$E$64,2,FALSE)*(VLOOKUP(Y34,Düngemittel!$B$6:$E$64,3,FALSE))/100*Z34</f>
        <v>0</v>
      </c>
      <c r="AB34" s="1033">
        <f>VLOOKUP(Y34,Düngemittel!$B$6:$E$64,2,FALSE)*Z34</f>
        <v>0</v>
      </c>
      <c r="AC34" s="1033">
        <f>VLOOKUP(Y34,Düngemittel!$B$6:$E$64,4,FALSE)*Z34</f>
        <v>0</v>
      </c>
      <c r="AD34" s="2324"/>
      <c r="AE34" s="1329"/>
      <c r="AF34" s="1330" t="s">
        <v>795</v>
      </c>
      <c r="AG34" s="1424">
        <v>0</v>
      </c>
      <c r="AH34" s="1033">
        <f>VLOOKUP(AF34,Düngemittel!$B$6:$E$64,2,FALSE)*(VLOOKUP(AF34,Düngemittel!$B$6:$E$64,3,FALSE))/100*AG34</f>
        <v>0</v>
      </c>
      <c r="AI34" s="1033">
        <f>VLOOKUP(AF34,Düngemittel!$B$6:$E$64,2,FALSE)*AG34</f>
        <v>0</v>
      </c>
      <c r="AJ34" s="1033">
        <f>VLOOKUP(AF34,Düngemittel!$B$6:$E$64,4,FALSE)*AG34</f>
        <v>0</v>
      </c>
      <c r="AK34" s="2324"/>
      <c r="AL34" s="1329"/>
      <c r="AM34" s="1330" t="s">
        <v>795</v>
      </c>
      <c r="AN34" s="1424">
        <v>0</v>
      </c>
      <c r="AO34" s="1033">
        <f>VLOOKUP(AM34,Düngemittel!$B$6:$E$64,2,FALSE)*(VLOOKUP(AM34,Düngemittel!$B$6:$E$64,3,FALSE))/100*AN34</f>
        <v>0</v>
      </c>
      <c r="AP34" s="1033">
        <f>VLOOKUP(AM34,Düngemittel!$B$6:$E$64,2,FALSE)*AN34</f>
        <v>0</v>
      </c>
      <c r="AQ34" s="1033">
        <f>VLOOKUP(AM34,Düngemittel!$B$6:$E$64,4,FALSE)*AN34</f>
        <v>0</v>
      </c>
      <c r="AR34" s="2324"/>
      <c r="AS34" s="1329"/>
      <c r="AT34" s="1330" t="s">
        <v>795</v>
      </c>
      <c r="AU34" s="1424">
        <v>0</v>
      </c>
      <c r="AV34" s="1033">
        <f>VLOOKUP(AT34,Düngemittel!$B$6:$E$64,2,FALSE)*(VLOOKUP(AT34,Düngemittel!$B$6:$E$64,3,FALSE))/100*AU34</f>
        <v>0</v>
      </c>
      <c r="AW34" s="1033">
        <f>VLOOKUP(AT34,Düngemittel!$B$6:$E$64,2,FALSE)*AU34</f>
        <v>0</v>
      </c>
      <c r="AX34" s="1033">
        <f>VLOOKUP(AT34,Düngemittel!$B$6:$E$64,4,FALSE)*AU34</f>
        <v>0</v>
      </c>
      <c r="AY34" s="2324"/>
      <c r="AZ34" s="1329"/>
      <c r="BA34" s="1330" t="s">
        <v>795</v>
      </c>
      <c r="BB34" s="1424">
        <v>0</v>
      </c>
      <c r="BC34" s="1033">
        <f>VLOOKUP(BA34,Düngemittel!$B$6:$E$64,2,FALSE)*(VLOOKUP(BA34,Düngemittel!$B$6:$E$64,3,FALSE))/100*BB34</f>
        <v>0</v>
      </c>
      <c r="BD34" s="1033">
        <f>VLOOKUP(BA34,Düngemittel!$B$6:$E$64,2,FALSE)*BB34</f>
        <v>0</v>
      </c>
      <c r="BE34" s="1033">
        <f>VLOOKUP(BA34,Düngemittel!$B$6:$E$64,4,FALSE)*BB34</f>
        <v>0</v>
      </c>
      <c r="BF34" s="2324"/>
      <c r="BG34" s="1812">
        <f t="shared" si="26"/>
        <v>0</v>
      </c>
      <c r="BH34" s="2328">
        <f t="shared" si="27"/>
        <v>0</v>
      </c>
      <c r="BI34" s="1812">
        <f t="shared" si="28"/>
        <v>0</v>
      </c>
      <c r="BJ34" s="1138">
        <f t="shared" si="29"/>
        <v>0</v>
      </c>
      <c r="BK34" s="2328">
        <f t="shared" si="30"/>
        <v>0</v>
      </c>
      <c r="BL34" s="95"/>
      <c r="BM34" s="1810">
        <f t="shared" si="31"/>
        <v>0</v>
      </c>
      <c r="BN34" s="1135">
        <f t="shared" si="32"/>
        <v>0</v>
      </c>
      <c r="BO34" s="1810">
        <f t="shared" si="33"/>
        <v>0</v>
      </c>
      <c r="BP34" s="1807">
        <f t="shared" si="34"/>
        <v>0</v>
      </c>
      <c r="BQ34" s="1135">
        <f t="shared" si="35"/>
        <v>0</v>
      </c>
      <c r="BR34" s="2324"/>
      <c r="BS34" s="2324"/>
      <c r="BT34" s="528">
        <f t="shared" si="13"/>
        <v>0</v>
      </c>
      <c r="BU34" s="528">
        <f t="shared" si="14"/>
        <v>0</v>
      </c>
      <c r="BV34" s="148"/>
      <c r="BW34" s="786" t="s">
        <v>730</v>
      </c>
      <c r="BX34" s="786">
        <v>350</v>
      </c>
      <c r="BY34" s="786">
        <v>100</v>
      </c>
      <c r="BZ34" s="786">
        <v>0.1</v>
      </c>
      <c r="CA34" s="786">
        <v>0.15</v>
      </c>
      <c r="CB34" s="808">
        <v>60</v>
      </c>
      <c r="CC34" s="749">
        <v>0.23</v>
      </c>
      <c r="CD34" s="480">
        <f t="shared" si="36"/>
        <v>80.5</v>
      </c>
    </row>
    <row r="35" spans="1:82" s="1421" customFormat="1" ht="26.25" customHeight="1">
      <c r="A35" s="468">
        <v>28</v>
      </c>
      <c r="B35" s="1699">
        <v>0</v>
      </c>
      <c r="C35" s="759" t="s">
        <v>31</v>
      </c>
      <c r="D35" s="1427">
        <f t="shared" si="1"/>
        <v>0</v>
      </c>
      <c r="E35" s="584">
        <f t="shared" si="2"/>
        <v>0</v>
      </c>
      <c r="F35" s="1690">
        <v>0</v>
      </c>
      <c r="G35" s="570">
        <f t="shared" si="3"/>
        <v>0</v>
      </c>
      <c r="H35" s="761" t="s">
        <v>503</v>
      </c>
      <c r="I35" s="584">
        <f t="shared" si="4"/>
        <v>0</v>
      </c>
      <c r="J35" s="587" t="s">
        <v>31</v>
      </c>
      <c r="K35" s="765">
        <f t="shared" si="5"/>
        <v>0</v>
      </c>
      <c r="L35" s="565">
        <f t="shared" si="6"/>
        <v>0</v>
      </c>
      <c r="M35" s="1693">
        <v>0</v>
      </c>
      <c r="N35" s="609" t="s">
        <v>160</v>
      </c>
      <c r="O35" s="584">
        <f t="shared" si="7"/>
        <v>0</v>
      </c>
      <c r="P35" s="1696">
        <v>0</v>
      </c>
      <c r="Q35" s="1894">
        <f t="shared" si="15"/>
        <v>0</v>
      </c>
      <c r="R35" s="2371">
        <f t="shared" si="16"/>
        <v>0</v>
      </c>
      <c r="S35" s="2367">
        <f t="shared" si="8"/>
        <v>0</v>
      </c>
      <c r="T35" s="592">
        <f t="shared" si="9"/>
        <v>0</v>
      </c>
      <c r="U35" s="2324"/>
      <c r="V35" s="1281">
        <f t="shared" si="10"/>
        <v>28</v>
      </c>
      <c r="W35" s="1281" t="str">
        <f t="shared" si="11"/>
        <v>keine</v>
      </c>
      <c r="X35" s="1329"/>
      <c r="Y35" s="1330" t="s">
        <v>795</v>
      </c>
      <c r="Z35" s="1424">
        <v>0</v>
      </c>
      <c r="AA35" s="1033">
        <f>VLOOKUP(Y35,Düngemittel!$B$6:$E$64,2,FALSE)*(VLOOKUP(Y35,Düngemittel!$B$6:$E$64,3,FALSE))/100*Z35</f>
        <v>0</v>
      </c>
      <c r="AB35" s="1033">
        <f>VLOOKUP(Y35,Düngemittel!$B$6:$E$64,2,FALSE)*Z35</f>
        <v>0</v>
      </c>
      <c r="AC35" s="1033">
        <f>VLOOKUP(Y35,Düngemittel!$B$6:$E$64,4,FALSE)*Z35</f>
        <v>0</v>
      </c>
      <c r="AD35" s="2324"/>
      <c r="AE35" s="1329"/>
      <c r="AF35" s="1330" t="s">
        <v>795</v>
      </c>
      <c r="AG35" s="1424">
        <v>0</v>
      </c>
      <c r="AH35" s="1033">
        <f>VLOOKUP(AF35,Düngemittel!$B$6:$E$64,2,FALSE)*(VLOOKUP(AF35,Düngemittel!$B$6:$E$64,3,FALSE))/100*AG35</f>
        <v>0</v>
      </c>
      <c r="AI35" s="1033">
        <f>VLOOKUP(AF35,Düngemittel!$B$6:$E$64,2,FALSE)*AG35</f>
        <v>0</v>
      </c>
      <c r="AJ35" s="1033">
        <f>VLOOKUP(AF35,Düngemittel!$B$6:$E$64,4,FALSE)*AG35</f>
        <v>0</v>
      </c>
      <c r="AK35" s="2324"/>
      <c r="AL35" s="1329"/>
      <c r="AM35" s="1330" t="s">
        <v>795</v>
      </c>
      <c r="AN35" s="1424">
        <v>0</v>
      </c>
      <c r="AO35" s="1033">
        <f>VLOOKUP(AM35,Düngemittel!$B$6:$E$64,2,FALSE)*(VLOOKUP(AM35,Düngemittel!$B$6:$E$64,3,FALSE))/100*AN35</f>
        <v>0</v>
      </c>
      <c r="AP35" s="1033">
        <f>VLOOKUP(AM35,Düngemittel!$B$6:$E$64,2,FALSE)*AN35</f>
        <v>0</v>
      </c>
      <c r="AQ35" s="1033">
        <f>VLOOKUP(AM35,Düngemittel!$B$6:$E$64,4,FALSE)*AN35</f>
        <v>0</v>
      </c>
      <c r="AR35" s="2324"/>
      <c r="AS35" s="1329"/>
      <c r="AT35" s="1330" t="s">
        <v>795</v>
      </c>
      <c r="AU35" s="1424">
        <v>0</v>
      </c>
      <c r="AV35" s="1033">
        <f>VLOOKUP(AT35,Düngemittel!$B$6:$E$64,2,FALSE)*(VLOOKUP(AT35,Düngemittel!$B$6:$E$64,3,FALSE))/100*AU35</f>
        <v>0</v>
      </c>
      <c r="AW35" s="1033">
        <f>VLOOKUP(AT35,Düngemittel!$B$6:$E$64,2,FALSE)*AU35</f>
        <v>0</v>
      </c>
      <c r="AX35" s="1033">
        <f>VLOOKUP(AT35,Düngemittel!$B$6:$E$64,4,FALSE)*AU35</f>
        <v>0</v>
      </c>
      <c r="AY35" s="2324"/>
      <c r="AZ35" s="1329"/>
      <c r="BA35" s="1330" t="s">
        <v>795</v>
      </c>
      <c r="BB35" s="1424">
        <v>0</v>
      </c>
      <c r="BC35" s="1033">
        <f>VLOOKUP(BA35,Düngemittel!$B$6:$E$64,2,FALSE)*(VLOOKUP(BA35,Düngemittel!$B$6:$E$64,3,FALSE))/100*BB35</f>
        <v>0</v>
      </c>
      <c r="BD35" s="1033">
        <f>VLOOKUP(BA35,Düngemittel!$B$6:$E$64,2,FALSE)*BB35</f>
        <v>0</v>
      </c>
      <c r="BE35" s="1033">
        <f>VLOOKUP(BA35,Düngemittel!$B$6:$E$64,4,FALSE)*BB35</f>
        <v>0</v>
      </c>
      <c r="BF35" s="2324"/>
      <c r="BG35" s="1812">
        <f t="shared" si="26"/>
        <v>0</v>
      </c>
      <c r="BH35" s="2328">
        <f t="shared" si="27"/>
        <v>0</v>
      </c>
      <c r="BI35" s="1812">
        <f t="shared" si="28"/>
        <v>0</v>
      </c>
      <c r="BJ35" s="1138">
        <f t="shared" si="29"/>
        <v>0</v>
      </c>
      <c r="BK35" s="2328">
        <f t="shared" si="30"/>
        <v>0</v>
      </c>
      <c r="BL35" s="95"/>
      <c r="BM35" s="1810">
        <f t="shared" si="31"/>
        <v>0</v>
      </c>
      <c r="BN35" s="1135">
        <f t="shared" si="32"/>
        <v>0</v>
      </c>
      <c r="BO35" s="1810">
        <f t="shared" si="33"/>
        <v>0</v>
      </c>
      <c r="BP35" s="1807">
        <f t="shared" si="34"/>
        <v>0</v>
      </c>
      <c r="BQ35" s="1135">
        <f t="shared" si="35"/>
        <v>0</v>
      </c>
      <c r="BR35" s="2324"/>
      <c r="BS35" s="2324"/>
      <c r="BT35" s="528">
        <f t="shared" si="13"/>
        <v>0</v>
      </c>
      <c r="BU35" s="528">
        <f t="shared" si="14"/>
        <v>0</v>
      </c>
      <c r="BV35" s="148"/>
      <c r="BW35" s="280" t="s">
        <v>752</v>
      </c>
      <c r="BX35" s="280">
        <v>30</v>
      </c>
      <c r="BY35" s="280">
        <v>190</v>
      </c>
      <c r="BZ35" s="280">
        <v>2</v>
      </c>
      <c r="CA35" s="280">
        <v>3</v>
      </c>
      <c r="CB35" s="808">
        <v>60</v>
      </c>
      <c r="CC35" s="749">
        <v>1.8</v>
      </c>
      <c r="CD35" s="480">
        <f t="shared" si="36"/>
        <v>54</v>
      </c>
    </row>
    <row r="36" spans="1:82" s="1421" customFormat="1" ht="26.25" customHeight="1">
      <c r="A36" s="468">
        <v>29</v>
      </c>
      <c r="B36" s="1699">
        <v>0</v>
      </c>
      <c r="C36" s="759" t="s">
        <v>31</v>
      </c>
      <c r="D36" s="1427">
        <f t="shared" si="1"/>
        <v>0</v>
      </c>
      <c r="E36" s="584">
        <f t="shared" si="2"/>
        <v>0</v>
      </c>
      <c r="F36" s="1690">
        <v>0</v>
      </c>
      <c r="G36" s="570">
        <f t="shared" si="3"/>
        <v>0</v>
      </c>
      <c r="H36" s="761" t="s">
        <v>503</v>
      </c>
      <c r="I36" s="584">
        <f t="shared" si="4"/>
        <v>0</v>
      </c>
      <c r="J36" s="587" t="s">
        <v>31</v>
      </c>
      <c r="K36" s="765">
        <f t="shared" si="5"/>
        <v>0</v>
      </c>
      <c r="L36" s="565">
        <f t="shared" si="6"/>
        <v>0</v>
      </c>
      <c r="M36" s="1693">
        <v>0</v>
      </c>
      <c r="N36" s="609" t="s">
        <v>160</v>
      </c>
      <c r="O36" s="584">
        <f t="shared" si="7"/>
        <v>0</v>
      </c>
      <c r="P36" s="1696">
        <v>0</v>
      </c>
      <c r="Q36" s="1894">
        <f t="shared" si="15"/>
        <v>0</v>
      </c>
      <c r="R36" s="2371">
        <f t="shared" si="16"/>
        <v>0</v>
      </c>
      <c r="S36" s="2367">
        <f t="shared" si="8"/>
        <v>0</v>
      </c>
      <c r="T36" s="592">
        <f t="shared" si="9"/>
        <v>0</v>
      </c>
      <c r="U36" s="2324"/>
      <c r="V36" s="1281">
        <f t="shared" si="10"/>
        <v>29</v>
      </c>
      <c r="W36" s="1281" t="str">
        <f t="shared" si="11"/>
        <v>keine</v>
      </c>
      <c r="X36" s="1329"/>
      <c r="Y36" s="1330" t="s">
        <v>795</v>
      </c>
      <c r="Z36" s="1424">
        <v>0</v>
      </c>
      <c r="AA36" s="1033">
        <f>VLOOKUP(Y36,Düngemittel!$B$6:$E$64,2,FALSE)*(VLOOKUP(Y36,Düngemittel!$B$6:$E$64,3,FALSE))/100*Z36</f>
        <v>0</v>
      </c>
      <c r="AB36" s="1033">
        <f>VLOOKUP(Y36,Düngemittel!$B$6:$E$64,2,FALSE)*Z36</f>
        <v>0</v>
      </c>
      <c r="AC36" s="1033">
        <f>VLOOKUP(Y36,Düngemittel!$B$6:$E$64,4,FALSE)*Z36</f>
        <v>0</v>
      </c>
      <c r="AD36" s="2324"/>
      <c r="AE36" s="1329"/>
      <c r="AF36" s="1330" t="s">
        <v>795</v>
      </c>
      <c r="AG36" s="1424">
        <v>0</v>
      </c>
      <c r="AH36" s="1033">
        <f>VLOOKUP(AF36,Düngemittel!$B$6:$E$64,2,FALSE)*(VLOOKUP(AF36,Düngemittel!$B$6:$E$64,3,FALSE))/100*AG36</f>
        <v>0</v>
      </c>
      <c r="AI36" s="1033">
        <f>VLOOKUP(AF36,Düngemittel!$B$6:$E$64,2,FALSE)*AG36</f>
        <v>0</v>
      </c>
      <c r="AJ36" s="1033">
        <f>VLOOKUP(AF36,Düngemittel!$B$6:$E$64,4,FALSE)*AG36</f>
        <v>0</v>
      </c>
      <c r="AK36" s="2324"/>
      <c r="AL36" s="1329"/>
      <c r="AM36" s="1330" t="s">
        <v>795</v>
      </c>
      <c r="AN36" s="1424">
        <v>0</v>
      </c>
      <c r="AO36" s="1033">
        <f>VLOOKUP(AM36,Düngemittel!$B$6:$E$64,2,FALSE)*(VLOOKUP(AM36,Düngemittel!$B$6:$E$64,3,FALSE))/100*AN36</f>
        <v>0</v>
      </c>
      <c r="AP36" s="1033">
        <f>VLOOKUP(AM36,Düngemittel!$B$6:$E$64,2,FALSE)*AN36</f>
        <v>0</v>
      </c>
      <c r="AQ36" s="1033">
        <f>VLOOKUP(AM36,Düngemittel!$B$6:$E$64,4,FALSE)*AN36</f>
        <v>0</v>
      </c>
      <c r="AR36" s="2324"/>
      <c r="AS36" s="1329"/>
      <c r="AT36" s="1330" t="s">
        <v>795</v>
      </c>
      <c r="AU36" s="1424">
        <v>0</v>
      </c>
      <c r="AV36" s="1033">
        <f>VLOOKUP(AT36,Düngemittel!$B$6:$E$64,2,FALSE)*(VLOOKUP(AT36,Düngemittel!$B$6:$E$64,3,FALSE))/100*AU36</f>
        <v>0</v>
      </c>
      <c r="AW36" s="1033">
        <f>VLOOKUP(AT36,Düngemittel!$B$6:$E$64,2,FALSE)*AU36</f>
        <v>0</v>
      </c>
      <c r="AX36" s="1033">
        <f>VLOOKUP(AT36,Düngemittel!$B$6:$E$64,4,FALSE)*AU36</f>
        <v>0</v>
      </c>
      <c r="AY36" s="2324"/>
      <c r="AZ36" s="1329"/>
      <c r="BA36" s="1330" t="s">
        <v>795</v>
      </c>
      <c r="BB36" s="1424">
        <v>0</v>
      </c>
      <c r="BC36" s="1033">
        <f>VLOOKUP(BA36,Düngemittel!$B$6:$E$64,2,FALSE)*(VLOOKUP(BA36,Düngemittel!$B$6:$E$64,3,FALSE))/100*BB36</f>
        <v>0</v>
      </c>
      <c r="BD36" s="1033">
        <f>VLOOKUP(BA36,Düngemittel!$B$6:$E$64,2,FALSE)*BB36</f>
        <v>0</v>
      </c>
      <c r="BE36" s="1033">
        <f>VLOOKUP(BA36,Düngemittel!$B$6:$E$64,4,FALSE)*BB36</f>
        <v>0</v>
      </c>
      <c r="BF36" s="2324"/>
      <c r="BG36" s="1812">
        <f t="shared" si="26"/>
        <v>0</v>
      </c>
      <c r="BH36" s="2328">
        <f t="shared" si="27"/>
        <v>0</v>
      </c>
      <c r="BI36" s="1812">
        <f t="shared" si="28"/>
        <v>0</v>
      </c>
      <c r="BJ36" s="1138">
        <f t="shared" si="29"/>
        <v>0</v>
      </c>
      <c r="BK36" s="2328">
        <f t="shared" si="30"/>
        <v>0</v>
      </c>
      <c r="BL36" s="95"/>
      <c r="BM36" s="1810">
        <f t="shared" si="31"/>
        <v>0</v>
      </c>
      <c r="BN36" s="1135">
        <f t="shared" si="32"/>
        <v>0</v>
      </c>
      <c r="BO36" s="1810">
        <f t="shared" si="33"/>
        <v>0</v>
      </c>
      <c r="BP36" s="1807">
        <f t="shared" si="34"/>
        <v>0</v>
      </c>
      <c r="BQ36" s="1135">
        <f t="shared" si="35"/>
        <v>0</v>
      </c>
      <c r="BR36" s="2324"/>
      <c r="BS36" s="2324"/>
      <c r="BT36" s="528">
        <f t="shared" si="13"/>
        <v>0</v>
      </c>
      <c r="BU36" s="528">
        <f t="shared" si="14"/>
        <v>0</v>
      </c>
      <c r="BV36" s="148"/>
      <c r="BW36" s="1070" t="s">
        <v>679</v>
      </c>
      <c r="BX36" s="1070">
        <v>60</v>
      </c>
      <c r="BY36" s="756">
        <v>160</v>
      </c>
      <c r="BZ36" s="1070">
        <v>1</v>
      </c>
      <c r="CA36" s="1070">
        <v>1.5</v>
      </c>
      <c r="CB36" s="808">
        <v>60</v>
      </c>
      <c r="CC36" s="749">
        <v>0.8</v>
      </c>
      <c r="CD36" s="480">
        <f t="shared" si="36"/>
        <v>48</v>
      </c>
    </row>
    <row r="37" spans="1:82" s="1421" customFormat="1" ht="26.25" customHeight="1">
      <c r="A37" s="468">
        <v>30</v>
      </c>
      <c r="B37" s="1699">
        <v>0</v>
      </c>
      <c r="C37" s="759" t="s">
        <v>31</v>
      </c>
      <c r="D37" s="1427">
        <f t="shared" si="1"/>
        <v>0</v>
      </c>
      <c r="E37" s="584">
        <f t="shared" si="2"/>
        <v>0</v>
      </c>
      <c r="F37" s="1690">
        <v>0</v>
      </c>
      <c r="G37" s="570">
        <f t="shared" si="3"/>
        <v>0</v>
      </c>
      <c r="H37" s="761" t="s">
        <v>503</v>
      </c>
      <c r="I37" s="584">
        <f t="shared" si="4"/>
        <v>0</v>
      </c>
      <c r="J37" s="587" t="s">
        <v>31</v>
      </c>
      <c r="K37" s="765">
        <f t="shared" si="5"/>
        <v>0</v>
      </c>
      <c r="L37" s="565">
        <f t="shared" si="6"/>
        <v>0</v>
      </c>
      <c r="M37" s="1693">
        <v>0</v>
      </c>
      <c r="N37" s="609" t="s">
        <v>160</v>
      </c>
      <c r="O37" s="584">
        <f t="shared" si="7"/>
        <v>0</v>
      </c>
      <c r="P37" s="1696">
        <v>0</v>
      </c>
      <c r="Q37" s="1894">
        <f t="shared" si="15"/>
        <v>0</v>
      </c>
      <c r="R37" s="2371">
        <f t="shared" si="16"/>
        <v>0</v>
      </c>
      <c r="S37" s="2367">
        <f t="shared" si="8"/>
        <v>0</v>
      </c>
      <c r="T37" s="592">
        <f t="shared" si="9"/>
        <v>0</v>
      </c>
      <c r="U37" s="2324"/>
      <c r="V37" s="1281">
        <f t="shared" si="10"/>
        <v>30</v>
      </c>
      <c r="W37" s="1281" t="str">
        <f t="shared" si="11"/>
        <v>keine</v>
      </c>
      <c r="X37" s="1329"/>
      <c r="Y37" s="1330" t="s">
        <v>795</v>
      </c>
      <c r="Z37" s="1424">
        <v>0</v>
      </c>
      <c r="AA37" s="1033">
        <f>VLOOKUP(Y37,Düngemittel!$B$6:$E$64,2,FALSE)*(VLOOKUP(Y37,Düngemittel!$B$6:$E$64,3,FALSE))/100*Z37</f>
        <v>0</v>
      </c>
      <c r="AB37" s="1033">
        <f>VLOOKUP(Y37,Düngemittel!$B$6:$E$64,2,FALSE)*Z37</f>
        <v>0</v>
      </c>
      <c r="AC37" s="1033">
        <f>VLOOKUP(Y37,Düngemittel!$B$6:$E$64,4,FALSE)*Z37</f>
        <v>0</v>
      </c>
      <c r="AD37" s="2324"/>
      <c r="AE37" s="1329"/>
      <c r="AF37" s="1330" t="s">
        <v>795</v>
      </c>
      <c r="AG37" s="1424">
        <v>0</v>
      </c>
      <c r="AH37" s="1033">
        <f>VLOOKUP(AF37,Düngemittel!$B$6:$E$64,2,FALSE)*(VLOOKUP(AF37,Düngemittel!$B$6:$E$64,3,FALSE))/100*AG37</f>
        <v>0</v>
      </c>
      <c r="AI37" s="1033">
        <f>VLOOKUP(AF37,Düngemittel!$B$6:$E$64,2,FALSE)*AG37</f>
        <v>0</v>
      </c>
      <c r="AJ37" s="1033">
        <f>VLOOKUP(AF37,Düngemittel!$B$6:$E$64,4,FALSE)*AG37</f>
        <v>0</v>
      </c>
      <c r="AK37" s="2324"/>
      <c r="AL37" s="1329"/>
      <c r="AM37" s="1330" t="s">
        <v>795</v>
      </c>
      <c r="AN37" s="1424">
        <v>0</v>
      </c>
      <c r="AO37" s="1033">
        <f>VLOOKUP(AM37,Düngemittel!$B$6:$E$64,2,FALSE)*(VLOOKUP(AM37,Düngemittel!$B$6:$E$64,3,FALSE))/100*AN37</f>
        <v>0</v>
      </c>
      <c r="AP37" s="1033">
        <f>VLOOKUP(AM37,Düngemittel!$B$6:$E$64,2,FALSE)*AN37</f>
        <v>0</v>
      </c>
      <c r="AQ37" s="1033">
        <f>VLOOKUP(AM37,Düngemittel!$B$6:$E$64,4,FALSE)*AN37</f>
        <v>0</v>
      </c>
      <c r="AR37" s="2324"/>
      <c r="AS37" s="1329"/>
      <c r="AT37" s="1330" t="s">
        <v>795</v>
      </c>
      <c r="AU37" s="1424">
        <v>0</v>
      </c>
      <c r="AV37" s="1033">
        <f>VLOOKUP(AT37,Düngemittel!$B$6:$E$64,2,FALSE)*(VLOOKUP(AT37,Düngemittel!$B$6:$E$64,3,FALSE))/100*AU37</f>
        <v>0</v>
      </c>
      <c r="AW37" s="1033">
        <f>VLOOKUP(AT37,Düngemittel!$B$6:$E$64,2,FALSE)*AU37</f>
        <v>0</v>
      </c>
      <c r="AX37" s="1033">
        <f>VLOOKUP(AT37,Düngemittel!$B$6:$E$64,4,FALSE)*AU37</f>
        <v>0</v>
      </c>
      <c r="AY37" s="2324"/>
      <c r="AZ37" s="1329"/>
      <c r="BA37" s="1330" t="s">
        <v>795</v>
      </c>
      <c r="BB37" s="1424">
        <v>0</v>
      </c>
      <c r="BC37" s="1033">
        <f>VLOOKUP(BA37,Düngemittel!$B$6:$E$64,2,FALSE)*(VLOOKUP(BA37,Düngemittel!$B$6:$E$64,3,FALSE))/100*BB37</f>
        <v>0</v>
      </c>
      <c r="BD37" s="1033">
        <f>VLOOKUP(BA37,Düngemittel!$B$6:$E$64,2,FALSE)*BB37</f>
        <v>0</v>
      </c>
      <c r="BE37" s="1033">
        <f>VLOOKUP(BA37,Düngemittel!$B$6:$E$64,4,FALSE)*BB37</f>
        <v>0</v>
      </c>
      <c r="BF37" s="2324"/>
      <c r="BG37" s="1812">
        <f t="shared" si="26"/>
        <v>0</v>
      </c>
      <c r="BH37" s="2328">
        <f t="shared" si="27"/>
        <v>0</v>
      </c>
      <c r="BI37" s="1812">
        <f t="shared" si="28"/>
        <v>0</v>
      </c>
      <c r="BJ37" s="1138">
        <f t="shared" si="29"/>
        <v>0</v>
      </c>
      <c r="BK37" s="2328">
        <f t="shared" si="30"/>
        <v>0</v>
      </c>
      <c r="BL37" s="95"/>
      <c r="BM37" s="1810">
        <f t="shared" si="31"/>
        <v>0</v>
      </c>
      <c r="BN37" s="1135">
        <f t="shared" si="32"/>
        <v>0</v>
      </c>
      <c r="BO37" s="1810">
        <f t="shared" si="33"/>
        <v>0</v>
      </c>
      <c r="BP37" s="1807">
        <f t="shared" si="34"/>
        <v>0</v>
      </c>
      <c r="BQ37" s="1135">
        <f t="shared" si="35"/>
        <v>0</v>
      </c>
      <c r="BR37" s="2324"/>
      <c r="BS37" s="2324"/>
      <c r="BT37" s="528">
        <f t="shared" si="13"/>
        <v>0</v>
      </c>
      <c r="BU37" s="528">
        <f t="shared" si="14"/>
        <v>0</v>
      </c>
      <c r="BV37" s="148"/>
      <c r="BW37" s="757" t="s">
        <v>680</v>
      </c>
      <c r="BX37" s="757">
        <v>60</v>
      </c>
      <c r="BY37" s="757">
        <v>180</v>
      </c>
      <c r="BZ37" s="1070">
        <v>1</v>
      </c>
      <c r="CA37" s="1070">
        <v>1.5</v>
      </c>
      <c r="CB37" s="808">
        <v>60</v>
      </c>
      <c r="CC37" s="749">
        <v>0.8</v>
      </c>
      <c r="CD37" s="480">
        <f t="shared" si="36"/>
        <v>48</v>
      </c>
    </row>
    <row r="38" spans="1:82" s="1421" customFormat="1" ht="26.25" customHeight="1">
      <c r="A38" s="468">
        <v>31</v>
      </c>
      <c r="B38" s="1699">
        <v>0</v>
      </c>
      <c r="C38" s="759" t="s">
        <v>31</v>
      </c>
      <c r="D38" s="1427">
        <f t="shared" si="1"/>
        <v>0</v>
      </c>
      <c r="E38" s="584">
        <f t="shared" si="2"/>
        <v>0</v>
      </c>
      <c r="F38" s="1690">
        <v>0</v>
      </c>
      <c r="G38" s="570">
        <f t="shared" si="3"/>
        <v>0</v>
      </c>
      <c r="H38" s="761" t="s">
        <v>503</v>
      </c>
      <c r="I38" s="584">
        <f t="shared" si="4"/>
        <v>0</v>
      </c>
      <c r="J38" s="587" t="s">
        <v>31</v>
      </c>
      <c r="K38" s="765">
        <f t="shared" si="5"/>
        <v>0</v>
      </c>
      <c r="L38" s="565">
        <f t="shared" si="6"/>
        <v>0</v>
      </c>
      <c r="M38" s="1693">
        <v>0</v>
      </c>
      <c r="N38" s="609" t="s">
        <v>160</v>
      </c>
      <c r="O38" s="584">
        <f t="shared" si="7"/>
        <v>0</v>
      </c>
      <c r="P38" s="1696">
        <v>0</v>
      </c>
      <c r="Q38" s="1894">
        <f t="shared" si="15"/>
        <v>0</v>
      </c>
      <c r="R38" s="2371">
        <f t="shared" si="16"/>
        <v>0</v>
      </c>
      <c r="S38" s="2367">
        <f t="shared" si="8"/>
        <v>0</v>
      </c>
      <c r="T38" s="592">
        <f t="shared" si="9"/>
        <v>0</v>
      </c>
      <c r="U38" s="2324"/>
      <c r="V38" s="1281">
        <f t="shared" si="10"/>
        <v>31</v>
      </c>
      <c r="W38" s="1281" t="str">
        <f t="shared" si="11"/>
        <v>keine</v>
      </c>
      <c r="X38" s="1329"/>
      <c r="Y38" s="1330" t="s">
        <v>795</v>
      </c>
      <c r="Z38" s="1424">
        <v>0</v>
      </c>
      <c r="AA38" s="1033">
        <f>VLOOKUP(Y38,Düngemittel!$B$6:$E$64,2,FALSE)*(VLOOKUP(Y38,Düngemittel!$B$6:$E$64,3,FALSE))/100*Z38</f>
        <v>0</v>
      </c>
      <c r="AB38" s="1033">
        <f>VLOOKUP(Y38,Düngemittel!$B$6:$E$64,2,FALSE)*Z38</f>
        <v>0</v>
      </c>
      <c r="AC38" s="1033">
        <f>VLOOKUP(Y38,Düngemittel!$B$6:$E$64,4,FALSE)*Z38</f>
        <v>0</v>
      </c>
      <c r="AD38" s="2324"/>
      <c r="AE38" s="1329"/>
      <c r="AF38" s="1330" t="s">
        <v>795</v>
      </c>
      <c r="AG38" s="1424">
        <v>0</v>
      </c>
      <c r="AH38" s="1033">
        <f>VLOOKUP(AF38,Düngemittel!$B$6:$E$64,2,FALSE)*(VLOOKUP(AF38,Düngemittel!$B$6:$E$64,3,FALSE))/100*AG38</f>
        <v>0</v>
      </c>
      <c r="AI38" s="1033">
        <f>VLOOKUP(AF38,Düngemittel!$B$6:$E$64,2,FALSE)*AG38</f>
        <v>0</v>
      </c>
      <c r="AJ38" s="1033">
        <f>VLOOKUP(AF38,Düngemittel!$B$6:$E$64,4,FALSE)*AG38</f>
        <v>0</v>
      </c>
      <c r="AK38" s="2324"/>
      <c r="AL38" s="1329"/>
      <c r="AM38" s="1330" t="s">
        <v>795</v>
      </c>
      <c r="AN38" s="1424">
        <v>0</v>
      </c>
      <c r="AO38" s="1033">
        <f>VLOOKUP(AM38,Düngemittel!$B$6:$E$64,2,FALSE)*(VLOOKUP(AM38,Düngemittel!$B$6:$E$64,3,FALSE))/100*AN38</f>
        <v>0</v>
      </c>
      <c r="AP38" s="1033">
        <f>VLOOKUP(AM38,Düngemittel!$B$6:$E$64,2,FALSE)*AN38</f>
        <v>0</v>
      </c>
      <c r="AQ38" s="1033">
        <f>VLOOKUP(AM38,Düngemittel!$B$6:$E$64,4,FALSE)*AN38</f>
        <v>0</v>
      </c>
      <c r="AR38" s="2324"/>
      <c r="AS38" s="1329"/>
      <c r="AT38" s="1330" t="s">
        <v>795</v>
      </c>
      <c r="AU38" s="1424">
        <v>0</v>
      </c>
      <c r="AV38" s="1033">
        <f>VLOOKUP(AT38,Düngemittel!$B$6:$E$64,2,FALSE)*(VLOOKUP(AT38,Düngemittel!$B$6:$E$64,3,FALSE))/100*AU38</f>
        <v>0</v>
      </c>
      <c r="AW38" s="1033">
        <f>VLOOKUP(AT38,Düngemittel!$B$6:$E$64,2,FALSE)*AU38</f>
        <v>0</v>
      </c>
      <c r="AX38" s="1033">
        <f>VLOOKUP(AT38,Düngemittel!$B$6:$E$64,4,FALSE)*AU38</f>
        <v>0</v>
      </c>
      <c r="AY38" s="2324"/>
      <c r="AZ38" s="1329"/>
      <c r="BA38" s="1330" t="s">
        <v>795</v>
      </c>
      <c r="BB38" s="1424">
        <v>0</v>
      </c>
      <c r="BC38" s="1033">
        <f>VLOOKUP(BA38,Düngemittel!$B$6:$E$64,2,FALSE)*(VLOOKUP(BA38,Düngemittel!$B$6:$E$64,3,FALSE))/100*BB38</f>
        <v>0</v>
      </c>
      <c r="BD38" s="1033">
        <f>VLOOKUP(BA38,Düngemittel!$B$6:$E$64,2,FALSE)*BB38</f>
        <v>0</v>
      </c>
      <c r="BE38" s="1033">
        <f>VLOOKUP(BA38,Düngemittel!$B$6:$E$64,4,FALSE)*BB38</f>
        <v>0</v>
      </c>
      <c r="BF38" s="2324"/>
      <c r="BG38" s="1812">
        <f t="shared" si="26"/>
        <v>0</v>
      </c>
      <c r="BH38" s="2328">
        <f t="shared" si="27"/>
        <v>0</v>
      </c>
      <c r="BI38" s="1812">
        <f t="shared" si="28"/>
        <v>0</v>
      </c>
      <c r="BJ38" s="1138">
        <f t="shared" si="29"/>
        <v>0</v>
      </c>
      <c r="BK38" s="2328">
        <f t="shared" si="30"/>
        <v>0</v>
      </c>
      <c r="BL38" s="95"/>
      <c r="BM38" s="1810">
        <f t="shared" si="31"/>
        <v>0</v>
      </c>
      <c r="BN38" s="1135">
        <f t="shared" si="32"/>
        <v>0</v>
      </c>
      <c r="BO38" s="1810">
        <f t="shared" si="33"/>
        <v>0</v>
      </c>
      <c r="BP38" s="1807">
        <f t="shared" si="34"/>
        <v>0</v>
      </c>
      <c r="BQ38" s="1135">
        <f t="shared" si="35"/>
        <v>0</v>
      </c>
      <c r="BR38" s="2324"/>
      <c r="BS38" s="2324"/>
      <c r="BT38" s="528">
        <f t="shared" si="13"/>
        <v>0</v>
      </c>
      <c r="BU38" s="528">
        <f t="shared" si="14"/>
        <v>0</v>
      </c>
      <c r="BV38" s="148"/>
      <c r="BW38" s="748" t="s">
        <v>677</v>
      </c>
      <c r="BX38" s="748">
        <v>70</v>
      </c>
      <c r="BY38" s="748">
        <v>220</v>
      </c>
      <c r="BZ38" s="748">
        <v>1</v>
      </c>
      <c r="CA38" s="748">
        <v>1.5</v>
      </c>
      <c r="CB38" s="749">
        <v>60</v>
      </c>
      <c r="CC38" s="749">
        <v>0.8</v>
      </c>
      <c r="CD38" s="480">
        <f t="shared" si="36"/>
        <v>56</v>
      </c>
    </row>
    <row r="39" spans="1:82" s="1421" customFormat="1" ht="26.25" customHeight="1">
      <c r="A39" s="468">
        <v>32</v>
      </c>
      <c r="B39" s="1699">
        <v>0</v>
      </c>
      <c r="C39" s="759" t="s">
        <v>31</v>
      </c>
      <c r="D39" s="1427">
        <f t="shared" si="1"/>
        <v>0</v>
      </c>
      <c r="E39" s="584">
        <f t="shared" si="2"/>
        <v>0</v>
      </c>
      <c r="F39" s="1690">
        <v>0</v>
      </c>
      <c r="G39" s="570">
        <f t="shared" si="3"/>
        <v>0</v>
      </c>
      <c r="H39" s="761" t="s">
        <v>503</v>
      </c>
      <c r="I39" s="584">
        <f t="shared" si="4"/>
        <v>0</v>
      </c>
      <c r="J39" s="587" t="s">
        <v>31</v>
      </c>
      <c r="K39" s="765">
        <f t="shared" si="5"/>
        <v>0</v>
      </c>
      <c r="L39" s="565">
        <f t="shared" si="6"/>
        <v>0</v>
      </c>
      <c r="M39" s="1693">
        <v>0</v>
      </c>
      <c r="N39" s="609" t="s">
        <v>160</v>
      </c>
      <c r="O39" s="584">
        <f t="shared" si="7"/>
        <v>0</v>
      </c>
      <c r="P39" s="1696">
        <v>0</v>
      </c>
      <c r="Q39" s="1894">
        <f t="shared" si="15"/>
        <v>0</v>
      </c>
      <c r="R39" s="2371">
        <f t="shared" si="16"/>
        <v>0</v>
      </c>
      <c r="S39" s="2367">
        <f t="shared" si="8"/>
        <v>0</v>
      </c>
      <c r="T39" s="592">
        <f t="shared" si="9"/>
        <v>0</v>
      </c>
      <c r="U39" s="2324"/>
      <c r="V39" s="1281">
        <f t="shared" si="10"/>
        <v>32</v>
      </c>
      <c r="W39" s="1281" t="str">
        <f t="shared" si="11"/>
        <v>keine</v>
      </c>
      <c r="X39" s="1329"/>
      <c r="Y39" s="1330" t="s">
        <v>795</v>
      </c>
      <c r="Z39" s="1424">
        <v>0</v>
      </c>
      <c r="AA39" s="1033">
        <f>VLOOKUP(Y39,Düngemittel!$B$6:$E$64,2,FALSE)*(VLOOKUP(Y39,Düngemittel!$B$6:$E$64,3,FALSE))/100*Z39</f>
        <v>0</v>
      </c>
      <c r="AB39" s="1033">
        <f>VLOOKUP(Y39,Düngemittel!$B$6:$E$64,2,FALSE)*Z39</f>
        <v>0</v>
      </c>
      <c r="AC39" s="1033">
        <f>VLOOKUP(Y39,Düngemittel!$B$6:$E$64,4,FALSE)*Z39</f>
        <v>0</v>
      </c>
      <c r="AD39" s="2324"/>
      <c r="AE39" s="1329"/>
      <c r="AF39" s="1330" t="s">
        <v>795</v>
      </c>
      <c r="AG39" s="1424">
        <v>0</v>
      </c>
      <c r="AH39" s="1033">
        <f>VLOOKUP(AF39,Düngemittel!$B$6:$E$64,2,FALSE)*(VLOOKUP(AF39,Düngemittel!$B$6:$E$64,3,FALSE))/100*AG39</f>
        <v>0</v>
      </c>
      <c r="AI39" s="1033">
        <f>VLOOKUP(AF39,Düngemittel!$B$6:$E$64,2,FALSE)*AG39</f>
        <v>0</v>
      </c>
      <c r="AJ39" s="1033">
        <f>VLOOKUP(AF39,Düngemittel!$B$6:$E$64,4,FALSE)*AG39</f>
        <v>0</v>
      </c>
      <c r="AK39" s="2324"/>
      <c r="AL39" s="1329"/>
      <c r="AM39" s="1330" t="s">
        <v>795</v>
      </c>
      <c r="AN39" s="1424">
        <v>0</v>
      </c>
      <c r="AO39" s="1033">
        <f>VLOOKUP(AM39,Düngemittel!$B$6:$E$64,2,FALSE)*(VLOOKUP(AM39,Düngemittel!$B$6:$E$64,3,FALSE))/100*AN39</f>
        <v>0</v>
      </c>
      <c r="AP39" s="1033">
        <f>VLOOKUP(AM39,Düngemittel!$B$6:$E$64,2,FALSE)*AN39</f>
        <v>0</v>
      </c>
      <c r="AQ39" s="1033">
        <f>VLOOKUP(AM39,Düngemittel!$B$6:$E$64,4,FALSE)*AN39</f>
        <v>0</v>
      </c>
      <c r="AR39" s="2324"/>
      <c r="AS39" s="1329"/>
      <c r="AT39" s="1330" t="s">
        <v>795</v>
      </c>
      <c r="AU39" s="1424">
        <v>0</v>
      </c>
      <c r="AV39" s="1033">
        <f>VLOOKUP(AT39,Düngemittel!$B$6:$E$64,2,FALSE)*(VLOOKUP(AT39,Düngemittel!$B$6:$E$64,3,FALSE))/100*AU39</f>
        <v>0</v>
      </c>
      <c r="AW39" s="1033">
        <f>VLOOKUP(AT39,Düngemittel!$B$6:$E$64,2,FALSE)*AU39</f>
        <v>0</v>
      </c>
      <c r="AX39" s="1033">
        <f>VLOOKUP(AT39,Düngemittel!$B$6:$E$64,4,FALSE)*AU39</f>
        <v>0</v>
      </c>
      <c r="AY39" s="2324"/>
      <c r="AZ39" s="1329"/>
      <c r="BA39" s="1330" t="s">
        <v>795</v>
      </c>
      <c r="BB39" s="1424">
        <v>0</v>
      </c>
      <c r="BC39" s="1033">
        <f>VLOOKUP(BA39,Düngemittel!$B$6:$E$64,2,FALSE)*(VLOOKUP(BA39,Düngemittel!$B$6:$E$64,3,FALSE))/100*BB39</f>
        <v>0</v>
      </c>
      <c r="BD39" s="1033">
        <f>VLOOKUP(BA39,Düngemittel!$B$6:$E$64,2,FALSE)*BB39</f>
        <v>0</v>
      </c>
      <c r="BE39" s="1033">
        <f>VLOOKUP(BA39,Düngemittel!$B$6:$E$64,4,FALSE)*BB39</f>
        <v>0</v>
      </c>
      <c r="BF39" s="2324"/>
      <c r="BG39" s="1812">
        <f t="shared" si="26"/>
        <v>0</v>
      </c>
      <c r="BH39" s="2328">
        <f t="shared" si="27"/>
        <v>0</v>
      </c>
      <c r="BI39" s="1812">
        <f t="shared" si="28"/>
        <v>0</v>
      </c>
      <c r="BJ39" s="1138">
        <f t="shared" si="29"/>
        <v>0</v>
      </c>
      <c r="BK39" s="2328">
        <f t="shared" si="30"/>
        <v>0</v>
      </c>
      <c r="BL39" s="95"/>
      <c r="BM39" s="1810">
        <f t="shared" si="31"/>
        <v>0</v>
      </c>
      <c r="BN39" s="1135">
        <f t="shared" si="32"/>
        <v>0</v>
      </c>
      <c r="BO39" s="1810">
        <f t="shared" si="33"/>
        <v>0</v>
      </c>
      <c r="BP39" s="1807">
        <f t="shared" si="34"/>
        <v>0</v>
      </c>
      <c r="BQ39" s="1135">
        <f t="shared" si="35"/>
        <v>0</v>
      </c>
      <c r="BR39" s="2324"/>
      <c r="BS39" s="2324"/>
      <c r="BT39" s="528">
        <f t="shared" si="13"/>
        <v>0</v>
      </c>
      <c r="BU39" s="528">
        <f t="shared" si="14"/>
        <v>0</v>
      </c>
      <c r="BV39" s="148"/>
      <c r="BW39" s="279" t="s">
        <v>686</v>
      </c>
      <c r="BX39" s="279">
        <v>30</v>
      </c>
      <c r="BY39" s="751">
        <v>120</v>
      </c>
      <c r="BZ39" s="753">
        <v>2</v>
      </c>
      <c r="CA39" s="753">
        <v>3</v>
      </c>
      <c r="CB39" s="806">
        <v>90</v>
      </c>
      <c r="CC39" s="749">
        <v>1.6</v>
      </c>
      <c r="CD39" s="480">
        <f t="shared" si="36"/>
        <v>48</v>
      </c>
    </row>
    <row r="40" spans="1:82" s="1421" customFormat="1" ht="26.25" customHeight="1">
      <c r="A40" s="468">
        <v>33</v>
      </c>
      <c r="B40" s="1699">
        <v>0</v>
      </c>
      <c r="C40" s="759" t="s">
        <v>31</v>
      </c>
      <c r="D40" s="1427">
        <f t="shared" si="1"/>
        <v>0</v>
      </c>
      <c r="E40" s="584">
        <f t="shared" si="2"/>
        <v>0</v>
      </c>
      <c r="F40" s="1690">
        <v>0</v>
      </c>
      <c r="G40" s="570">
        <f t="shared" si="3"/>
        <v>0</v>
      </c>
      <c r="H40" s="761" t="s">
        <v>503</v>
      </c>
      <c r="I40" s="584">
        <f t="shared" si="4"/>
        <v>0</v>
      </c>
      <c r="J40" s="587" t="s">
        <v>31</v>
      </c>
      <c r="K40" s="765">
        <f t="shared" si="5"/>
        <v>0</v>
      </c>
      <c r="L40" s="565">
        <f t="shared" si="6"/>
        <v>0</v>
      </c>
      <c r="M40" s="1693">
        <v>0</v>
      </c>
      <c r="N40" s="609" t="s">
        <v>160</v>
      </c>
      <c r="O40" s="584">
        <f t="shared" si="7"/>
        <v>0</v>
      </c>
      <c r="P40" s="1696">
        <v>0</v>
      </c>
      <c r="Q40" s="1894">
        <f t="shared" si="15"/>
        <v>0</v>
      </c>
      <c r="R40" s="2371">
        <f t="shared" si="16"/>
        <v>0</v>
      </c>
      <c r="S40" s="2367">
        <f t="shared" si="8"/>
        <v>0</v>
      </c>
      <c r="T40" s="592">
        <f t="shared" si="9"/>
        <v>0</v>
      </c>
      <c r="U40" s="2324"/>
      <c r="V40" s="1281">
        <f t="shared" si="10"/>
        <v>33</v>
      </c>
      <c r="W40" s="1281" t="str">
        <f t="shared" si="11"/>
        <v>keine</v>
      </c>
      <c r="X40" s="1329"/>
      <c r="Y40" s="1330" t="s">
        <v>795</v>
      </c>
      <c r="Z40" s="1424">
        <v>0</v>
      </c>
      <c r="AA40" s="1033">
        <f>VLOOKUP(Y40,Düngemittel!$B$6:$E$64,2,FALSE)*(VLOOKUP(Y40,Düngemittel!$B$6:$E$64,3,FALSE))/100*Z40</f>
        <v>0</v>
      </c>
      <c r="AB40" s="1033">
        <f>VLOOKUP(Y40,Düngemittel!$B$6:$E$64,2,FALSE)*Z40</f>
        <v>0</v>
      </c>
      <c r="AC40" s="1033">
        <f>VLOOKUP(Y40,Düngemittel!$B$6:$E$64,4,FALSE)*Z40</f>
        <v>0</v>
      </c>
      <c r="AD40" s="2324"/>
      <c r="AE40" s="1329"/>
      <c r="AF40" s="1330" t="s">
        <v>795</v>
      </c>
      <c r="AG40" s="1424">
        <v>0</v>
      </c>
      <c r="AH40" s="1033">
        <f>VLOOKUP(AF40,Düngemittel!$B$6:$E$64,2,FALSE)*(VLOOKUP(AF40,Düngemittel!$B$6:$E$64,3,FALSE))/100*AG40</f>
        <v>0</v>
      </c>
      <c r="AI40" s="1033">
        <f>VLOOKUP(AF40,Düngemittel!$B$6:$E$64,2,FALSE)*AG40</f>
        <v>0</v>
      </c>
      <c r="AJ40" s="1033">
        <f>VLOOKUP(AF40,Düngemittel!$B$6:$E$64,4,FALSE)*AG40</f>
        <v>0</v>
      </c>
      <c r="AK40" s="2324"/>
      <c r="AL40" s="1329"/>
      <c r="AM40" s="1330" t="s">
        <v>795</v>
      </c>
      <c r="AN40" s="1424">
        <v>0</v>
      </c>
      <c r="AO40" s="1033">
        <f>VLOOKUP(AM40,Düngemittel!$B$6:$E$64,2,FALSE)*(VLOOKUP(AM40,Düngemittel!$B$6:$E$64,3,FALSE))/100*AN40</f>
        <v>0</v>
      </c>
      <c r="AP40" s="1033">
        <f>VLOOKUP(AM40,Düngemittel!$B$6:$E$64,2,FALSE)*AN40</f>
        <v>0</v>
      </c>
      <c r="AQ40" s="1033">
        <f>VLOOKUP(AM40,Düngemittel!$B$6:$E$64,4,FALSE)*AN40</f>
        <v>0</v>
      </c>
      <c r="AR40" s="2324"/>
      <c r="AS40" s="1329"/>
      <c r="AT40" s="1330" t="s">
        <v>795</v>
      </c>
      <c r="AU40" s="1424">
        <v>0</v>
      </c>
      <c r="AV40" s="1033">
        <f>VLOOKUP(AT40,Düngemittel!$B$6:$E$64,2,FALSE)*(VLOOKUP(AT40,Düngemittel!$B$6:$E$64,3,FALSE))/100*AU40</f>
        <v>0</v>
      </c>
      <c r="AW40" s="1033">
        <f>VLOOKUP(AT40,Düngemittel!$B$6:$E$64,2,FALSE)*AU40</f>
        <v>0</v>
      </c>
      <c r="AX40" s="1033">
        <f>VLOOKUP(AT40,Düngemittel!$B$6:$E$64,4,FALSE)*AU40</f>
        <v>0</v>
      </c>
      <c r="AY40" s="2324"/>
      <c r="AZ40" s="1329"/>
      <c r="BA40" s="1330" t="s">
        <v>795</v>
      </c>
      <c r="BB40" s="1424">
        <v>0</v>
      </c>
      <c r="BC40" s="1033">
        <f>VLOOKUP(BA40,Düngemittel!$B$6:$E$64,2,FALSE)*(VLOOKUP(BA40,Düngemittel!$B$6:$E$64,3,FALSE))/100*BB40</f>
        <v>0</v>
      </c>
      <c r="BD40" s="1033">
        <f>VLOOKUP(BA40,Düngemittel!$B$6:$E$64,2,FALSE)*BB40</f>
        <v>0</v>
      </c>
      <c r="BE40" s="1033">
        <f>VLOOKUP(BA40,Düngemittel!$B$6:$E$64,4,FALSE)*BB40</f>
        <v>0</v>
      </c>
      <c r="BF40" s="2324"/>
      <c r="BG40" s="1812">
        <f t="shared" si="26"/>
        <v>0</v>
      </c>
      <c r="BH40" s="2328">
        <f t="shared" si="27"/>
        <v>0</v>
      </c>
      <c r="BI40" s="1812">
        <f t="shared" si="28"/>
        <v>0</v>
      </c>
      <c r="BJ40" s="1138">
        <f t="shared" si="29"/>
        <v>0</v>
      </c>
      <c r="BK40" s="2328">
        <f t="shared" si="30"/>
        <v>0</v>
      </c>
      <c r="BL40" s="95"/>
      <c r="BM40" s="1810">
        <f t="shared" si="31"/>
        <v>0</v>
      </c>
      <c r="BN40" s="1135">
        <f t="shared" si="32"/>
        <v>0</v>
      </c>
      <c r="BO40" s="1810">
        <f t="shared" si="33"/>
        <v>0</v>
      </c>
      <c r="BP40" s="1807">
        <f t="shared" si="34"/>
        <v>0</v>
      </c>
      <c r="BQ40" s="1135">
        <f t="shared" si="35"/>
        <v>0</v>
      </c>
      <c r="BR40" s="2324"/>
      <c r="BS40" s="2324"/>
      <c r="BT40" s="528">
        <f t="shared" si="13"/>
        <v>0</v>
      </c>
      <c r="BU40" s="528">
        <f t="shared" si="14"/>
        <v>0</v>
      </c>
      <c r="BV40" s="148"/>
      <c r="BW40" s="748" t="s">
        <v>756</v>
      </c>
      <c r="BX40" s="748">
        <v>400</v>
      </c>
      <c r="BY40" s="748">
        <v>140</v>
      </c>
      <c r="BZ40" s="748">
        <v>0.2</v>
      </c>
      <c r="CA40" s="748">
        <v>0.3</v>
      </c>
      <c r="CB40" s="808">
        <v>60</v>
      </c>
      <c r="CC40" s="749">
        <v>0.2</v>
      </c>
      <c r="CD40" s="480">
        <f t="shared" si="36"/>
        <v>80</v>
      </c>
    </row>
    <row r="41" spans="1:82" s="1421" customFormat="1" ht="26.25" customHeight="1">
      <c r="A41" s="468">
        <v>34</v>
      </c>
      <c r="B41" s="1699">
        <v>0</v>
      </c>
      <c r="C41" s="759" t="s">
        <v>31</v>
      </c>
      <c r="D41" s="1427">
        <f t="shared" si="1"/>
        <v>0</v>
      </c>
      <c r="E41" s="584">
        <f t="shared" si="2"/>
        <v>0</v>
      </c>
      <c r="F41" s="1690">
        <v>0</v>
      </c>
      <c r="G41" s="570">
        <f t="shared" si="3"/>
        <v>0</v>
      </c>
      <c r="H41" s="761" t="s">
        <v>503</v>
      </c>
      <c r="I41" s="584">
        <f t="shared" si="4"/>
        <v>0</v>
      </c>
      <c r="J41" s="587" t="s">
        <v>31</v>
      </c>
      <c r="K41" s="765">
        <f t="shared" si="5"/>
        <v>0</v>
      </c>
      <c r="L41" s="565">
        <f t="shared" si="6"/>
        <v>0</v>
      </c>
      <c r="M41" s="1693">
        <v>0</v>
      </c>
      <c r="N41" s="609" t="s">
        <v>160</v>
      </c>
      <c r="O41" s="584">
        <f t="shared" si="7"/>
        <v>0</v>
      </c>
      <c r="P41" s="1696">
        <v>0</v>
      </c>
      <c r="Q41" s="1894">
        <f t="shared" si="15"/>
        <v>0</v>
      </c>
      <c r="R41" s="2371">
        <f t="shared" si="16"/>
        <v>0</v>
      </c>
      <c r="S41" s="2367">
        <f t="shared" si="8"/>
        <v>0</v>
      </c>
      <c r="T41" s="592">
        <f t="shared" si="9"/>
        <v>0</v>
      </c>
      <c r="U41" s="2324"/>
      <c r="V41" s="1281">
        <f t="shared" si="10"/>
        <v>34</v>
      </c>
      <c r="W41" s="1281" t="str">
        <f t="shared" si="11"/>
        <v>keine</v>
      </c>
      <c r="X41" s="1329"/>
      <c r="Y41" s="1330" t="s">
        <v>795</v>
      </c>
      <c r="Z41" s="1424">
        <v>0</v>
      </c>
      <c r="AA41" s="1033">
        <f>VLOOKUP(Y41,Düngemittel!$B$6:$E$64,2,FALSE)*(VLOOKUP(Y41,Düngemittel!$B$6:$E$64,3,FALSE))/100*Z41</f>
        <v>0</v>
      </c>
      <c r="AB41" s="1033">
        <f>VLOOKUP(Y41,Düngemittel!$B$6:$E$64,2,FALSE)*Z41</f>
        <v>0</v>
      </c>
      <c r="AC41" s="1033">
        <f>VLOOKUP(Y41,Düngemittel!$B$6:$E$64,4,FALSE)*Z41</f>
        <v>0</v>
      </c>
      <c r="AD41" s="2324"/>
      <c r="AE41" s="1329"/>
      <c r="AF41" s="1330" t="s">
        <v>795</v>
      </c>
      <c r="AG41" s="1424">
        <v>0</v>
      </c>
      <c r="AH41" s="1033">
        <f>VLOOKUP(AF41,Düngemittel!$B$6:$E$64,2,FALSE)*(VLOOKUP(AF41,Düngemittel!$B$6:$E$64,3,FALSE))/100*AG41</f>
        <v>0</v>
      </c>
      <c r="AI41" s="1033">
        <f>VLOOKUP(AF41,Düngemittel!$B$6:$E$64,2,FALSE)*AG41</f>
        <v>0</v>
      </c>
      <c r="AJ41" s="1033">
        <f>VLOOKUP(AF41,Düngemittel!$B$6:$E$64,4,FALSE)*AG41</f>
        <v>0</v>
      </c>
      <c r="AK41" s="2324"/>
      <c r="AL41" s="1329"/>
      <c r="AM41" s="1330" t="s">
        <v>795</v>
      </c>
      <c r="AN41" s="1424">
        <v>0</v>
      </c>
      <c r="AO41" s="1033">
        <f>VLOOKUP(AM41,Düngemittel!$B$6:$E$64,2,FALSE)*(VLOOKUP(AM41,Düngemittel!$B$6:$E$64,3,FALSE))/100*AN41</f>
        <v>0</v>
      </c>
      <c r="AP41" s="1033">
        <f>VLOOKUP(AM41,Düngemittel!$B$6:$E$64,2,FALSE)*AN41</f>
        <v>0</v>
      </c>
      <c r="AQ41" s="1033">
        <f>VLOOKUP(AM41,Düngemittel!$B$6:$E$64,4,FALSE)*AN41</f>
        <v>0</v>
      </c>
      <c r="AR41" s="2324"/>
      <c r="AS41" s="1329"/>
      <c r="AT41" s="1330" t="s">
        <v>795</v>
      </c>
      <c r="AU41" s="1424">
        <v>0</v>
      </c>
      <c r="AV41" s="1033">
        <f>VLOOKUP(AT41,Düngemittel!$B$6:$E$64,2,FALSE)*(VLOOKUP(AT41,Düngemittel!$B$6:$E$64,3,FALSE))/100*AU41</f>
        <v>0</v>
      </c>
      <c r="AW41" s="1033">
        <f>VLOOKUP(AT41,Düngemittel!$B$6:$E$64,2,FALSE)*AU41</f>
        <v>0</v>
      </c>
      <c r="AX41" s="1033">
        <f>VLOOKUP(AT41,Düngemittel!$B$6:$E$64,4,FALSE)*AU41</f>
        <v>0</v>
      </c>
      <c r="AY41" s="2324"/>
      <c r="AZ41" s="1329"/>
      <c r="BA41" s="1330" t="s">
        <v>795</v>
      </c>
      <c r="BB41" s="1424">
        <v>0</v>
      </c>
      <c r="BC41" s="1033">
        <f>VLOOKUP(BA41,Düngemittel!$B$6:$E$64,2,FALSE)*(VLOOKUP(BA41,Düngemittel!$B$6:$E$64,3,FALSE))/100*BB41</f>
        <v>0</v>
      </c>
      <c r="BD41" s="1033">
        <f>VLOOKUP(BA41,Düngemittel!$B$6:$E$64,2,FALSE)*BB41</f>
        <v>0</v>
      </c>
      <c r="BE41" s="1033">
        <f>VLOOKUP(BA41,Düngemittel!$B$6:$E$64,4,FALSE)*BB41</f>
        <v>0</v>
      </c>
      <c r="BF41" s="2324"/>
      <c r="BG41" s="1812">
        <f t="shared" si="26"/>
        <v>0</v>
      </c>
      <c r="BH41" s="2328">
        <f t="shared" si="27"/>
        <v>0</v>
      </c>
      <c r="BI41" s="1812">
        <f t="shared" si="28"/>
        <v>0</v>
      </c>
      <c r="BJ41" s="1138">
        <f t="shared" si="29"/>
        <v>0</v>
      </c>
      <c r="BK41" s="2328">
        <f t="shared" si="30"/>
        <v>0</v>
      </c>
      <c r="BL41" s="95"/>
      <c r="BM41" s="1810">
        <f t="shared" si="31"/>
        <v>0</v>
      </c>
      <c r="BN41" s="1135">
        <f t="shared" si="32"/>
        <v>0</v>
      </c>
      <c r="BO41" s="1810">
        <f t="shared" si="33"/>
        <v>0</v>
      </c>
      <c r="BP41" s="1807">
        <f t="shared" si="34"/>
        <v>0</v>
      </c>
      <c r="BQ41" s="1135">
        <f t="shared" si="35"/>
        <v>0</v>
      </c>
      <c r="BR41" s="2324"/>
      <c r="BS41" s="2324"/>
      <c r="BT41" s="528">
        <f t="shared" si="13"/>
        <v>0</v>
      </c>
      <c r="BU41" s="528">
        <f t="shared" si="14"/>
        <v>0</v>
      </c>
      <c r="BV41" s="148"/>
      <c r="BW41" s="280" t="s">
        <v>246</v>
      </c>
      <c r="BX41" s="280">
        <v>450</v>
      </c>
      <c r="BY41" s="280">
        <v>200</v>
      </c>
      <c r="BZ41" s="280">
        <v>0.2</v>
      </c>
      <c r="CA41" s="280">
        <v>0.3</v>
      </c>
      <c r="CB41" s="808">
        <v>60</v>
      </c>
      <c r="CC41" s="749">
        <v>0.18</v>
      </c>
      <c r="CD41" s="480">
        <f t="shared" si="36"/>
        <v>81</v>
      </c>
    </row>
    <row r="42" spans="1:82" s="1421" customFormat="1" ht="26.25" customHeight="1">
      <c r="A42" s="468">
        <v>35</v>
      </c>
      <c r="B42" s="1699">
        <v>0</v>
      </c>
      <c r="C42" s="759" t="s">
        <v>31</v>
      </c>
      <c r="D42" s="1427">
        <f t="shared" si="1"/>
        <v>0</v>
      </c>
      <c r="E42" s="584">
        <f t="shared" si="2"/>
        <v>0</v>
      </c>
      <c r="F42" s="1690">
        <v>0</v>
      </c>
      <c r="G42" s="570">
        <f t="shared" si="3"/>
        <v>0</v>
      </c>
      <c r="H42" s="761" t="s">
        <v>503</v>
      </c>
      <c r="I42" s="584">
        <f t="shared" si="4"/>
        <v>0</v>
      </c>
      <c r="J42" s="587" t="s">
        <v>31</v>
      </c>
      <c r="K42" s="765">
        <f t="shared" si="5"/>
        <v>0</v>
      </c>
      <c r="L42" s="565">
        <f t="shared" si="6"/>
        <v>0</v>
      </c>
      <c r="M42" s="1693">
        <v>0</v>
      </c>
      <c r="N42" s="609" t="s">
        <v>160</v>
      </c>
      <c r="O42" s="584">
        <f t="shared" si="7"/>
        <v>0</v>
      </c>
      <c r="P42" s="1696">
        <v>0</v>
      </c>
      <c r="Q42" s="1894">
        <f t="shared" si="15"/>
        <v>0</v>
      </c>
      <c r="R42" s="2371">
        <f t="shared" si="16"/>
        <v>0</v>
      </c>
      <c r="S42" s="2367">
        <f t="shared" si="8"/>
        <v>0</v>
      </c>
      <c r="T42" s="592">
        <f t="shared" si="9"/>
        <v>0</v>
      </c>
      <c r="U42" s="2324"/>
      <c r="V42" s="1281">
        <f t="shared" si="10"/>
        <v>35</v>
      </c>
      <c r="W42" s="1281" t="str">
        <f t="shared" si="11"/>
        <v>keine</v>
      </c>
      <c r="X42" s="1329"/>
      <c r="Y42" s="1330" t="s">
        <v>795</v>
      </c>
      <c r="Z42" s="1424">
        <v>0</v>
      </c>
      <c r="AA42" s="1033">
        <f>VLOOKUP(Y42,Düngemittel!$B$6:$E$64,2,FALSE)*(VLOOKUP(Y42,Düngemittel!$B$6:$E$64,3,FALSE))/100*Z42</f>
        <v>0</v>
      </c>
      <c r="AB42" s="1033">
        <f>VLOOKUP(Y42,Düngemittel!$B$6:$E$64,2,FALSE)*Z42</f>
        <v>0</v>
      </c>
      <c r="AC42" s="1033">
        <f>VLOOKUP(Y42,Düngemittel!$B$6:$E$64,4,FALSE)*Z42</f>
        <v>0</v>
      </c>
      <c r="AD42" s="2324"/>
      <c r="AE42" s="1329"/>
      <c r="AF42" s="1330" t="s">
        <v>795</v>
      </c>
      <c r="AG42" s="1424">
        <v>0</v>
      </c>
      <c r="AH42" s="1033">
        <f>VLOOKUP(AF42,Düngemittel!$B$6:$E$64,2,FALSE)*(VLOOKUP(AF42,Düngemittel!$B$6:$E$64,3,FALSE))/100*AG42</f>
        <v>0</v>
      </c>
      <c r="AI42" s="1033">
        <f>VLOOKUP(AF42,Düngemittel!$B$6:$E$64,2,FALSE)*AG42</f>
        <v>0</v>
      </c>
      <c r="AJ42" s="1033">
        <f>VLOOKUP(AF42,Düngemittel!$B$6:$E$64,4,FALSE)*AG42</f>
        <v>0</v>
      </c>
      <c r="AK42" s="2324"/>
      <c r="AL42" s="1329"/>
      <c r="AM42" s="1330" t="s">
        <v>795</v>
      </c>
      <c r="AN42" s="1424">
        <v>0</v>
      </c>
      <c r="AO42" s="1033">
        <f>VLOOKUP(AM42,Düngemittel!$B$6:$E$64,2,FALSE)*(VLOOKUP(AM42,Düngemittel!$B$6:$E$64,3,FALSE))/100*AN42</f>
        <v>0</v>
      </c>
      <c r="AP42" s="1033">
        <f>VLOOKUP(AM42,Düngemittel!$B$6:$E$64,2,FALSE)*AN42</f>
        <v>0</v>
      </c>
      <c r="AQ42" s="1033">
        <f>VLOOKUP(AM42,Düngemittel!$B$6:$E$64,4,FALSE)*AN42</f>
        <v>0</v>
      </c>
      <c r="AR42" s="2324"/>
      <c r="AS42" s="1329"/>
      <c r="AT42" s="1330" t="s">
        <v>795</v>
      </c>
      <c r="AU42" s="1424">
        <v>0</v>
      </c>
      <c r="AV42" s="1033">
        <f>VLOOKUP(AT42,Düngemittel!$B$6:$E$64,2,FALSE)*(VLOOKUP(AT42,Düngemittel!$B$6:$E$64,3,FALSE))/100*AU42</f>
        <v>0</v>
      </c>
      <c r="AW42" s="1033">
        <f>VLOOKUP(AT42,Düngemittel!$B$6:$E$64,2,FALSE)*AU42</f>
        <v>0</v>
      </c>
      <c r="AX42" s="1033">
        <f>VLOOKUP(AT42,Düngemittel!$B$6:$E$64,4,FALSE)*AU42</f>
        <v>0</v>
      </c>
      <c r="AY42" s="2324"/>
      <c r="AZ42" s="1329"/>
      <c r="BA42" s="1330" t="s">
        <v>795</v>
      </c>
      <c r="BB42" s="1424">
        <v>0</v>
      </c>
      <c r="BC42" s="1033">
        <f>VLOOKUP(BA42,Düngemittel!$B$6:$E$64,2,FALSE)*(VLOOKUP(BA42,Düngemittel!$B$6:$E$64,3,FALSE))/100*BB42</f>
        <v>0</v>
      </c>
      <c r="BD42" s="1033">
        <f>VLOOKUP(BA42,Düngemittel!$B$6:$E$64,2,FALSE)*BB42</f>
        <v>0</v>
      </c>
      <c r="BE42" s="1033">
        <f>VLOOKUP(BA42,Düngemittel!$B$6:$E$64,4,FALSE)*BB42</f>
        <v>0</v>
      </c>
      <c r="BF42" s="2324"/>
      <c r="BG42" s="1812">
        <f t="shared" si="26"/>
        <v>0</v>
      </c>
      <c r="BH42" s="2328">
        <f t="shared" si="27"/>
        <v>0</v>
      </c>
      <c r="BI42" s="1812">
        <f t="shared" si="28"/>
        <v>0</v>
      </c>
      <c r="BJ42" s="1138">
        <f t="shared" si="29"/>
        <v>0</v>
      </c>
      <c r="BK42" s="2328">
        <f t="shared" si="30"/>
        <v>0</v>
      </c>
      <c r="BL42" s="95"/>
      <c r="BM42" s="1810">
        <f t="shared" si="31"/>
        <v>0</v>
      </c>
      <c r="BN42" s="1135">
        <f t="shared" si="32"/>
        <v>0</v>
      </c>
      <c r="BO42" s="1810">
        <f t="shared" si="33"/>
        <v>0</v>
      </c>
      <c r="BP42" s="1807">
        <f t="shared" si="34"/>
        <v>0</v>
      </c>
      <c r="BQ42" s="1135">
        <f t="shared" si="35"/>
        <v>0</v>
      </c>
      <c r="BR42" s="2324"/>
      <c r="BS42" s="2324"/>
      <c r="BT42" s="528">
        <f t="shared" si="13"/>
        <v>0</v>
      </c>
      <c r="BU42" s="528">
        <f t="shared" si="14"/>
        <v>0</v>
      </c>
      <c r="BV42" s="148"/>
      <c r="BW42" s="281" t="s">
        <v>691</v>
      </c>
      <c r="BX42" s="281">
        <v>450</v>
      </c>
      <c r="BY42" s="281">
        <v>180</v>
      </c>
      <c r="BZ42" s="281">
        <v>0.2</v>
      </c>
      <c r="CA42" s="281">
        <v>0.3</v>
      </c>
      <c r="CB42" s="808">
        <v>90</v>
      </c>
      <c r="CC42" s="755">
        <v>0.18</v>
      </c>
      <c r="CD42" s="480">
        <f t="shared" si="36"/>
        <v>81</v>
      </c>
    </row>
    <row r="43" spans="1:82" s="1421" customFormat="1" ht="26.25" customHeight="1">
      <c r="A43" s="468">
        <v>36</v>
      </c>
      <c r="B43" s="1699">
        <v>0</v>
      </c>
      <c r="C43" s="759" t="s">
        <v>31</v>
      </c>
      <c r="D43" s="1427">
        <f t="shared" si="1"/>
        <v>0</v>
      </c>
      <c r="E43" s="584">
        <f t="shared" si="2"/>
        <v>0</v>
      </c>
      <c r="F43" s="1690">
        <v>0</v>
      </c>
      <c r="G43" s="570">
        <f t="shared" si="3"/>
        <v>0</v>
      </c>
      <c r="H43" s="761" t="s">
        <v>503</v>
      </c>
      <c r="I43" s="584">
        <f t="shared" si="4"/>
        <v>0</v>
      </c>
      <c r="J43" s="587" t="s">
        <v>31</v>
      </c>
      <c r="K43" s="765">
        <f t="shared" si="5"/>
        <v>0</v>
      </c>
      <c r="L43" s="565">
        <f t="shared" si="6"/>
        <v>0</v>
      </c>
      <c r="M43" s="1693">
        <v>0</v>
      </c>
      <c r="N43" s="609" t="s">
        <v>160</v>
      </c>
      <c r="O43" s="584">
        <f t="shared" si="7"/>
        <v>0</v>
      </c>
      <c r="P43" s="1696">
        <v>0</v>
      </c>
      <c r="Q43" s="1894">
        <f t="shared" si="15"/>
        <v>0</v>
      </c>
      <c r="R43" s="2371">
        <f t="shared" si="16"/>
        <v>0</v>
      </c>
      <c r="S43" s="2367">
        <f t="shared" si="8"/>
        <v>0</v>
      </c>
      <c r="T43" s="592">
        <f t="shared" si="9"/>
        <v>0</v>
      </c>
      <c r="U43" s="2324"/>
      <c r="V43" s="1281">
        <f t="shared" si="10"/>
        <v>36</v>
      </c>
      <c r="W43" s="1281" t="str">
        <f t="shared" si="11"/>
        <v>keine</v>
      </c>
      <c r="X43" s="1329"/>
      <c r="Y43" s="1330" t="s">
        <v>795</v>
      </c>
      <c r="Z43" s="1424">
        <v>0</v>
      </c>
      <c r="AA43" s="1033">
        <f>VLOOKUP(Y43,Düngemittel!$B$6:$E$64,2,FALSE)*(VLOOKUP(Y43,Düngemittel!$B$6:$E$64,3,FALSE))/100*Z43</f>
        <v>0</v>
      </c>
      <c r="AB43" s="1033">
        <f>VLOOKUP(Y43,Düngemittel!$B$6:$E$64,2,FALSE)*Z43</f>
        <v>0</v>
      </c>
      <c r="AC43" s="1033">
        <f>VLOOKUP(Y43,Düngemittel!$B$6:$E$64,4,FALSE)*Z43</f>
        <v>0</v>
      </c>
      <c r="AD43" s="2324"/>
      <c r="AE43" s="1329"/>
      <c r="AF43" s="1330" t="s">
        <v>795</v>
      </c>
      <c r="AG43" s="1424">
        <v>0</v>
      </c>
      <c r="AH43" s="1033">
        <f>VLOOKUP(AF43,Düngemittel!$B$6:$E$64,2,FALSE)*(VLOOKUP(AF43,Düngemittel!$B$6:$E$64,3,FALSE))/100*AG43</f>
        <v>0</v>
      </c>
      <c r="AI43" s="1033">
        <f>VLOOKUP(AF43,Düngemittel!$B$6:$E$64,2,FALSE)*AG43</f>
        <v>0</v>
      </c>
      <c r="AJ43" s="1033">
        <f>VLOOKUP(AF43,Düngemittel!$B$6:$E$64,4,FALSE)*AG43</f>
        <v>0</v>
      </c>
      <c r="AK43" s="2324"/>
      <c r="AL43" s="1329"/>
      <c r="AM43" s="1330" t="s">
        <v>795</v>
      </c>
      <c r="AN43" s="1424">
        <v>0</v>
      </c>
      <c r="AO43" s="1033">
        <f>VLOOKUP(AM43,Düngemittel!$B$6:$E$64,2,FALSE)*(VLOOKUP(AM43,Düngemittel!$B$6:$E$64,3,FALSE))/100*AN43</f>
        <v>0</v>
      </c>
      <c r="AP43" s="1033">
        <f>VLOOKUP(AM43,Düngemittel!$B$6:$E$64,2,FALSE)*AN43</f>
        <v>0</v>
      </c>
      <c r="AQ43" s="1033">
        <f>VLOOKUP(AM43,Düngemittel!$B$6:$E$64,4,FALSE)*AN43</f>
        <v>0</v>
      </c>
      <c r="AR43" s="2324"/>
      <c r="AS43" s="1329"/>
      <c r="AT43" s="1330" t="s">
        <v>795</v>
      </c>
      <c r="AU43" s="1424">
        <v>0</v>
      </c>
      <c r="AV43" s="1033">
        <f>VLOOKUP(AT43,Düngemittel!$B$6:$E$64,2,FALSE)*(VLOOKUP(AT43,Düngemittel!$B$6:$E$64,3,FALSE))/100*AU43</f>
        <v>0</v>
      </c>
      <c r="AW43" s="1033">
        <f>VLOOKUP(AT43,Düngemittel!$B$6:$E$64,2,FALSE)*AU43</f>
        <v>0</v>
      </c>
      <c r="AX43" s="1033">
        <f>VLOOKUP(AT43,Düngemittel!$B$6:$E$64,4,FALSE)*AU43</f>
        <v>0</v>
      </c>
      <c r="AY43" s="2324"/>
      <c r="AZ43" s="1329"/>
      <c r="BA43" s="1330" t="s">
        <v>795</v>
      </c>
      <c r="BB43" s="1424">
        <v>0</v>
      </c>
      <c r="BC43" s="1033">
        <f>VLOOKUP(BA43,Düngemittel!$B$6:$E$64,2,FALSE)*(VLOOKUP(BA43,Düngemittel!$B$6:$E$64,3,FALSE))/100*BB43</f>
        <v>0</v>
      </c>
      <c r="BD43" s="1033">
        <f>VLOOKUP(BA43,Düngemittel!$B$6:$E$64,2,FALSE)*BB43</f>
        <v>0</v>
      </c>
      <c r="BE43" s="1033">
        <f>VLOOKUP(BA43,Düngemittel!$B$6:$E$64,4,FALSE)*BB43</f>
        <v>0</v>
      </c>
      <c r="BF43" s="2324"/>
      <c r="BG43" s="1812">
        <f t="shared" si="26"/>
        <v>0</v>
      </c>
      <c r="BH43" s="2328">
        <f t="shared" si="27"/>
        <v>0</v>
      </c>
      <c r="BI43" s="1812">
        <f t="shared" si="28"/>
        <v>0</v>
      </c>
      <c r="BJ43" s="1138">
        <f t="shared" si="29"/>
        <v>0</v>
      </c>
      <c r="BK43" s="2328">
        <f t="shared" si="30"/>
        <v>0</v>
      </c>
      <c r="BL43" s="95"/>
      <c r="BM43" s="1810">
        <f t="shared" si="31"/>
        <v>0</v>
      </c>
      <c r="BN43" s="1135">
        <f t="shared" si="32"/>
        <v>0</v>
      </c>
      <c r="BO43" s="1810">
        <f t="shared" si="33"/>
        <v>0</v>
      </c>
      <c r="BP43" s="1807">
        <f t="shared" si="34"/>
        <v>0</v>
      </c>
      <c r="BQ43" s="1135">
        <f t="shared" si="35"/>
        <v>0</v>
      </c>
      <c r="BR43" s="2324"/>
      <c r="BS43" s="2324"/>
      <c r="BT43" s="528">
        <f t="shared" si="13"/>
        <v>0</v>
      </c>
      <c r="BU43" s="528">
        <f t="shared" si="14"/>
        <v>0</v>
      </c>
      <c r="BV43" s="148"/>
      <c r="BW43" s="814" t="s">
        <v>763</v>
      </c>
      <c r="BX43" s="814">
        <v>30</v>
      </c>
      <c r="BY43" s="814">
        <v>100</v>
      </c>
      <c r="BZ43" s="814">
        <v>2</v>
      </c>
      <c r="CA43" s="814">
        <v>3</v>
      </c>
      <c r="CB43" s="749">
        <v>60</v>
      </c>
      <c r="CC43" s="749">
        <v>1.3</v>
      </c>
      <c r="CD43" s="480">
        <f t="shared" si="36"/>
        <v>39</v>
      </c>
    </row>
    <row r="44" spans="1:82" s="1421" customFormat="1" ht="26.25" customHeight="1">
      <c r="A44" s="468">
        <v>37</v>
      </c>
      <c r="B44" s="1699">
        <v>0</v>
      </c>
      <c r="C44" s="759" t="s">
        <v>31</v>
      </c>
      <c r="D44" s="1427">
        <f t="shared" si="1"/>
        <v>0</v>
      </c>
      <c r="E44" s="584">
        <f t="shared" si="2"/>
        <v>0</v>
      </c>
      <c r="F44" s="1690">
        <v>0</v>
      </c>
      <c r="G44" s="570">
        <f t="shared" si="3"/>
        <v>0</v>
      </c>
      <c r="H44" s="761" t="s">
        <v>503</v>
      </c>
      <c r="I44" s="584">
        <f t="shared" si="4"/>
        <v>0</v>
      </c>
      <c r="J44" s="587" t="s">
        <v>31</v>
      </c>
      <c r="K44" s="765">
        <f t="shared" si="5"/>
        <v>0</v>
      </c>
      <c r="L44" s="565">
        <f t="shared" si="6"/>
        <v>0</v>
      </c>
      <c r="M44" s="1693">
        <v>0</v>
      </c>
      <c r="N44" s="609" t="s">
        <v>160</v>
      </c>
      <c r="O44" s="584">
        <f t="shared" si="7"/>
        <v>0</v>
      </c>
      <c r="P44" s="1696">
        <v>0</v>
      </c>
      <c r="Q44" s="1894">
        <f t="shared" si="15"/>
        <v>0</v>
      </c>
      <c r="R44" s="2371">
        <f t="shared" si="16"/>
        <v>0</v>
      </c>
      <c r="S44" s="2367">
        <f t="shared" si="8"/>
        <v>0</v>
      </c>
      <c r="T44" s="592">
        <f t="shared" si="9"/>
        <v>0</v>
      </c>
      <c r="U44" s="2324"/>
      <c r="V44" s="1281">
        <f t="shared" si="10"/>
        <v>37</v>
      </c>
      <c r="W44" s="1281" t="str">
        <f t="shared" si="11"/>
        <v>keine</v>
      </c>
      <c r="X44" s="1329"/>
      <c r="Y44" s="1330" t="s">
        <v>795</v>
      </c>
      <c r="Z44" s="1424">
        <v>0</v>
      </c>
      <c r="AA44" s="1033">
        <f>VLOOKUP(Y44,Düngemittel!$B$6:$E$64,2,FALSE)*(VLOOKUP(Y44,Düngemittel!$B$6:$E$64,3,FALSE))/100*Z44</f>
        <v>0</v>
      </c>
      <c r="AB44" s="1033">
        <f>VLOOKUP(Y44,Düngemittel!$B$6:$E$64,2,FALSE)*Z44</f>
        <v>0</v>
      </c>
      <c r="AC44" s="1033">
        <f>VLOOKUP(Y44,Düngemittel!$B$6:$E$64,4,FALSE)*Z44</f>
        <v>0</v>
      </c>
      <c r="AD44" s="2324"/>
      <c r="AE44" s="1329"/>
      <c r="AF44" s="1330" t="s">
        <v>795</v>
      </c>
      <c r="AG44" s="1424">
        <v>0</v>
      </c>
      <c r="AH44" s="1033">
        <f>VLOOKUP(AF44,Düngemittel!$B$6:$E$64,2,FALSE)*(VLOOKUP(AF44,Düngemittel!$B$6:$E$64,3,FALSE))/100*AG44</f>
        <v>0</v>
      </c>
      <c r="AI44" s="1033">
        <f>VLOOKUP(AF44,Düngemittel!$B$6:$E$64,2,FALSE)*AG44</f>
        <v>0</v>
      </c>
      <c r="AJ44" s="1033">
        <f>VLOOKUP(AF44,Düngemittel!$B$6:$E$64,4,FALSE)*AG44</f>
        <v>0</v>
      </c>
      <c r="AK44" s="2324"/>
      <c r="AL44" s="1329"/>
      <c r="AM44" s="1330" t="s">
        <v>795</v>
      </c>
      <c r="AN44" s="1424">
        <v>0</v>
      </c>
      <c r="AO44" s="1033">
        <f>VLOOKUP(AM44,Düngemittel!$B$6:$E$64,2,FALSE)*(VLOOKUP(AM44,Düngemittel!$B$6:$E$64,3,FALSE))/100*AN44</f>
        <v>0</v>
      </c>
      <c r="AP44" s="1033">
        <f>VLOOKUP(AM44,Düngemittel!$B$6:$E$64,2,FALSE)*AN44</f>
        <v>0</v>
      </c>
      <c r="AQ44" s="1033">
        <f>VLOOKUP(AM44,Düngemittel!$B$6:$E$64,4,FALSE)*AN44</f>
        <v>0</v>
      </c>
      <c r="AR44" s="2324"/>
      <c r="AS44" s="1329"/>
      <c r="AT44" s="1330" t="s">
        <v>795</v>
      </c>
      <c r="AU44" s="1424">
        <v>0</v>
      </c>
      <c r="AV44" s="1033">
        <f>VLOOKUP(AT44,Düngemittel!$B$6:$E$64,2,FALSE)*(VLOOKUP(AT44,Düngemittel!$B$6:$E$64,3,FALSE))/100*AU44</f>
        <v>0</v>
      </c>
      <c r="AW44" s="1033">
        <f>VLOOKUP(AT44,Düngemittel!$B$6:$E$64,2,FALSE)*AU44</f>
        <v>0</v>
      </c>
      <c r="AX44" s="1033">
        <f>VLOOKUP(AT44,Düngemittel!$B$6:$E$64,4,FALSE)*AU44</f>
        <v>0</v>
      </c>
      <c r="AY44" s="2324"/>
      <c r="AZ44" s="1329"/>
      <c r="BA44" s="1330" t="s">
        <v>795</v>
      </c>
      <c r="BB44" s="1424">
        <v>0</v>
      </c>
      <c r="BC44" s="1033">
        <f>VLOOKUP(BA44,Düngemittel!$B$6:$E$64,2,FALSE)*(VLOOKUP(BA44,Düngemittel!$B$6:$E$64,3,FALSE))/100*BB44</f>
        <v>0</v>
      </c>
      <c r="BD44" s="1033">
        <f>VLOOKUP(BA44,Düngemittel!$B$6:$E$64,2,FALSE)*BB44</f>
        <v>0</v>
      </c>
      <c r="BE44" s="1033">
        <f>VLOOKUP(BA44,Düngemittel!$B$6:$E$64,4,FALSE)*BB44</f>
        <v>0</v>
      </c>
      <c r="BF44" s="2324"/>
      <c r="BG44" s="1812">
        <f t="shared" si="26"/>
        <v>0</v>
      </c>
      <c r="BH44" s="2328">
        <f t="shared" si="27"/>
        <v>0</v>
      </c>
      <c r="BI44" s="1812">
        <f t="shared" si="28"/>
        <v>0</v>
      </c>
      <c r="BJ44" s="1138">
        <f t="shared" si="29"/>
        <v>0</v>
      </c>
      <c r="BK44" s="2328">
        <f t="shared" si="30"/>
        <v>0</v>
      </c>
      <c r="BL44" s="95"/>
      <c r="BM44" s="1810">
        <f t="shared" si="31"/>
        <v>0</v>
      </c>
      <c r="BN44" s="1135">
        <f t="shared" si="32"/>
        <v>0</v>
      </c>
      <c r="BO44" s="1810">
        <f t="shared" si="33"/>
        <v>0</v>
      </c>
      <c r="BP44" s="1807">
        <f t="shared" si="34"/>
        <v>0</v>
      </c>
      <c r="BQ44" s="1135">
        <f t="shared" si="35"/>
        <v>0</v>
      </c>
      <c r="BR44" s="2324"/>
      <c r="BS44" s="2324"/>
      <c r="BT44" s="528">
        <f t="shared" si="13"/>
        <v>0</v>
      </c>
      <c r="BU44" s="528">
        <f t="shared" si="14"/>
        <v>0</v>
      </c>
      <c r="BV44" s="148"/>
      <c r="BW44" s="757" t="s">
        <v>765</v>
      </c>
      <c r="BX44" s="757">
        <v>30</v>
      </c>
      <c r="BY44" s="757">
        <v>260</v>
      </c>
      <c r="BZ44" s="757">
        <v>5</v>
      </c>
      <c r="CA44" s="757">
        <v>7.5</v>
      </c>
      <c r="CB44" s="757">
        <v>60</v>
      </c>
      <c r="CC44" s="757">
        <v>1.3</v>
      </c>
      <c r="CD44" s="480">
        <f t="shared" si="36"/>
        <v>39</v>
      </c>
    </row>
    <row r="45" spans="1:82" s="1421" customFormat="1" ht="26.25" customHeight="1">
      <c r="A45" s="468">
        <v>38</v>
      </c>
      <c r="B45" s="1699">
        <v>0</v>
      </c>
      <c r="C45" s="759" t="s">
        <v>31</v>
      </c>
      <c r="D45" s="1427">
        <f t="shared" si="1"/>
        <v>0</v>
      </c>
      <c r="E45" s="584">
        <f t="shared" si="2"/>
        <v>0</v>
      </c>
      <c r="F45" s="1690">
        <v>0</v>
      </c>
      <c r="G45" s="570">
        <f t="shared" si="3"/>
        <v>0</v>
      </c>
      <c r="H45" s="761" t="s">
        <v>503</v>
      </c>
      <c r="I45" s="584">
        <f t="shared" si="4"/>
        <v>0</v>
      </c>
      <c r="J45" s="587" t="s">
        <v>31</v>
      </c>
      <c r="K45" s="765">
        <f t="shared" si="5"/>
        <v>0</v>
      </c>
      <c r="L45" s="565">
        <f t="shared" si="6"/>
        <v>0</v>
      </c>
      <c r="M45" s="1693">
        <v>0</v>
      </c>
      <c r="N45" s="609" t="s">
        <v>160</v>
      </c>
      <c r="O45" s="584">
        <f t="shared" si="7"/>
        <v>0</v>
      </c>
      <c r="P45" s="1696">
        <v>0</v>
      </c>
      <c r="Q45" s="1894">
        <f t="shared" si="15"/>
        <v>0</v>
      </c>
      <c r="R45" s="2371">
        <f t="shared" si="16"/>
        <v>0</v>
      </c>
      <c r="S45" s="2367">
        <f t="shared" si="8"/>
        <v>0</v>
      </c>
      <c r="T45" s="592">
        <f t="shared" si="9"/>
        <v>0</v>
      </c>
      <c r="U45" s="2324"/>
      <c r="V45" s="1281">
        <f t="shared" si="10"/>
        <v>38</v>
      </c>
      <c r="W45" s="1281" t="str">
        <f t="shared" si="11"/>
        <v>keine</v>
      </c>
      <c r="X45" s="1329"/>
      <c r="Y45" s="1330" t="s">
        <v>795</v>
      </c>
      <c r="Z45" s="1424">
        <v>0</v>
      </c>
      <c r="AA45" s="1033">
        <f>VLOOKUP(Y45,Düngemittel!$B$6:$E$64,2,FALSE)*(VLOOKUP(Y45,Düngemittel!$B$6:$E$64,3,FALSE))/100*Z45</f>
        <v>0</v>
      </c>
      <c r="AB45" s="1033">
        <f>VLOOKUP(Y45,Düngemittel!$B$6:$E$64,2,FALSE)*Z45</f>
        <v>0</v>
      </c>
      <c r="AC45" s="1033">
        <f>VLOOKUP(Y45,Düngemittel!$B$6:$E$64,4,FALSE)*Z45</f>
        <v>0</v>
      </c>
      <c r="AD45" s="2324"/>
      <c r="AE45" s="1329"/>
      <c r="AF45" s="1330" t="s">
        <v>795</v>
      </c>
      <c r="AG45" s="1424">
        <v>0</v>
      </c>
      <c r="AH45" s="1033">
        <f>VLOOKUP(AF45,Düngemittel!$B$6:$E$64,2,FALSE)*(VLOOKUP(AF45,Düngemittel!$B$6:$E$64,3,FALSE))/100*AG45</f>
        <v>0</v>
      </c>
      <c r="AI45" s="1033">
        <f>VLOOKUP(AF45,Düngemittel!$B$6:$E$64,2,FALSE)*AG45</f>
        <v>0</v>
      </c>
      <c r="AJ45" s="1033">
        <f>VLOOKUP(AF45,Düngemittel!$B$6:$E$64,4,FALSE)*AG45</f>
        <v>0</v>
      </c>
      <c r="AK45" s="2324"/>
      <c r="AL45" s="1329"/>
      <c r="AM45" s="1330" t="s">
        <v>795</v>
      </c>
      <c r="AN45" s="1424">
        <v>0</v>
      </c>
      <c r="AO45" s="1033">
        <f>VLOOKUP(AM45,Düngemittel!$B$6:$E$64,2,FALSE)*(VLOOKUP(AM45,Düngemittel!$B$6:$E$64,3,FALSE))/100*AN45</f>
        <v>0</v>
      </c>
      <c r="AP45" s="1033">
        <f>VLOOKUP(AM45,Düngemittel!$B$6:$E$64,2,FALSE)*AN45</f>
        <v>0</v>
      </c>
      <c r="AQ45" s="1033">
        <f>VLOOKUP(AM45,Düngemittel!$B$6:$E$64,4,FALSE)*AN45</f>
        <v>0</v>
      </c>
      <c r="AR45" s="2324"/>
      <c r="AS45" s="1329"/>
      <c r="AT45" s="1330" t="s">
        <v>795</v>
      </c>
      <c r="AU45" s="1424">
        <v>0</v>
      </c>
      <c r="AV45" s="1033">
        <f>VLOOKUP(AT45,Düngemittel!$B$6:$E$64,2,FALSE)*(VLOOKUP(AT45,Düngemittel!$B$6:$E$64,3,FALSE))/100*AU45</f>
        <v>0</v>
      </c>
      <c r="AW45" s="1033">
        <f>VLOOKUP(AT45,Düngemittel!$B$6:$E$64,2,FALSE)*AU45</f>
        <v>0</v>
      </c>
      <c r="AX45" s="1033">
        <f>VLOOKUP(AT45,Düngemittel!$B$6:$E$64,4,FALSE)*AU45</f>
        <v>0</v>
      </c>
      <c r="AY45" s="2324"/>
      <c r="AZ45" s="1329"/>
      <c r="BA45" s="1330" t="s">
        <v>795</v>
      </c>
      <c r="BB45" s="1424">
        <v>0</v>
      </c>
      <c r="BC45" s="1033">
        <f>VLOOKUP(BA45,Düngemittel!$B$6:$E$64,2,FALSE)*(VLOOKUP(BA45,Düngemittel!$B$6:$E$64,3,FALSE))/100*BB45</f>
        <v>0</v>
      </c>
      <c r="BD45" s="1033">
        <f>VLOOKUP(BA45,Düngemittel!$B$6:$E$64,2,FALSE)*BB45</f>
        <v>0</v>
      </c>
      <c r="BE45" s="1033">
        <f>VLOOKUP(BA45,Düngemittel!$B$6:$E$64,4,FALSE)*BB45</f>
        <v>0</v>
      </c>
      <c r="BF45" s="2324"/>
      <c r="BG45" s="1812">
        <f t="shared" si="26"/>
        <v>0</v>
      </c>
      <c r="BH45" s="2328">
        <f t="shared" si="27"/>
        <v>0</v>
      </c>
      <c r="BI45" s="1812">
        <f t="shared" si="28"/>
        <v>0</v>
      </c>
      <c r="BJ45" s="1138">
        <f t="shared" si="29"/>
        <v>0</v>
      </c>
      <c r="BK45" s="2328">
        <f t="shared" si="30"/>
        <v>0</v>
      </c>
      <c r="BL45" s="95"/>
      <c r="BM45" s="1810">
        <f t="shared" si="31"/>
        <v>0</v>
      </c>
      <c r="BN45" s="1135">
        <f t="shared" si="32"/>
        <v>0</v>
      </c>
      <c r="BO45" s="1810">
        <f t="shared" si="33"/>
        <v>0</v>
      </c>
      <c r="BP45" s="1807">
        <f t="shared" si="34"/>
        <v>0</v>
      </c>
      <c r="BQ45" s="1135">
        <f t="shared" si="35"/>
        <v>0</v>
      </c>
      <c r="BR45" s="2324"/>
      <c r="BS45" s="2324"/>
      <c r="BT45" s="528">
        <f t="shared" si="13"/>
        <v>0</v>
      </c>
      <c r="BU45" s="528">
        <f t="shared" si="14"/>
        <v>0</v>
      </c>
      <c r="BV45" s="148"/>
      <c r="BW45" s="281" t="s">
        <v>690</v>
      </c>
      <c r="BX45" s="281">
        <v>500</v>
      </c>
      <c r="BY45" s="281">
        <v>150</v>
      </c>
      <c r="BZ45" s="281">
        <v>0.2</v>
      </c>
      <c r="CA45" s="492">
        <v>0.3</v>
      </c>
      <c r="CB45" s="808">
        <v>90</v>
      </c>
      <c r="CC45" s="749">
        <v>0.1</v>
      </c>
      <c r="CD45" s="480">
        <f t="shared" si="36"/>
        <v>50</v>
      </c>
    </row>
    <row r="46" spans="1:82" s="1421" customFormat="1" ht="26.25" customHeight="1">
      <c r="A46" s="468">
        <v>39</v>
      </c>
      <c r="B46" s="1699">
        <v>0</v>
      </c>
      <c r="C46" s="759" t="s">
        <v>31</v>
      </c>
      <c r="D46" s="1427">
        <f t="shared" si="1"/>
        <v>0</v>
      </c>
      <c r="E46" s="584">
        <f t="shared" si="2"/>
        <v>0</v>
      </c>
      <c r="F46" s="1690">
        <v>0</v>
      </c>
      <c r="G46" s="570">
        <f t="shared" si="3"/>
        <v>0</v>
      </c>
      <c r="H46" s="761" t="s">
        <v>503</v>
      </c>
      <c r="I46" s="584">
        <f t="shared" si="4"/>
        <v>0</v>
      </c>
      <c r="J46" s="587" t="s">
        <v>31</v>
      </c>
      <c r="K46" s="765">
        <f t="shared" si="5"/>
        <v>0</v>
      </c>
      <c r="L46" s="565">
        <f t="shared" si="6"/>
        <v>0</v>
      </c>
      <c r="M46" s="1693">
        <v>0</v>
      </c>
      <c r="N46" s="609" t="s">
        <v>160</v>
      </c>
      <c r="O46" s="584">
        <f t="shared" si="7"/>
        <v>0</v>
      </c>
      <c r="P46" s="1696">
        <v>0</v>
      </c>
      <c r="Q46" s="1894">
        <f t="shared" si="15"/>
        <v>0</v>
      </c>
      <c r="R46" s="2371">
        <f t="shared" si="16"/>
        <v>0</v>
      </c>
      <c r="S46" s="2367">
        <f t="shared" si="8"/>
        <v>0</v>
      </c>
      <c r="T46" s="592">
        <f t="shared" si="9"/>
        <v>0</v>
      </c>
      <c r="U46" s="2324"/>
      <c r="V46" s="1281">
        <f t="shared" si="10"/>
        <v>39</v>
      </c>
      <c r="W46" s="1281" t="str">
        <f t="shared" si="11"/>
        <v>keine</v>
      </c>
      <c r="X46" s="1329"/>
      <c r="Y46" s="1330" t="s">
        <v>795</v>
      </c>
      <c r="Z46" s="1424">
        <v>0</v>
      </c>
      <c r="AA46" s="1033">
        <f>VLOOKUP(Y46,Düngemittel!$B$6:$E$64,2,FALSE)*(VLOOKUP(Y46,Düngemittel!$B$6:$E$64,3,FALSE))/100*Z46</f>
        <v>0</v>
      </c>
      <c r="AB46" s="1033">
        <f>VLOOKUP(Y46,Düngemittel!$B$6:$E$64,2,FALSE)*Z46</f>
        <v>0</v>
      </c>
      <c r="AC46" s="1033">
        <f>VLOOKUP(Y46,Düngemittel!$B$6:$E$64,4,FALSE)*Z46</f>
        <v>0</v>
      </c>
      <c r="AD46" s="2324"/>
      <c r="AE46" s="1329"/>
      <c r="AF46" s="1330" t="s">
        <v>795</v>
      </c>
      <c r="AG46" s="1424">
        <v>0</v>
      </c>
      <c r="AH46" s="1033">
        <f>VLOOKUP(AF46,Düngemittel!$B$6:$E$64,2,FALSE)*(VLOOKUP(AF46,Düngemittel!$B$6:$E$64,3,FALSE))/100*AG46</f>
        <v>0</v>
      </c>
      <c r="AI46" s="1033">
        <f>VLOOKUP(AF46,Düngemittel!$B$6:$E$64,2,FALSE)*AG46</f>
        <v>0</v>
      </c>
      <c r="AJ46" s="1033">
        <f>VLOOKUP(AF46,Düngemittel!$B$6:$E$64,4,FALSE)*AG46</f>
        <v>0</v>
      </c>
      <c r="AK46" s="2324"/>
      <c r="AL46" s="1329"/>
      <c r="AM46" s="1330" t="s">
        <v>795</v>
      </c>
      <c r="AN46" s="1424">
        <v>0</v>
      </c>
      <c r="AO46" s="1033">
        <f>VLOOKUP(AM46,Düngemittel!$B$6:$E$64,2,FALSE)*(VLOOKUP(AM46,Düngemittel!$B$6:$E$64,3,FALSE))/100*AN46</f>
        <v>0</v>
      </c>
      <c r="AP46" s="1033">
        <f>VLOOKUP(AM46,Düngemittel!$B$6:$E$64,2,FALSE)*AN46</f>
        <v>0</v>
      </c>
      <c r="AQ46" s="1033">
        <f>VLOOKUP(AM46,Düngemittel!$B$6:$E$64,4,FALSE)*AN46</f>
        <v>0</v>
      </c>
      <c r="AR46" s="2324"/>
      <c r="AS46" s="1329"/>
      <c r="AT46" s="1330" t="s">
        <v>795</v>
      </c>
      <c r="AU46" s="1424">
        <v>0</v>
      </c>
      <c r="AV46" s="1033">
        <f>VLOOKUP(AT46,Düngemittel!$B$6:$E$64,2,FALSE)*(VLOOKUP(AT46,Düngemittel!$B$6:$E$64,3,FALSE))/100*AU46</f>
        <v>0</v>
      </c>
      <c r="AW46" s="1033">
        <f>VLOOKUP(AT46,Düngemittel!$B$6:$E$64,2,FALSE)*AU46</f>
        <v>0</v>
      </c>
      <c r="AX46" s="1033">
        <f>VLOOKUP(AT46,Düngemittel!$B$6:$E$64,4,FALSE)*AU46</f>
        <v>0</v>
      </c>
      <c r="AY46" s="2324"/>
      <c r="AZ46" s="1329"/>
      <c r="BA46" s="1330" t="s">
        <v>795</v>
      </c>
      <c r="BB46" s="1424">
        <v>0</v>
      </c>
      <c r="BC46" s="1033">
        <f>VLOOKUP(BA46,Düngemittel!$B$6:$E$64,2,FALSE)*(VLOOKUP(BA46,Düngemittel!$B$6:$E$64,3,FALSE))/100*BB46</f>
        <v>0</v>
      </c>
      <c r="BD46" s="1033">
        <f>VLOOKUP(BA46,Düngemittel!$B$6:$E$64,2,FALSE)*BB46</f>
        <v>0</v>
      </c>
      <c r="BE46" s="1033">
        <f>VLOOKUP(BA46,Düngemittel!$B$6:$E$64,4,FALSE)*BB46</f>
        <v>0</v>
      </c>
      <c r="BF46" s="2324"/>
      <c r="BG46" s="1812">
        <f t="shared" si="26"/>
        <v>0</v>
      </c>
      <c r="BH46" s="2328">
        <f t="shared" si="27"/>
        <v>0</v>
      </c>
      <c r="BI46" s="1812">
        <f t="shared" si="28"/>
        <v>0</v>
      </c>
      <c r="BJ46" s="1138">
        <f t="shared" si="29"/>
        <v>0</v>
      </c>
      <c r="BK46" s="2328">
        <f t="shared" si="30"/>
        <v>0</v>
      </c>
      <c r="BL46" s="95"/>
      <c r="BM46" s="1810">
        <f t="shared" si="31"/>
        <v>0</v>
      </c>
      <c r="BN46" s="1135">
        <f t="shared" si="32"/>
        <v>0</v>
      </c>
      <c r="BO46" s="1810">
        <f t="shared" si="33"/>
        <v>0</v>
      </c>
      <c r="BP46" s="1807">
        <f t="shared" si="34"/>
        <v>0</v>
      </c>
      <c r="BQ46" s="1135">
        <f t="shared" si="35"/>
        <v>0</v>
      </c>
      <c r="BR46" s="2324"/>
      <c r="BS46" s="2324"/>
      <c r="BT46" s="528">
        <f t="shared" si="13"/>
        <v>0</v>
      </c>
      <c r="BU46" s="528">
        <f t="shared" si="14"/>
        <v>0</v>
      </c>
      <c r="BV46" s="148"/>
      <c r="BW46" s="279" t="s">
        <v>92</v>
      </c>
      <c r="BX46" s="279">
        <v>70</v>
      </c>
      <c r="BY46" s="279">
        <v>180</v>
      </c>
      <c r="BZ46" s="279">
        <v>1</v>
      </c>
      <c r="CA46" s="279">
        <v>1.5</v>
      </c>
      <c r="CB46" s="808">
        <v>90</v>
      </c>
      <c r="CC46" s="749">
        <v>0.8</v>
      </c>
      <c r="CD46" s="480">
        <f t="shared" si="36"/>
        <v>56</v>
      </c>
    </row>
    <row r="47" spans="1:82" s="1421" customFormat="1" ht="26.25" customHeight="1">
      <c r="A47" s="468">
        <v>40</v>
      </c>
      <c r="B47" s="1699">
        <v>0</v>
      </c>
      <c r="C47" s="759" t="s">
        <v>31</v>
      </c>
      <c r="D47" s="1427">
        <f t="shared" si="1"/>
        <v>0</v>
      </c>
      <c r="E47" s="584">
        <f t="shared" si="2"/>
        <v>0</v>
      </c>
      <c r="F47" s="1690">
        <v>0</v>
      </c>
      <c r="G47" s="570">
        <f t="shared" si="3"/>
        <v>0</v>
      </c>
      <c r="H47" s="761" t="s">
        <v>503</v>
      </c>
      <c r="I47" s="584">
        <f t="shared" si="4"/>
        <v>0</v>
      </c>
      <c r="J47" s="587" t="s">
        <v>31</v>
      </c>
      <c r="K47" s="765">
        <f t="shared" si="5"/>
        <v>0</v>
      </c>
      <c r="L47" s="565">
        <f t="shared" si="6"/>
        <v>0</v>
      </c>
      <c r="M47" s="1693">
        <v>0</v>
      </c>
      <c r="N47" s="609" t="s">
        <v>160</v>
      </c>
      <c r="O47" s="584">
        <f t="shared" si="7"/>
        <v>0</v>
      </c>
      <c r="P47" s="1696">
        <v>0</v>
      </c>
      <c r="Q47" s="1894">
        <f t="shared" si="15"/>
        <v>0</v>
      </c>
      <c r="R47" s="2371">
        <f t="shared" si="16"/>
        <v>0</v>
      </c>
      <c r="S47" s="2367">
        <f t="shared" si="8"/>
        <v>0</v>
      </c>
      <c r="T47" s="592">
        <f t="shared" si="9"/>
        <v>0</v>
      </c>
      <c r="U47" s="2324"/>
      <c r="V47" s="1281">
        <f t="shared" si="10"/>
        <v>40</v>
      </c>
      <c r="W47" s="1281" t="str">
        <f t="shared" si="11"/>
        <v>keine</v>
      </c>
      <c r="X47" s="1329"/>
      <c r="Y47" s="1330" t="s">
        <v>795</v>
      </c>
      <c r="Z47" s="1424">
        <v>0</v>
      </c>
      <c r="AA47" s="1033">
        <f>VLOOKUP(Y47,Düngemittel!$B$6:$E$64,2,FALSE)*(VLOOKUP(Y47,Düngemittel!$B$6:$E$64,3,FALSE))/100*Z47</f>
        <v>0</v>
      </c>
      <c r="AB47" s="1033">
        <f>VLOOKUP(Y47,Düngemittel!$B$6:$E$64,2,FALSE)*Z47</f>
        <v>0</v>
      </c>
      <c r="AC47" s="1033">
        <f>VLOOKUP(Y47,Düngemittel!$B$6:$E$64,4,FALSE)*Z47</f>
        <v>0</v>
      </c>
      <c r="AD47" s="2324"/>
      <c r="AE47" s="1329"/>
      <c r="AF47" s="1330" t="s">
        <v>795</v>
      </c>
      <c r="AG47" s="1424">
        <v>0</v>
      </c>
      <c r="AH47" s="1033">
        <f>VLOOKUP(AF47,Düngemittel!$B$6:$E$64,2,FALSE)*(VLOOKUP(AF47,Düngemittel!$B$6:$E$64,3,FALSE))/100*AG47</f>
        <v>0</v>
      </c>
      <c r="AI47" s="1033">
        <f>VLOOKUP(AF47,Düngemittel!$B$6:$E$64,2,FALSE)*AG47</f>
        <v>0</v>
      </c>
      <c r="AJ47" s="1033">
        <f>VLOOKUP(AF47,Düngemittel!$B$6:$E$64,4,FALSE)*AG47</f>
        <v>0</v>
      </c>
      <c r="AK47" s="2324"/>
      <c r="AL47" s="1329"/>
      <c r="AM47" s="1330" t="s">
        <v>795</v>
      </c>
      <c r="AN47" s="1424">
        <v>0</v>
      </c>
      <c r="AO47" s="1033">
        <f>VLOOKUP(AM47,Düngemittel!$B$6:$E$64,2,FALSE)*(VLOOKUP(AM47,Düngemittel!$B$6:$E$64,3,FALSE))/100*AN47</f>
        <v>0</v>
      </c>
      <c r="AP47" s="1033">
        <f>VLOOKUP(AM47,Düngemittel!$B$6:$E$64,2,FALSE)*AN47</f>
        <v>0</v>
      </c>
      <c r="AQ47" s="1033">
        <f>VLOOKUP(AM47,Düngemittel!$B$6:$E$64,4,FALSE)*AN47</f>
        <v>0</v>
      </c>
      <c r="AR47" s="2324"/>
      <c r="AS47" s="1329"/>
      <c r="AT47" s="1330" t="s">
        <v>795</v>
      </c>
      <c r="AU47" s="1424">
        <v>0</v>
      </c>
      <c r="AV47" s="1033">
        <f>VLOOKUP(AT47,Düngemittel!$B$6:$E$64,2,FALSE)*(VLOOKUP(AT47,Düngemittel!$B$6:$E$64,3,FALSE))/100*AU47</f>
        <v>0</v>
      </c>
      <c r="AW47" s="1033">
        <f>VLOOKUP(AT47,Düngemittel!$B$6:$E$64,2,FALSE)*AU47</f>
        <v>0</v>
      </c>
      <c r="AX47" s="1033">
        <f>VLOOKUP(AT47,Düngemittel!$B$6:$E$64,4,FALSE)*AU47</f>
        <v>0</v>
      </c>
      <c r="AY47" s="2324"/>
      <c r="AZ47" s="1329"/>
      <c r="BA47" s="1330" t="s">
        <v>795</v>
      </c>
      <c r="BB47" s="1424">
        <v>0</v>
      </c>
      <c r="BC47" s="1033">
        <f>VLOOKUP(BA47,Düngemittel!$B$6:$E$64,2,FALSE)*(VLOOKUP(BA47,Düngemittel!$B$6:$E$64,3,FALSE))/100*BB47</f>
        <v>0</v>
      </c>
      <c r="BD47" s="1033">
        <f>VLOOKUP(BA47,Düngemittel!$B$6:$E$64,2,FALSE)*BB47</f>
        <v>0</v>
      </c>
      <c r="BE47" s="1033">
        <f>VLOOKUP(BA47,Düngemittel!$B$6:$E$64,4,FALSE)*BB47</f>
        <v>0</v>
      </c>
      <c r="BF47" s="2324"/>
      <c r="BG47" s="1812">
        <f t="shared" si="26"/>
        <v>0</v>
      </c>
      <c r="BH47" s="2328">
        <f t="shared" si="27"/>
        <v>0</v>
      </c>
      <c r="BI47" s="1812">
        <f t="shared" si="28"/>
        <v>0</v>
      </c>
      <c r="BJ47" s="1138">
        <f t="shared" si="29"/>
        <v>0</v>
      </c>
      <c r="BK47" s="2328">
        <f t="shared" si="30"/>
        <v>0</v>
      </c>
      <c r="BL47" s="95"/>
      <c r="BM47" s="1810">
        <f t="shared" si="31"/>
        <v>0</v>
      </c>
      <c r="BN47" s="1135">
        <f t="shared" si="32"/>
        <v>0</v>
      </c>
      <c r="BO47" s="1810">
        <f t="shared" si="33"/>
        <v>0</v>
      </c>
      <c r="BP47" s="1807">
        <f t="shared" si="34"/>
        <v>0</v>
      </c>
      <c r="BQ47" s="1135">
        <f t="shared" si="35"/>
        <v>0</v>
      </c>
      <c r="BR47" s="2324"/>
      <c r="BS47" s="2324"/>
      <c r="BT47" s="528">
        <f t="shared" si="13"/>
        <v>0</v>
      </c>
      <c r="BU47" s="528">
        <f t="shared" si="14"/>
        <v>0</v>
      </c>
      <c r="BV47" s="148"/>
      <c r="BW47" s="735" t="s">
        <v>755</v>
      </c>
      <c r="BX47" s="735">
        <v>350</v>
      </c>
      <c r="BY47" s="735">
        <v>210</v>
      </c>
      <c r="BZ47" s="735">
        <v>0.2</v>
      </c>
      <c r="CA47" s="735">
        <v>0.3</v>
      </c>
      <c r="CB47" s="808">
        <v>90</v>
      </c>
      <c r="CC47" s="749">
        <v>0.23</v>
      </c>
      <c r="CD47" s="480">
        <f t="shared" si="36"/>
        <v>80.5</v>
      </c>
    </row>
    <row r="48" spans="1:82" ht="26.25" customHeight="1">
      <c r="A48" s="468">
        <v>41</v>
      </c>
      <c r="B48" s="1699">
        <v>0</v>
      </c>
      <c r="C48" s="759" t="s">
        <v>31</v>
      </c>
      <c r="D48" s="1427">
        <f t="shared" si="1"/>
        <v>0</v>
      </c>
      <c r="E48" s="584">
        <f t="shared" si="2"/>
        <v>0</v>
      </c>
      <c r="F48" s="1690">
        <v>0</v>
      </c>
      <c r="G48" s="570">
        <f t="shared" si="3"/>
        <v>0</v>
      </c>
      <c r="H48" s="761" t="s">
        <v>503</v>
      </c>
      <c r="I48" s="584">
        <f t="shared" si="4"/>
        <v>0</v>
      </c>
      <c r="J48" s="587" t="s">
        <v>31</v>
      </c>
      <c r="K48" s="765">
        <f t="shared" si="5"/>
        <v>0</v>
      </c>
      <c r="L48" s="565">
        <f t="shared" si="6"/>
        <v>0</v>
      </c>
      <c r="M48" s="1693">
        <v>0</v>
      </c>
      <c r="N48" s="609" t="s">
        <v>160</v>
      </c>
      <c r="O48" s="584">
        <f t="shared" si="7"/>
        <v>0</v>
      </c>
      <c r="P48" s="1696">
        <v>0</v>
      </c>
      <c r="Q48" s="1894">
        <f t="shared" si="15"/>
        <v>0</v>
      </c>
      <c r="R48" s="2371">
        <f t="shared" si="16"/>
        <v>0</v>
      </c>
      <c r="S48" s="2367">
        <f t="shared" si="8"/>
        <v>0</v>
      </c>
      <c r="T48" s="592">
        <f t="shared" si="9"/>
        <v>0</v>
      </c>
      <c r="U48" s="1251"/>
      <c r="V48" s="1281">
        <f t="shared" si="10"/>
        <v>41</v>
      </c>
      <c r="W48" s="1281" t="str">
        <f t="shared" si="11"/>
        <v>keine</v>
      </c>
      <c r="X48" s="1329"/>
      <c r="Y48" s="1330" t="s">
        <v>795</v>
      </c>
      <c r="Z48" s="1424">
        <v>0</v>
      </c>
      <c r="AA48" s="1033">
        <f>VLOOKUP(Y48,Düngemittel!$B$6:$E$64,2,FALSE)*(VLOOKUP(Y48,Düngemittel!$B$6:$E$64,3,FALSE))/100*Z48</f>
        <v>0</v>
      </c>
      <c r="AB48" s="1033">
        <f>VLOOKUP(Y48,Düngemittel!$B$6:$E$64,2,FALSE)*Z48</f>
        <v>0</v>
      </c>
      <c r="AC48" s="1033">
        <f>VLOOKUP(Y48,Düngemittel!$B$6:$E$64,4,FALSE)*Z48</f>
        <v>0</v>
      </c>
      <c r="AD48" s="2081"/>
      <c r="AE48" s="1329"/>
      <c r="AF48" s="1330" t="s">
        <v>795</v>
      </c>
      <c r="AG48" s="1424">
        <v>0</v>
      </c>
      <c r="AH48" s="1033">
        <f>VLOOKUP(AF48,Düngemittel!$B$6:$E$64,2,FALSE)*(VLOOKUP(AF48,Düngemittel!$B$6:$E$64,3,FALSE))/100*AG48</f>
        <v>0</v>
      </c>
      <c r="AI48" s="1033">
        <f>VLOOKUP(AF48,Düngemittel!$B$6:$E$64,2,FALSE)*AG48</f>
        <v>0</v>
      </c>
      <c r="AJ48" s="1033">
        <f>VLOOKUP(AF48,Düngemittel!$B$6:$E$64,4,FALSE)*AG48</f>
        <v>0</v>
      </c>
      <c r="AK48" s="2081"/>
      <c r="AL48" s="1329"/>
      <c r="AM48" s="1330" t="s">
        <v>795</v>
      </c>
      <c r="AN48" s="1424">
        <v>0</v>
      </c>
      <c r="AO48" s="1033">
        <f>VLOOKUP(AM48,Düngemittel!$B$6:$E$64,2,FALSE)*(VLOOKUP(AM48,Düngemittel!$B$6:$E$64,3,FALSE))/100*AN48</f>
        <v>0</v>
      </c>
      <c r="AP48" s="1033">
        <f>VLOOKUP(AM48,Düngemittel!$B$6:$E$64,2,FALSE)*AN48</f>
        <v>0</v>
      </c>
      <c r="AQ48" s="1033">
        <f>VLOOKUP(AM48,Düngemittel!$B$6:$E$64,4,FALSE)*AN48</f>
        <v>0</v>
      </c>
      <c r="AR48" s="2081"/>
      <c r="AS48" s="1329"/>
      <c r="AT48" s="1330" t="s">
        <v>795</v>
      </c>
      <c r="AU48" s="1424">
        <v>0</v>
      </c>
      <c r="AV48" s="1033">
        <f>VLOOKUP(AT48,Düngemittel!$B$6:$E$64,2,FALSE)*(VLOOKUP(AT48,Düngemittel!$B$6:$E$64,3,FALSE))/100*AU48</f>
        <v>0</v>
      </c>
      <c r="AW48" s="1033">
        <f>VLOOKUP(AT48,Düngemittel!$B$6:$E$64,2,FALSE)*AU48</f>
        <v>0</v>
      </c>
      <c r="AX48" s="1033">
        <f>VLOOKUP(AT48,Düngemittel!$B$6:$E$64,4,FALSE)*AU48</f>
        <v>0</v>
      </c>
      <c r="AY48" s="2081"/>
      <c r="AZ48" s="1329"/>
      <c r="BA48" s="1330" t="s">
        <v>795</v>
      </c>
      <c r="BB48" s="1424">
        <v>0</v>
      </c>
      <c r="BC48" s="1033">
        <f>VLOOKUP(BA48,Düngemittel!$B$6:$E$64,2,FALSE)*(VLOOKUP(BA48,Düngemittel!$B$6:$E$64,3,FALSE))/100*BB48</f>
        <v>0</v>
      </c>
      <c r="BD48" s="1033">
        <f>VLOOKUP(BA48,Düngemittel!$B$6:$E$64,2,FALSE)*BB48</f>
        <v>0</v>
      </c>
      <c r="BE48" s="1033">
        <f>VLOOKUP(BA48,Düngemittel!$B$6:$E$64,4,FALSE)*BB48</f>
        <v>0</v>
      </c>
      <c r="BF48" s="1251"/>
      <c r="BG48" s="1812">
        <f t="shared" si="17"/>
        <v>0</v>
      </c>
      <c r="BH48" s="1277">
        <f t="shared" si="18"/>
        <v>0</v>
      </c>
      <c r="BI48" s="1812">
        <f t="shared" si="18"/>
        <v>0</v>
      </c>
      <c r="BJ48" s="1138">
        <f t="shared" si="19"/>
        <v>0</v>
      </c>
      <c r="BK48" s="1277">
        <f t="shared" si="20"/>
        <v>0</v>
      </c>
      <c r="BL48" s="95"/>
      <c r="BM48" s="1810">
        <f t="shared" si="21"/>
        <v>0</v>
      </c>
      <c r="BN48" s="1135">
        <f t="shared" si="22"/>
        <v>0</v>
      </c>
      <c r="BO48" s="1810">
        <f t="shared" si="23"/>
        <v>0</v>
      </c>
      <c r="BP48" s="1807">
        <f t="shared" si="24"/>
        <v>0</v>
      </c>
      <c r="BQ48" s="1135">
        <f t="shared" si="25"/>
        <v>0</v>
      </c>
      <c r="BR48" s="1251"/>
      <c r="BS48" s="1251"/>
      <c r="BT48" s="528">
        <f t="shared" si="13"/>
        <v>0</v>
      </c>
      <c r="BU48" s="528">
        <f t="shared" si="14"/>
        <v>0</v>
      </c>
      <c r="BW48" s="735" t="s">
        <v>757</v>
      </c>
      <c r="BX48" s="735">
        <v>350</v>
      </c>
      <c r="BY48" s="735">
        <v>180</v>
      </c>
      <c r="BZ48" s="735">
        <v>0.2</v>
      </c>
      <c r="CA48" s="735">
        <v>0.3</v>
      </c>
      <c r="CB48" s="808">
        <v>90</v>
      </c>
      <c r="CC48" s="749">
        <v>0.23</v>
      </c>
      <c r="CD48" s="480">
        <f t="shared" si="36"/>
        <v>80.5</v>
      </c>
    </row>
    <row r="49" spans="1:85" ht="26.25" customHeight="1">
      <c r="A49" s="468">
        <v>42</v>
      </c>
      <c r="B49" s="1699">
        <v>0</v>
      </c>
      <c r="C49" s="759" t="s">
        <v>31</v>
      </c>
      <c r="D49" s="1427">
        <f t="shared" si="1"/>
        <v>0</v>
      </c>
      <c r="E49" s="584">
        <f t="shared" si="2"/>
        <v>0</v>
      </c>
      <c r="F49" s="1690">
        <v>0</v>
      </c>
      <c r="G49" s="570">
        <f t="shared" si="3"/>
        <v>0</v>
      </c>
      <c r="H49" s="761" t="s">
        <v>503</v>
      </c>
      <c r="I49" s="584">
        <f t="shared" si="4"/>
        <v>0</v>
      </c>
      <c r="J49" s="587" t="s">
        <v>31</v>
      </c>
      <c r="K49" s="765">
        <f t="shared" si="5"/>
        <v>0</v>
      </c>
      <c r="L49" s="565">
        <f t="shared" si="6"/>
        <v>0</v>
      </c>
      <c r="M49" s="1693">
        <v>0</v>
      </c>
      <c r="N49" s="609" t="s">
        <v>160</v>
      </c>
      <c r="O49" s="584">
        <f t="shared" si="7"/>
        <v>0</v>
      </c>
      <c r="P49" s="1696">
        <v>0</v>
      </c>
      <c r="Q49" s="1894">
        <f t="shared" si="15"/>
        <v>0</v>
      </c>
      <c r="R49" s="2371">
        <f t="shared" si="16"/>
        <v>0</v>
      </c>
      <c r="S49" s="2367">
        <f t="shared" si="8"/>
        <v>0</v>
      </c>
      <c r="T49" s="592">
        <f t="shared" si="9"/>
        <v>0</v>
      </c>
      <c r="U49" s="142"/>
      <c r="V49" s="1281">
        <f t="shared" si="10"/>
        <v>42</v>
      </c>
      <c r="W49" s="1281" t="str">
        <f t="shared" si="11"/>
        <v>keine</v>
      </c>
      <c r="X49" s="1329"/>
      <c r="Y49" s="1330" t="s">
        <v>795</v>
      </c>
      <c r="Z49" s="1424">
        <v>0</v>
      </c>
      <c r="AA49" s="1033">
        <f>VLOOKUP(Y49,Düngemittel!$B$6:$E$64,2,FALSE)*(VLOOKUP(Y49,Düngemittel!$B$6:$E$64,3,FALSE))/100*Z49</f>
        <v>0</v>
      </c>
      <c r="AB49" s="1033">
        <f>VLOOKUP(Y49,Düngemittel!$B$6:$E$64,2,FALSE)*Z49</f>
        <v>0</v>
      </c>
      <c r="AC49" s="1033">
        <f>VLOOKUP(Y49,Düngemittel!$B$6:$E$64,4,FALSE)*Z49</f>
        <v>0</v>
      </c>
      <c r="AD49" s="142"/>
      <c r="AE49" s="1329"/>
      <c r="AF49" s="1330" t="s">
        <v>795</v>
      </c>
      <c r="AG49" s="1424">
        <v>0</v>
      </c>
      <c r="AH49" s="1033">
        <f>VLOOKUP(AF49,Düngemittel!$B$6:$E$64,2,FALSE)*(VLOOKUP(AF49,Düngemittel!$B$6:$E$64,3,FALSE))/100*AG49</f>
        <v>0</v>
      </c>
      <c r="AI49" s="1033">
        <f>VLOOKUP(AF49,Düngemittel!$B$6:$E$64,2,FALSE)*AG49</f>
        <v>0</v>
      </c>
      <c r="AJ49" s="1033">
        <f>VLOOKUP(AF49,Düngemittel!$B$6:$E$64,4,FALSE)*AG49</f>
        <v>0</v>
      </c>
      <c r="AK49" s="142"/>
      <c r="AL49" s="1329"/>
      <c r="AM49" s="1330" t="s">
        <v>795</v>
      </c>
      <c r="AN49" s="1424">
        <v>0</v>
      </c>
      <c r="AO49" s="1033">
        <f>VLOOKUP(AM49,Düngemittel!$B$6:$E$64,2,FALSE)*(VLOOKUP(AM49,Düngemittel!$B$6:$E$64,3,FALSE))/100*AN49</f>
        <v>0</v>
      </c>
      <c r="AP49" s="1033">
        <f>VLOOKUP(AM49,Düngemittel!$B$6:$E$64,2,FALSE)*AN49</f>
        <v>0</v>
      </c>
      <c r="AQ49" s="1033">
        <f>VLOOKUP(AM49,Düngemittel!$B$6:$E$64,4,FALSE)*AN49</f>
        <v>0</v>
      </c>
      <c r="AR49" s="142"/>
      <c r="AS49" s="1329"/>
      <c r="AT49" s="1330" t="s">
        <v>795</v>
      </c>
      <c r="AU49" s="1424">
        <v>0</v>
      </c>
      <c r="AV49" s="1033">
        <f>VLOOKUP(AT49,Düngemittel!$B$6:$E$64,2,FALSE)*(VLOOKUP(AT49,Düngemittel!$B$6:$E$64,3,FALSE))/100*AU49</f>
        <v>0</v>
      </c>
      <c r="AW49" s="1033">
        <f>VLOOKUP(AT49,Düngemittel!$B$6:$E$64,2,FALSE)*AU49</f>
        <v>0</v>
      </c>
      <c r="AX49" s="1033">
        <f>VLOOKUP(AT49,Düngemittel!$B$6:$E$64,4,FALSE)*AU49</f>
        <v>0</v>
      </c>
      <c r="AY49" s="142"/>
      <c r="AZ49" s="1329"/>
      <c r="BA49" s="1330" t="s">
        <v>795</v>
      </c>
      <c r="BB49" s="1424">
        <v>0</v>
      </c>
      <c r="BC49" s="1033">
        <f>VLOOKUP(BA49,Düngemittel!$B$6:$E$64,2,FALSE)*(VLOOKUP(BA49,Düngemittel!$B$6:$E$64,3,FALSE))/100*BB49</f>
        <v>0</v>
      </c>
      <c r="BD49" s="1033">
        <f>VLOOKUP(BA49,Düngemittel!$B$6:$E$64,2,FALSE)*BB49</f>
        <v>0</v>
      </c>
      <c r="BE49" s="1033">
        <f>VLOOKUP(BA49,Düngemittel!$B$6:$E$64,4,FALSE)*BB49</f>
        <v>0</v>
      </c>
      <c r="BF49" s="142"/>
      <c r="BG49" s="1812">
        <f t="shared" si="17"/>
        <v>0</v>
      </c>
      <c r="BH49" s="1277">
        <f t="shared" si="18"/>
        <v>0</v>
      </c>
      <c r="BI49" s="1812">
        <f t="shared" si="18"/>
        <v>0</v>
      </c>
      <c r="BJ49" s="1138">
        <f t="shared" si="19"/>
        <v>0</v>
      </c>
      <c r="BK49" s="1277">
        <f t="shared" si="20"/>
        <v>0</v>
      </c>
      <c r="BL49" s="95"/>
      <c r="BM49" s="1810">
        <f t="shared" si="21"/>
        <v>0</v>
      </c>
      <c r="BN49" s="1135">
        <f t="shared" si="22"/>
        <v>0</v>
      </c>
      <c r="BO49" s="1810">
        <f t="shared" si="23"/>
        <v>0</v>
      </c>
      <c r="BP49" s="1807">
        <f t="shared" si="24"/>
        <v>0</v>
      </c>
      <c r="BQ49" s="1135">
        <f t="shared" si="25"/>
        <v>0</v>
      </c>
      <c r="BR49" s="1251"/>
      <c r="BS49" s="142"/>
      <c r="BT49" s="528">
        <f t="shared" si="13"/>
        <v>0</v>
      </c>
      <c r="BU49" s="528">
        <f t="shared" si="14"/>
        <v>0</v>
      </c>
      <c r="BW49" s="786" t="s">
        <v>716</v>
      </c>
      <c r="BX49" s="786">
        <v>350</v>
      </c>
      <c r="BY49" s="786">
        <v>140</v>
      </c>
      <c r="BZ49" s="786">
        <v>0.15</v>
      </c>
      <c r="CA49" s="786">
        <v>0.23</v>
      </c>
      <c r="CB49" s="808">
        <v>90</v>
      </c>
      <c r="CC49" s="749">
        <v>0.23</v>
      </c>
      <c r="CD49" s="480">
        <f t="shared" si="36"/>
        <v>80.5</v>
      </c>
    </row>
    <row r="50" spans="1:85" ht="20.25" customHeight="1">
      <c r="A50" s="468">
        <v>43</v>
      </c>
      <c r="B50" s="1699">
        <v>0</v>
      </c>
      <c r="C50" s="759" t="s">
        <v>31</v>
      </c>
      <c r="D50" s="1427">
        <f t="shared" si="1"/>
        <v>0</v>
      </c>
      <c r="E50" s="584">
        <f t="shared" si="2"/>
        <v>0</v>
      </c>
      <c r="F50" s="1690">
        <v>0</v>
      </c>
      <c r="G50" s="570">
        <f t="shared" si="3"/>
        <v>0</v>
      </c>
      <c r="H50" s="761" t="s">
        <v>503</v>
      </c>
      <c r="I50" s="584">
        <f t="shared" si="4"/>
        <v>0</v>
      </c>
      <c r="J50" s="587" t="s">
        <v>31</v>
      </c>
      <c r="K50" s="765">
        <f t="shared" si="5"/>
        <v>0</v>
      </c>
      <c r="L50" s="565">
        <f t="shared" si="6"/>
        <v>0</v>
      </c>
      <c r="M50" s="1693">
        <v>0</v>
      </c>
      <c r="N50" s="609" t="s">
        <v>160</v>
      </c>
      <c r="O50" s="584">
        <f t="shared" si="7"/>
        <v>0</v>
      </c>
      <c r="P50" s="1696">
        <v>0</v>
      </c>
      <c r="Q50" s="1894">
        <f t="shared" si="15"/>
        <v>0</v>
      </c>
      <c r="R50" s="2371">
        <f t="shared" si="16"/>
        <v>0</v>
      </c>
      <c r="S50" s="2367">
        <f t="shared" si="8"/>
        <v>0</v>
      </c>
      <c r="T50" s="592">
        <f t="shared" si="9"/>
        <v>0</v>
      </c>
      <c r="U50" s="1251"/>
      <c r="V50" s="1281">
        <f t="shared" si="10"/>
        <v>43</v>
      </c>
      <c r="W50" s="1281" t="str">
        <f t="shared" si="11"/>
        <v>keine</v>
      </c>
      <c r="X50" s="1329"/>
      <c r="Y50" s="1330" t="s">
        <v>795</v>
      </c>
      <c r="Z50" s="1424">
        <v>0</v>
      </c>
      <c r="AA50" s="1033">
        <f>VLOOKUP(Y50,Düngemittel!$B$6:$E$64,2,FALSE)*(VLOOKUP(Y50,Düngemittel!$B$6:$E$64,3,FALSE))/100*Z50</f>
        <v>0</v>
      </c>
      <c r="AB50" s="1033">
        <f>VLOOKUP(Y50,Düngemittel!$B$6:$E$64,2,FALSE)*Z50</f>
        <v>0</v>
      </c>
      <c r="AC50" s="1033">
        <f>VLOOKUP(Y50,Düngemittel!$B$6:$E$64,4,FALSE)*Z50</f>
        <v>0</v>
      </c>
      <c r="AD50" s="2081"/>
      <c r="AE50" s="1329"/>
      <c r="AF50" s="1330" t="s">
        <v>795</v>
      </c>
      <c r="AG50" s="1424">
        <v>0</v>
      </c>
      <c r="AH50" s="1033">
        <f>VLOOKUP(AF50,Düngemittel!$B$6:$E$64,2,FALSE)*(VLOOKUP(AF50,Düngemittel!$B$6:$E$64,3,FALSE))/100*AG50</f>
        <v>0</v>
      </c>
      <c r="AI50" s="1033">
        <f>VLOOKUP(AF50,Düngemittel!$B$6:$E$64,2,FALSE)*AG50</f>
        <v>0</v>
      </c>
      <c r="AJ50" s="1033">
        <f>VLOOKUP(AF50,Düngemittel!$B$6:$E$64,4,FALSE)*AG50</f>
        <v>0</v>
      </c>
      <c r="AK50" s="2081"/>
      <c r="AL50" s="1329"/>
      <c r="AM50" s="1330" t="s">
        <v>795</v>
      </c>
      <c r="AN50" s="1424">
        <v>0</v>
      </c>
      <c r="AO50" s="1033">
        <f>VLOOKUP(AM50,Düngemittel!$B$6:$E$64,2,FALSE)*(VLOOKUP(AM50,Düngemittel!$B$6:$E$64,3,FALSE))/100*AN50</f>
        <v>0</v>
      </c>
      <c r="AP50" s="1033">
        <f>VLOOKUP(AM50,Düngemittel!$B$6:$E$64,2,FALSE)*AN50</f>
        <v>0</v>
      </c>
      <c r="AQ50" s="1033">
        <f>VLOOKUP(AM50,Düngemittel!$B$6:$E$64,4,FALSE)*AN50</f>
        <v>0</v>
      </c>
      <c r="AR50" s="2081"/>
      <c r="AS50" s="1329"/>
      <c r="AT50" s="1330" t="s">
        <v>795</v>
      </c>
      <c r="AU50" s="1424">
        <v>0</v>
      </c>
      <c r="AV50" s="1033">
        <f>VLOOKUP(AT50,Düngemittel!$B$6:$E$64,2,FALSE)*(VLOOKUP(AT50,Düngemittel!$B$6:$E$64,3,FALSE))/100*AU50</f>
        <v>0</v>
      </c>
      <c r="AW50" s="1033">
        <f>VLOOKUP(AT50,Düngemittel!$B$6:$E$64,2,FALSE)*AU50</f>
        <v>0</v>
      </c>
      <c r="AX50" s="1033">
        <f>VLOOKUP(AT50,Düngemittel!$B$6:$E$64,4,FALSE)*AU50</f>
        <v>0</v>
      </c>
      <c r="AY50" s="2081"/>
      <c r="AZ50" s="1329"/>
      <c r="BA50" s="1330" t="s">
        <v>795</v>
      </c>
      <c r="BB50" s="1424">
        <v>0</v>
      </c>
      <c r="BC50" s="1033">
        <f>VLOOKUP(BA50,Düngemittel!$B$6:$E$64,2,FALSE)*(VLOOKUP(BA50,Düngemittel!$B$6:$E$64,3,FALSE))/100*BB50</f>
        <v>0</v>
      </c>
      <c r="BD50" s="1033">
        <f>VLOOKUP(BA50,Düngemittel!$B$6:$E$64,2,FALSE)*BB50</f>
        <v>0</v>
      </c>
      <c r="BE50" s="1033">
        <f>VLOOKUP(BA50,Düngemittel!$B$6:$E$64,4,FALSE)*BB50</f>
        <v>0</v>
      </c>
      <c r="BF50" s="1251"/>
      <c r="BG50" s="1812">
        <f t="shared" si="17"/>
        <v>0</v>
      </c>
      <c r="BH50" s="1277">
        <f t="shared" si="18"/>
        <v>0</v>
      </c>
      <c r="BI50" s="1812">
        <f t="shared" si="18"/>
        <v>0</v>
      </c>
      <c r="BJ50" s="1138">
        <f t="shared" si="19"/>
        <v>0</v>
      </c>
      <c r="BK50" s="1277">
        <f t="shared" si="20"/>
        <v>0</v>
      </c>
      <c r="BL50" s="95"/>
      <c r="BM50" s="1810">
        <f t="shared" si="21"/>
        <v>0</v>
      </c>
      <c r="BN50" s="1135">
        <f t="shared" si="22"/>
        <v>0</v>
      </c>
      <c r="BO50" s="1810">
        <f t="shared" si="23"/>
        <v>0</v>
      </c>
      <c r="BP50" s="1807">
        <f t="shared" si="24"/>
        <v>0</v>
      </c>
      <c r="BQ50" s="1135">
        <f t="shared" si="25"/>
        <v>0</v>
      </c>
      <c r="BR50" s="1251"/>
      <c r="BS50" s="1251"/>
      <c r="BT50" s="528">
        <f t="shared" si="13"/>
        <v>0</v>
      </c>
      <c r="BU50" s="528">
        <f t="shared" si="14"/>
        <v>0</v>
      </c>
      <c r="BV50" s="131"/>
      <c r="BW50" s="786" t="s">
        <v>731</v>
      </c>
      <c r="BX50" s="786">
        <v>350</v>
      </c>
      <c r="BY50" s="786">
        <v>100</v>
      </c>
      <c r="BZ50" s="786">
        <v>0.1</v>
      </c>
      <c r="CA50" s="786">
        <v>0.15</v>
      </c>
      <c r="CB50" s="808">
        <v>90</v>
      </c>
      <c r="CC50" s="749">
        <v>0.23</v>
      </c>
      <c r="CD50" s="480">
        <f t="shared" si="36"/>
        <v>80.5</v>
      </c>
    </row>
    <row r="51" spans="1:85" ht="21" customHeight="1">
      <c r="A51" s="468">
        <v>44</v>
      </c>
      <c r="B51" s="1699">
        <v>0</v>
      </c>
      <c r="C51" s="759" t="s">
        <v>31</v>
      </c>
      <c r="D51" s="1427">
        <f t="shared" si="1"/>
        <v>0</v>
      </c>
      <c r="E51" s="584">
        <f t="shared" si="2"/>
        <v>0</v>
      </c>
      <c r="F51" s="1690">
        <v>0</v>
      </c>
      <c r="G51" s="570">
        <f t="shared" si="3"/>
        <v>0</v>
      </c>
      <c r="H51" s="761" t="s">
        <v>503</v>
      </c>
      <c r="I51" s="584">
        <f t="shared" si="4"/>
        <v>0</v>
      </c>
      <c r="J51" s="587" t="s">
        <v>31</v>
      </c>
      <c r="K51" s="765">
        <f t="shared" si="5"/>
        <v>0</v>
      </c>
      <c r="L51" s="565">
        <f t="shared" si="6"/>
        <v>0</v>
      </c>
      <c r="M51" s="1693">
        <v>0</v>
      </c>
      <c r="N51" s="609" t="s">
        <v>160</v>
      </c>
      <c r="O51" s="584">
        <f t="shared" si="7"/>
        <v>0</v>
      </c>
      <c r="P51" s="1696">
        <v>0</v>
      </c>
      <c r="Q51" s="1894">
        <f t="shared" si="15"/>
        <v>0</v>
      </c>
      <c r="R51" s="2371">
        <f t="shared" si="16"/>
        <v>0</v>
      </c>
      <c r="S51" s="2367">
        <f t="shared" si="8"/>
        <v>0</v>
      </c>
      <c r="T51" s="592">
        <f t="shared" si="9"/>
        <v>0</v>
      </c>
      <c r="U51" s="1251"/>
      <c r="V51" s="1281">
        <f t="shared" si="10"/>
        <v>44</v>
      </c>
      <c r="W51" s="1281" t="str">
        <f t="shared" si="11"/>
        <v>keine</v>
      </c>
      <c r="X51" s="1329"/>
      <c r="Y51" s="1330" t="s">
        <v>795</v>
      </c>
      <c r="Z51" s="1424">
        <v>0</v>
      </c>
      <c r="AA51" s="1033">
        <f>VLOOKUP(Y51,Düngemittel!$B$6:$E$64,2,FALSE)*(VLOOKUP(Y51,Düngemittel!$B$6:$E$64,3,FALSE))/100*Z51</f>
        <v>0</v>
      </c>
      <c r="AB51" s="1033">
        <f>VLOOKUP(Y51,Düngemittel!$B$6:$E$64,2,FALSE)*Z51</f>
        <v>0</v>
      </c>
      <c r="AC51" s="1033">
        <f>VLOOKUP(Y51,Düngemittel!$B$6:$E$64,4,FALSE)*Z51</f>
        <v>0</v>
      </c>
      <c r="AD51" s="2081"/>
      <c r="AE51" s="1329"/>
      <c r="AF51" s="1330" t="s">
        <v>795</v>
      </c>
      <c r="AG51" s="1424">
        <v>0</v>
      </c>
      <c r="AH51" s="1033">
        <f>VLOOKUP(AF51,Düngemittel!$B$6:$E$64,2,FALSE)*(VLOOKUP(AF51,Düngemittel!$B$6:$E$64,3,FALSE))/100*AG51</f>
        <v>0</v>
      </c>
      <c r="AI51" s="1033">
        <f>VLOOKUP(AF51,Düngemittel!$B$6:$E$64,2,FALSE)*AG51</f>
        <v>0</v>
      </c>
      <c r="AJ51" s="1033">
        <f>VLOOKUP(AF51,Düngemittel!$B$6:$E$64,4,FALSE)*AG51</f>
        <v>0</v>
      </c>
      <c r="AK51" s="2081"/>
      <c r="AL51" s="1329"/>
      <c r="AM51" s="1330" t="s">
        <v>795</v>
      </c>
      <c r="AN51" s="1424">
        <v>0</v>
      </c>
      <c r="AO51" s="1033">
        <f>VLOOKUP(AM51,Düngemittel!$B$6:$E$64,2,FALSE)*(VLOOKUP(AM51,Düngemittel!$B$6:$E$64,3,FALSE))/100*AN51</f>
        <v>0</v>
      </c>
      <c r="AP51" s="1033">
        <f>VLOOKUP(AM51,Düngemittel!$B$6:$E$64,2,FALSE)*AN51</f>
        <v>0</v>
      </c>
      <c r="AQ51" s="1033">
        <f>VLOOKUP(AM51,Düngemittel!$B$6:$E$64,4,FALSE)*AN51</f>
        <v>0</v>
      </c>
      <c r="AR51" s="2081"/>
      <c r="AS51" s="1329"/>
      <c r="AT51" s="1330" t="s">
        <v>795</v>
      </c>
      <c r="AU51" s="1424">
        <v>0</v>
      </c>
      <c r="AV51" s="1033">
        <f>VLOOKUP(AT51,Düngemittel!$B$6:$E$64,2,FALSE)*(VLOOKUP(AT51,Düngemittel!$B$6:$E$64,3,FALSE))/100*AU51</f>
        <v>0</v>
      </c>
      <c r="AW51" s="1033">
        <f>VLOOKUP(AT51,Düngemittel!$B$6:$E$64,2,FALSE)*AU51</f>
        <v>0</v>
      </c>
      <c r="AX51" s="1033">
        <f>VLOOKUP(AT51,Düngemittel!$B$6:$E$64,4,FALSE)*AU51</f>
        <v>0</v>
      </c>
      <c r="AY51" s="2081"/>
      <c r="AZ51" s="1329"/>
      <c r="BA51" s="1330" t="s">
        <v>795</v>
      </c>
      <c r="BB51" s="1424">
        <v>0</v>
      </c>
      <c r="BC51" s="1033">
        <f>VLOOKUP(BA51,Düngemittel!$B$6:$E$64,2,FALSE)*(VLOOKUP(BA51,Düngemittel!$B$6:$E$64,3,FALSE))/100*BB51</f>
        <v>0</v>
      </c>
      <c r="BD51" s="1033">
        <f>VLOOKUP(BA51,Düngemittel!$B$6:$E$64,2,FALSE)*BB51</f>
        <v>0</v>
      </c>
      <c r="BE51" s="1033">
        <f>VLOOKUP(BA51,Düngemittel!$B$6:$E$64,4,FALSE)*BB51</f>
        <v>0</v>
      </c>
      <c r="BF51" s="1251"/>
      <c r="BG51" s="1812">
        <f t="shared" si="17"/>
        <v>0</v>
      </c>
      <c r="BH51" s="1277">
        <f t="shared" si="18"/>
        <v>0</v>
      </c>
      <c r="BI51" s="1812">
        <f t="shared" si="18"/>
        <v>0</v>
      </c>
      <c r="BJ51" s="1138">
        <f t="shared" si="19"/>
        <v>0</v>
      </c>
      <c r="BK51" s="1277">
        <f t="shared" si="20"/>
        <v>0</v>
      </c>
      <c r="BL51" s="95"/>
      <c r="BM51" s="1810">
        <f t="shared" si="21"/>
        <v>0</v>
      </c>
      <c r="BN51" s="1135">
        <f t="shared" si="22"/>
        <v>0</v>
      </c>
      <c r="BO51" s="1810">
        <f t="shared" si="23"/>
        <v>0</v>
      </c>
      <c r="BP51" s="1807">
        <f t="shared" si="24"/>
        <v>0</v>
      </c>
      <c r="BQ51" s="1135">
        <f t="shared" si="25"/>
        <v>0</v>
      </c>
      <c r="BR51" s="1251"/>
      <c r="BS51" s="1251"/>
      <c r="BT51" s="528">
        <f t="shared" si="13"/>
        <v>0</v>
      </c>
      <c r="BU51" s="528">
        <f t="shared" si="14"/>
        <v>0</v>
      </c>
      <c r="BV51" s="131"/>
      <c r="BW51" s="279" t="s">
        <v>694</v>
      </c>
      <c r="BX51" s="279">
        <v>40</v>
      </c>
      <c r="BY51" s="279">
        <v>200</v>
      </c>
      <c r="BZ51" s="279">
        <v>2</v>
      </c>
      <c r="CA51" s="279">
        <v>3</v>
      </c>
      <c r="CB51" s="808">
        <v>90</v>
      </c>
      <c r="CC51" s="749">
        <v>1.8</v>
      </c>
      <c r="CD51" s="480">
        <f t="shared" si="36"/>
        <v>72</v>
      </c>
    </row>
    <row r="52" spans="1:85" ht="25.5" customHeight="1" thickBot="1">
      <c r="A52" s="468">
        <v>45</v>
      </c>
      <c r="B52" s="1700">
        <v>0</v>
      </c>
      <c r="C52" s="1429" t="s">
        <v>31</v>
      </c>
      <c r="D52" s="1428">
        <f>VLOOKUP(C52,BW$3:CA$56,2,FALSE)</f>
        <v>0</v>
      </c>
      <c r="E52" s="760">
        <f t="shared" si="2"/>
        <v>0</v>
      </c>
      <c r="F52" s="1691">
        <v>0</v>
      </c>
      <c r="G52" s="571">
        <f t="shared" si="3"/>
        <v>0</v>
      </c>
      <c r="H52" s="762" t="s">
        <v>503</v>
      </c>
      <c r="I52" s="585">
        <f t="shared" si="4"/>
        <v>0</v>
      </c>
      <c r="J52" s="588" t="s">
        <v>31</v>
      </c>
      <c r="K52" s="766">
        <f t="shared" si="5"/>
        <v>0</v>
      </c>
      <c r="L52" s="567">
        <f t="shared" si="6"/>
        <v>0</v>
      </c>
      <c r="M52" s="1694">
        <v>0</v>
      </c>
      <c r="N52" s="613" t="s">
        <v>160</v>
      </c>
      <c r="O52" s="585">
        <f t="shared" si="7"/>
        <v>0</v>
      </c>
      <c r="P52" s="1697">
        <v>0</v>
      </c>
      <c r="Q52" s="1894">
        <f t="shared" si="15"/>
        <v>0</v>
      </c>
      <c r="R52" s="2371">
        <f t="shared" si="16"/>
        <v>0</v>
      </c>
      <c r="S52" s="2368">
        <f>F52*VLOOKUP(C52,BW$3:CC$56,7,FALSE)</f>
        <v>0</v>
      </c>
      <c r="T52" s="640">
        <f t="shared" si="9"/>
        <v>0</v>
      </c>
      <c r="U52" s="1251"/>
      <c r="V52" s="1281">
        <f t="shared" si="10"/>
        <v>45</v>
      </c>
      <c r="W52" s="1281" t="str">
        <f t="shared" si="11"/>
        <v>keine</v>
      </c>
      <c r="X52" s="1329"/>
      <c r="Y52" s="1330" t="s">
        <v>795</v>
      </c>
      <c r="Z52" s="1424">
        <v>0</v>
      </c>
      <c r="AA52" s="1033">
        <f>VLOOKUP(Y52,Düngemittel!$B$6:$E$64,2,FALSE)*(VLOOKUP(Y52,Düngemittel!$B$6:$E$64,3,FALSE))/100*Z52</f>
        <v>0</v>
      </c>
      <c r="AB52" s="1033">
        <f>VLOOKUP(Y52,Düngemittel!$B$6:$E$64,2,FALSE)*Z52</f>
        <v>0</v>
      </c>
      <c r="AC52" s="1033">
        <f>VLOOKUP(Y52,Düngemittel!$B$6:$E$64,4,FALSE)*Z52</f>
        <v>0</v>
      </c>
      <c r="AD52" s="2081"/>
      <c r="AE52" s="1329"/>
      <c r="AF52" s="1330" t="s">
        <v>795</v>
      </c>
      <c r="AG52" s="1424">
        <v>0</v>
      </c>
      <c r="AH52" s="1033">
        <f>VLOOKUP(AF52,Düngemittel!$B$6:$E$64,2,FALSE)*(VLOOKUP(AF52,Düngemittel!$B$6:$E$64,3,FALSE))/100*AG52</f>
        <v>0</v>
      </c>
      <c r="AI52" s="1033">
        <f>VLOOKUP(AF52,Düngemittel!$B$6:$E$64,2,FALSE)*AG52</f>
        <v>0</v>
      </c>
      <c r="AJ52" s="1033">
        <f>VLOOKUP(AF52,Düngemittel!$B$6:$E$64,4,FALSE)*AG52</f>
        <v>0</v>
      </c>
      <c r="AK52" s="2081"/>
      <c r="AL52" s="1329"/>
      <c r="AM52" s="1330" t="s">
        <v>795</v>
      </c>
      <c r="AN52" s="1424">
        <v>0</v>
      </c>
      <c r="AO52" s="1033">
        <f>VLOOKUP(AM52,Düngemittel!$B$6:$E$64,2,FALSE)*(VLOOKUP(AM52,Düngemittel!$B$6:$E$64,3,FALSE))/100*AN52</f>
        <v>0</v>
      </c>
      <c r="AP52" s="1033">
        <f>VLOOKUP(AM52,Düngemittel!$B$6:$E$64,2,FALSE)*AN52</f>
        <v>0</v>
      </c>
      <c r="AQ52" s="1033">
        <f>VLOOKUP(AM52,Düngemittel!$B$6:$E$64,4,FALSE)*AN52</f>
        <v>0</v>
      </c>
      <c r="AR52" s="2081"/>
      <c r="AS52" s="1329"/>
      <c r="AT52" s="1330" t="s">
        <v>795</v>
      </c>
      <c r="AU52" s="1424">
        <v>0</v>
      </c>
      <c r="AV52" s="1033">
        <f>VLOOKUP(AT52,Düngemittel!$B$6:$E$64,2,FALSE)*(VLOOKUP(AT52,Düngemittel!$B$6:$E$64,3,FALSE))/100*AU52</f>
        <v>0</v>
      </c>
      <c r="AW52" s="1033">
        <f>VLOOKUP(AT52,Düngemittel!$B$6:$E$64,2,FALSE)*AU52</f>
        <v>0</v>
      </c>
      <c r="AX52" s="1033">
        <f>VLOOKUP(AT52,Düngemittel!$B$6:$E$64,4,FALSE)*AU52</f>
        <v>0</v>
      </c>
      <c r="AY52" s="2081"/>
      <c r="AZ52" s="1329"/>
      <c r="BA52" s="1330" t="s">
        <v>795</v>
      </c>
      <c r="BB52" s="1424">
        <v>0</v>
      </c>
      <c r="BC52" s="1033">
        <f>VLOOKUP(BA52,Düngemittel!$B$6:$E$64,2,FALSE)*(VLOOKUP(BA52,Düngemittel!$B$6:$E$64,3,FALSE))/100*BB52</f>
        <v>0</v>
      </c>
      <c r="BD52" s="1033">
        <f>VLOOKUP(BA52,Düngemittel!$B$6:$E$64,2,FALSE)*BB52</f>
        <v>0</v>
      </c>
      <c r="BE52" s="1033">
        <f>VLOOKUP(BA52,Düngemittel!$B$6:$E$64,4,FALSE)*BB52</f>
        <v>0</v>
      </c>
      <c r="BF52" s="1251"/>
      <c r="BG52" s="1812">
        <f t="shared" si="17"/>
        <v>0</v>
      </c>
      <c r="BH52" s="1277">
        <f t="shared" si="18"/>
        <v>0</v>
      </c>
      <c r="BI52" s="1812">
        <f t="shared" si="18"/>
        <v>0</v>
      </c>
      <c r="BJ52" s="1138">
        <f t="shared" si="19"/>
        <v>0</v>
      </c>
      <c r="BK52" s="1277">
        <f t="shared" si="20"/>
        <v>0</v>
      </c>
      <c r="BL52" s="95"/>
      <c r="BM52" s="1810">
        <f t="shared" si="21"/>
        <v>0</v>
      </c>
      <c r="BN52" s="1135">
        <f t="shared" si="22"/>
        <v>0</v>
      </c>
      <c r="BO52" s="1810">
        <f t="shared" si="23"/>
        <v>0</v>
      </c>
      <c r="BP52" s="1807">
        <f t="shared" si="24"/>
        <v>0</v>
      </c>
      <c r="BQ52" s="1135">
        <f t="shared" si="25"/>
        <v>0</v>
      </c>
      <c r="BR52" s="1251"/>
      <c r="BS52" s="1251"/>
      <c r="BT52" s="528">
        <f t="shared" si="13"/>
        <v>0</v>
      </c>
      <c r="BU52" s="528">
        <f t="shared" si="14"/>
        <v>0</v>
      </c>
      <c r="BV52" s="92"/>
      <c r="BW52" s="279" t="s">
        <v>157</v>
      </c>
      <c r="BX52" s="279">
        <v>70</v>
      </c>
      <c r="BY52" s="279">
        <v>170</v>
      </c>
      <c r="BZ52" s="279">
        <v>1</v>
      </c>
      <c r="CA52" s="279">
        <v>1.5</v>
      </c>
      <c r="CB52" s="808">
        <v>90</v>
      </c>
      <c r="CC52" s="749">
        <v>0.8</v>
      </c>
      <c r="CD52" s="480">
        <f t="shared" si="36"/>
        <v>56</v>
      </c>
    </row>
    <row r="53" spans="1:85" s="111" customFormat="1" ht="25.5" customHeight="1" thickBot="1">
      <c r="A53" s="516" t="s">
        <v>286</v>
      </c>
      <c r="B53" s="1198">
        <f>SUM(B8:B52)</f>
        <v>0</v>
      </c>
      <c r="C53" s="1205" t="s">
        <v>1061</v>
      </c>
      <c r="D53" s="1259"/>
      <c r="E53" s="1259"/>
      <c r="F53" s="503"/>
      <c r="G53" s="1259"/>
      <c r="H53" s="509"/>
      <c r="I53" s="509"/>
      <c r="J53" s="509"/>
      <c r="K53" s="509"/>
      <c r="L53" s="503"/>
      <c r="M53" s="1259"/>
      <c r="N53" s="1275"/>
      <c r="O53" s="508"/>
      <c r="P53" s="1275"/>
      <c r="Q53" s="2372"/>
      <c r="R53" s="640">
        <f>SUM(R8:R52)</f>
        <v>0</v>
      </c>
      <c r="S53" s="662"/>
      <c r="T53" s="639">
        <f>SUM(T8:T52)</f>
        <v>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T53" s="1251"/>
      <c r="AU53" s="1251"/>
      <c r="AV53" s="1251"/>
      <c r="AW53" s="1251"/>
      <c r="AX53" s="1251"/>
      <c r="AY53" s="1251"/>
      <c r="AZ53" s="1251"/>
      <c r="BA53" s="1251"/>
      <c r="BB53" s="1251"/>
      <c r="BC53" s="1251"/>
      <c r="BD53" s="1251"/>
      <c r="BE53" s="1251"/>
      <c r="BF53" s="216"/>
      <c r="BG53" s="1813"/>
      <c r="BH53" s="635"/>
      <c r="BI53" s="1815"/>
      <c r="BJ53" s="1251"/>
      <c r="BK53" s="1251"/>
      <c r="BM53" s="1811">
        <f>SUM(BM8:BM52)</f>
        <v>0</v>
      </c>
      <c r="BN53" s="1276">
        <f>SUM(BN8:BN52)</f>
        <v>0</v>
      </c>
      <c r="BO53" s="1811">
        <f t="shared" ref="BO53:BQ53" si="37">SUM(BO8:BO52)</f>
        <v>0</v>
      </c>
      <c r="BP53" s="1808">
        <f t="shared" si="37"/>
        <v>0</v>
      </c>
      <c r="BQ53" s="1276">
        <f t="shared" si="37"/>
        <v>0</v>
      </c>
      <c r="BR53" s="1143" t="s">
        <v>1081</v>
      </c>
      <c r="BS53" s="635"/>
      <c r="BT53" s="524"/>
      <c r="BU53" s="524"/>
      <c r="BV53" s="92"/>
      <c r="BW53" s="279" t="s">
        <v>156</v>
      </c>
      <c r="BX53" s="279">
        <v>70</v>
      </c>
      <c r="BY53" s="279">
        <v>190</v>
      </c>
      <c r="BZ53" s="279">
        <v>1</v>
      </c>
      <c r="CA53" s="279">
        <v>1.5</v>
      </c>
      <c r="CB53" s="808">
        <v>90</v>
      </c>
      <c r="CC53" s="749">
        <v>0.8</v>
      </c>
      <c r="CD53" s="480">
        <f t="shared" si="36"/>
        <v>56</v>
      </c>
      <c r="CE53" s="1268"/>
      <c r="CF53" s="1268"/>
      <c r="CG53" s="1268"/>
    </row>
    <row r="54" spans="1:85" s="111" customFormat="1" ht="24.75" customHeight="1">
      <c r="A54" s="138"/>
      <c r="B54" s="175"/>
      <c r="C54" s="1268"/>
      <c r="D54" s="1268"/>
      <c r="E54" s="175"/>
      <c r="F54" s="1268"/>
      <c r="G54" s="1268"/>
      <c r="H54" s="1268"/>
      <c r="I54" s="1268"/>
      <c r="J54" s="185"/>
      <c r="K54" s="1268"/>
      <c r="L54" s="1268"/>
      <c r="M54" s="1268"/>
      <c r="N54" s="1268"/>
      <c r="O54" s="1268"/>
      <c r="P54" s="1268"/>
      <c r="Q54" s="22"/>
      <c r="R54" s="2572" t="s">
        <v>1100</v>
      </c>
      <c r="S54" s="638"/>
      <c r="T54" s="2493" t="s">
        <v>1101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814" t="e">
        <f t="shared" ref="BG54:BJ54" si="38">BM54</f>
        <v>#DIV/0!</v>
      </c>
      <c r="BH54" s="622" t="e">
        <f t="shared" si="38"/>
        <v>#DIV/0!</v>
      </c>
      <c r="BI54" s="1814" t="e">
        <f t="shared" si="38"/>
        <v>#DIV/0!</v>
      </c>
      <c r="BJ54" s="1138" t="e">
        <f t="shared" si="38"/>
        <v>#DIV/0!</v>
      </c>
      <c r="BK54" s="1277" t="e">
        <f>BQ54</f>
        <v>#DIV/0!</v>
      </c>
      <c r="BM54" s="1140" t="e">
        <f>BM53/$B53</f>
        <v>#DIV/0!</v>
      </c>
      <c r="BN54" s="1277" t="e">
        <f>BN53/$B53</f>
        <v>#DIV/0!</v>
      </c>
      <c r="BO54" s="1140" t="e">
        <f>BO53/$B53</f>
        <v>#DIV/0!</v>
      </c>
      <c r="BP54" s="1138" t="e">
        <f>BP53/$B53</f>
        <v>#DIV/0!</v>
      </c>
      <c r="BQ54" s="1277" t="e">
        <f>BQ53/$B53</f>
        <v>#DIV/0!</v>
      </c>
      <c r="BR54" s="1143" t="s">
        <v>1060</v>
      </c>
      <c r="BS54" s="1251"/>
      <c r="BT54" s="524"/>
      <c r="BU54" s="524"/>
      <c r="BV54" s="92"/>
      <c r="BW54" s="279" t="s">
        <v>216</v>
      </c>
      <c r="BX54" s="279">
        <v>80</v>
      </c>
      <c r="BY54" s="279">
        <v>230</v>
      </c>
      <c r="BZ54" s="279">
        <v>1</v>
      </c>
      <c r="CA54" s="279">
        <v>1.5</v>
      </c>
      <c r="CB54" s="808">
        <v>90</v>
      </c>
      <c r="CC54" s="749">
        <v>0.8</v>
      </c>
      <c r="CD54" s="480">
        <f t="shared" si="36"/>
        <v>64</v>
      </c>
      <c r="CE54" s="1268"/>
      <c r="CF54" s="1268"/>
      <c r="CG54" s="1268"/>
    </row>
    <row r="55" spans="1:85" ht="56.25" customHeight="1" thickBot="1">
      <c r="A55" s="1251"/>
      <c r="B55" s="1129"/>
      <c r="D55" s="1268"/>
      <c r="E55" s="175"/>
      <c r="J55" s="185"/>
      <c r="P55" s="488"/>
      <c r="Q55" s="1192"/>
      <c r="R55" s="2494"/>
      <c r="S55" s="636"/>
      <c r="T55" s="2494"/>
      <c r="U55" s="1161"/>
      <c r="V55" s="1161"/>
      <c r="W55" s="1161"/>
      <c r="X55" s="1278"/>
      <c r="Y55" s="1278"/>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34" t="s">
        <v>1080</v>
      </c>
      <c r="BH55" s="1270" t="s">
        <v>1066</v>
      </c>
      <c r="BI55" s="1270" t="s">
        <v>1067</v>
      </c>
      <c r="BJ55" s="906" t="s">
        <v>1241</v>
      </c>
      <c r="BK55" s="1270" t="s">
        <v>284</v>
      </c>
      <c r="BL55" s="1161"/>
      <c r="BM55" s="1141" t="s">
        <v>1080</v>
      </c>
      <c r="BN55" s="1270" t="s">
        <v>1066</v>
      </c>
      <c r="BO55" s="1142" t="s">
        <v>1082</v>
      </c>
      <c r="BP55" s="906" t="s">
        <v>1241</v>
      </c>
      <c r="BQ55" s="1270" t="s">
        <v>284</v>
      </c>
      <c r="BR55" s="1086"/>
      <c r="BS55" s="1161"/>
      <c r="BT55" s="1086"/>
      <c r="BU55" s="1086"/>
      <c r="BW55" s="279" t="s">
        <v>678</v>
      </c>
      <c r="BX55" s="279">
        <v>80</v>
      </c>
      <c r="BY55" s="279">
        <v>210</v>
      </c>
      <c r="BZ55" s="279">
        <v>1</v>
      </c>
      <c r="CA55" s="279">
        <v>1.5</v>
      </c>
      <c r="CB55" s="808">
        <v>90</v>
      </c>
      <c r="CC55" s="749">
        <v>0.8</v>
      </c>
      <c r="CD55" s="480">
        <f t="shared" si="36"/>
        <v>64</v>
      </c>
    </row>
    <row r="56" spans="1:85" ht="25.5" customHeight="1">
      <c r="B56" s="175"/>
      <c r="D56" s="1268"/>
      <c r="E56" s="175"/>
      <c r="J56" s="185"/>
      <c r="T56" s="1251"/>
      <c r="U56" s="1161"/>
      <c r="V56" s="1278"/>
      <c r="W56" s="1278"/>
      <c r="X56" s="1278"/>
      <c r="Y56" s="1278"/>
      <c r="Z56" s="1086"/>
      <c r="AA56" s="1086"/>
      <c r="AB56" s="1086"/>
      <c r="AC56" s="1086"/>
      <c r="AD56" s="1086"/>
      <c r="AE56" s="1086"/>
      <c r="AF56" s="1086"/>
      <c r="AG56" s="1086"/>
      <c r="AH56" s="1086"/>
      <c r="AI56" s="1086"/>
      <c r="AJ56" s="1086"/>
      <c r="AK56" s="1086"/>
      <c r="AL56" s="1086"/>
      <c r="AM56" s="1086"/>
      <c r="AN56" s="1086"/>
      <c r="AO56" s="1086"/>
      <c r="AP56" s="1086"/>
      <c r="AQ56" s="1086"/>
      <c r="AR56" s="1086"/>
      <c r="AS56" s="1086"/>
      <c r="AT56" s="1086"/>
      <c r="AU56" s="1086"/>
      <c r="AV56" s="1086"/>
      <c r="AW56" s="1086"/>
      <c r="AX56" s="1086"/>
      <c r="AY56" s="1086"/>
      <c r="AZ56" s="1086"/>
      <c r="BA56" s="1086"/>
      <c r="BB56" s="1086"/>
      <c r="BC56" s="1086"/>
      <c r="BD56" s="1086"/>
      <c r="BE56" s="1086"/>
      <c r="BF56" s="1086"/>
      <c r="BG56" s="1086"/>
      <c r="BH56" s="1086"/>
      <c r="BI56" s="1086"/>
      <c r="BJ56" s="1086"/>
      <c r="BK56" s="1086"/>
      <c r="BL56" s="1086"/>
      <c r="BM56" s="1086"/>
      <c r="BN56" s="1086"/>
      <c r="BO56" s="1086"/>
      <c r="BP56" s="1086"/>
      <c r="BQ56" s="1086"/>
      <c r="BR56" s="1086"/>
      <c r="BS56" s="1086"/>
      <c r="BT56" s="1086"/>
      <c r="BU56" s="1086"/>
      <c r="BW56" s="279" t="s">
        <v>217</v>
      </c>
      <c r="BX56" s="279">
        <v>80</v>
      </c>
      <c r="BY56" s="279">
        <v>260</v>
      </c>
      <c r="BZ56" s="279">
        <v>1</v>
      </c>
      <c r="CA56" s="279">
        <v>1.5</v>
      </c>
      <c r="CB56" s="808">
        <v>90</v>
      </c>
      <c r="CC56" s="749">
        <v>0.8</v>
      </c>
      <c r="CD56" s="480">
        <f t="shared" si="36"/>
        <v>64</v>
      </c>
    </row>
    <row r="57" spans="1:85" ht="21" customHeight="1">
      <c r="A57" s="2459" t="s">
        <v>1068</v>
      </c>
      <c r="B57" s="2460"/>
      <c r="C57" s="2467" t="s">
        <v>1069</v>
      </c>
      <c r="D57" s="2468"/>
      <c r="E57" s="2468"/>
      <c r="F57" s="2468"/>
      <c r="G57" s="2468"/>
      <c r="H57" s="2468"/>
      <c r="I57" s="2468"/>
      <c r="J57" s="2468"/>
      <c r="K57" s="2468"/>
      <c r="L57" s="2468"/>
      <c r="M57" s="2468"/>
      <c r="N57" s="2468"/>
      <c r="O57" s="2469"/>
      <c r="P57" s="2469"/>
      <c r="Q57" s="2469"/>
      <c r="R57" s="2469"/>
      <c r="S57" s="2470"/>
      <c r="T57" s="2471"/>
      <c r="U57" s="1161"/>
      <c r="V57" s="1278"/>
      <c r="W57" s="1278"/>
      <c r="X57" s="1278"/>
      <c r="Y57" s="1278"/>
      <c r="Z57" s="1086"/>
      <c r="AA57" s="1086"/>
      <c r="AB57" s="1086"/>
      <c r="AC57" s="1086"/>
      <c r="AD57" s="1086"/>
      <c r="AE57" s="1086"/>
      <c r="AF57" s="1086"/>
      <c r="AG57" s="1086"/>
      <c r="AH57" s="1086"/>
      <c r="AI57" s="1086"/>
      <c r="AJ57" s="1086"/>
      <c r="AK57" s="1086"/>
      <c r="AL57" s="1086"/>
      <c r="AM57" s="1086"/>
      <c r="AN57" s="1086"/>
      <c r="AO57" s="1086"/>
      <c r="AP57" s="1086"/>
      <c r="AQ57" s="1086"/>
      <c r="AR57" s="1086"/>
      <c r="AS57" s="1086"/>
      <c r="AT57" s="1086"/>
      <c r="AU57" s="1086"/>
      <c r="AV57" s="1086"/>
      <c r="AW57" s="1086"/>
      <c r="AX57" s="1086"/>
      <c r="AY57" s="1086"/>
      <c r="AZ57" s="1086"/>
      <c r="BA57" s="1086"/>
      <c r="BB57" s="1086"/>
      <c r="BC57" s="1086"/>
      <c r="BD57" s="1086"/>
      <c r="BE57" s="1086"/>
      <c r="BF57" s="1086"/>
      <c r="BG57" s="1086"/>
      <c r="BH57" s="1086"/>
      <c r="BI57" s="1086"/>
      <c r="BJ57" s="1086"/>
      <c r="BK57" s="1086"/>
      <c r="BL57" s="1086"/>
      <c r="BM57" s="1086"/>
      <c r="BN57" s="1086"/>
      <c r="BO57" s="1086"/>
      <c r="BP57" s="1086"/>
      <c r="BQ57" s="1086"/>
      <c r="BR57" s="1086"/>
      <c r="BS57" s="1086"/>
      <c r="BT57" s="1086"/>
      <c r="BU57" s="1086"/>
      <c r="BW57" s="735" t="s">
        <v>748</v>
      </c>
      <c r="BX57" s="748">
        <v>80</v>
      </c>
      <c r="BY57" s="748">
        <v>180</v>
      </c>
      <c r="BZ57" s="748">
        <v>1</v>
      </c>
      <c r="CA57" s="748">
        <v>1.5</v>
      </c>
      <c r="CB57" s="808">
        <v>90</v>
      </c>
      <c r="CC57" s="749">
        <v>0.8</v>
      </c>
      <c r="CD57" s="480">
        <f t="shared" si="36"/>
        <v>64</v>
      </c>
    </row>
    <row r="58" spans="1:85" ht="21" customHeight="1">
      <c r="A58" s="2461"/>
      <c r="B58" s="2462"/>
      <c r="C58" s="2472"/>
      <c r="D58" s="2473"/>
      <c r="E58" s="2473"/>
      <c r="F58" s="2473"/>
      <c r="G58" s="2473"/>
      <c r="H58" s="2473"/>
      <c r="I58" s="2473"/>
      <c r="J58" s="2473"/>
      <c r="K58" s="2473"/>
      <c r="L58" s="2473"/>
      <c r="M58" s="2473"/>
      <c r="N58" s="2473"/>
      <c r="O58" s="2474"/>
      <c r="P58" s="2474"/>
      <c r="Q58" s="2474"/>
      <c r="R58" s="2474"/>
      <c r="S58" s="2452"/>
      <c r="T58" s="2475"/>
      <c r="U58" s="1161"/>
      <c r="V58" s="1278"/>
      <c r="W58" s="1278"/>
      <c r="X58" s="1278"/>
      <c r="Y58" s="1278"/>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6"/>
      <c r="BF58" s="1086"/>
      <c r="BG58" s="1086"/>
      <c r="BH58" s="1086"/>
      <c r="BI58" s="1086"/>
      <c r="BJ58" s="1086"/>
      <c r="BK58" s="1086"/>
      <c r="BL58" s="1086"/>
      <c r="BM58" s="1086"/>
      <c r="BN58" s="1086"/>
      <c r="BO58" s="1086"/>
      <c r="BP58" s="1086"/>
      <c r="BQ58" s="1086"/>
      <c r="BR58" s="1086"/>
      <c r="BS58" s="1086"/>
      <c r="BT58" s="1086"/>
      <c r="BU58" s="1086"/>
      <c r="BW58" s="279" t="s">
        <v>126</v>
      </c>
      <c r="BX58" s="279">
        <v>650</v>
      </c>
      <c r="BY58" s="279">
        <v>170</v>
      </c>
      <c r="BZ58" s="752">
        <v>0.1</v>
      </c>
      <c r="CA58" s="752">
        <v>0.15</v>
      </c>
      <c r="CB58" s="808">
        <v>90</v>
      </c>
      <c r="CC58" s="749">
        <v>0.1</v>
      </c>
      <c r="CD58" s="480">
        <f t="shared" si="36"/>
        <v>65</v>
      </c>
    </row>
    <row r="59" spans="1:85" ht="21" customHeight="1">
      <c r="A59" s="2463"/>
      <c r="B59" s="2464"/>
      <c r="C59" s="2476"/>
      <c r="D59" s="2474"/>
      <c r="E59" s="2474"/>
      <c r="F59" s="2474"/>
      <c r="G59" s="2474"/>
      <c r="H59" s="2474"/>
      <c r="I59" s="2474"/>
      <c r="J59" s="2474"/>
      <c r="K59" s="2474"/>
      <c r="L59" s="2474"/>
      <c r="M59" s="2474"/>
      <c r="N59" s="2474"/>
      <c r="O59" s="2474"/>
      <c r="P59" s="2474"/>
      <c r="Q59" s="2474"/>
      <c r="R59" s="2474"/>
      <c r="S59" s="2452"/>
      <c r="T59" s="2475"/>
      <c r="U59" s="1161"/>
      <c r="V59" s="1161"/>
      <c r="W59" s="1161"/>
      <c r="X59" s="1278"/>
      <c r="Y59" s="1278"/>
      <c r="Z59" s="1086"/>
      <c r="AA59" s="1086"/>
      <c r="AB59" s="1086"/>
      <c r="AC59" s="1086"/>
      <c r="AD59" s="1086"/>
      <c r="AE59" s="1086"/>
      <c r="AF59" s="1086"/>
      <c r="AG59" s="1086"/>
      <c r="AH59" s="1086"/>
      <c r="AI59" s="1086"/>
      <c r="AJ59" s="1086"/>
      <c r="AK59" s="1086"/>
      <c r="AL59" s="1086"/>
      <c r="AM59" s="1086"/>
      <c r="AN59" s="1086"/>
      <c r="AO59" s="1086"/>
      <c r="AP59" s="1086"/>
      <c r="AQ59" s="1086"/>
      <c r="AR59" s="1086"/>
      <c r="AS59" s="1086"/>
      <c r="AT59" s="1086"/>
      <c r="AU59" s="1086"/>
      <c r="AV59" s="1086"/>
      <c r="AW59" s="1086"/>
      <c r="AX59" s="1086"/>
      <c r="AY59" s="1086"/>
      <c r="AZ59" s="1086"/>
      <c r="BA59" s="1086"/>
      <c r="BB59" s="1086"/>
      <c r="BC59" s="1086"/>
      <c r="BD59" s="1086"/>
      <c r="BE59" s="1086"/>
      <c r="BF59" s="1086"/>
      <c r="BG59" s="1086"/>
      <c r="BH59" s="1086"/>
      <c r="BI59" s="1086"/>
      <c r="BJ59" s="1086"/>
      <c r="BK59" s="1086"/>
      <c r="BL59" s="1086"/>
      <c r="BM59" s="1086"/>
      <c r="BN59" s="1251"/>
      <c r="BO59" s="1251"/>
      <c r="BP59" s="1251"/>
      <c r="BQ59" s="1251"/>
      <c r="BR59" s="1251"/>
      <c r="BS59" s="1086"/>
      <c r="BT59" s="1086"/>
      <c r="BU59" s="1086"/>
      <c r="CC59" s="806"/>
    </row>
    <row r="60" spans="1:85" ht="21" customHeight="1">
      <c r="A60" s="2463"/>
      <c r="B60" s="2464"/>
      <c r="C60" s="2476"/>
      <c r="D60" s="2474"/>
      <c r="E60" s="2474"/>
      <c r="F60" s="2474"/>
      <c r="G60" s="2474"/>
      <c r="H60" s="2474"/>
      <c r="I60" s="2474"/>
      <c r="J60" s="2474"/>
      <c r="K60" s="2474"/>
      <c r="L60" s="2474"/>
      <c r="M60" s="2474"/>
      <c r="N60" s="2474"/>
      <c r="O60" s="2474"/>
      <c r="P60" s="2474"/>
      <c r="Q60" s="2474"/>
      <c r="R60" s="2474"/>
      <c r="S60" s="2452"/>
      <c r="T60" s="2475"/>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1251"/>
      <c r="BJ60" s="1251"/>
      <c r="BK60" s="1251"/>
      <c r="BL60" s="1251"/>
      <c r="BM60" s="1251"/>
      <c r="BN60" s="1251"/>
      <c r="BO60" s="1251"/>
      <c r="BP60" s="1251"/>
      <c r="BQ60" s="1251"/>
      <c r="BR60" s="1251"/>
      <c r="BS60" s="1251"/>
      <c r="BT60" s="524"/>
      <c r="BU60" s="524"/>
      <c r="BX60" s="1091" t="s">
        <v>5</v>
      </c>
      <c r="CC60" s="806"/>
    </row>
    <row r="61" spans="1:85" ht="21" customHeight="1">
      <c r="A61" s="2465"/>
      <c r="B61" s="2466"/>
      <c r="C61" s="2477"/>
      <c r="D61" s="2478"/>
      <c r="E61" s="2478"/>
      <c r="F61" s="2478"/>
      <c r="G61" s="2478"/>
      <c r="H61" s="2478"/>
      <c r="I61" s="2478"/>
      <c r="J61" s="2478"/>
      <c r="K61" s="2478"/>
      <c r="L61" s="2478"/>
      <c r="M61" s="2478"/>
      <c r="N61" s="2478"/>
      <c r="O61" s="2478"/>
      <c r="P61" s="2478"/>
      <c r="Q61" s="2478"/>
      <c r="R61" s="2478"/>
      <c r="S61" s="2479"/>
      <c r="T61" s="2480"/>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1251"/>
      <c r="BJ61" s="1251"/>
      <c r="BK61" s="1251"/>
      <c r="BL61" s="1251"/>
      <c r="BM61" s="1251"/>
      <c r="BN61" s="1251"/>
      <c r="BO61" s="1251"/>
      <c r="BP61" s="1251"/>
      <c r="BQ61" s="1251"/>
      <c r="BR61" s="1251"/>
      <c r="BS61" s="1251"/>
      <c r="BT61" s="524"/>
      <c r="BU61" s="524"/>
      <c r="BW61" s="174" t="s">
        <v>6</v>
      </c>
      <c r="CC61" s="806"/>
    </row>
    <row r="62" spans="1:85" ht="21.75" customHeight="1">
      <c r="T62" s="92"/>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c r="BP62" s="1251"/>
      <c r="BQ62" s="1251"/>
      <c r="BR62" s="1251"/>
      <c r="BS62" s="1251"/>
      <c r="BT62" s="524"/>
      <c r="BU62" s="524"/>
      <c r="BW62" s="1274" t="s">
        <v>503</v>
      </c>
      <c r="BX62" s="1070">
        <v>0</v>
      </c>
      <c r="CC62" s="806"/>
    </row>
    <row r="63" spans="1:85" ht="21.75" customHeight="1">
      <c r="A63" s="2481" t="s">
        <v>609</v>
      </c>
      <c r="B63" s="2482"/>
      <c r="C63" s="2489" t="s">
        <v>1070</v>
      </c>
      <c r="D63" s="2490"/>
      <c r="E63" s="2490"/>
      <c r="F63" s="2490"/>
      <c r="G63" s="2490"/>
      <c r="H63" s="2490"/>
      <c r="I63" s="2490"/>
      <c r="J63" s="2490"/>
      <c r="K63" s="2490"/>
      <c r="L63" s="2490"/>
      <c r="M63" s="2490"/>
      <c r="N63" s="2490"/>
      <c r="O63" s="2490"/>
      <c r="P63" s="2490"/>
      <c r="Q63" s="2491"/>
      <c r="R63" s="2491"/>
      <c r="S63" s="2492"/>
      <c r="T63" s="2492"/>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524"/>
      <c r="BU63" s="524"/>
      <c r="BW63" s="1274" t="s">
        <v>22</v>
      </c>
      <c r="BX63" s="1070">
        <v>10</v>
      </c>
    </row>
    <row r="64" spans="1:85" ht="21.75" customHeight="1">
      <c r="A64" s="2483"/>
      <c r="B64" s="2484"/>
      <c r="C64" s="2490"/>
      <c r="D64" s="2490"/>
      <c r="E64" s="2490"/>
      <c r="F64" s="2490"/>
      <c r="G64" s="2490"/>
      <c r="H64" s="2490"/>
      <c r="I64" s="2490"/>
      <c r="J64" s="2490"/>
      <c r="K64" s="2490"/>
      <c r="L64" s="2490"/>
      <c r="M64" s="2490"/>
      <c r="N64" s="2490"/>
      <c r="O64" s="2490"/>
      <c r="P64" s="2490"/>
      <c r="Q64" s="2491"/>
      <c r="R64" s="2491"/>
      <c r="S64" s="2492"/>
      <c r="T64" s="2492"/>
      <c r="U64" s="1251"/>
      <c r="V64" s="1251"/>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524"/>
      <c r="BU64" s="524"/>
      <c r="BW64" s="1274" t="s">
        <v>528</v>
      </c>
      <c r="BX64" s="1070">
        <v>10</v>
      </c>
    </row>
    <row r="65" spans="1:78" ht="21.75" customHeight="1">
      <c r="A65" s="2485"/>
      <c r="B65" s="2486"/>
      <c r="C65" s="2490"/>
      <c r="D65" s="2490"/>
      <c r="E65" s="2490"/>
      <c r="F65" s="2490"/>
      <c r="G65" s="2490"/>
      <c r="H65" s="2490"/>
      <c r="I65" s="2490"/>
      <c r="J65" s="2490"/>
      <c r="K65" s="2490"/>
      <c r="L65" s="2490"/>
      <c r="M65" s="2490"/>
      <c r="N65" s="2490"/>
      <c r="O65" s="2490"/>
      <c r="P65" s="2490"/>
      <c r="Q65" s="2491"/>
      <c r="R65" s="2491"/>
      <c r="S65" s="2492"/>
      <c r="T65" s="2492"/>
      <c r="U65" s="1251"/>
      <c r="V65" s="1251"/>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R65" s="1251"/>
      <c r="AS65" s="1251"/>
      <c r="AT65" s="1251"/>
      <c r="AU65" s="1251"/>
      <c r="AV65" s="1251"/>
      <c r="AW65" s="1251"/>
      <c r="AX65" s="1251"/>
      <c r="AY65" s="1251"/>
      <c r="AZ65" s="1251"/>
      <c r="BA65" s="1251"/>
      <c r="BB65" s="1251"/>
      <c r="BC65" s="1251"/>
      <c r="BD65" s="1251"/>
      <c r="BE65" s="1251"/>
      <c r="BF65" s="1251"/>
      <c r="BG65" s="1251"/>
      <c r="BH65" s="1251"/>
      <c r="BI65" s="1251"/>
      <c r="BJ65" s="1251"/>
      <c r="BK65" s="1251"/>
      <c r="BL65" s="1251"/>
      <c r="BM65" s="1251"/>
      <c r="BN65" s="1251"/>
      <c r="BO65" s="1251"/>
      <c r="BP65" s="1251"/>
      <c r="BQ65" s="1251"/>
      <c r="BR65" s="1251"/>
      <c r="BS65" s="1251"/>
      <c r="BT65" s="524"/>
      <c r="BU65" s="524"/>
      <c r="BW65" s="1274" t="s">
        <v>7</v>
      </c>
      <c r="BX65" s="1070">
        <v>10</v>
      </c>
    </row>
    <row r="66" spans="1:78" ht="15.75" customHeight="1">
      <c r="A66" s="2487"/>
      <c r="B66" s="2488"/>
      <c r="C66" s="2489" t="s">
        <v>588</v>
      </c>
      <c r="D66" s="2490"/>
      <c r="E66" s="2490"/>
      <c r="F66" s="2490"/>
      <c r="G66" s="2490"/>
      <c r="H66" s="2490"/>
      <c r="I66" s="2490"/>
      <c r="J66" s="2490"/>
      <c r="K66" s="2490"/>
      <c r="L66" s="2490"/>
      <c r="M66" s="2490"/>
      <c r="N66" s="2490"/>
      <c r="O66" s="2491"/>
      <c r="P66" s="2491"/>
      <c r="Q66" s="2491"/>
      <c r="R66" s="2491"/>
      <c r="S66" s="2492"/>
      <c r="T66" s="2492"/>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AV66" s="1251"/>
      <c r="AW66" s="1251"/>
      <c r="AX66" s="1251"/>
      <c r="AY66" s="1251"/>
      <c r="AZ66" s="1251"/>
      <c r="BA66" s="1251"/>
      <c r="BB66" s="1251"/>
      <c r="BC66" s="1251"/>
      <c r="BD66" s="1251"/>
      <c r="BE66" s="1251"/>
      <c r="BF66" s="1251"/>
      <c r="BG66" s="1251"/>
      <c r="BH66" s="1251"/>
      <c r="BI66" s="1251"/>
      <c r="BJ66" s="1251"/>
      <c r="BK66" s="1251"/>
      <c r="BL66" s="1251"/>
      <c r="BM66" s="1251"/>
      <c r="BN66" s="1251"/>
      <c r="BO66" s="1251"/>
      <c r="BP66" s="1251"/>
      <c r="BQ66" s="1251"/>
      <c r="BR66" s="1251"/>
      <c r="BS66" s="1251"/>
      <c r="BT66" s="524"/>
      <c r="BU66" s="524"/>
      <c r="BW66" s="1274" t="s">
        <v>17</v>
      </c>
      <c r="BX66" s="1070">
        <v>20</v>
      </c>
      <c r="BZ66" s="1091"/>
    </row>
    <row r="67" spans="1:78" ht="12.75" customHeight="1">
      <c r="T67" s="1251"/>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524"/>
      <c r="BU67" s="524"/>
      <c r="BW67" s="1274" t="s">
        <v>23</v>
      </c>
      <c r="BX67" s="1070">
        <v>0</v>
      </c>
    </row>
    <row r="68" spans="1:78" ht="12.75" customHeight="1">
      <c r="T68" s="1251"/>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524"/>
      <c r="BU68" s="524"/>
      <c r="BW68" s="1274" t="s">
        <v>20</v>
      </c>
      <c r="BX68" s="1070">
        <v>20</v>
      </c>
    </row>
    <row r="69" spans="1:78" ht="12.75" customHeight="1">
      <c r="T69" s="1251"/>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524"/>
      <c r="BU69" s="524"/>
      <c r="BW69" s="1274" t="s">
        <v>19</v>
      </c>
      <c r="BX69" s="1070">
        <v>10</v>
      </c>
    </row>
    <row r="70" spans="1:78" ht="17.25" customHeight="1">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V70" s="1251"/>
      <c r="AW70" s="1251"/>
      <c r="AX70" s="1251"/>
      <c r="AY70" s="1251"/>
      <c r="AZ70" s="1251"/>
      <c r="BA70" s="1251"/>
      <c r="BB70" s="1251"/>
      <c r="BC70" s="1251"/>
      <c r="BD70" s="1251"/>
      <c r="BE70" s="1251"/>
      <c r="BF70" s="1251"/>
      <c r="BG70" s="1251"/>
      <c r="BH70" s="1251"/>
      <c r="BI70" s="1251"/>
      <c r="BJ70" s="1251"/>
      <c r="BK70" s="1251"/>
      <c r="BL70" s="1251"/>
      <c r="BM70" s="1251"/>
      <c r="BN70" s="1251"/>
      <c r="BO70" s="1251"/>
      <c r="BP70" s="1251"/>
      <c r="BQ70" s="1251"/>
      <c r="BR70" s="1251"/>
      <c r="BS70" s="1251"/>
      <c r="BT70" s="524"/>
      <c r="BU70" s="524"/>
      <c r="BW70" s="1274" t="s">
        <v>529</v>
      </c>
      <c r="BX70" s="1070">
        <v>0</v>
      </c>
    </row>
    <row r="71" spans="1:78" ht="15.75" customHeight="1">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V71" s="1251"/>
      <c r="AW71" s="1251"/>
      <c r="AX71" s="1251"/>
      <c r="AY71" s="1251"/>
      <c r="AZ71" s="1251"/>
      <c r="BA71" s="1251"/>
      <c r="BB71" s="1251"/>
      <c r="BC71" s="1251"/>
      <c r="BD71" s="1251"/>
      <c r="BE71" s="1251"/>
      <c r="BF71" s="1251"/>
      <c r="BG71" s="1251"/>
      <c r="BH71" s="1251"/>
      <c r="BI71" s="1251"/>
      <c r="BJ71" s="1251"/>
      <c r="BK71" s="1251"/>
      <c r="BL71" s="1251"/>
      <c r="BM71" s="1251"/>
      <c r="BN71" s="1251"/>
      <c r="BO71" s="1251"/>
      <c r="BP71" s="1251"/>
      <c r="BQ71" s="1251"/>
      <c r="BR71" s="1251"/>
      <c r="BS71" s="1251"/>
      <c r="BT71" s="524"/>
      <c r="BU71" s="524"/>
      <c r="BW71" s="1274" t="s">
        <v>21</v>
      </c>
      <c r="BX71" s="1070">
        <v>10</v>
      </c>
    </row>
    <row r="72" spans="1:78" ht="15.75" customHeight="1">
      <c r="U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251"/>
      <c r="BF72" s="1251"/>
      <c r="BG72" s="1251"/>
      <c r="BH72" s="1251"/>
      <c r="BI72" s="1251"/>
      <c r="BJ72" s="1251"/>
      <c r="BK72" s="1251"/>
      <c r="BL72" s="1251"/>
      <c r="BM72" s="1251"/>
      <c r="BN72" s="1251"/>
      <c r="BO72" s="1251"/>
      <c r="BP72" s="1251"/>
      <c r="BQ72" s="1251"/>
      <c r="BR72" s="1251"/>
      <c r="BS72" s="1251"/>
      <c r="BT72" s="524"/>
      <c r="BU72" s="524"/>
      <c r="BW72" s="1274" t="s">
        <v>18</v>
      </c>
      <c r="BX72" s="1070">
        <v>20</v>
      </c>
    </row>
    <row r="73" spans="1:78" ht="15.75" customHeight="1">
      <c r="U73" s="1251"/>
      <c r="V73" s="861"/>
      <c r="W73" s="86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524"/>
      <c r="BU73" s="524"/>
    </row>
    <row r="74" spans="1:78" ht="15.75" customHeight="1">
      <c r="AE74" s="1266"/>
      <c r="AF74" s="1266"/>
      <c r="AG74" s="1266"/>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524"/>
      <c r="BU74" s="524"/>
      <c r="BW74" s="174" t="s">
        <v>8</v>
      </c>
    </row>
    <row r="75" spans="1:78" ht="15.75" customHeight="1">
      <c r="AE75" s="1266"/>
      <c r="AF75" s="1266"/>
      <c r="AG75" s="1266"/>
      <c r="AH75" s="1251"/>
      <c r="AI75" s="1251"/>
      <c r="AJ75" s="1251"/>
      <c r="AK75" s="1251"/>
      <c r="AL75" s="1251"/>
      <c r="AM75" s="1251"/>
      <c r="AN75" s="1251"/>
      <c r="AO75" s="1251"/>
      <c r="AP75" s="1251"/>
      <c r="AQ75" s="1251"/>
      <c r="AR75" s="1251"/>
      <c r="AS75" s="1251"/>
      <c r="AT75" s="1251"/>
      <c r="AU75" s="1251"/>
      <c r="AV75" s="1251"/>
      <c r="AW75" s="1251"/>
      <c r="AX75" s="1251"/>
      <c r="AY75" s="1251"/>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524"/>
      <c r="BU75" s="524"/>
      <c r="BW75" s="1274" t="s">
        <v>25</v>
      </c>
      <c r="BX75" s="1070">
        <v>0</v>
      </c>
    </row>
    <row r="76" spans="1:78" ht="15.75" customHeight="1">
      <c r="AE76" s="1266"/>
      <c r="AF76" s="1266"/>
      <c r="AG76" s="1266"/>
      <c r="AH76" s="1251"/>
      <c r="AI76" s="1251"/>
      <c r="AJ76" s="1251"/>
      <c r="AK76" s="1251"/>
      <c r="AL76" s="1251"/>
      <c r="AM76" s="1251"/>
      <c r="AN76" s="1251"/>
      <c r="AO76" s="1251"/>
      <c r="AP76" s="1251"/>
      <c r="AQ76" s="1251"/>
      <c r="AR76" s="1251"/>
      <c r="AS76" s="1251"/>
      <c r="AT76" s="1251"/>
      <c r="AU76" s="1251"/>
      <c r="AV76" s="1251"/>
      <c r="AW76" s="1251"/>
      <c r="AX76" s="1251"/>
      <c r="AY76" s="1251"/>
      <c r="AZ76" s="1251"/>
      <c r="BA76" s="1251"/>
      <c r="BB76" s="1251"/>
      <c r="BC76" s="1251"/>
      <c r="BD76" s="1251"/>
      <c r="BE76" s="1251"/>
      <c r="BF76" s="1251"/>
      <c r="BG76" s="1251"/>
      <c r="BH76" s="1251"/>
      <c r="BI76" s="1251"/>
      <c r="BJ76" s="1251"/>
      <c r="BK76" s="1251"/>
      <c r="BL76" s="1251"/>
      <c r="BM76" s="1251"/>
      <c r="BN76" s="1251"/>
      <c r="BO76" s="1251"/>
      <c r="BP76" s="1251"/>
      <c r="BQ76" s="1251"/>
      <c r="BR76" s="1251"/>
      <c r="BS76" s="1251"/>
      <c r="BT76" s="524"/>
      <c r="BU76" s="524"/>
      <c r="BW76" s="1274" t="s">
        <v>531</v>
      </c>
      <c r="BX76" s="1070">
        <v>0</v>
      </c>
    </row>
    <row r="77" spans="1:78" ht="15.75" customHeight="1">
      <c r="AD77" s="1251"/>
      <c r="AE77" s="1266"/>
      <c r="AF77" s="1266"/>
      <c r="AG77" s="1266"/>
      <c r="AH77" s="1251"/>
      <c r="AI77" s="1266"/>
      <c r="AJ77" s="1266"/>
      <c r="AK77" s="1251"/>
      <c r="AL77" s="1251"/>
      <c r="AM77" s="1251"/>
      <c r="AN77" s="1251"/>
      <c r="AO77" s="1251"/>
      <c r="AP77" s="1251"/>
      <c r="AQ77" s="1251"/>
      <c r="AR77" s="1251"/>
      <c r="AS77" s="1251"/>
      <c r="AT77" s="1251"/>
      <c r="AU77" s="1251"/>
      <c r="AV77" s="1251"/>
      <c r="AW77" s="1251"/>
      <c r="AX77" s="1251"/>
      <c r="AY77" s="1251"/>
      <c r="AZ77" s="1251"/>
      <c r="BA77" s="1251"/>
      <c r="BB77" s="1251"/>
      <c r="BC77" s="1251"/>
      <c r="BD77" s="1251"/>
      <c r="BE77" s="1251"/>
      <c r="BF77" s="1251"/>
      <c r="BG77" s="1251"/>
      <c r="BH77" s="1251"/>
      <c r="BI77" s="1251"/>
      <c r="BJ77" s="1251"/>
      <c r="BK77" s="1251"/>
      <c r="BL77" s="1251"/>
      <c r="BM77" s="1251"/>
      <c r="BS77" s="1251"/>
      <c r="BT77" s="524"/>
      <c r="BU77" s="524"/>
      <c r="BW77" s="1274" t="s">
        <v>530</v>
      </c>
      <c r="BX77" s="1070">
        <v>20</v>
      </c>
    </row>
    <row r="78" spans="1:78" ht="15.75" customHeight="1">
      <c r="V78" s="1251"/>
      <c r="W78" s="1251"/>
      <c r="AD78" s="1251"/>
      <c r="AE78" s="1266"/>
      <c r="AF78" s="1266"/>
      <c r="AG78" s="1266"/>
      <c r="AH78" s="1251"/>
      <c r="AI78" s="1251"/>
      <c r="AJ78" s="1251"/>
      <c r="AK78" s="1251"/>
      <c r="AL78" s="1251"/>
      <c r="AM78" s="1251"/>
      <c r="AN78" s="1251"/>
      <c r="BW78" s="1274" t="s">
        <v>28</v>
      </c>
      <c r="BX78" s="1070">
        <v>10</v>
      </c>
    </row>
    <row r="79" spans="1:78" ht="15.75" customHeight="1">
      <c r="V79" s="201"/>
      <c r="W79" s="201"/>
      <c r="AD79" s="1251"/>
      <c r="AE79" s="1266"/>
      <c r="AF79" s="1266"/>
      <c r="AG79" s="1266"/>
      <c r="AH79" s="1251"/>
      <c r="AI79" s="1251"/>
      <c r="AJ79" s="1251"/>
      <c r="AK79" s="1251"/>
      <c r="AL79" s="1251"/>
      <c r="AM79" s="1251"/>
      <c r="AN79" s="1251"/>
      <c r="BW79" s="1274" t="s">
        <v>533</v>
      </c>
      <c r="BX79" s="1070">
        <v>10</v>
      </c>
    </row>
    <row r="80" spans="1:78" ht="15.75" customHeight="1">
      <c r="V80" s="201"/>
      <c r="W80" s="201"/>
      <c r="AD80" s="1251"/>
      <c r="AE80" s="1251"/>
      <c r="AF80" s="1251"/>
      <c r="AG80" s="1251"/>
      <c r="AH80" s="1251"/>
      <c r="AI80" s="1251"/>
      <c r="AJ80" s="1251"/>
      <c r="AK80" s="1251"/>
      <c r="AL80" s="1251"/>
      <c r="AM80" s="1251"/>
      <c r="AN80" s="1251"/>
      <c r="BN80" s="1251"/>
      <c r="BO80" s="1251"/>
      <c r="BP80" s="1251"/>
      <c r="BQ80" s="1251"/>
      <c r="BR80" s="1251"/>
      <c r="BW80" s="1274" t="s">
        <v>671</v>
      </c>
      <c r="BX80" s="1070">
        <v>30</v>
      </c>
    </row>
    <row r="81" spans="22:76" ht="15.75" customHeight="1">
      <c r="V81" s="1251"/>
      <c r="W81" s="1251"/>
      <c r="AD81" s="1251"/>
      <c r="AI81" s="1251"/>
      <c r="AJ81" s="1251"/>
      <c r="AK81" s="1251"/>
      <c r="AL81" s="1251"/>
      <c r="AM81" s="1251"/>
      <c r="AN81" s="1251"/>
      <c r="AO81" s="1251"/>
      <c r="AP81" s="1251"/>
      <c r="AQ81" s="1251"/>
      <c r="AR81" s="1251"/>
      <c r="AS81" s="1251"/>
      <c r="AT81" s="1251"/>
      <c r="AU81" s="1251"/>
      <c r="AV81" s="1251"/>
      <c r="AW81" s="1251"/>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526"/>
      <c r="BU81" s="526"/>
      <c r="BW81" s="1274" t="s">
        <v>532</v>
      </c>
      <c r="BX81" s="1070">
        <v>40</v>
      </c>
    </row>
    <row r="82" spans="22:76" ht="15.75" customHeight="1">
      <c r="V82" s="1251"/>
      <c r="W82" s="1251"/>
      <c r="AI82" s="1251"/>
      <c r="AJ82" s="1251"/>
      <c r="AK82" s="1251"/>
      <c r="AL82" s="1251"/>
      <c r="AM82" s="1251"/>
      <c r="AN82" s="1251"/>
      <c r="AO82" s="1251"/>
      <c r="AP82" s="1251"/>
      <c r="AQ82" s="1251"/>
      <c r="AR82" s="1251"/>
      <c r="AS82" s="1251"/>
      <c r="AT82" s="1251"/>
      <c r="AU82" s="1251"/>
      <c r="AV82" s="1251"/>
      <c r="AW82" s="1251"/>
      <c r="AX82" s="1251"/>
      <c r="AY82" s="1251"/>
      <c r="AZ82" s="1251"/>
      <c r="BA82" s="1251"/>
      <c r="BB82" s="1251"/>
      <c r="BC82" s="1251"/>
      <c r="BD82" s="1251"/>
      <c r="BE82" s="1251"/>
      <c r="BF82" s="1251"/>
      <c r="BG82" s="1251"/>
      <c r="BH82" s="1251"/>
      <c r="BI82" s="1251"/>
      <c r="BJ82" s="1251"/>
      <c r="BK82" s="1251"/>
      <c r="BL82" s="1251"/>
      <c r="BM82" s="1251"/>
      <c r="BN82" s="1251"/>
      <c r="BO82" s="1251"/>
      <c r="BP82" s="1251"/>
      <c r="BQ82" s="1251"/>
      <c r="BR82" s="1251"/>
      <c r="BS82" s="1251"/>
      <c r="BT82" s="524"/>
      <c r="BU82" s="524"/>
      <c r="BW82" s="1274" t="s">
        <v>9</v>
      </c>
      <c r="BX82" s="1070">
        <v>0</v>
      </c>
    </row>
    <row r="83" spans="22:76" ht="15.75" customHeight="1">
      <c r="AI83" s="1251"/>
      <c r="AJ83" s="1251"/>
      <c r="AK83" s="1251"/>
      <c r="AL83" s="1251"/>
      <c r="AM83" s="1251"/>
      <c r="AN83" s="1251"/>
      <c r="AO83" s="1251"/>
      <c r="AP83" s="1251"/>
      <c r="AQ83" s="1251"/>
      <c r="AR83" s="1251"/>
      <c r="AS83" s="1251"/>
      <c r="AT83" s="1251"/>
      <c r="AU83" s="1251"/>
      <c r="AV83" s="1251"/>
      <c r="AW83" s="1251"/>
      <c r="AX83" s="1251"/>
      <c r="AY83" s="1251"/>
      <c r="AZ83" s="1251"/>
      <c r="BA83" s="1251"/>
      <c r="BB83" s="1251"/>
      <c r="BC83" s="1251"/>
      <c r="BD83" s="1251"/>
      <c r="BE83" s="1251"/>
      <c r="BF83" s="1251"/>
      <c r="BG83" s="1251"/>
      <c r="BH83" s="1251"/>
      <c r="BI83" s="1251"/>
      <c r="BJ83" s="1251"/>
      <c r="BK83" s="1251"/>
      <c r="BL83" s="1251"/>
      <c r="BM83" s="1251"/>
      <c r="BS83" s="1251"/>
      <c r="BT83" s="524"/>
      <c r="BU83" s="524"/>
      <c r="BW83" s="1274" t="s">
        <v>10</v>
      </c>
      <c r="BX83" s="1070">
        <v>10</v>
      </c>
    </row>
    <row r="84" spans="22:76" ht="15.75" customHeight="1">
      <c r="AI84" s="1251"/>
      <c r="AJ84" s="1251"/>
      <c r="AK84" s="1251"/>
      <c r="AL84" s="1251"/>
      <c r="AM84" s="1251"/>
      <c r="AN84" s="1251"/>
      <c r="BW84" s="18" t="s">
        <v>31</v>
      </c>
      <c r="BX84" s="1070">
        <v>0</v>
      </c>
    </row>
    <row r="85" spans="22:76" ht="15.75" customHeight="1">
      <c r="AI85" s="1251"/>
      <c r="AJ85" s="1251"/>
      <c r="AK85" s="1251"/>
      <c r="AL85" s="1251"/>
      <c r="AM85" s="1251"/>
      <c r="AN85" s="1251"/>
    </row>
    <row r="86" spans="22:76" ht="15.75" customHeight="1">
      <c r="AI86" s="1251"/>
      <c r="AJ86" s="1251"/>
      <c r="AK86" s="1251"/>
      <c r="AL86" s="1251"/>
      <c r="AM86" s="1251"/>
      <c r="AN86" s="1251"/>
      <c r="BW86" s="174" t="s">
        <v>159</v>
      </c>
    </row>
    <row r="87" spans="22:76" ht="15.75" customHeight="1">
      <c r="AI87" s="1251"/>
      <c r="AJ87" s="1251"/>
      <c r="AK87" s="1251"/>
      <c r="AL87" s="1251"/>
      <c r="AM87" s="1251"/>
      <c r="AN87" s="1251"/>
      <c r="BW87" s="18" t="s">
        <v>224</v>
      </c>
      <c r="BX87" s="1070">
        <v>20</v>
      </c>
    </row>
    <row r="88" spans="22:76" ht="15.75" customHeight="1">
      <c r="AI88" s="1251"/>
      <c r="AJ88" s="1251"/>
      <c r="AK88" s="1251"/>
      <c r="AL88" s="1251"/>
      <c r="AM88" s="1251"/>
      <c r="AN88" s="1251"/>
      <c r="BW88" s="18" t="s">
        <v>160</v>
      </c>
      <c r="BX88" s="1070">
        <v>0</v>
      </c>
    </row>
    <row r="89" spans="22:76" ht="15.75" customHeight="1">
      <c r="AI89" s="1251"/>
      <c r="AJ89" s="1251"/>
      <c r="AK89" s="1251"/>
      <c r="AL89" s="1251"/>
      <c r="AM89" s="1251"/>
      <c r="AN89" s="1251"/>
    </row>
    <row r="90" spans="22:76" ht="15.75" customHeight="1">
      <c r="AI90" s="1251"/>
      <c r="AJ90" s="1251"/>
      <c r="AK90" s="1251"/>
      <c r="AL90" s="1251"/>
      <c r="AM90" s="1251"/>
      <c r="AN90" s="1251"/>
    </row>
    <row r="91" spans="22:76" ht="15.75" customHeight="1">
      <c r="AI91" s="1251"/>
      <c r="AJ91" s="1251"/>
      <c r="AK91" s="1251"/>
      <c r="AL91" s="1251"/>
      <c r="AM91" s="1251"/>
      <c r="AN91" s="1251"/>
    </row>
    <row r="92" spans="22:76" ht="15.75" customHeight="1">
      <c r="AI92" s="1251"/>
      <c r="AJ92" s="1251"/>
      <c r="AK92" s="1251"/>
      <c r="AL92" s="1251"/>
      <c r="AM92" s="1251"/>
      <c r="AN92" s="1251"/>
    </row>
    <row r="93" spans="22:76" ht="15.75" customHeight="1">
      <c r="AI93" s="1251"/>
      <c r="AJ93" s="1251"/>
      <c r="AK93" s="1251"/>
      <c r="AL93" s="1251"/>
      <c r="AM93" s="1251"/>
      <c r="AN93" s="1251"/>
    </row>
    <row r="94" spans="22:76" ht="15.75" customHeight="1">
      <c r="AI94" s="1251"/>
      <c r="AJ94" s="1251"/>
      <c r="AK94" s="1251"/>
      <c r="AL94" s="1251"/>
      <c r="AM94" s="1251"/>
      <c r="AN94" s="1251"/>
    </row>
    <row r="95" spans="22:76" ht="15.75" customHeight="1">
      <c r="AI95" s="1251"/>
      <c r="AJ95" s="1251"/>
      <c r="AK95" s="1251"/>
      <c r="AL95" s="1251"/>
      <c r="AM95" s="1251"/>
      <c r="AN95" s="1251"/>
    </row>
    <row r="96" spans="22:76" ht="15.75" customHeight="1">
      <c r="AI96" s="1251"/>
      <c r="AJ96" s="1251"/>
      <c r="AK96" s="1251"/>
      <c r="AL96" s="1251"/>
      <c r="AM96" s="1251"/>
      <c r="AN96" s="1251"/>
    </row>
    <row r="97" spans="35:82" ht="15.75" customHeight="1">
      <c r="AI97" s="1251"/>
      <c r="AJ97" s="1251"/>
      <c r="AK97" s="1251"/>
      <c r="AL97" s="1251"/>
      <c r="AM97" s="1251"/>
      <c r="AN97" s="1251"/>
    </row>
    <row r="98" spans="35:82" ht="15.75" customHeight="1">
      <c r="AI98" s="1251"/>
      <c r="AJ98" s="1251"/>
      <c r="AK98" s="1251"/>
      <c r="AL98" s="1251"/>
      <c r="AM98" s="1251"/>
      <c r="AN98" s="1251"/>
    </row>
    <row r="99" spans="35:82" ht="15.75" customHeight="1">
      <c r="AI99" s="1251"/>
      <c r="AJ99" s="1251"/>
      <c r="AK99" s="1251"/>
      <c r="AL99" s="1251"/>
      <c r="AM99" s="1251"/>
      <c r="AN99" s="1251"/>
    </row>
    <row r="100" spans="35:82" ht="15.75" customHeight="1">
      <c r="AI100" s="1251"/>
      <c r="AJ100" s="1251"/>
      <c r="AK100" s="1251"/>
      <c r="AL100" s="1251"/>
      <c r="AM100" s="1251"/>
      <c r="AN100" s="1251"/>
    </row>
    <row r="101" spans="35:82" ht="15.75" customHeight="1">
      <c r="AI101" s="1251"/>
      <c r="AJ101" s="1251"/>
      <c r="AK101" s="1251"/>
      <c r="AL101" s="1251"/>
      <c r="AM101" s="1251"/>
      <c r="AN101" s="1251"/>
      <c r="BV101" s="1274"/>
    </row>
    <row r="102" spans="35:82" ht="15.75" customHeight="1">
      <c r="AI102" s="1251"/>
      <c r="AJ102" s="1251"/>
      <c r="AK102" s="1251"/>
      <c r="AL102" s="1251"/>
      <c r="AM102" s="1251"/>
      <c r="AN102" s="1251"/>
      <c r="BV102" s="1274"/>
    </row>
    <row r="103" spans="35:82" ht="15.75" customHeight="1">
      <c r="AI103" s="1251"/>
      <c r="AJ103" s="1251"/>
      <c r="AK103" s="1251"/>
      <c r="AL103" s="1251"/>
      <c r="AM103" s="1251"/>
      <c r="AN103" s="1251"/>
    </row>
    <row r="104" spans="35:82" ht="15.75" customHeight="1">
      <c r="AI104" s="1251"/>
      <c r="AJ104" s="1251"/>
      <c r="AK104" s="1251"/>
      <c r="AL104" s="1251"/>
      <c r="AM104" s="1251"/>
      <c r="AN104" s="1251"/>
    </row>
    <row r="105" spans="35:82" ht="15.75" customHeight="1">
      <c r="AI105" s="1251"/>
      <c r="AJ105" s="1251"/>
      <c r="AK105" s="1251"/>
      <c r="AL105" s="1251"/>
      <c r="AM105" s="1251"/>
      <c r="AN105" s="1251"/>
      <c r="BX105" s="1268"/>
      <c r="BY105" s="1268"/>
      <c r="BZ105" s="1268"/>
      <c r="CA105" s="1268"/>
      <c r="CB105" s="1268"/>
      <c r="CC105" s="1268"/>
      <c r="CD105" s="1268"/>
    </row>
    <row r="106" spans="35:82" ht="15.75" customHeight="1">
      <c r="AI106" s="1251"/>
      <c r="AJ106" s="1251"/>
      <c r="AK106" s="1251"/>
      <c r="AL106" s="1251"/>
      <c r="AM106" s="1251"/>
      <c r="AN106" s="1251"/>
      <c r="BX106" s="1268"/>
      <c r="BY106" s="1268"/>
      <c r="BZ106" s="1268"/>
      <c r="CA106" s="1268"/>
      <c r="CB106" s="1268"/>
      <c r="CC106" s="1268"/>
      <c r="CD106" s="1268"/>
    </row>
    <row r="107" spans="35:82" ht="15.75" customHeight="1">
      <c r="AI107" s="1251"/>
      <c r="AJ107" s="1251"/>
      <c r="AK107" s="1251"/>
      <c r="AL107" s="1251"/>
      <c r="AM107" s="1251"/>
      <c r="AN107" s="1251"/>
      <c r="BX107" s="1268"/>
      <c r="BY107" s="1268"/>
      <c r="BZ107" s="1268"/>
      <c r="CA107" s="1268"/>
      <c r="CB107" s="1268"/>
      <c r="CC107" s="1268"/>
      <c r="CD107" s="1268"/>
    </row>
    <row r="108" spans="35:82" ht="15.75" customHeight="1">
      <c r="AI108" s="1251"/>
      <c r="AJ108" s="1251"/>
      <c r="AK108" s="1251"/>
      <c r="AL108" s="1251"/>
      <c r="AM108" s="1251"/>
      <c r="AN108" s="1251"/>
      <c r="BX108" s="1268"/>
      <c r="BY108" s="1268"/>
      <c r="BZ108" s="1268"/>
      <c r="CA108" s="1268"/>
      <c r="CB108" s="1268"/>
      <c r="CC108" s="1268"/>
      <c r="CD108" s="1268"/>
    </row>
    <row r="109" spans="35:82" ht="15.75" customHeight="1">
      <c r="AI109" s="1251"/>
      <c r="AJ109" s="1251"/>
      <c r="AK109" s="1251"/>
      <c r="AL109" s="1251"/>
      <c r="AM109" s="1251"/>
      <c r="AN109" s="1251"/>
      <c r="BX109" s="1268"/>
      <c r="BY109" s="1268"/>
      <c r="BZ109" s="1268"/>
      <c r="CA109" s="1268"/>
      <c r="CB109" s="1268"/>
      <c r="CC109" s="1268"/>
      <c r="CD109" s="1268"/>
    </row>
    <row r="110" spans="35:82" ht="15.75" customHeight="1">
      <c r="AI110" s="1251"/>
      <c r="AJ110" s="1251"/>
      <c r="AK110" s="1251"/>
      <c r="AL110" s="1251"/>
      <c r="AM110" s="1251"/>
      <c r="AN110" s="1251"/>
      <c r="BX110" s="1268"/>
      <c r="BY110" s="1268"/>
      <c r="BZ110" s="1268"/>
      <c r="CA110" s="1268"/>
      <c r="CB110" s="1268"/>
      <c r="CC110" s="1268"/>
      <c r="CD110" s="1268"/>
    </row>
    <row r="111" spans="35:82" ht="15.75" customHeight="1">
      <c r="AI111" s="1251"/>
      <c r="AJ111" s="1251"/>
      <c r="AK111" s="1251"/>
      <c r="AL111" s="1251"/>
      <c r="AM111" s="1251"/>
      <c r="AN111" s="1251"/>
      <c r="BX111" s="1268"/>
      <c r="BY111" s="1268"/>
      <c r="BZ111" s="1268"/>
      <c r="CA111" s="1268"/>
      <c r="CB111" s="1268"/>
      <c r="CC111" s="1268"/>
      <c r="CD111" s="1268"/>
    </row>
    <row r="112" spans="35:82" ht="15.75" customHeight="1">
      <c r="AI112" s="1251"/>
      <c r="AJ112" s="1251"/>
      <c r="AK112" s="1251"/>
      <c r="AL112" s="1251"/>
      <c r="AM112" s="1251"/>
      <c r="AN112" s="1251"/>
      <c r="BX112" s="1268"/>
      <c r="BY112" s="1268"/>
      <c r="BZ112" s="1268"/>
      <c r="CA112" s="1268"/>
      <c r="CB112" s="1268"/>
      <c r="CC112" s="1268"/>
      <c r="CD112" s="1268"/>
    </row>
    <row r="113" spans="35:82" ht="15.75" customHeight="1">
      <c r="AI113" s="1251"/>
      <c r="AJ113" s="1251"/>
      <c r="AK113" s="1251"/>
      <c r="AL113" s="1251"/>
      <c r="AM113" s="1251"/>
      <c r="AN113" s="1251"/>
      <c r="BX113" s="1268"/>
      <c r="BY113" s="1268"/>
      <c r="BZ113" s="1268"/>
      <c r="CA113" s="1268"/>
      <c r="CB113" s="1268"/>
      <c r="CC113" s="1268"/>
      <c r="CD113" s="1268"/>
    </row>
    <row r="114" spans="35:82" ht="15" customHeight="1">
      <c r="AI114" s="1251"/>
      <c r="AJ114" s="1251"/>
      <c r="AK114" s="1251"/>
      <c r="AL114" s="1251"/>
      <c r="AM114" s="1251"/>
      <c r="AN114" s="1251"/>
      <c r="BX114" s="1268"/>
      <c r="BY114" s="1268"/>
      <c r="BZ114" s="1268"/>
      <c r="CA114" s="1268"/>
      <c r="CB114" s="1268"/>
      <c r="CC114" s="1268"/>
      <c r="CD114" s="1268"/>
    </row>
    <row r="115" spans="35:82" ht="58.5" customHeight="1">
      <c r="AI115" s="1251"/>
      <c r="AJ115" s="1251"/>
      <c r="AK115" s="1251"/>
      <c r="AL115" s="1251"/>
      <c r="AM115" s="1251"/>
      <c r="AN115" s="1251"/>
      <c r="BX115" s="1268"/>
      <c r="BY115" s="1268"/>
      <c r="BZ115" s="1268"/>
      <c r="CA115" s="1268"/>
      <c r="CB115" s="1268"/>
      <c r="CC115" s="1268"/>
      <c r="CD115" s="1268"/>
    </row>
    <row r="116" spans="35:82" ht="36" customHeight="1">
      <c r="AI116" s="1251"/>
      <c r="AJ116" s="1251"/>
      <c r="AK116" s="1251"/>
      <c r="AL116" s="1251"/>
      <c r="AM116" s="1251"/>
      <c r="AN116" s="1251"/>
      <c r="BX116" s="1268"/>
      <c r="BY116" s="1268"/>
      <c r="BZ116" s="1268"/>
      <c r="CA116" s="1268"/>
      <c r="CB116" s="1268"/>
      <c r="CC116" s="1268"/>
      <c r="CD116" s="1268"/>
    </row>
    <row r="117" spans="35:82" ht="15.75" customHeight="1">
      <c r="AI117" s="1251"/>
      <c r="AJ117" s="1251"/>
      <c r="AK117" s="1251"/>
      <c r="AL117" s="1251"/>
      <c r="AM117" s="1251"/>
      <c r="AN117" s="1251"/>
      <c r="BX117" s="1268"/>
      <c r="BY117" s="1268"/>
      <c r="BZ117" s="1268"/>
      <c r="CA117" s="1268"/>
      <c r="CB117" s="1268"/>
      <c r="CC117" s="1268"/>
      <c r="CD117" s="1268"/>
    </row>
    <row r="118" spans="35:82" ht="15.75" customHeight="1">
      <c r="AI118" s="1251"/>
      <c r="AJ118" s="1251"/>
      <c r="AK118" s="1251"/>
      <c r="AL118" s="1251"/>
      <c r="AM118" s="1251"/>
      <c r="AN118" s="1251"/>
      <c r="BX118" s="1268"/>
      <c r="BY118" s="1268"/>
      <c r="BZ118" s="1268"/>
      <c r="CA118" s="1268"/>
      <c r="CB118" s="1268"/>
      <c r="CC118" s="1268"/>
      <c r="CD118" s="1268"/>
    </row>
    <row r="119" spans="35:82" ht="15.75" customHeight="1">
      <c r="AI119" s="1251"/>
      <c r="AJ119" s="1251"/>
      <c r="AK119" s="1251"/>
      <c r="AL119" s="1251"/>
      <c r="AM119" s="1251"/>
      <c r="AN119" s="1251"/>
      <c r="BX119" s="1268"/>
      <c r="BY119" s="1268"/>
      <c r="BZ119" s="1268"/>
      <c r="CA119" s="1268"/>
      <c r="CB119" s="1268"/>
      <c r="CC119" s="1268"/>
      <c r="CD119" s="1268"/>
    </row>
    <row r="120" spans="35:82" ht="15.75" customHeight="1">
      <c r="AI120" s="1251"/>
      <c r="AJ120" s="1251"/>
      <c r="AK120" s="1251"/>
      <c r="AL120" s="1251"/>
      <c r="AM120" s="1251"/>
      <c r="AN120" s="1251"/>
      <c r="BX120" s="1268"/>
      <c r="BY120" s="1268"/>
      <c r="BZ120" s="1268"/>
      <c r="CA120" s="1268"/>
      <c r="CB120" s="1268"/>
      <c r="CC120" s="1268"/>
      <c r="CD120" s="1268"/>
    </row>
    <row r="121" spans="35:82" ht="15">
      <c r="AI121" s="1251"/>
      <c r="AJ121" s="1251"/>
      <c r="AK121" s="1251"/>
      <c r="AL121" s="1251"/>
      <c r="AM121" s="1251"/>
      <c r="AN121" s="1251"/>
      <c r="BX121" s="1268"/>
      <c r="BY121" s="1268"/>
      <c r="BZ121" s="1268"/>
      <c r="CA121" s="1268"/>
      <c r="CB121" s="1268"/>
      <c r="CC121" s="1268"/>
      <c r="CD121" s="1268"/>
    </row>
    <row r="122" spans="35:82" ht="15">
      <c r="AI122" s="1251"/>
      <c r="AJ122" s="1251"/>
      <c r="AK122" s="1251"/>
      <c r="AL122" s="1251"/>
      <c r="AM122" s="1251"/>
      <c r="AN122" s="1251"/>
      <c r="BX122" s="1268"/>
      <c r="BY122" s="1268"/>
      <c r="BZ122" s="1268"/>
      <c r="CA122" s="1268"/>
      <c r="CB122" s="1268"/>
      <c r="CC122" s="1268"/>
      <c r="CD122" s="1268"/>
    </row>
    <row r="123" spans="35:82" ht="15">
      <c r="AI123" s="1251"/>
      <c r="AJ123" s="1251"/>
      <c r="AK123" s="1251"/>
      <c r="AL123" s="1251"/>
      <c r="AM123" s="1251"/>
      <c r="AN123" s="1251"/>
      <c r="BX123" s="1268"/>
      <c r="BY123" s="1268"/>
      <c r="BZ123" s="1268"/>
      <c r="CA123" s="1268"/>
      <c r="CB123" s="1268"/>
      <c r="CC123" s="1268"/>
      <c r="CD123" s="1268"/>
    </row>
    <row r="124" spans="35:82" ht="15">
      <c r="AI124" s="1251"/>
      <c r="AJ124" s="1251"/>
      <c r="AK124" s="1251"/>
      <c r="AL124" s="1251"/>
      <c r="AM124" s="1251"/>
      <c r="AN124" s="1251"/>
      <c r="BX124" s="1268"/>
      <c r="BY124" s="1268"/>
      <c r="BZ124" s="1268"/>
      <c r="CA124" s="1268"/>
      <c r="CB124" s="1268"/>
      <c r="CC124" s="1268"/>
      <c r="CD124" s="1268"/>
    </row>
    <row r="125" spans="35:82" ht="15">
      <c r="BX125" s="1268"/>
      <c r="BY125" s="1268"/>
      <c r="BZ125" s="1268"/>
      <c r="CA125" s="1268"/>
      <c r="CB125" s="1268"/>
      <c r="CC125" s="1268"/>
      <c r="CD125" s="1268"/>
    </row>
    <row r="132" ht="17.25" customHeight="1"/>
  </sheetData>
  <sheetProtection sheet="1" formatCells="0" formatColumns="0" formatRows="0" selectLockedCells="1"/>
  <mergeCells count="44">
    <mergeCell ref="V1:W3"/>
    <mergeCell ref="Q1:R3"/>
    <mergeCell ref="A57:B61"/>
    <mergeCell ref="C57:T61"/>
    <mergeCell ref="AE6:AJ6"/>
    <mergeCell ref="X1:BE3"/>
    <mergeCell ref="R54:R55"/>
    <mergeCell ref="T54:T55"/>
    <mergeCell ref="Q6:R6"/>
    <mergeCell ref="S6:T6"/>
    <mergeCell ref="V6:V7"/>
    <mergeCell ref="L1:P3"/>
    <mergeCell ref="A63:B66"/>
    <mergeCell ref="C63:T65"/>
    <mergeCell ref="C66:T66"/>
    <mergeCell ref="A1:B3"/>
    <mergeCell ref="X6:AC6"/>
    <mergeCell ref="O6:O7"/>
    <mergeCell ref="P6:P7"/>
    <mergeCell ref="I6:I7"/>
    <mergeCell ref="J6:J7"/>
    <mergeCell ref="K6:K7"/>
    <mergeCell ref="L6:L7"/>
    <mergeCell ref="M6:M7"/>
    <mergeCell ref="N6:N7"/>
    <mergeCell ref="A5:T5"/>
    <mergeCell ref="V5:BE5"/>
    <mergeCell ref="I1:J1"/>
    <mergeCell ref="BG1:BQ4"/>
    <mergeCell ref="I2:J2"/>
    <mergeCell ref="A4:T4"/>
    <mergeCell ref="V4:BE4"/>
    <mergeCell ref="BG5:BK6"/>
    <mergeCell ref="BM5:BQ6"/>
    <mergeCell ref="A6:A7"/>
    <mergeCell ref="B6:B7"/>
    <mergeCell ref="C6:C7"/>
    <mergeCell ref="D6:E6"/>
    <mergeCell ref="F6:G6"/>
    <mergeCell ref="H6:H7"/>
    <mergeCell ref="AL6:AQ6"/>
    <mergeCell ref="AS6:AX6"/>
    <mergeCell ref="AZ6:BE6"/>
    <mergeCell ref="W6:W7"/>
  </mergeCells>
  <dataValidations count="4">
    <dataValidation type="list" allowBlank="1" sqref="N8:N52">
      <formula1>BW$87:BW$88</formula1>
    </dataValidation>
    <dataValidation type="list" allowBlank="1" sqref="H8:H52">
      <formula1>BW$62:BW$72</formula1>
    </dataValidation>
    <dataValidation type="list" allowBlank="1" sqref="J8:J52">
      <formula1>BW$75:BW$84</formula1>
    </dataValidation>
    <dataValidation type="list" allowBlank="1" sqref="C8:C52">
      <formula1>BW$3:BW$58</formula1>
    </dataValidation>
  </dataValidations>
  <pageMargins left="0.78740157480314965" right="0.23622047244094491" top="0.74803149606299213" bottom="0.74803149606299213" header="0.31496062992125984" footer="0.31496062992125984"/>
  <pageSetup paperSize="9" scale="59" fitToHeight="0" orientation="landscape" horizontalDpi="4294967293" verticalDpi="4294967293" r:id="rId1"/>
  <rowBreaks count="1" manualBreakCount="1">
    <brk id="53" max="19" man="1"/>
  </rowBreaks>
  <colBreaks count="1" manualBreakCount="1">
    <brk id="21" max="3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BA8:BA52 AT8:AT52 AM8:AM52 AF8:AF52 Y8:Y52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0"/>
    <pageSetUpPr fitToPage="1"/>
  </sheetPr>
  <dimension ref="A1:K95"/>
  <sheetViews>
    <sheetView topLeftCell="A48" zoomScaleNormal="100" workbookViewId="0">
      <selection activeCell="C59" sqref="C59"/>
    </sheetView>
  </sheetViews>
  <sheetFormatPr baseColWidth="10" defaultRowHeight="15"/>
  <cols>
    <col min="1" max="1" width="39.85546875" style="174" customWidth="1"/>
    <col min="2" max="2" width="39" style="175" customWidth="1"/>
    <col min="3" max="3" width="29.42578125" style="934" customWidth="1"/>
    <col min="4" max="4" width="31.7109375" style="930" customWidth="1"/>
    <col min="5" max="5" width="24.5703125" style="930" customWidth="1"/>
    <col min="6" max="6" width="39" style="930" customWidth="1"/>
    <col min="7" max="7" width="36" style="930" customWidth="1"/>
    <col min="8" max="8" width="22.85546875" style="934" customWidth="1"/>
    <col min="9" max="9" width="23.85546875" style="930" customWidth="1"/>
    <col min="10" max="10" width="37.85546875" style="930" customWidth="1"/>
    <col min="11" max="11" width="21" style="930" customWidth="1"/>
    <col min="12" max="16384" width="11.42578125" style="930"/>
  </cols>
  <sheetData>
    <row r="1" spans="1:11">
      <c r="B1" s="412" t="str">
        <f>'DüV-N-Ackerbau'!C1</f>
        <v>Karl vom Land</v>
      </c>
      <c r="C1" s="412" t="str">
        <f>'DüV-N-Ackerbau'!F1</f>
        <v>Erntejahr</v>
      </c>
      <c r="E1" s="12" t="s">
        <v>36</v>
      </c>
    </row>
    <row r="2" spans="1:11">
      <c r="B2" s="412" t="str">
        <f>'DüV-N-Ackerbau'!C2</f>
        <v>Höfen 1</v>
      </c>
      <c r="C2" s="412">
        <f>'DüV-N-Ackerbau'!G1</f>
        <v>2022</v>
      </c>
      <c r="E2" s="13" t="s">
        <v>34</v>
      </c>
    </row>
    <row r="3" spans="1:11">
      <c r="B3" s="412" t="str">
        <f>'DüV-N-Ackerbau'!C3</f>
        <v>12345 Auf dem Feld</v>
      </c>
      <c r="C3" s="174"/>
    </row>
    <row r="4" spans="1:11" ht="6" customHeight="1" thickBot="1"/>
    <row r="5" spans="1:11" ht="21.75" thickBot="1">
      <c r="A5" s="3046" t="s">
        <v>505</v>
      </c>
      <c r="B5" s="3047"/>
      <c r="C5" s="3047"/>
      <c r="D5" s="3048"/>
    </row>
    <row r="6" spans="1:11" ht="48" thickBot="1">
      <c r="A6" s="3049" t="s">
        <v>575</v>
      </c>
      <c r="B6" s="3050"/>
      <c r="C6" s="327" t="s">
        <v>573</v>
      </c>
      <c r="D6" s="472" t="s">
        <v>526</v>
      </c>
      <c r="G6" s="480"/>
      <c r="H6" s="479" t="s">
        <v>5</v>
      </c>
      <c r="I6" s="480"/>
      <c r="J6" s="480"/>
      <c r="K6" s="480"/>
    </row>
    <row r="7" spans="1:11" ht="15.75">
      <c r="A7" s="69"/>
      <c r="B7" s="48" t="s">
        <v>669</v>
      </c>
      <c r="C7" s="449">
        <v>70</v>
      </c>
      <c r="D7" s="441"/>
      <c r="G7" s="479" t="s">
        <v>6</v>
      </c>
      <c r="H7" s="480"/>
      <c r="I7" s="480"/>
      <c r="J7" s="480" t="s">
        <v>159</v>
      </c>
      <c r="K7" s="480"/>
    </row>
    <row r="8" spans="1:11" ht="15.75">
      <c r="A8" s="69"/>
      <c r="B8" s="48"/>
      <c r="C8" s="474" t="str">
        <f>IF(OR(C7&lt;30,C7&gt;150),"Sind Sie sicher?"," ")</f>
        <v xml:space="preserve"> </v>
      </c>
      <c r="D8" s="441"/>
      <c r="G8" s="480" t="s">
        <v>503</v>
      </c>
      <c r="H8" s="480">
        <v>0</v>
      </c>
      <c r="I8" s="480"/>
      <c r="J8" s="480" t="s">
        <v>160</v>
      </c>
      <c r="K8" s="480">
        <v>0</v>
      </c>
    </row>
    <row r="9" spans="1:11" ht="15.75">
      <c r="A9" s="69"/>
      <c r="B9" s="48"/>
      <c r="C9" s="469" t="s">
        <v>4</v>
      </c>
      <c r="D9" s="441"/>
      <c r="G9" s="480" t="s">
        <v>22</v>
      </c>
      <c r="H9" s="480">
        <v>10</v>
      </c>
      <c r="I9" s="480"/>
      <c r="J9" s="480" t="s">
        <v>161</v>
      </c>
      <c r="K9" s="480">
        <v>20</v>
      </c>
    </row>
    <row r="10" spans="1:11" ht="15.75">
      <c r="A10" s="69"/>
      <c r="B10" s="48" t="s">
        <v>37</v>
      </c>
      <c r="C10" s="958">
        <f>IF(C7&lt;=69,75+C7*1.5,(IF(C7&gt;=70,110+C7)))</f>
        <v>180</v>
      </c>
      <c r="D10" s="442"/>
      <c r="G10" s="480" t="s">
        <v>528</v>
      </c>
      <c r="H10" s="480">
        <v>10</v>
      </c>
      <c r="I10" s="480"/>
      <c r="J10" s="480"/>
      <c r="K10" s="480"/>
    </row>
    <row r="11" spans="1:11" ht="18">
      <c r="A11" s="69"/>
      <c r="B11" s="48" t="s">
        <v>38</v>
      </c>
      <c r="C11" s="490">
        <v>15</v>
      </c>
      <c r="D11" s="442"/>
      <c r="G11" s="480" t="s">
        <v>7</v>
      </c>
      <c r="H11" s="480">
        <v>10</v>
      </c>
      <c r="I11" s="480"/>
      <c r="J11" s="479" t="s">
        <v>49</v>
      </c>
      <c r="K11" s="480"/>
    </row>
    <row r="12" spans="1:11" ht="18">
      <c r="A12" s="69"/>
      <c r="B12" s="48" t="s">
        <v>39</v>
      </c>
      <c r="C12" s="490">
        <v>10</v>
      </c>
      <c r="D12" s="442"/>
      <c r="G12" s="480" t="s">
        <v>17</v>
      </c>
      <c r="H12" s="480">
        <v>20</v>
      </c>
      <c r="I12" s="480"/>
      <c r="J12" s="1488" t="s">
        <v>1198</v>
      </c>
      <c r="K12" s="1488">
        <v>1</v>
      </c>
    </row>
    <row r="13" spans="1:11" ht="18">
      <c r="A13" s="69"/>
      <c r="B13" s="48" t="s">
        <v>40</v>
      </c>
      <c r="C13" s="490">
        <v>5</v>
      </c>
      <c r="D13" s="442"/>
      <c r="G13" s="480" t="s">
        <v>23</v>
      </c>
      <c r="H13" s="480">
        <v>0</v>
      </c>
      <c r="I13" s="480"/>
      <c r="J13" s="1488" t="s">
        <v>184</v>
      </c>
      <c r="K13" s="1488">
        <v>0.5</v>
      </c>
    </row>
    <row r="14" spans="1:11">
      <c r="A14" s="69" t="s">
        <v>8</v>
      </c>
      <c r="B14" s="342" t="s">
        <v>31</v>
      </c>
      <c r="C14" s="149">
        <f>VLOOKUP(B14,G22:H32,2,FALSE)</f>
        <v>0</v>
      </c>
      <c r="D14" s="442"/>
      <c r="G14" s="480" t="s">
        <v>20</v>
      </c>
      <c r="H14" s="480">
        <v>20</v>
      </c>
      <c r="I14" s="480"/>
      <c r="J14" s="1488" t="s">
        <v>1200</v>
      </c>
      <c r="K14" s="1488">
        <v>0.6</v>
      </c>
    </row>
    <row r="15" spans="1:11">
      <c r="A15" s="69" t="s">
        <v>6</v>
      </c>
      <c r="B15" s="342" t="s">
        <v>503</v>
      </c>
      <c r="C15" s="149">
        <f>VLOOKUP(B15,G8:H18,2,FALSE)</f>
        <v>0</v>
      </c>
      <c r="D15" s="442"/>
      <c r="G15" s="480" t="s">
        <v>19</v>
      </c>
      <c r="H15" s="480">
        <v>10</v>
      </c>
      <c r="I15" s="480"/>
      <c r="J15" s="1488" t="s">
        <v>1201</v>
      </c>
      <c r="K15" s="1488">
        <v>0.4</v>
      </c>
    </row>
    <row r="16" spans="1:11" ht="15.75">
      <c r="A16" s="69" t="s">
        <v>1057</v>
      </c>
      <c r="B16" s="933" t="s">
        <v>24</v>
      </c>
      <c r="C16" s="972"/>
      <c r="D16" s="442"/>
      <c r="E16" s="489" t="str">
        <f>IF(C16&gt;20,"Sind Sie sicher?"," ")</f>
        <v xml:space="preserve"> </v>
      </c>
      <c r="G16" s="480" t="s">
        <v>529</v>
      </c>
      <c r="H16" s="480">
        <v>0</v>
      </c>
      <c r="I16" s="480"/>
      <c r="J16" s="1488" t="s">
        <v>1199</v>
      </c>
      <c r="K16" s="1488">
        <v>0.35</v>
      </c>
    </row>
    <row r="17" spans="1:11" ht="15.75" thickBot="1">
      <c r="A17" s="69" t="s">
        <v>159</v>
      </c>
      <c r="B17" s="342" t="s">
        <v>160</v>
      </c>
      <c r="C17" s="965">
        <f>VLOOKUP(B17,J8:K9,2,FALSE)</f>
        <v>0</v>
      </c>
      <c r="D17" s="443"/>
      <c r="G17" s="480" t="s">
        <v>21</v>
      </c>
      <c r="H17" s="480">
        <v>10</v>
      </c>
      <c r="I17" s="480"/>
      <c r="J17" s="1488" t="s">
        <v>48</v>
      </c>
      <c r="K17" s="1488">
        <v>0.3</v>
      </c>
    </row>
    <row r="18" spans="1:11" ht="16.5" thickBot="1">
      <c r="A18" s="283"/>
      <c r="B18" s="284" t="s">
        <v>468</v>
      </c>
      <c r="C18" s="276">
        <f>C10-SUM(C11:C17)</f>
        <v>150</v>
      </c>
      <c r="D18" s="285" t="s">
        <v>470</v>
      </c>
      <c r="G18" s="480" t="s">
        <v>18</v>
      </c>
      <c r="H18" s="480">
        <v>20</v>
      </c>
      <c r="I18" s="480"/>
      <c r="J18" s="1488" t="s">
        <v>31</v>
      </c>
      <c r="K18" s="1488">
        <v>0</v>
      </c>
    </row>
    <row r="19" spans="1:11" ht="18.75" customHeight="1" thickBot="1">
      <c r="A19" s="48"/>
      <c r="B19" s="167"/>
      <c r="C19" s="11"/>
      <c r="D19" s="296"/>
      <c r="G19" s="480"/>
      <c r="H19" s="480"/>
      <c r="I19" s="480"/>
      <c r="J19" s="480"/>
      <c r="K19" s="480"/>
    </row>
    <row r="20" spans="1:11" ht="18" customHeight="1" thickBot="1">
      <c r="A20" s="3046" t="s">
        <v>506</v>
      </c>
      <c r="B20" s="3047"/>
      <c r="C20" s="3047"/>
      <c r="D20" s="3048"/>
      <c r="G20" s="480"/>
      <c r="H20" s="480"/>
      <c r="I20" s="480"/>
      <c r="J20" s="480"/>
      <c r="K20" s="480"/>
    </row>
    <row r="21" spans="1:11" ht="34.5" customHeight="1" thickBot="1">
      <c r="A21" s="3075" t="s">
        <v>491</v>
      </c>
      <c r="B21" s="3076"/>
      <c r="C21" s="270" t="s">
        <v>543</v>
      </c>
      <c r="D21" s="240" t="s">
        <v>336</v>
      </c>
      <c r="G21" s="479" t="s">
        <v>8</v>
      </c>
      <c r="H21" s="480"/>
      <c r="I21" s="480"/>
      <c r="J21" s="480"/>
      <c r="K21" s="480"/>
    </row>
    <row r="22" spans="1:11" ht="21.75" customHeight="1">
      <c r="A22" s="28"/>
      <c r="B22" s="39"/>
      <c r="C22" s="336" t="s">
        <v>488</v>
      </c>
      <c r="D22" s="227"/>
      <c r="G22" s="480" t="s">
        <v>31</v>
      </c>
      <c r="H22" s="480">
        <v>0</v>
      </c>
      <c r="I22" s="480"/>
      <c r="J22" s="479" t="s">
        <v>69</v>
      </c>
      <c r="K22" s="480"/>
    </row>
    <row r="23" spans="1:11" ht="21.75" customHeight="1">
      <c r="A23" s="28" t="s">
        <v>35</v>
      </c>
      <c r="B23" s="344">
        <v>60</v>
      </c>
      <c r="C23" s="234">
        <f>IF(OR(B23&lt;1,B23&gt;100),"Zahl 0 bis 100 eingeben",(-0.0025*B23*B23+0.75*B23-26)*0.6)</f>
        <v>6</v>
      </c>
      <c r="D23" s="82" t="s">
        <v>163</v>
      </c>
      <c r="G23" s="480" t="s">
        <v>25</v>
      </c>
      <c r="H23" s="480">
        <v>0</v>
      </c>
      <c r="I23" s="480"/>
      <c r="J23" s="482" t="s">
        <v>53</v>
      </c>
      <c r="K23" s="482">
        <v>-10</v>
      </c>
    </row>
    <row r="24" spans="1:11" ht="21.75" customHeight="1">
      <c r="A24" s="81" t="s">
        <v>162</v>
      </c>
      <c r="B24" s="345">
        <v>200</v>
      </c>
      <c r="C24" s="59">
        <f>IF(OR(B24&lt;40,B24&gt;800),"gibt es nicht",(B24*0.025-1))</f>
        <v>4</v>
      </c>
      <c r="D24" s="82" t="s">
        <v>164</v>
      </c>
      <c r="G24" s="480" t="s">
        <v>26</v>
      </c>
      <c r="H24" s="480">
        <v>0</v>
      </c>
      <c r="I24" s="480"/>
      <c r="J24" s="482" t="s">
        <v>54</v>
      </c>
      <c r="K24" s="482">
        <v>0</v>
      </c>
    </row>
    <row r="25" spans="1:11" ht="21.75" customHeight="1">
      <c r="A25" s="28" t="s">
        <v>51</v>
      </c>
      <c r="B25" s="340" t="s">
        <v>31</v>
      </c>
      <c r="C25" s="117">
        <f>VLOOKUP(B25,J12:K18,2,FALSE)</f>
        <v>0</v>
      </c>
      <c r="D25" s="228" t="s">
        <v>50</v>
      </c>
      <c r="G25" s="480" t="s">
        <v>27</v>
      </c>
      <c r="H25" s="480">
        <v>20</v>
      </c>
      <c r="I25" s="480"/>
      <c r="J25" s="482" t="s">
        <v>55</v>
      </c>
      <c r="K25" s="482">
        <v>10</v>
      </c>
    </row>
    <row r="26" spans="1:11" ht="27.75" customHeight="1">
      <c r="A26" s="28" t="s">
        <v>46</v>
      </c>
      <c r="B26" s="493">
        <v>0</v>
      </c>
      <c r="C26" s="56">
        <f>B26*10*C25</f>
        <v>0</v>
      </c>
      <c r="D26" s="82" t="s">
        <v>163</v>
      </c>
      <c r="G26" s="480" t="s">
        <v>28</v>
      </c>
      <c r="H26" s="480">
        <v>10</v>
      </c>
      <c r="I26" s="480"/>
      <c r="J26" s="480"/>
      <c r="K26" s="480"/>
    </row>
    <row r="27" spans="1:11" ht="26.25" customHeight="1">
      <c r="A27" s="61" t="s">
        <v>47</v>
      </c>
      <c r="B27" s="492" t="str">
        <f>IF(B26&gt;3,"Sind Sie sicher?"," ")</f>
        <v xml:space="preserve"> </v>
      </c>
      <c r="C27" s="56"/>
      <c r="D27" s="227"/>
      <c r="G27" s="480" t="s">
        <v>29</v>
      </c>
      <c r="H27" s="480">
        <v>10</v>
      </c>
      <c r="I27" s="480"/>
      <c r="J27" s="480"/>
      <c r="K27" s="480"/>
    </row>
    <row r="28" spans="1:11" ht="18" customHeight="1">
      <c r="A28" s="243" t="s">
        <v>56</v>
      </c>
      <c r="B28" s="522" t="s">
        <v>55</v>
      </c>
      <c r="C28" s="54">
        <f>VLOOKUP(B28,J23:K25,2,FALSE)</f>
        <v>10</v>
      </c>
      <c r="D28" s="246" t="s">
        <v>389</v>
      </c>
      <c r="G28" s="480" t="s">
        <v>673</v>
      </c>
      <c r="H28" s="480">
        <v>30</v>
      </c>
      <c r="I28" s="480"/>
      <c r="J28" s="480"/>
      <c r="K28" s="480"/>
    </row>
    <row r="29" spans="1:11" ht="25.5" customHeight="1" thickBot="1">
      <c r="A29" s="28"/>
      <c r="B29" s="87" t="s">
        <v>458</v>
      </c>
      <c r="C29" s="298"/>
      <c r="D29" s="229"/>
      <c r="E29" s="14"/>
      <c r="G29" s="480" t="s">
        <v>30</v>
      </c>
      <c r="H29" s="480">
        <v>40</v>
      </c>
      <c r="I29" s="480"/>
      <c r="J29" s="480"/>
      <c r="K29" s="480"/>
    </row>
    <row r="30" spans="1:11" ht="35.25" customHeight="1">
      <c r="A30" s="89" t="s">
        <v>61</v>
      </c>
      <c r="B30" s="49">
        <f>B32*0.67+C24*0.6</f>
        <v>94.593675000000019</v>
      </c>
      <c r="C30" s="267">
        <f>B30-C11-C12*0.67</f>
        <v>72.893675000000016</v>
      </c>
      <c r="D30" s="3077" t="s">
        <v>510</v>
      </c>
      <c r="E30" s="154"/>
      <c r="G30" s="480" t="s">
        <v>9</v>
      </c>
      <c r="H30" s="480">
        <v>0</v>
      </c>
      <c r="I30" s="480"/>
      <c r="J30" s="480"/>
      <c r="K30" s="480"/>
    </row>
    <row r="31" spans="1:11" ht="24.75" customHeight="1" thickBot="1">
      <c r="A31" s="89" t="s">
        <v>62</v>
      </c>
      <c r="B31" s="90">
        <f>B32*0.33+C24*0.4</f>
        <v>47.008825000000009</v>
      </c>
      <c r="C31" s="268">
        <f>B31-C12*0.33-C13*0.25-C14-C15-C16*0.75-C23-C26+C28</f>
        <v>46.458825000000012</v>
      </c>
      <c r="D31" s="3078"/>
      <c r="E31" s="154"/>
      <c r="F31" s="16"/>
      <c r="G31" s="480" t="s">
        <v>10</v>
      </c>
      <c r="H31" s="480">
        <v>10</v>
      </c>
    </row>
    <row r="32" spans="1:11" ht="18" customHeight="1" thickBot="1">
      <c r="A32" s="494" t="s">
        <v>155</v>
      </c>
      <c r="B32" s="309">
        <f>-0.00619*C7*C7+2.11905*C7+19.6</f>
        <v>137.60250000000002</v>
      </c>
      <c r="C32" s="276">
        <f>C30+C31</f>
        <v>119.35250000000002</v>
      </c>
      <c r="D32" s="308" t="s">
        <v>4</v>
      </c>
      <c r="E32" s="154"/>
      <c r="G32" s="480" t="s">
        <v>31</v>
      </c>
      <c r="H32" s="480">
        <v>0</v>
      </c>
    </row>
    <row r="33" spans="1:9" ht="18" customHeight="1">
      <c r="A33" s="173"/>
      <c r="B33" s="122"/>
      <c r="C33" s="969"/>
      <c r="D33"/>
      <c r="E33" s="154"/>
      <c r="F33" s="932"/>
      <c r="H33" s="930"/>
    </row>
    <row r="34" spans="1:9" ht="30" customHeight="1">
      <c r="A34" s="404"/>
      <c r="B34" s="405"/>
      <c r="C34" s="406" t="s">
        <v>719</v>
      </c>
      <c r="D34" s="407"/>
      <c r="E34" s="154"/>
      <c r="H34" s="930"/>
    </row>
    <row r="35" spans="1:9" ht="18" customHeight="1">
      <c r="A35" s="408"/>
      <c r="B35" s="371" t="s">
        <v>42</v>
      </c>
      <c r="C35" s="409">
        <f>C18</f>
        <v>150</v>
      </c>
      <c r="D35" s="410" t="s">
        <v>4</v>
      </c>
      <c r="E35" s="154"/>
      <c r="H35" s="930"/>
    </row>
    <row r="36" spans="1:9" ht="16.5" customHeight="1">
      <c r="A36" s="3044" t="s">
        <v>702</v>
      </c>
      <c r="B36" s="775" t="s">
        <v>701</v>
      </c>
      <c r="C36" s="781">
        <v>0</v>
      </c>
      <c r="D36" s="779" t="s">
        <v>484</v>
      </c>
      <c r="E36" s="154"/>
      <c r="H36" s="930"/>
    </row>
    <row r="37" spans="1:9" ht="14.25" customHeight="1">
      <c r="A37" s="3045"/>
      <c r="B37" s="776" t="s">
        <v>704</v>
      </c>
      <c r="C37" s="771">
        <v>0</v>
      </c>
      <c r="D37" s="415" t="s">
        <v>485</v>
      </c>
      <c r="E37" s="154"/>
      <c r="H37" s="930"/>
    </row>
    <row r="38" spans="1:9" ht="26.25" customHeight="1">
      <c r="A38" s="859" t="s">
        <v>817</v>
      </c>
      <c r="B38" s="777" t="s">
        <v>705</v>
      </c>
      <c r="C38" s="780">
        <v>0</v>
      </c>
      <c r="D38" s="415" t="s">
        <v>254</v>
      </c>
      <c r="E38" s="154"/>
    </row>
    <row r="39" spans="1:9" ht="21" customHeight="1">
      <c r="A39" s="3044" t="s">
        <v>703</v>
      </c>
      <c r="B39" s="775" t="s">
        <v>706</v>
      </c>
      <c r="C39" s="771">
        <v>0</v>
      </c>
      <c r="D39" s="779" t="s">
        <v>484</v>
      </c>
      <c r="E39" s="154"/>
    </row>
    <row r="40" spans="1:9" ht="21" customHeight="1">
      <c r="A40" s="3045"/>
      <c r="B40" s="776" t="s">
        <v>707</v>
      </c>
      <c r="C40" s="771">
        <v>0</v>
      </c>
      <c r="D40" s="415" t="s">
        <v>485</v>
      </c>
      <c r="E40" s="154"/>
    </row>
    <row r="41" spans="1:9" ht="22.5" customHeight="1">
      <c r="A41" s="859" t="s">
        <v>817</v>
      </c>
      <c r="B41" s="778" t="s">
        <v>708</v>
      </c>
      <c r="C41" s="771">
        <v>0</v>
      </c>
      <c r="D41" s="415" t="s">
        <v>254</v>
      </c>
      <c r="E41" s="154"/>
    </row>
    <row r="42" spans="1:9" ht="27.75" customHeight="1">
      <c r="A42" s="379"/>
      <c r="B42" s="412" t="s">
        <v>255</v>
      </c>
      <c r="C42" s="414">
        <f>(C36*C37*C38/100)+(C39*C40*C41/100)</f>
        <v>0</v>
      </c>
      <c r="D42" s="416" t="s">
        <v>4</v>
      </c>
      <c r="E42" s="154"/>
    </row>
    <row r="43" spans="1:9" ht="35.25" customHeight="1">
      <c r="A43" s="411"/>
      <c r="B43" s="413" t="s">
        <v>136</v>
      </c>
      <c r="C43" s="414">
        <f>C35-C42</f>
        <v>150</v>
      </c>
      <c r="D43" s="417" t="s">
        <v>4</v>
      </c>
      <c r="E43" s="154"/>
      <c r="F43" s="946" t="s">
        <v>183</v>
      </c>
      <c r="G43" s="959" t="s">
        <v>186</v>
      </c>
    </row>
    <row r="44" spans="1:9" ht="18.75" customHeight="1">
      <c r="A44" s="173"/>
      <c r="B44" s="122"/>
      <c r="C44" s="969"/>
      <c r="D44"/>
      <c r="F44" s="951" t="s">
        <v>179</v>
      </c>
      <c r="G44" s="951">
        <v>90</v>
      </c>
      <c r="H44" s="959"/>
      <c r="I44" s="959"/>
    </row>
    <row r="45" spans="1:9" ht="18.75" customHeight="1">
      <c r="A45" s="43"/>
      <c r="B45" s="34"/>
      <c r="C45" s="948" t="s">
        <v>60</v>
      </c>
      <c r="D45" s="226"/>
      <c r="F45" s="951" t="s">
        <v>804</v>
      </c>
      <c r="G45" s="951">
        <v>70</v>
      </c>
      <c r="H45" s="937"/>
      <c r="I45" s="937"/>
    </row>
    <row r="46" spans="1:9" ht="18.75" customHeight="1">
      <c r="A46" s="28"/>
      <c r="B46" s="48" t="s">
        <v>73</v>
      </c>
      <c r="C46" s="450">
        <v>10.5</v>
      </c>
      <c r="D46" s="246" t="s">
        <v>508</v>
      </c>
      <c r="F46" s="951" t="s">
        <v>805</v>
      </c>
      <c r="G46" s="951">
        <v>70</v>
      </c>
      <c r="H46" s="937"/>
      <c r="I46" s="937"/>
    </row>
    <row r="47" spans="1:9" ht="18.75" customHeight="1">
      <c r="A47" s="28"/>
      <c r="B47" s="48" t="s">
        <v>12</v>
      </c>
      <c r="C47" s="115">
        <f>C7*0.86*C46/6.25</f>
        <v>101.13599999999998</v>
      </c>
      <c r="D47" s="104" t="str">
        <f>IF(C47&gt;200,"mehr als 200 kg Korn-N/ha ist unrealistisch!","Korn-N-Abfuhr")</f>
        <v>Korn-N-Abfuhr</v>
      </c>
      <c r="F47" s="951" t="s">
        <v>809</v>
      </c>
      <c r="G47" s="946">
        <v>70</v>
      </c>
      <c r="H47" s="937"/>
      <c r="I47" s="937"/>
    </row>
    <row r="48" spans="1:9" ht="18.75" customHeight="1">
      <c r="A48" s="28"/>
      <c r="B48" s="93" t="s">
        <v>14</v>
      </c>
      <c r="C48" s="219">
        <f>(100-0.5*C7)/100</f>
        <v>0.65</v>
      </c>
      <c r="D48" s="94" t="s">
        <v>338</v>
      </c>
      <c r="F48" s="782" t="s">
        <v>810</v>
      </c>
      <c r="G48" s="946">
        <v>60</v>
      </c>
      <c r="H48" s="937"/>
      <c r="I48" s="937"/>
    </row>
    <row r="49" spans="1:11" ht="18.75" customHeight="1">
      <c r="A49" s="28"/>
      <c r="B49" s="48" t="s">
        <v>13</v>
      </c>
      <c r="C49" s="312">
        <f>C7*C48*0.5</f>
        <v>22.75</v>
      </c>
      <c r="D49" s="227"/>
      <c r="F49" s="951" t="s">
        <v>48</v>
      </c>
      <c r="G49" s="946">
        <v>60</v>
      </c>
      <c r="H49" s="937"/>
      <c r="I49" s="937"/>
    </row>
    <row r="50" spans="1:11" ht="18.75" customHeight="1">
      <c r="A50" s="28" t="s">
        <v>68</v>
      </c>
      <c r="B50" s="48" t="s">
        <v>65</v>
      </c>
      <c r="C50" s="115">
        <f>C32-C47</f>
        <v>18.216500000000039</v>
      </c>
      <c r="D50" s="235" t="str">
        <f>IF(C50&gt;50,"!!!",(IF(C50&gt;40,"!!",(IF(C50&gt;30,"!"," ")))))</f>
        <v xml:space="preserve"> </v>
      </c>
      <c r="F50" s="951" t="s">
        <v>811</v>
      </c>
      <c r="G50" s="951">
        <v>45</v>
      </c>
      <c r="H50" s="937"/>
      <c r="I50" s="937"/>
    </row>
    <row r="51" spans="1:11" ht="18.75" customHeight="1">
      <c r="A51" s="793" t="s">
        <v>729</v>
      </c>
      <c r="B51" s="48" t="s">
        <v>66</v>
      </c>
      <c r="C51" s="220">
        <f>C32-C47-C49</f>
        <v>-4.533499999999961</v>
      </c>
      <c r="D51" s="236"/>
      <c r="F51" s="782" t="s">
        <v>806</v>
      </c>
      <c r="G51" s="946">
        <v>30</v>
      </c>
      <c r="H51" s="937"/>
      <c r="I51" s="937"/>
    </row>
    <row r="52" spans="1:11" ht="18.75" customHeight="1">
      <c r="A52" s="792" t="s">
        <v>67</v>
      </c>
      <c r="B52" s="48" t="s">
        <v>65</v>
      </c>
      <c r="C52" s="220">
        <f>C18-C47</f>
        <v>48.864000000000019</v>
      </c>
      <c r="D52" s="235" t="str">
        <f>IF(C52&gt;50,"!!!",(IF(C52&gt;40,"!!",(IF(C52&gt;30,"!"," ")))))</f>
        <v>!!</v>
      </c>
      <c r="F52" s="951" t="s">
        <v>1019</v>
      </c>
      <c r="G52" s="946">
        <v>30</v>
      </c>
      <c r="H52" s="937"/>
      <c r="I52" s="937"/>
    </row>
    <row r="53" spans="1:11" ht="18.75" customHeight="1">
      <c r="A53" s="793" t="s">
        <v>729</v>
      </c>
      <c r="B53" s="97" t="s">
        <v>66</v>
      </c>
      <c r="C53" s="221">
        <f>C18-C47-C49</f>
        <v>26.114000000000019</v>
      </c>
      <c r="D53" s="238"/>
      <c r="F53" s="951" t="s">
        <v>187</v>
      </c>
      <c r="G53" s="946">
        <v>30</v>
      </c>
      <c r="H53" s="937"/>
      <c r="I53" s="937"/>
    </row>
    <row r="54" spans="1:11" ht="18.75" customHeight="1" thickBot="1">
      <c r="A54" s="988"/>
      <c r="B54" s="48"/>
      <c r="C54" s="49"/>
      <c r="D54" s="114"/>
      <c r="F54" s="951" t="s">
        <v>813</v>
      </c>
      <c r="G54" s="946">
        <v>30</v>
      </c>
      <c r="H54" s="937"/>
      <c r="I54" s="937"/>
    </row>
    <row r="55" spans="1:11" ht="18.75" customHeight="1">
      <c r="A55" s="3049" t="s">
        <v>578</v>
      </c>
      <c r="B55" s="3053"/>
      <c r="C55" s="1777" t="s">
        <v>587</v>
      </c>
      <c r="D55" s="603" t="s">
        <v>587</v>
      </c>
      <c r="F55" s="951" t="s">
        <v>814</v>
      </c>
      <c r="G55" s="946">
        <v>30</v>
      </c>
      <c r="H55" s="937"/>
      <c r="I55" s="937"/>
    </row>
    <row r="56" spans="1:11" ht="18.75" customHeight="1">
      <c r="A56" s="3054" t="s">
        <v>590</v>
      </c>
      <c r="B56" s="624" t="s">
        <v>579</v>
      </c>
      <c r="C56" s="622" t="s">
        <v>580</v>
      </c>
      <c r="D56" s="625" t="s">
        <v>581</v>
      </c>
      <c r="E56" s="14"/>
      <c r="F56" s="951" t="s">
        <v>815</v>
      </c>
      <c r="G56" s="946">
        <v>30</v>
      </c>
      <c r="H56" s="937"/>
      <c r="I56" s="937"/>
    </row>
    <row r="57" spans="1:11" ht="18.75" customHeight="1">
      <c r="A57" s="3055"/>
      <c r="B57" s="601" t="s">
        <v>583</v>
      </c>
      <c r="C57" s="263">
        <f>C59*2</f>
        <v>112</v>
      </c>
      <c r="D57" s="602">
        <f>D59*2</f>
        <v>0</v>
      </c>
      <c r="F57" s="951" t="s">
        <v>180</v>
      </c>
      <c r="G57" s="946">
        <v>25</v>
      </c>
      <c r="H57" s="937"/>
      <c r="I57" s="937"/>
    </row>
    <row r="58" spans="1:11" ht="18.75" customHeight="1">
      <c r="A58" s="3055"/>
      <c r="B58" s="601" t="s">
        <v>584</v>
      </c>
      <c r="C58" s="263">
        <f>C59*1.5</f>
        <v>84</v>
      </c>
      <c r="D58" s="602">
        <f>D59*1.5</f>
        <v>0</v>
      </c>
      <c r="F58" s="951" t="s">
        <v>807</v>
      </c>
      <c r="G58" s="946">
        <v>25</v>
      </c>
      <c r="H58" s="937"/>
      <c r="I58" s="937"/>
      <c r="J58" s="934"/>
      <c r="K58" s="934"/>
    </row>
    <row r="59" spans="1:11" ht="18.75" customHeight="1">
      <c r="A59" s="3055"/>
      <c r="B59" s="601" t="s">
        <v>585</v>
      </c>
      <c r="C59" s="605">
        <f>C7*0.8</f>
        <v>56</v>
      </c>
      <c r="D59" s="606">
        <f>C42*1.01</f>
        <v>0</v>
      </c>
      <c r="F59" s="782" t="s">
        <v>808</v>
      </c>
      <c r="G59" s="946">
        <v>25</v>
      </c>
    </row>
    <row r="60" spans="1:11" ht="18.75" customHeight="1">
      <c r="A60" s="3055"/>
      <c r="B60" s="601" t="s">
        <v>586</v>
      </c>
      <c r="C60" s="263">
        <f>C59*0.5</f>
        <v>28</v>
      </c>
      <c r="D60" s="602">
        <f>D59*0.5</f>
        <v>0</v>
      </c>
      <c r="F60" s="782" t="s">
        <v>816</v>
      </c>
      <c r="G60" s="946">
        <v>10</v>
      </c>
    </row>
    <row r="61" spans="1:11" ht="30" customHeight="1">
      <c r="A61" s="3065"/>
      <c r="B61" s="3067" t="s">
        <v>588</v>
      </c>
      <c r="C61" s="3060" t="s">
        <v>591</v>
      </c>
      <c r="D61" s="3061"/>
      <c r="F61" s="782" t="s">
        <v>181</v>
      </c>
      <c r="G61" s="946">
        <v>10</v>
      </c>
    </row>
    <row r="62" spans="1:11" ht="24" customHeight="1" thickBot="1">
      <c r="A62" s="3066"/>
      <c r="B62" s="3068"/>
      <c r="C62" s="3062"/>
      <c r="D62" s="3063"/>
      <c r="F62" s="782" t="s">
        <v>188</v>
      </c>
      <c r="G62" s="946">
        <v>5</v>
      </c>
    </row>
    <row r="63" spans="1:11" ht="18.75" customHeight="1">
      <c r="A63" s="988"/>
      <c r="B63" s="48"/>
      <c r="C63" s="49"/>
      <c r="D63" s="114"/>
      <c r="F63" s="782" t="s">
        <v>182</v>
      </c>
      <c r="G63" s="946">
        <v>3</v>
      </c>
    </row>
    <row r="64" spans="1:11" s="1770" customFormat="1" ht="18.75" customHeight="1">
      <c r="A64" s="173"/>
      <c r="B64" s="122"/>
      <c r="C64" s="969"/>
      <c r="D64"/>
      <c r="F64" s="1774"/>
      <c r="G64" s="1775"/>
      <c r="H64" s="1421"/>
    </row>
    <row r="65" spans="1:8" s="1770" customFormat="1" ht="18.75" customHeight="1">
      <c r="A65" s="103" t="s">
        <v>167</v>
      </c>
      <c r="B65" s="101"/>
      <c r="C65" s="774"/>
      <c r="D65" s="930"/>
      <c r="F65" s="1774"/>
      <c r="G65" s="1775"/>
      <c r="H65" s="1421"/>
    </row>
    <row r="66" spans="1:8" s="1770" customFormat="1" ht="74.25" customHeight="1">
      <c r="A66" s="254" t="s">
        <v>393</v>
      </c>
      <c r="B66" s="3051" t="s">
        <v>471</v>
      </c>
      <c r="C66" s="2413"/>
      <c r="D66" s="2413"/>
      <c r="F66" s="1774"/>
      <c r="G66" s="1775"/>
      <c r="H66" s="1421"/>
    </row>
    <row r="67" spans="1:8" s="1770" customFormat="1" ht="74.25" customHeight="1">
      <c r="A67" s="254" t="s">
        <v>398</v>
      </c>
      <c r="B67" s="3051" t="s">
        <v>399</v>
      </c>
      <c r="C67" s="2413"/>
      <c r="D67" s="2413"/>
      <c r="F67" s="1774"/>
      <c r="G67" s="1775"/>
      <c r="H67" s="1421"/>
    </row>
    <row r="68" spans="1:8" s="1770" customFormat="1" ht="74.25" customHeight="1">
      <c r="A68" s="3071" t="s">
        <v>396</v>
      </c>
      <c r="B68" s="962" t="s">
        <v>490</v>
      </c>
      <c r="C68" s="311" t="s">
        <v>489</v>
      </c>
      <c r="D68" s="310"/>
      <c r="F68" s="1774"/>
      <c r="G68" s="1775"/>
      <c r="H68" s="1421"/>
    </row>
    <row r="69" spans="1:8" s="1770" customFormat="1" ht="74.25" customHeight="1">
      <c r="A69" s="3072"/>
      <c r="B69" s="3073" t="s">
        <v>397</v>
      </c>
      <c r="C69" s="3074"/>
      <c r="D69" s="3074"/>
      <c r="F69" s="1774"/>
      <c r="G69" s="1775"/>
      <c r="H69" s="1421"/>
    </row>
    <row r="70" spans="1:8" s="1770" customFormat="1" ht="18.75" customHeight="1">
      <c r="A70" s="173"/>
      <c r="B70" s="122"/>
      <c r="C70" s="969"/>
      <c r="D70" s="122"/>
      <c r="F70" s="1774"/>
      <c r="G70" s="1775"/>
      <c r="H70" s="1421"/>
    </row>
    <row r="71" spans="1:8" s="1770" customFormat="1" ht="18.75" customHeight="1">
      <c r="A71" s="173"/>
      <c r="B71" s="33" t="s">
        <v>33</v>
      </c>
      <c r="C71" s="33" t="s">
        <v>4</v>
      </c>
      <c r="D71" s="969"/>
      <c r="F71" s="1774"/>
      <c r="G71" s="1775"/>
      <c r="H71" s="1421"/>
    </row>
    <row r="72" spans="1:8" s="1770" customFormat="1" ht="18.75" customHeight="1">
      <c r="A72" s="173"/>
      <c r="B72" s="33">
        <v>50</v>
      </c>
      <c r="C72" s="33">
        <v>110</v>
      </c>
      <c r="D72" s="969"/>
      <c r="F72" s="1774"/>
      <c r="G72" s="1775"/>
      <c r="H72" s="1421"/>
    </row>
    <row r="73" spans="1:8" ht="25.5" customHeight="1">
      <c r="A73" s="173"/>
      <c r="B73" s="33">
        <v>60</v>
      </c>
      <c r="C73" s="33">
        <v>124.5</v>
      </c>
      <c r="D73" s="969"/>
    </row>
    <row r="74" spans="1:8" ht="71.25" customHeight="1">
      <c r="A74" s="173"/>
      <c r="B74" s="33">
        <v>70</v>
      </c>
      <c r="C74" s="33">
        <v>138</v>
      </c>
      <c r="D74" s="969"/>
    </row>
    <row r="75" spans="1:8" ht="70.5" customHeight="1">
      <c r="A75" s="173"/>
      <c r="B75" s="33">
        <v>80</v>
      </c>
      <c r="C75" s="33">
        <v>149.5</v>
      </c>
      <c r="D75" s="969"/>
    </row>
    <row r="76" spans="1:8" ht="40.5" customHeight="1">
      <c r="A76" s="173"/>
      <c r="B76" s="33">
        <v>90</v>
      </c>
      <c r="C76" s="33">
        <v>160</v>
      </c>
      <c r="D76" s="969"/>
    </row>
    <row r="77" spans="1:8" ht="54" customHeight="1">
      <c r="A77" s="173"/>
      <c r="B77" s="33">
        <v>100</v>
      </c>
      <c r="C77" s="33">
        <v>169.5</v>
      </c>
      <c r="D77" s="969"/>
    </row>
    <row r="78" spans="1:8" ht="19.5" customHeight="1">
      <c r="A78" s="173"/>
      <c r="B78" s="33">
        <v>110</v>
      </c>
      <c r="C78" s="33">
        <v>178</v>
      </c>
      <c r="D78" s="969"/>
    </row>
    <row r="79" spans="1:8" ht="19.5" customHeight="1">
      <c r="A79" s="173"/>
      <c r="B79" s="969"/>
      <c r="C79" s="969"/>
      <c r="D79" s="969"/>
      <c r="E79" s="934"/>
    </row>
    <row r="80" spans="1:8" ht="19.5" customHeight="1">
      <c r="A80" s="173"/>
      <c r="B80" s="969"/>
      <c r="C80" s="969"/>
      <c r="D80" s="969"/>
    </row>
    <row r="81" spans="1:4" ht="19.5" customHeight="1">
      <c r="A81" s="173"/>
      <c r="B81" s="969"/>
      <c r="C81" s="969"/>
      <c r="D81" s="969"/>
    </row>
    <row r="82" spans="1:4" ht="19.5" customHeight="1">
      <c r="A82" s="173"/>
      <c r="B82" s="969"/>
      <c r="C82" s="969"/>
      <c r="D82" s="969"/>
    </row>
    <row r="83" spans="1:4" ht="19.5" customHeight="1">
      <c r="A83" s="173"/>
      <c r="B83"/>
      <c r="C83"/>
      <c r="D83" s="969"/>
    </row>
    <row r="84" spans="1:4" ht="19.5" customHeight="1">
      <c r="A84" s="173"/>
      <c r="B84"/>
      <c r="C84"/>
      <c r="D84" s="969"/>
    </row>
    <row r="85" spans="1:4" ht="19.5" customHeight="1">
      <c r="A85" s="173"/>
      <c r="B85"/>
      <c r="C85"/>
      <c r="D85" s="969"/>
    </row>
    <row r="86" spans="1:4" ht="19.5" customHeight="1">
      <c r="A86" s="173"/>
      <c r="B86"/>
      <c r="C86"/>
      <c r="D86" s="969"/>
    </row>
    <row r="87" spans="1:4">
      <c r="A87" s="173"/>
      <c r="B87"/>
      <c r="C87"/>
      <c r="D87" s="969"/>
    </row>
    <row r="88" spans="1:4">
      <c r="A88" s="173"/>
      <c r="B88"/>
      <c r="C88"/>
      <c r="D88" s="969"/>
    </row>
    <row r="89" spans="1:4">
      <c r="A89" s="173"/>
      <c r="B89"/>
      <c r="C89"/>
      <c r="D89" s="969"/>
    </row>
    <row r="90" spans="1:4">
      <c r="A90" s="173"/>
      <c r="B90"/>
      <c r="C90"/>
      <c r="D90" s="969"/>
    </row>
    <row r="91" spans="1:4">
      <c r="A91" s="173"/>
      <c r="B91"/>
      <c r="C91"/>
      <c r="D91" s="969"/>
    </row>
    <row r="92" spans="1:4">
      <c r="A92" s="173"/>
      <c r="B92"/>
      <c r="C92"/>
      <c r="D92" s="969"/>
    </row>
    <row r="93" spans="1:4">
      <c r="A93" s="173"/>
      <c r="B93"/>
      <c r="C93"/>
      <c r="D93" s="969"/>
    </row>
    <row r="94" spans="1:4">
      <c r="A94" s="173"/>
      <c r="B94"/>
      <c r="C94"/>
      <c r="D94" s="969"/>
    </row>
    <row r="95" spans="1:4">
      <c r="A95" s="173"/>
      <c r="B95"/>
      <c r="C95"/>
      <c r="D95" s="969"/>
    </row>
  </sheetData>
  <sheetProtection formatCells="0" formatColumns="0" formatRows="0" selectLockedCells="1"/>
  <mergeCells count="16">
    <mergeCell ref="A5:D5"/>
    <mergeCell ref="A6:B6"/>
    <mergeCell ref="B66:D66"/>
    <mergeCell ref="B67:D67"/>
    <mergeCell ref="A68:A69"/>
    <mergeCell ref="B69:D69"/>
    <mergeCell ref="A20:D20"/>
    <mergeCell ref="A21:B21"/>
    <mergeCell ref="D30:D31"/>
    <mergeCell ref="A36:A37"/>
    <mergeCell ref="A39:A40"/>
    <mergeCell ref="A55:B55"/>
    <mergeCell ref="A56:A60"/>
    <mergeCell ref="A61:A62"/>
    <mergeCell ref="B61:B62"/>
    <mergeCell ref="C61:D62"/>
  </mergeCells>
  <dataValidations count="6">
    <dataValidation type="list" allowBlank="1" sqref="B14">
      <formula1>$G$22:$G$32</formula1>
    </dataValidation>
    <dataValidation type="list" allowBlank="1" sqref="B28">
      <formula1>J23:J25</formula1>
    </dataValidation>
    <dataValidation type="list" allowBlank="1" showInputMessage="1" showErrorMessage="1" sqref="B25">
      <formula1>J12:J18</formula1>
    </dataValidation>
    <dataValidation type="list" allowBlank="1" sqref="B15">
      <formula1>Vorfrucht</formula1>
    </dataValidation>
    <dataValidation type="list" allowBlank="1" sqref="J8:J9">
      <formula1>"Humusgehalt"</formula1>
    </dataValidation>
    <dataValidation type="list" allowBlank="1" sqref="B17">
      <formula1>"bis 4 %, größer 4 %"</formula1>
    </dataValidation>
  </dataValidations>
  <pageMargins left="0.7" right="0.7" top="0.78740157499999996" bottom="0.78740157499999996" header="0.3" footer="0.3"/>
  <pageSetup paperSize="9" scale="62" orientation="portrait" horizontalDpi="4294967293" vertic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0"/>
    <pageSetUpPr fitToPage="1"/>
  </sheetPr>
  <dimension ref="A1:M105"/>
  <sheetViews>
    <sheetView topLeftCell="A42" zoomScaleNormal="100" zoomScaleSheetLayoutView="90" workbookViewId="0">
      <selection activeCell="C57" sqref="C57"/>
    </sheetView>
  </sheetViews>
  <sheetFormatPr baseColWidth="10" defaultRowHeight="15"/>
  <cols>
    <col min="1" max="1" width="39.7109375" style="348" customWidth="1"/>
    <col min="2" max="2" width="39.28515625" style="349" customWidth="1"/>
    <col min="3" max="3" width="30.85546875" style="350" customWidth="1"/>
    <col min="4" max="4" width="29.28515625" style="347" customWidth="1"/>
    <col min="5" max="5" width="23.140625" style="347" customWidth="1"/>
    <col min="6" max="6" width="31.85546875" style="347" customWidth="1"/>
    <col min="7" max="7" width="37.7109375" style="347" customWidth="1"/>
    <col min="8" max="8" width="20.140625" style="350" customWidth="1"/>
    <col min="9" max="9" width="23.28515625" style="347" customWidth="1"/>
    <col min="10" max="10" width="31" style="347" customWidth="1"/>
    <col min="11" max="16384" width="11.42578125" style="347"/>
  </cols>
  <sheetData>
    <row r="1" spans="1:12">
      <c r="B1" s="412" t="str">
        <f>'DüV-N-Ackerbau'!C1</f>
        <v>Karl vom Land</v>
      </c>
      <c r="C1" s="412" t="str">
        <f>'DüV-N-Ackerbau'!F1</f>
        <v>Erntejahr</v>
      </c>
      <c r="E1" s="351" t="s">
        <v>36</v>
      </c>
    </row>
    <row r="2" spans="1:12">
      <c r="B2" s="412" t="str">
        <f>'DüV-N-Ackerbau'!C2</f>
        <v>Höfen 1</v>
      </c>
      <c r="C2" s="412">
        <f>'DüV-N-Ackerbau'!G1</f>
        <v>2022</v>
      </c>
      <c r="E2" s="352" t="s">
        <v>34</v>
      </c>
    </row>
    <row r="3" spans="1:12">
      <c r="B3" s="412" t="str">
        <f>'DüV-N-Ackerbau'!C3</f>
        <v>12345 Auf dem Feld</v>
      </c>
      <c r="C3" s="174"/>
    </row>
    <row r="4" spans="1:12" ht="7.5" customHeight="1" thickBot="1"/>
    <row r="5" spans="1:12" ht="21.75" thickBot="1">
      <c r="A5" s="3089" t="s">
        <v>507</v>
      </c>
      <c r="B5" s="3090"/>
      <c r="C5" s="3085"/>
      <c r="D5" s="3086"/>
    </row>
    <row r="6" spans="1:12" ht="54.75" customHeight="1" thickBot="1">
      <c r="A6" s="3049" t="s">
        <v>576</v>
      </c>
      <c r="B6" s="3050"/>
      <c r="C6" s="353" t="s">
        <v>573</v>
      </c>
      <c r="D6" s="473" t="s">
        <v>526</v>
      </c>
      <c r="G6" s="484"/>
      <c r="H6" s="615" t="s">
        <v>5</v>
      </c>
      <c r="I6" s="484"/>
      <c r="J6" s="484"/>
      <c r="K6" s="484"/>
      <c r="L6" s="484"/>
    </row>
    <row r="7" spans="1:12" ht="15.75">
      <c r="A7" s="354"/>
      <c r="B7" s="48" t="s">
        <v>669</v>
      </c>
      <c r="C7" s="337">
        <v>60</v>
      </c>
      <c r="D7" s="338"/>
      <c r="G7" s="615" t="s">
        <v>6</v>
      </c>
      <c r="H7" s="484"/>
      <c r="I7" s="484"/>
      <c r="J7" s="485" t="s">
        <v>159</v>
      </c>
      <c r="K7" s="485"/>
      <c r="L7" s="484"/>
    </row>
    <row r="8" spans="1:12" ht="15.75">
      <c r="A8" s="354"/>
      <c r="B8" s="358"/>
      <c r="C8" s="474" t="str">
        <f>IF(OR(C7&lt;25,C7&gt;125),"Sind Sie sicher?"," ")</f>
        <v xml:space="preserve"> </v>
      </c>
      <c r="D8" s="338"/>
      <c r="G8" s="480" t="s">
        <v>503</v>
      </c>
      <c r="H8" s="480">
        <v>0</v>
      </c>
      <c r="I8" s="484"/>
      <c r="J8" s="485" t="s">
        <v>160</v>
      </c>
      <c r="K8" s="485">
        <v>0</v>
      </c>
      <c r="L8" s="484"/>
    </row>
    <row r="9" spans="1:12" ht="15.75">
      <c r="A9" s="354"/>
      <c r="B9" s="358"/>
      <c r="C9" s="361" t="s">
        <v>4</v>
      </c>
      <c r="D9" s="338"/>
      <c r="G9" s="480" t="s">
        <v>22</v>
      </c>
      <c r="H9" s="480">
        <v>10</v>
      </c>
      <c r="I9" s="484"/>
      <c r="J9" s="485" t="s">
        <v>161</v>
      </c>
      <c r="K9" s="485">
        <v>20</v>
      </c>
      <c r="L9" s="484"/>
    </row>
    <row r="10" spans="1:12" ht="15.75">
      <c r="A10" s="354"/>
      <c r="B10" s="358" t="s">
        <v>37</v>
      </c>
      <c r="C10" s="361">
        <f>IF(C7&lt;=49,65+C7*1.5,(IF(C7&gt;=50,90+C7)))</f>
        <v>150</v>
      </c>
      <c r="D10" s="339"/>
      <c r="G10" s="480" t="s">
        <v>528</v>
      </c>
      <c r="H10" s="480">
        <v>10</v>
      </c>
      <c r="I10" s="484"/>
      <c r="J10" s="484"/>
      <c r="K10" s="484"/>
      <c r="L10" s="484"/>
    </row>
    <row r="11" spans="1:12" ht="18">
      <c r="A11" s="354"/>
      <c r="B11" s="358" t="s">
        <v>38</v>
      </c>
      <c r="C11" s="490">
        <v>20</v>
      </c>
      <c r="D11" s="339"/>
      <c r="G11" s="480" t="s">
        <v>7</v>
      </c>
      <c r="H11" s="480">
        <v>10</v>
      </c>
      <c r="I11" s="484"/>
      <c r="J11" s="484"/>
      <c r="K11" s="484"/>
      <c r="L11" s="484"/>
    </row>
    <row r="12" spans="1:12" ht="18">
      <c r="A12" s="354"/>
      <c r="B12" s="358" t="s">
        <v>39</v>
      </c>
      <c r="C12" s="490">
        <v>15</v>
      </c>
      <c r="D12" s="339"/>
      <c r="G12" s="480" t="s">
        <v>17</v>
      </c>
      <c r="H12" s="480">
        <v>20</v>
      </c>
      <c r="I12" s="484"/>
      <c r="J12" s="484" t="s">
        <v>53</v>
      </c>
      <c r="K12" s="484">
        <v>-10</v>
      </c>
      <c r="L12" s="484"/>
    </row>
    <row r="13" spans="1:12">
      <c r="A13" s="354" t="s">
        <v>8</v>
      </c>
      <c r="B13" s="340" t="s">
        <v>26</v>
      </c>
      <c r="C13" s="362">
        <f>VLOOKUP(B13,G21:H31,2,FALSE)</f>
        <v>0</v>
      </c>
      <c r="D13" s="339"/>
      <c r="G13" s="480" t="s">
        <v>23</v>
      </c>
      <c r="H13" s="480">
        <v>0</v>
      </c>
      <c r="I13" s="484"/>
      <c r="J13" s="484" t="s">
        <v>54</v>
      </c>
      <c r="K13" s="484">
        <v>0</v>
      </c>
      <c r="L13" s="484"/>
    </row>
    <row r="14" spans="1:12">
      <c r="A14" s="354" t="s">
        <v>6</v>
      </c>
      <c r="B14" s="340" t="s">
        <v>503</v>
      </c>
      <c r="C14" s="362">
        <f>VLOOKUP(B14,G8:H19,2,FALSE)</f>
        <v>0</v>
      </c>
      <c r="D14" s="339"/>
      <c r="G14" s="480" t="s">
        <v>20</v>
      </c>
      <c r="H14" s="480">
        <v>20</v>
      </c>
      <c r="I14" s="484"/>
      <c r="J14" s="484" t="s">
        <v>55</v>
      </c>
      <c r="K14" s="484">
        <v>10</v>
      </c>
      <c r="L14" s="484"/>
    </row>
    <row r="15" spans="1:12" ht="15.75">
      <c r="A15" s="69" t="s">
        <v>1057</v>
      </c>
      <c r="B15" s="360" t="s">
        <v>24</v>
      </c>
      <c r="C15" s="341"/>
      <c r="D15" s="339"/>
      <c r="E15" s="489" t="str">
        <f>IF(C15&gt;20,"Sind Sie sicher?"," ")</f>
        <v xml:space="preserve"> </v>
      </c>
      <c r="G15" s="480" t="s">
        <v>19</v>
      </c>
      <c r="H15" s="480">
        <v>10</v>
      </c>
      <c r="I15" s="484"/>
      <c r="J15" s="484"/>
      <c r="K15" s="484"/>
      <c r="L15" s="484"/>
    </row>
    <row r="16" spans="1:12" ht="15.75" thickBot="1">
      <c r="A16" s="359" t="s">
        <v>159</v>
      </c>
      <c r="B16" s="342" t="s">
        <v>160</v>
      </c>
      <c r="C16" s="363">
        <f>VLOOKUP(B16,J8:K9,2,FALSE)</f>
        <v>0</v>
      </c>
      <c r="D16" s="343"/>
      <c r="G16" s="480" t="s">
        <v>529</v>
      </c>
      <c r="H16" s="480">
        <v>0</v>
      </c>
      <c r="I16" s="484"/>
      <c r="J16" s="484"/>
      <c r="K16" s="484"/>
      <c r="L16" s="484"/>
    </row>
    <row r="17" spans="1:13" ht="16.5" thickBot="1">
      <c r="A17" s="364"/>
      <c r="B17" s="365" t="s">
        <v>468</v>
      </c>
      <c r="C17" s="366">
        <f>C10-SUM(C11:C16)</f>
        <v>115</v>
      </c>
      <c r="D17" s="367" t="s">
        <v>470</v>
      </c>
      <c r="E17" s="368"/>
      <c r="G17" s="480" t="s">
        <v>21</v>
      </c>
      <c r="H17" s="480">
        <v>10</v>
      </c>
      <c r="I17" s="484"/>
      <c r="J17" s="484"/>
      <c r="K17" s="484"/>
      <c r="L17" s="484"/>
    </row>
    <row r="18" spans="1:13" ht="23.25" customHeight="1" thickBot="1">
      <c r="A18" s="355"/>
      <c r="B18" s="371"/>
      <c r="C18" s="372"/>
      <c r="D18" s="373"/>
      <c r="E18" s="368"/>
      <c r="G18" s="480" t="s">
        <v>18</v>
      </c>
      <c r="H18" s="480">
        <v>20</v>
      </c>
      <c r="I18" s="484"/>
      <c r="J18" s="484"/>
      <c r="K18" s="484"/>
      <c r="L18" s="484"/>
    </row>
    <row r="19" spans="1:13" ht="18" customHeight="1" thickBot="1">
      <c r="A19" s="3084" t="s">
        <v>535</v>
      </c>
      <c r="B19" s="3085"/>
      <c r="C19" s="3085"/>
      <c r="D19" s="3086"/>
      <c r="E19" s="368"/>
      <c r="G19" s="480"/>
      <c r="H19" s="480"/>
      <c r="I19" s="484"/>
      <c r="J19" s="484"/>
      <c r="K19" s="484"/>
      <c r="L19" s="484"/>
    </row>
    <row r="20" spans="1:13" ht="33.75" customHeight="1" thickBot="1">
      <c r="A20" s="3087" t="s">
        <v>491</v>
      </c>
      <c r="B20" s="3088"/>
      <c r="C20" s="374" t="s">
        <v>487</v>
      </c>
      <c r="D20" s="375" t="s">
        <v>336</v>
      </c>
      <c r="E20" s="368"/>
      <c r="G20" s="615" t="s">
        <v>8</v>
      </c>
      <c r="H20" s="484"/>
      <c r="I20" s="484"/>
      <c r="J20" s="615" t="s">
        <v>49</v>
      </c>
      <c r="K20" s="484"/>
      <c r="L20" s="484"/>
    </row>
    <row r="21" spans="1:13" ht="19.5" customHeight="1">
      <c r="A21" s="376"/>
      <c r="B21" s="360"/>
      <c r="C21" s="377" t="s">
        <v>488</v>
      </c>
      <c r="D21" s="378"/>
      <c r="E21" s="368"/>
      <c r="G21" s="480" t="s">
        <v>31</v>
      </c>
      <c r="H21" s="480">
        <v>0</v>
      </c>
      <c r="I21" s="484"/>
      <c r="J21" s="1488" t="s">
        <v>1198</v>
      </c>
      <c r="K21" s="1488">
        <v>1</v>
      </c>
      <c r="L21" s="484"/>
    </row>
    <row r="22" spans="1:13" ht="19.5" customHeight="1">
      <c r="A22" s="376" t="s">
        <v>35</v>
      </c>
      <c r="B22" s="344">
        <v>60</v>
      </c>
      <c r="C22" s="387">
        <f>IF(OR(B22&lt;1,B22&gt;100),"Zahl 0 bis 100 eingeben",(-0.0025*B22*B22+0.75*B22-26)*0.6)</f>
        <v>6</v>
      </c>
      <c r="D22" s="395" t="s">
        <v>163</v>
      </c>
      <c r="E22" s="368"/>
      <c r="G22" s="484" t="s">
        <v>25</v>
      </c>
      <c r="H22" s="484">
        <v>0</v>
      </c>
      <c r="I22" s="484"/>
      <c r="J22" s="1488" t="s">
        <v>184</v>
      </c>
      <c r="K22" s="1488">
        <v>0.5</v>
      </c>
      <c r="L22" s="484"/>
    </row>
    <row r="23" spans="1:13" ht="19.5" customHeight="1">
      <c r="A23" s="379" t="s">
        <v>162</v>
      </c>
      <c r="B23" s="345">
        <v>200</v>
      </c>
      <c r="C23" s="388">
        <f>IF(OR(B23&lt;40,B23&gt;800),"gibt es nicht",(B23*0.025-1))</f>
        <v>4</v>
      </c>
      <c r="D23" s="395" t="s">
        <v>164</v>
      </c>
      <c r="E23" s="368"/>
      <c r="G23" s="484" t="s">
        <v>26</v>
      </c>
      <c r="H23" s="484">
        <v>0</v>
      </c>
      <c r="I23" s="484"/>
      <c r="J23" s="1488" t="s">
        <v>1200</v>
      </c>
      <c r="K23" s="1488">
        <v>0.6</v>
      </c>
      <c r="L23" s="484"/>
    </row>
    <row r="24" spans="1:13" ht="19.5" customHeight="1">
      <c r="A24" s="376" t="s">
        <v>51</v>
      </c>
      <c r="B24" s="340" t="s">
        <v>31</v>
      </c>
      <c r="C24" s="389">
        <f>VLOOKUP(B24,J21:K27,2,FALSE)</f>
        <v>0</v>
      </c>
      <c r="D24" s="396" t="s">
        <v>50</v>
      </c>
      <c r="E24" s="368"/>
      <c r="G24" s="484" t="s">
        <v>27</v>
      </c>
      <c r="H24" s="484">
        <v>20</v>
      </c>
      <c r="I24" s="484"/>
      <c r="J24" s="1488" t="s">
        <v>1201</v>
      </c>
      <c r="K24" s="1488">
        <v>0.4</v>
      </c>
      <c r="L24" s="484"/>
    </row>
    <row r="25" spans="1:13" ht="24.75" customHeight="1">
      <c r="A25" s="376" t="s">
        <v>46</v>
      </c>
      <c r="B25" s="493">
        <v>0</v>
      </c>
      <c r="C25" s="390">
        <f>B25*10*C24</f>
        <v>0</v>
      </c>
      <c r="D25" s="395" t="s">
        <v>163</v>
      </c>
      <c r="E25" s="368"/>
      <c r="G25" s="484" t="s">
        <v>28</v>
      </c>
      <c r="H25" s="484">
        <v>10</v>
      </c>
      <c r="I25" s="484"/>
      <c r="J25" s="1488" t="s">
        <v>1199</v>
      </c>
      <c r="K25" s="1488">
        <v>0.35</v>
      </c>
      <c r="L25" s="484"/>
    </row>
    <row r="26" spans="1:13" ht="24.75" customHeight="1">
      <c r="A26" s="380" t="s">
        <v>47</v>
      </c>
      <c r="B26" s="492" t="str">
        <f>IF(B25&gt;3,"Sind Sie sicher?"," ")</f>
        <v xml:space="preserve"> </v>
      </c>
      <c r="C26" s="390"/>
      <c r="D26" s="378"/>
      <c r="E26" s="368"/>
      <c r="G26" s="484" t="s">
        <v>29</v>
      </c>
      <c r="H26" s="484">
        <v>10</v>
      </c>
      <c r="I26" s="484"/>
      <c r="J26" s="1488" t="s">
        <v>48</v>
      </c>
      <c r="K26" s="1488">
        <v>0.3</v>
      </c>
      <c r="L26" s="484"/>
    </row>
    <row r="27" spans="1:13" s="369" customFormat="1" ht="18" customHeight="1">
      <c r="A27" s="381" t="s">
        <v>56</v>
      </c>
      <c r="B27" s="522" t="s">
        <v>54</v>
      </c>
      <c r="C27" s="391">
        <f>VLOOKUP(B27,J12:K14,2,FALSE)</f>
        <v>0</v>
      </c>
      <c r="D27" s="397" t="s">
        <v>389</v>
      </c>
      <c r="E27" s="368"/>
      <c r="G27" s="480" t="s">
        <v>673</v>
      </c>
      <c r="H27" s="480">
        <v>30</v>
      </c>
      <c r="I27" s="484"/>
      <c r="J27" s="1488" t="s">
        <v>31</v>
      </c>
      <c r="K27" s="1488">
        <v>0</v>
      </c>
      <c r="L27" s="484"/>
      <c r="M27" s="347"/>
    </row>
    <row r="28" spans="1:13" ht="24.75" customHeight="1" thickBot="1">
      <c r="A28" s="376"/>
      <c r="B28" s="384" t="s">
        <v>431</v>
      </c>
      <c r="C28" s="392">
        <f>-0.007202*C7*C7+2.177976*C7+34.3</f>
        <v>139.05135999999999</v>
      </c>
      <c r="D28" s="398"/>
      <c r="G28" s="484" t="s">
        <v>30</v>
      </c>
      <c r="H28" s="484">
        <v>40</v>
      </c>
      <c r="I28" s="484"/>
      <c r="J28" s="484"/>
      <c r="K28" s="484"/>
      <c r="L28" s="484"/>
    </row>
    <row r="29" spans="1:13" ht="30" customHeight="1" thickBot="1">
      <c r="A29" s="382"/>
      <c r="B29" s="385" t="s">
        <v>52</v>
      </c>
      <c r="C29" s="393">
        <f>IF((C28-SUM(C11:C15)-C22+C23-C25+C27)&lt;=(60-C11),60-C11,C28-SUM(C11:C15)-C22+C23-C25+C27)</f>
        <v>102.05135999999999</v>
      </c>
      <c r="D29" s="399" t="s">
        <v>4</v>
      </c>
      <c r="G29" s="484" t="s">
        <v>9</v>
      </c>
      <c r="H29" s="484">
        <v>0</v>
      </c>
      <c r="I29" s="484"/>
      <c r="J29" s="484"/>
      <c r="K29" s="484"/>
      <c r="L29" s="484"/>
    </row>
    <row r="30" spans="1:13" ht="24" customHeight="1">
      <c r="A30" s="383"/>
      <c r="B30" s="386"/>
      <c r="C30" s="394" t="s">
        <v>59</v>
      </c>
      <c r="D30" s="400" t="s">
        <v>58</v>
      </c>
      <c r="G30" s="485" t="s">
        <v>10</v>
      </c>
      <c r="H30" s="484">
        <v>10</v>
      </c>
    </row>
    <row r="31" spans="1:13">
      <c r="E31" s="401"/>
      <c r="F31" s="402"/>
      <c r="G31" s="484" t="s">
        <v>31</v>
      </c>
      <c r="H31" s="484">
        <v>0</v>
      </c>
    </row>
    <row r="32" spans="1:13" ht="31.5">
      <c r="A32" s="404"/>
      <c r="B32" s="405"/>
      <c r="C32" s="406" t="s">
        <v>719</v>
      </c>
      <c r="D32" s="407"/>
      <c r="E32" s="401"/>
      <c r="H32" s="347"/>
    </row>
    <row r="33" spans="1:12" ht="15.75">
      <c r="A33" s="408"/>
      <c r="B33" s="371" t="s">
        <v>42</v>
      </c>
      <c r="C33" s="409">
        <f>C17</f>
        <v>115</v>
      </c>
      <c r="D33" s="410" t="s">
        <v>4</v>
      </c>
      <c r="F33" s="403"/>
      <c r="H33" s="347"/>
    </row>
    <row r="34" spans="1:12" ht="15.75">
      <c r="A34" s="3044" t="s">
        <v>702</v>
      </c>
      <c r="B34" s="775" t="s">
        <v>701</v>
      </c>
      <c r="C34" s="781">
        <v>0</v>
      </c>
      <c r="D34" s="779" t="s">
        <v>484</v>
      </c>
      <c r="H34" s="347"/>
    </row>
    <row r="35" spans="1:12" ht="15.75">
      <c r="A35" s="3045"/>
      <c r="B35" s="776" t="s">
        <v>704</v>
      </c>
      <c r="C35" s="771">
        <v>0</v>
      </c>
      <c r="D35" s="415" t="s">
        <v>485</v>
      </c>
      <c r="H35" s="347"/>
    </row>
    <row r="36" spans="1:12" ht="15.75" customHeight="1">
      <c r="A36" s="859" t="s">
        <v>817</v>
      </c>
      <c r="B36" s="777" t="s">
        <v>705</v>
      </c>
      <c r="C36" s="780">
        <v>0</v>
      </c>
      <c r="D36" s="415" t="s">
        <v>254</v>
      </c>
      <c r="E36" s="369"/>
      <c r="F36" s="369"/>
      <c r="H36" s="347"/>
    </row>
    <row r="37" spans="1:12" ht="15.75">
      <c r="A37" s="3044" t="s">
        <v>703</v>
      </c>
      <c r="B37" s="775" t="s">
        <v>706</v>
      </c>
      <c r="C37" s="771">
        <v>0</v>
      </c>
      <c r="D37" s="779" t="s">
        <v>484</v>
      </c>
      <c r="H37" s="347"/>
    </row>
    <row r="38" spans="1:12" ht="15.75">
      <c r="A38" s="3045"/>
      <c r="B38" s="776" t="s">
        <v>707</v>
      </c>
      <c r="C38" s="771">
        <v>0</v>
      </c>
      <c r="D38" s="415" t="s">
        <v>485</v>
      </c>
      <c r="H38" s="347"/>
    </row>
    <row r="39" spans="1:12" ht="15.75">
      <c r="A39" s="859" t="s">
        <v>817</v>
      </c>
      <c r="B39" s="778" t="s">
        <v>708</v>
      </c>
      <c r="C39" s="771">
        <v>0</v>
      </c>
      <c r="D39" s="415" t="s">
        <v>254</v>
      </c>
      <c r="G39" s="483"/>
      <c r="H39" s="484"/>
      <c r="I39" s="483"/>
      <c r="J39" s="483"/>
      <c r="K39" s="483"/>
      <c r="L39" s="483"/>
    </row>
    <row r="40" spans="1:12" ht="18" customHeight="1">
      <c r="A40" s="379"/>
      <c r="B40" s="412" t="s">
        <v>255</v>
      </c>
      <c r="C40" s="414">
        <f>(C34*C35*C36/100)+(C37*C38*C39/100)</f>
        <v>0</v>
      </c>
      <c r="D40" s="416" t="s">
        <v>4</v>
      </c>
    </row>
    <row r="41" spans="1:12" ht="29.25" customHeight="1">
      <c r="A41" s="411"/>
      <c r="B41" s="413" t="s">
        <v>136</v>
      </c>
      <c r="C41" s="414">
        <f>C33-C40</f>
        <v>115</v>
      </c>
      <c r="D41" s="417" t="s">
        <v>4</v>
      </c>
      <c r="F41" s="946" t="s">
        <v>183</v>
      </c>
      <c r="G41" s="959" t="s">
        <v>186</v>
      </c>
      <c r="H41" s="370"/>
      <c r="I41" s="370"/>
    </row>
    <row r="42" spans="1:12" ht="19.5" customHeight="1">
      <c r="F42" s="951" t="s">
        <v>179</v>
      </c>
      <c r="G42" s="951">
        <v>90</v>
      </c>
      <c r="H42" s="937"/>
      <c r="I42" s="769"/>
    </row>
    <row r="43" spans="1:12" ht="19.5" customHeight="1">
      <c r="A43" s="419"/>
      <c r="B43" s="420"/>
      <c r="C43" s="427" t="s">
        <v>60</v>
      </c>
      <c r="D43" s="428"/>
      <c r="F43" s="951" t="s">
        <v>804</v>
      </c>
      <c r="G43" s="951">
        <v>70</v>
      </c>
      <c r="H43" s="937"/>
      <c r="I43" s="769"/>
    </row>
    <row r="44" spans="1:12" ht="19.5" customHeight="1">
      <c r="A44" s="376"/>
      <c r="B44" s="355" t="s">
        <v>73</v>
      </c>
      <c r="C44" s="346">
        <v>10.5</v>
      </c>
      <c r="D44" s="397" t="s">
        <v>508</v>
      </c>
      <c r="F44" s="951" t="s">
        <v>805</v>
      </c>
      <c r="G44" s="951">
        <v>70</v>
      </c>
      <c r="H44" s="937"/>
      <c r="I44" s="769"/>
    </row>
    <row r="45" spans="1:12" ht="19.5" customHeight="1">
      <c r="A45" s="379"/>
      <c r="B45" s="355" t="s">
        <v>12</v>
      </c>
      <c r="C45" s="424">
        <f>C7*0.86*C44/6.25</f>
        <v>86.688000000000017</v>
      </c>
      <c r="D45" s="429" t="str">
        <f>IF(C45&gt;200,"mehr als 200 kg Korn-N/ha ist unrealistisch!","Korn-N-Abfuhr")</f>
        <v>Korn-N-Abfuhr</v>
      </c>
      <c r="F45" s="951" t="s">
        <v>809</v>
      </c>
      <c r="G45" s="946">
        <v>70</v>
      </c>
      <c r="H45" s="769"/>
      <c r="I45" s="769"/>
    </row>
    <row r="46" spans="1:12" ht="19.5" customHeight="1">
      <c r="A46" s="376"/>
      <c r="B46" s="421" t="s">
        <v>14</v>
      </c>
      <c r="C46" s="423">
        <f>(95-0.5*C7)/100</f>
        <v>0.65</v>
      </c>
      <c r="D46" s="430" t="s">
        <v>338</v>
      </c>
      <c r="F46" s="782" t="s">
        <v>810</v>
      </c>
      <c r="G46" s="946">
        <v>60</v>
      </c>
      <c r="H46" s="769"/>
      <c r="I46" s="769"/>
    </row>
    <row r="47" spans="1:12" ht="19.5" customHeight="1">
      <c r="A47" s="376"/>
      <c r="B47" s="358" t="s">
        <v>13</v>
      </c>
      <c r="C47" s="390">
        <f>C7*C46*0.5</f>
        <v>19.5</v>
      </c>
      <c r="D47" s="378"/>
      <c r="F47" s="951" t="s">
        <v>48</v>
      </c>
      <c r="G47" s="946">
        <v>60</v>
      </c>
      <c r="H47" s="769"/>
      <c r="I47" s="769"/>
    </row>
    <row r="48" spans="1:12" ht="19.5" customHeight="1">
      <c r="A48" s="376" t="s">
        <v>68</v>
      </c>
      <c r="B48" s="355" t="s">
        <v>65</v>
      </c>
      <c r="C48" s="424">
        <f>C29-C45</f>
        <v>15.363359999999972</v>
      </c>
      <c r="D48" s="431" t="str">
        <f>IF(C48&gt;50,"!!!",(IF(C48&gt;40,"!!",(IF(C48&gt;30,"!"," ")))))</f>
        <v xml:space="preserve"> </v>
      </c>
      <c r="F48" s="951" t="s">
        <v>811</v>
      </c>
      <c r="G48" s="951">
        <v>45</v>
      </c>
      <c r="H48" s="769"/>
      <c r="I48" s="769"/>
    </row>
    <row r="49" spans="1:9" ht="19.5" customHeight="1">
      <c r="A49" s="793" t="s">
        <v>729</v>
      </c>
      <c r="B49" s="355" t="s">
        <v>66</v>
      </c>
      <c r="C49" s="425">
        <f>C29-C45-C47</f>
        <v>-4.1366400000000283</v>
      </c>
      <c r="D49" s="432"/>
      <c r="F49" s="782" t="s">
        <v>806</v>
      </c>
      <c r="G49" s="946">
        <v>30</v>
      </c>
      <c r="H49" s="769"/>
      <c r="I49" s="769"/>
    </row>
    <row r="50" spans="1:9" ht="19.5" customHeight="1">
      <c r="A50" s="792" t="s">
        <v>67</v>
      </c>
      <c r="B50" s="355" t="s">
        <v>65</v>
      </c>
      <c r="C50" s="425">
        <f>C17-C45</f>
        <v>28.311999999999983</v>
      </c>
      <c r="D50" s="431" t="str">
        <f>IF(C50&gt;50,"!!!",(IF(C50&gt;40,"!!",(IF(C50&gt;30,"!"," ")))))</f>
        <v xml:space="preserve"> </v>
      </c>
      <c r="F50" s="951" t="s">
        <v>1019</v>
      </c>
      <c r="G50" s="946">
        <v>30</v>
      </c>
      <c r="H50" s="769"/>
      <c r="I50" s="769"/>
    </row>
    <row r="51" spans="1:9" ht="19.5" customHeight="1">
      <c r="A51" s="987" t="s">
        <v>729</v>
      </c>
      <c r="B51" s="422" t="s">
        <v>66</v>
      </c>
      <c r="C51" s="426">
        <f>C17-C45-C47</f>
        <v>8.8119999999999834</v>
      </c>
      <c r="D51" s="433"/>
      <c r="F51" s="951" t="s">
        <v>187</v>
      </c>
      <c r="G51" s="946">
        <v>30</v>
      </c>
      <c r="H51" s="769"/>
      <c r="I51" s="769"/>
    </row>
    <row r="52" spans="1:9" s="369" customFormat="1" ht="19.5" customHeight="1" thickBot="1">
      <c r="A52" s="988"/>
      <c r="B52" s="355"/>
      <c r="C52" s="1393"/>
      <c r="D52" s="1344"/>
      <c r="F52" s="951" t="s">
        <v>813</v>
      </c>
      <c r="G52" s="946">
        <v>30</v>
      </c>
      <c r="H52" s="769"/>
      <c r="I52" s="769"/>
    </row>
    <row r="53" spans="1:9" ht="19.5" customHeight="1">
      <c r="A53" s="3049" t="s">
        <v>578</v>
      </c>
      <c r="B53" s="3053"/>
      <c r="C53" s="1777" t="s">
        <v>587</v>
      </c>
      <c r="D53" s="603" t="s">
        <v>587</v>
      </c>
      <c r="F53" s="951" t="s">
        <v>814</v>
      </c>
      <c r="G53" s="946">
        <v>30</v>
      </c>
      <c r="H53" s="769"/>
      <c r="I53" s="769"/>
    </row>
    <row r="54" spans="1:9" ht="19.5" customHeight="1">
      <c r="A54" s="3054" t="s">
        <v>590</v>
      </c>
      <c r="B54" s="626" t="s">
        <v>579</v>
      </c>
      <c r="C54" s="622" t="s">
        <v>580</v>
      </c>
      <c r="D54" s="625" t="s">
        <v>581</v>
      </c>
      <c r="E54" s="418"/>
      <c r="F54" s="951" t="s">
        <v>815</v>
      </c>
      <c r="G54" s="946">
        <v>30</v>
      </c>
      <c r="H54" s="769"/>
      <c r="I54" s="769"/>
    </row>
    <row r="55" spans="1:9" ht="19.5" customHeight="1">
      <c r="A55" s="3055"/>
      <c r="B55" s="601" t="s">
        <v>583</v>
      </c>
      <c r="C55" s="263">
        <f>C57*2</f>
        <v>96</v>
      </c>
      <c r="D55" s="602">
        <f>D57*2</f>
        <v>239.20000000000002</v>
      </c>
      <c r="F55" s="951" t="s">
        <v>180</v>
      </c>
      <c r="G55" s="946">
        <v>25</v>
      </c>
      <c r="H55" s="769"/>
      <c r="I55" s="769"/>
    </row>
    <row r="56" spans="1:9" ht="19.5" customHeight="1">
      <c r="A56" s="3055"/>
      <c r="B56" s="601" t="s">
        <v>584</v>
      </c>
      <c r="C56" s="263">
        <f>C57*1.5</f>
        <v>72</v>
      </c>
      <c r="D56" s="602">
        <f>D57*1.5</f>
        <v>179.4</v>
      </c>
      <c r="F56" s="951" t="s">
        <v>807</v>
      </c>
      <c r="G56" s="946">
        <v>25</v>
      </c>
    </row>
    <row r="57" spans="1:9" ht="19.5" customHeight="1">
      <c r="A57" s="3055"/>
      <c r="B57" s="601" t="s">
        <v>585</v>
      </c>
      <c r="C57" s="605">
        <f>C7*0.8</f>
        <v>48</v>
      </c>
      <c r="D57" s="606">
        <f>C41*1.04</f>
        <v>119.60000000000001</v>
      </c>
      <c r="E57" s="356"/>
      <c r="F57" s="782" t="s">
        <v>808</v>
      </c>
      <c r="G57" s="946">
        <v>25</v>
      </c>
    </row>
    <row r="58" spans="1:9" ht="19.5" customHeight="1">
      <c r="A58" s="3055"/>
      <c r="B58" s="601" t="s">
        <v>586</v>
      </c>
      <c r="C58" s="263">
        <f>C57*0.5</f>
        <v>24</v>
      </c>
      <c r="D58" s="602">
        <f>D57*0.5</f>
        <v>59.800000000000004</v>
      </c>
      <c r="F58" s="782" t="s">
        <v>816</v>
      </c>
      <c r="G58" s="946">
        <v>10</v>
      </c>
    </row>
    <row r="59" spans="1:9" ht="30" customHeight="1">
      <c r="A59" s="3065"/>
      <c r="B59" s="3067" t="s">
        <v>588</v>
      </c>
      <c r="C59" s="3060" t="s">
        <v>591</v>
      </c>
      <c r="D59" s="3061"/>
      <c r="F59" s="782" t="s">
        <v>181</v>
      </c>
      <c r="G59" s="946">
        <v>10</v>
      </c>
    </row>
    <row r="60" spans="1:9" ht="19.5" customHeight="1" thickBot="1">
      <c r="A60" s="3066"/>
      <c r="B60" s="3068"/>
      <c r="C60" s="3062"/>
      <c r="D60" s="3063"/>
      <c r="F60" s="782" t="s">
        <v>188</v>
      </c>
      <c r="G60" s="946">
        <v>5</v>
      </c>
    </row>
    <row r="61" spans="1:9" ht="19.5" customHeight="1">
      <c r="E61" s="369"/>
      <c r="F61" s="782" t="s">
        <v>182</v>
      </c>
      <c r="G61" s="946">
        <v>3</v>
      </c>
    </row>
    <row r="62" spans="1:9" ht="19.5" customHeight="1">
      <c r="A62" s="434" t="s">
        <v>167</v>
      </c>
      <c r="B62" s="435"/>
      <c r="C62" s="436"/>
      <c r="D62" s="369"/>
      <c r="E62" s="369"/>
      <c r="F62" s="1774"/>
      <c r="G62" s="1775"/>
    </row>
    <row r="63" spans="1:9" ht="70.5" customHeight="1">
      <c r="A63" s="437" t="s">
        <v>393</v>
      </c>
      <c r="B63" s="3079" t="s">
        <v>471</v>
      </c>
      <c r="C63" s="3080"/>
      <c r="D63" s="3080"/>
      <c r="E63" s="369"/>
      <c r="F63" s="1774"/>
      <c r="G63" s="1775"/>
    </row>
    <row r="64" spans="1:9" ht="70.5" customHeight="1">
      <c r="A64" s="437" t="s">
        <v>398</v>
      </c>
      <c r="B64" s="3079" t="s">
        <v>511</v>
      </c>
      <c r="C64" s="3080"/>
      <c r="D64" s="3080"/>
      <c r="E64" s="369"/>
      <c r="F64" s="1774"/>
      <c r="G64" s="1775"/>
    </row>
    <row r="65" spans="1:9" ht="70.5" customHeight="1">
      <c r="A65" s="437" t="s">
        <v>512</v>
      </c>
      <c r="B65" s="3079" t="s">
        <v>513</v>
      </c>
      <c r="C65" s="3080"/>
      <c r="D65" s="3080"/>
      <c r="E65" s="369"/>
      <c r="F65" s="1774"/>
      <c r="G65" s="1775"/>
    </row>
    <row r="66" spans="1:9" ht="70.5" customHeight="1">
      <c r="A66" s="3081" t="s">
        <v>396</v>
      </c>
      <c r="B66" s="963" t="s">
        <v>395</v>
      </c>
      <c r="C66" s="438" t="s">
        <v>394</v>
      </c>
      <c r="D66" s="369"/>
      <c r="E66" s="369"/>
      <c r="F66" s="1774"/>
      <c r="G66" s="1775"/>
    </row>
    <row r="67" spans="1:9" ht="70.5" customHeight="1">
      <c r="A67" s="3082"/>
      <c r="B67" s="3079" t="s">
        <v>397</v>
      </c>
      <c r="C67" s="3083"/>
      <c r="D67" s="3083"/>
      <c r="E67" s="369"/>
      <c r="F67" s="1774"/>
      <c r="G67" s="1775"/>
    </row>
    <row r="68" spans="1:9" ht="19.5" customHeight="1">
      <c r="B68" s="350" t="s">
        <v>33</v>
      </c>
      <c r="C68" s="439" t="s">
        <v>426</v>
      </c>
      <c r="D68" s="350"/>
      <c r="E68" s="369"/>
      <c r="F68" s="1774"/>
      <c r="G68" s="1775"/>
    </row>
    <row r="69" spans="1:9" ht="19.5" customHeight="1">
      <c r="B69" s="350">
        <v>40</v>
      </c>
      <c r="C69" s="350">
        <v>110</v>
      </c>
      <c r="D69" s="350"/>
      <c r="E69" s="369"/>
      <c r="F69" s="1774"/>
      <c r="G69" s="1775"/>
    </row>
    <row r="70" spans="1:9" ht="17.25" customHeight="1">
      <c r="B70" s="350">
        <v>50</v>
      </c>
      <c r="C70" s="350">
        <v>125</v>
      </c>
      <c r="D70" s="350"/>
      <c r="E70" s="369"/>
      <c r="F70" s="350"/>
    </row>
    <row r="71" spans="1:9" ht="69" customHeight="1">
      <c r="B71" s="350">
        <v>60</v>
      </c>
      <c r="C71" s="350">
        <v>139</v>
      </c>
      <c r="D71" s="350"/>
      <c r="E71" s="369"/>
      <c r="G71" s="369"/>
    </row>
    <row r="72" spans="1:9" ht="73.5" customHeight="1">
      <c r="B72" s="350">
        <v>70</v>
      </c>
      <c r="C72" s="350">
        <v>151.5</v>
      </c>
      <c r="D72" s="350"/>
      <c r="E72" s="369"/>
      <c r="G72" s="350"/>
      <c r="H72" s="347"/>
    </row>
    <row r="73" spans="1:9" ht="47.25" customHeight="1">
      <c r="B73" s="350">
        <v>80</v>
      </c>
      <c r="C73" s="350">
        <v>162.5</v>
      </c>
      <c r="D73" s="350"/>
      <c r="E73" s="369"/>
      <c r="G73" s="350"/>
      <c r="H73" s="347"/>
    </row>
    <row r="74" spans="1:9" ht="62.25" customHeight="1">
      <c r="B74" s="350">
        <v>90</v>
      </c>
      <c r="C74" s="350">
        <v>172</v>
      </c>
      <c r="D74" s="350"/>
      <c r="E74" s="369"/>
      <c r="G74" s="350"/>
      <c r="H74" s="347"/>
    </row>
    <row r="75" spans="1:9" ht="51.75" customHeight="1">
      <c r="B75" s="350">
        <v>100</v>
      </c>
      <c r="C75" s="350">
        <v>180</v>
      </c>
      <c r="D75" s="350"/>
      <c r="G75" s="350"/>
      <c r="H75" s="347"/>
      <c r="I75" s="349"/>
    </row>
    <row r="76" spans="1:9" ht="18" customHeight="1">
      <c r="B76" s="350"/>
      <c r="D76" s="350"/>
      <c r="E76" s="350"/>
      <c r="H76" s="347"/>
    </row>
    <row r="77" spans="1:9" ht="18" customHeight="1">
      <c r="B77" s="350"/>
      <c r="D77" s="350"/>
      <c r="E77" s="350"/>
      <c r="H77" s="347"/>
    </row>
    <row r="78" spans="1:9" ht="18" customHeight="1">
      <c r="B78" s="350"/>
      <c r="D78" s="350"/>
      <c r="E78" s="350"/>
      <c r="H78" s="347"/>
    </row>
    <row r="79" spans="1:9" ht="18" customHeight="1">
      <c r="B79" s="350"/>
      <c r="D79" s="350"/>
      <c r="E79" s="350"/>
      <c r="H79" s="347"/>
    </row>
    <row r="80" spans="1:9" ht="18" customHeight="1">
      <c r="B80" s="347"/>
      <c r="C80" s="347"/>
      <c r="D80" s="350"/>
      <c r="E80" s="350"/>
      <c r="H80" s="347"/>
    </row>
    <row r="81" spans="2:8" ht="18" customHeight="1">
      <c r="B81" s="347"/>
      <c r="C81" s="347"/>
      <c r="D81" s="350"/>
      <c r="E81" s="350"/>
      <c r="H81" s="347"/>
    </row>
    <row r="82" spans="2:8" ht="18" customHeight="1">
      <c r="B82" s="347"/>
      <c r="C82" s="347"/>
      <c r="D82" s="350"/>
      <c r="E82" s="350"/>
      <c r="H82" s="347"/>
    </row>
    <row r="83" spans="2:8" ht="18" customHeight="1">
      <c r="B83" s="347"/>
      <c r="C83" s="347"/>
      <c r="D83" s="350"/>
      <c r="E83" s="350"/>
      <c r="H83" s="347"/>
    </row>
    <row r="84" spans="2:8">
      <c r="B84" s="347"/>
      <c r="C84" s="347"/>
      <c r="D84" s="350"/>
      <c r="H84" s="347"/>
    </row>
    <row r="85" spans="2:8">
      <c r="B85" s="347"/>
      <c r="C85" s="347"/>
      <c r="D85" s="350"/>
      <c r="H85" s="347"/>
    </row>
    <row r="86" spans="2:8">
      <c r="B86" s="347"/>
      <c r="C86" s="347"/>
      <c r="D86" s="350"/>
      <c r="H86" s="347"/>
    </row>
    <row r="87" spans="2:8">
      <c r="B87" s="347"/>
      <c r="C87" s="347"/>
      <c r="D87" s="350"/>
      <c r="H87" s="347"/>
    </row>
    <row r="88" spans="2:8">
      <c r="B88" s="347"/>
      <c r="C88" s="347"/>
      <c r="D88" s="350"/>
      <c r="H88" s="347"/>
    </row>
    <row r="89" spans="2:8">
      <c r="B89" s="347"/>
      <c r="C89" s="347"/>
      <c r="D89" s="350"/>
      <c r="H89" s="347"/>
    </row>
    <row r="90" spans="2:8">
      <c r="B90" s="347"/>
      <c r="C90" s="347"/>
      <c r="D90" s="350"/>
      <c r="H90" s="347"/>
    </row>
    <row r="91" spans="2:8">
      <c r="B91" s="347"/>
      <c r="C91" s="347"/>
      <c r="D91" s="350"/>
      <c r="H91" s="347"/>
    </row>
    <row r="92" spans="2:8">
      <c r="B92" s="347"/>
      <c r="C92" s="347"/>
      <c r="D92" s="350"/>
      <c r="H92" s="347"/>
    </row>
    <row r="93" spans="2:8">
      <c r="B93" s="347"/>
      <c r="C93" s="347"/>
      <c r="D93" s="350"/>
      <c r="H93" s="347"/>
    </row>
    <row r="94" spans="2:8">
      <c r="B94" s="347"/>
      <c r="C94" s="347"/>
      <c r="D94" s="350"/>
      <c r="H94" s="347"/>
    </row>
    <row r="95" spans="2:8">
      <c r="B95" s="347"/>
      <c r="C95" s="347"/>
      <c r="D95" s="350"/>
      <c r="H95" s="347"/>
    </row>
    <row r="96" spans="2:8">
      <c r="H96" s="347"/>
    </row>
    <row r="97" spans="8:8">
      <c r="H97" s="347"/>
    </row>
    <row r="98" spans="8:8">
      <c r="H98" s="347"/>
    </row>
    <row r="99" spans="8:8">
      <c r="H99" s="347"/>
    </row>
    <row r="100" spans="8:8">
      <c r="H100" s="347"/>
    </row>
    <row r="101" spans="8:8">
      <c r="H101" s="347"/>
    </row>
    <row r="102" spans="8:8">
      <c r="H102" s="347"/>
    </row>
    <row r="103" spans="8:8">
      <c r="H103" s="347"/>
    </row>
    <row r="104" spans="8:8">
      <c r="H104" s="347"/>
    </row>
    <row r="105" spans="8:8">
      <c r="H105" s="347"/>
    </row>
  </sheetData>
  <sheetProtection formatCells="0" formatColumns="0" formatRows="0" selectLockedCells="1"/>
  <mergeCells count="16">
    <mergeCell ref="A19:D19"/>
    <mergeCell ref="A20:B20"/>
    <mergeCell ref="A34:A35"/>
    <mergeCell ref="A37:A38"/>
    <mergeCell ref="A5:D5"/>
    <mergeCell ref="A6:B6"/>
    <mergeCell ref="B63:D63"/>
    <mergeCell ref="B64:D64"/>
    <mergeCell ref="B65:D65"/>
    <mergeCell ref="A66:A67"/>
    <mergeCell ref="B67:D67"/>
    <mergeCell ref="A53:B53"/>
    <mergeCell ref="A54:A58"/>
    <mergeCell ref="A59:A60"/>
    <mergeCell ref="B59:B60"/>
    <mergeCell ref="C59:D60"/>
  </mergeCells>
  <dataValidations count="6">
    <dataValidation type="list" allowBlank="1" sqref="B13">
      <formula1>$G$21:$G$31</formula1>
    </dataValidation>
    <dataValidation type="list" allowBlank="1" showInputMessage="1" showErrorMessage="1" sqref="B24">
      <formula1>J21:J27</formula1>
    </dataValidation>
    <dataValidation type="list" allowBlank="1" sqref="B27">
      <formula1>J12:J14</formula1>
    </dataValidation>
    <dataValidation type="list" allowBlank="1" sqref="B16">
      <formula1>"bis 4 %, größer 4 %"</formula1>
    </dataValidation>
    <dataValidation type="list" allowBlank="1" sqref="J8:J9">
      <formula1>"Humusgehalt"</formula1>
    </dataValidation>
    <dataValidation type="list" allowBlank="1" sqref="B14">
      <formula1>Vorfrucht</formula1>
    </dataValidation>
  </dataValidations>
  <pageMargins left="0.7" right="0.7" top="0.78740157499999996" bottom="0.78740157499999996" header="0.3" footer="0.3"/>
  <pageSetup paperSize="9" scale="62" orientation="portrait" horizontalDpi="4294967293" verticalDpi="4294967293" r:id="rId1"/>
  <colBreaks count="1" manualBreakCount="1">
    <brk id="6" max="79"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0"/>
    <pageSetUpPr fitToPage="1"/>
  </sheetPr>
  <dimension ref="A1:K82"/>
  <sheetViews>
    <sheetView topLeftCell="A39" zoomScaleNormal="100" workbookViewId="0">
      <selection activeCell="C55" sqref="C55"/>
    </sheetView>
  </sheetViews>
  <sheetFormatPr baseColWidth="10" defaultRowHeight="15"/>
  <cols>
    <col min="1" max="1" width="38.85546875" style="173" customWidth="1"/>
    <col min="2" max="2" width="39" style="122" customWidth="1"/>
    <col min="3" max="3" width="24.5703125" style="969" customWidth="1"/>
    <col min="4" max="4" width="30.42578125" customWidth="1"/>
    <col min="5" max="5" width="26.5703125" customWidth="1"/>
    <col min="6" max="6" width="35.85546875" customWidth="1"/>
    <col min="7" max="7" width="35.5703125" customWidth="1"/>
    <col min="8" max="8" width="26.42578125" style="969" customWidth="1"/>
    <col min="9" max="9" width="38.140625" customWidth="1"/>
    <col min="10" max="10" width="29.28515625" customWidth="1"/>
    <col min="11" max="11" width="26.7109375" customWidth="1"/>
  </cols>
  <sheetData>
    <row r="1" spans="1:11">
      <c r="A1" s="348"/>
      <c r="B1" s="412" t="str">
        <f>'DüV-N-Ackerbau'!C1</f>
        <v>Karl vom Land</v>
      </c>
      <c r="C1" s="412" t="str">
        <f>'DüV-N-Ackerbau'!F1</f>
        <v>Erntejahr</v>
      </c>
      <c r="E1" s="8" t="s">
        <v>36</v>
      </c>
    </row>
    <row r="2" spans="1:11">
      <c r="B2" s="412" t="str">
        <f>'DüV-N-Ackerbau'!C2</f>
        <v>Höfen 1</v>
      </c>
      <c r="C2" s="412">
        <f>'DüV-N-Ackerbau'!G1</f>
        <v>2022</v>
      </c>
      <c r="E2" s="9" t="s">
        <v>34</v>
      </c>
    </row>
    <row r="3" spans="1:11">
      <c r="B3" s="412" t="str">
        <f>'DüV-N-Ackerbau'!C3</f>
        <v>12345 Auf dem Feld</v>
      </c>
      <c r="C3" s="174"/>
    </row>
    <row r="4" spans="1:11" ht="7.5" customHeight="1" thickBot="1"/>
    <row r="5" spans="1:11" ht="21.75" thickBot="1">
      <c r="A5" s="3046" t="s">
        <v>16</v>
      </c>
      <c r="B5" s="3047"/>
      <c r="C5" s="3047"/>
      <c r="D5" s="3048"/>
    </row>
    <row r="6" spans="1:11" ht="47.25" customHeight="1" thickBot="1">
      <c r="A6" s="3049" t="s">
        <v>574</v>
      </c>
      <c r="B6" s="3050"/>
      <c r="C6" s="327" t="s">
        <v>573</v>
      </c>
      <c r="D6" s="472" t="s">
        <v>526</v>
      </c>
      <c r="G6" s="482"/>
      <c r="H6" s="520" t="s">
        <v>5</v>
      </c>
      <c r="I6" s="482"/>
      <c r="J6" s="482"/>
      <c r="K6" s="482"/>
    </row>
    <row r="7" spans="1:11" ht="15.75">
      <c r="A7" s="73"/>
      <c r="B7" s="48" t="s">
        <v>669</v>
      </c>
      <c r="C7" s="337">
        <v>55</v>
      </c>
      <c r="D7" s="338"/>
      <c r="G7" s="520" t="s">
        <v>6</v>
      </c>
      <c r="H7" s="482"/>
      <c r="I7" s="482"/>
      <c r="J7" s="480" t="s">
        <v>159</v>
      </c>
      <c r="K7" s="480"/>
    </row>
    <row r="8" spans="1:11" ht="15.75">
      <c r="A8" s="73"/>
      <c r="B8" s="35"/>
      <c r="C8" s="474" t="str">
        <f>IF(OR(C7&lt;30,C7&gt;150),"Sind Sie sicher?"," ")</f>
        <v xml:space="preserve"> </v>
      </c>
      <c r="D8" s="338"/>
      <c r="G8" s="480" t="s">
        <v>503</v>
      </c>
      <c r="H8" s="480">
        <v>0</v>
      </c>
      <c r="I8" s="482"/>
      <c r="J8" s="480" t="s">
        <v>160</v>
      </c>
      <c r="K8" s="480">
        <v>0</v>
      </c>
    </row>
    <row r="9" spans="1:11" ht="15.75">
      <c r="A9" s="73"/>
      <c r="B9" s="35"/>
      <c r="C9" s="57" t="s">
        <v>4</v>
      </c>
      <c r="D9" s="338"/>
      <c r="G9" s="480" t="s">
        <v>22</v>
      </c>
      <c r="H9" s="480">
        <v>10</v>
      </c>
      <c r="I9" s="482"/>
      <c r="J9" s="480" t="s">
        <v>161</v>
      </c>
      <c r="K9" s="480">
        <v>20</v>
      </c>
    </row>
    <row r="10" spans="1:11" ht="15.75">
      <c r="A10" s="73"/>
      <c r="B10" s="35" t="s">
        <v>37</v>
      </c>
      <c r="C10" s="58">
        <f>IF(C7&lt;=54,47.5+C7*1.5,(IF(C7&gt;=55,75+C7)))</f>
        <v>130</v>
      </c>
      <c r="D10" s="339"/>
      <c r="G10" s="480" t="s">
        <v>528</v>
      </c>
      <c r="H10" s="480">
        <v>10</v>
      </c>
      <c r="I10" s="482"/>
      <c r="J10" s="482"/>
      <c r="K10" s="482"/>
    </row>
    <row r="11" spans="1:11" ht="18">
      <c r="A11" s="73"/>
      <c r="B11" s="35" t="s">
        <v>38</v>
      </c>
      <c r="C11" s="490">
        <v>20</v>
      </c>
      <c r="D11" s="339"/>
      <c r="G11" s="480" t="s">
        <v>7</v>
      </c>
      <c r="H11" s="480">
        <v>10</v>
      </c>
      <c r="I11" s="482"/>
      <c r="J11" s="482"/>
      <c r="K11" s="482"/>
    </row>
    <row r="12" spans="1:11" ht="18">
      <c r="A12" s="73"/>
      <c r="B12" s="35" t="s">
        <v>39</v>
      </c>
      <c r="C12" s="490">
        <v>15</v>
      </c>
      <c r="D12" s="339"/>
      <c r="G12" s="480" t="s">
        <v>17</v>
      </c>
      <c r="H12" s="480">
        <v>20</v>
      </c>
      <c r="I12" s="482"/>
      <c r="J12" s="482"/>
      <c r="K12" s="482"/>
    </row>
    <row r="13" spans="1:11">
      <c r="A13" s="73" t="s">
        <v>8</v>
      </c>
      <c r="B13" s="340" t="s">
        <v>26</v>
      </c>
      <c r="C13" s="55">
        <f>VLOOKUP(B13,G21:H31,2,FALSE)</f>
        <v>0</v>
      </c>
      <c r="D13" s="339"/>
      <c r="G13" s="480" t="s">
        <v>23</v>
      </c>
      <c r="H13" s="480">
        <v>0</v>
      </c>
      <c r="I13" s="482"/>
      <c r="J13" s="482"/>
      <c r="K13" s="482"/>
    </row>
    <row r="14" spans="1:11">
      <c r="A14" s="73" t="s">
        <v>6</v>
      </c>
      <c r="B14" s="340" t="s">
        <v>503</v>
      </c>
      <c r="C14" s="55">
        <f>VLOOKUP(B14,G8:H19,2,FALSE)</f>
        <v>0</v>
      </c>
      <c r="D14" s="339"/>
      <c r="G14" s="480" t="s">
        <v>20</v>
      </c>
      <c r="H14" s="480">
        <v>20</v>
      </c>
      <c r="I14" s="482"/>
      <c r="J14" s="482"/>
      <c r="K14" s="482"/>
    </row>
    <row r="15" spans="1:11" ht="15.75">
      <c r="A15" s="69" t="s">
        <v>1057</v>
      </c>
      <c r="B15" s="39" t="s">
        <v>24</v>
      </c>
      <c r="C15" s="341">
        <v>0</v>
      </c>
      <c r="D15" s="339"/>
      <c r="E15" s="489" t="str">
        <f>IF(C15&gt;20,"Sind Sie sicher?"," ")</f>
        <v xml:space="preserve"> </v>
      </c>
      <c r="G15" s="480" t="s">
        <v>19</v>
      </c>
      <c r="H15" s="480">
        <v>10</v>
      </c>
      <c r="I15" s="482"/>
      <c r="J15" s="482"/>
      <c r="K15" s="482"/>
    </row>
    <row r="16" spans="1:11" ht="15.75" thickBot="1">
      <c r="A16" s="69" t="s">
        <v>159</v>
      </c>
      <c r="B16" s="342" t="s">
        <v>160</v>
      </c>
      <c r="C16" s="76">
        <f>VLOOKUP(B16,J8:K9,2,FALSE)</f>
        <v>0</v>
      </c>
      <c r="D16" s="343"/>
      <c r="G16" s="480" t="s">
        <v>529</v>
      </c>
      <c r="H16" s="480">
        <v>0</v>
      </c>
      <c r="I16" s="482"/>
      <c r="J16" s="482"/>
      <c r="K16" s="482"/>
    </row>
    <row r="17" spans="1:11" ht="16.5" thickBot="1">
      <c r="A17" s="293"/>
      <c r="B17" s="284" t="s">
        <v>468</v>
      </c>
      <c r="C17" s="276">
        <f>C10-SUM(C11:C16)</f>
        <v>95</v>
      </c>
      <c r="D17" s="285" t="s">
        <v>470</v>
      </c>
      <c r="E17" s="1"/>
      <c r="G17" s="480" t="s">
        <v>21</v>
      </c>
      <c r="H17" s="480">
        <v>10</v>
      </c>
      <c r="I17" s="482"/>
      <c r="J17" s="482"/>
      <c r="K17" s="482"/>
    </row>
    <row r="18" spans="1:11" ht="19.5" customHeight="1" thickBot="1">
      <c r="A18" s="35"/>
      <c r="B18" s="167"/>
      <c r="C18" s="11"/>
      <c r="D18" s="296"/>
      <c r="E18" s="1"/>
      <c r="G18" s="480" t="s">
        <v>18</v>
      </c>
      <c r="H18" s="480">
        <v>20</v>
      </c>
      <c r="I18" s="482"/>
      <c r="J18" s="482"/>
      <c r="K18" s="482"/>
    </row>
    <row r="19" spans="1:11" ht="35.25" customHeight="1" thickBot="1">
      <c r="A19" s="3075" t="s">
        <v>491</v>
      </c>
      <c r="B19" s="3076"/>
      <c r="C19" s="270" t="s">
        <v>385</v>
      </c>
      <c r="D19" s="240" t="s">
        <v>336</v>
      </c>
      <c r="E19" s="1"/>
      <c r="G19" s="480"/>
      <c r="H19" s="480"/>
      <c r="I19" s="482"/>
      <c r="J19" s="482"/>
      <c r="K19" s="482"/>
    </row>
    <row r="20" spans="1:11" ht="19.5" customHeight="1">
      <c r="A20" s="81" t="s">
        <v>35</v>
      </c>
      <c r="B20" s="345">
        <v>60</v>
      </c>
      <c r="C20" s="242">
        <f>IF(OR(B20&lt;1,B20&gt;100),"Zahl 0 bis 100 eingeben",(-0.0025*B20*B20+0.75*B20-26)*0.4)</f>
        <v>4</v>
      </c>
      <c r="D20" s="82" t="s">
        <v>163</v>
      </c>
      <c r="E20" s="1"/>
      <c r="G20" s="520" t="s">
        <v>8</v>
      </c>
      <c r="H20" s="482"/>
      <c r="I20" s="482"/>
      <c r="J20" s="520" t="s">
        <v>49</v>
      </c>
      <c r="K20" s="482"/>
    </row>
    <row r="21" spans="1:11" ht="19.5" customHeight="1">
      <c r="A21" s="81" t="s">
        <v>162</v>
      </c>
      <c r="B21" s="345">
        <v>200</v>
      </c>
      <c r="C21" s="59">
        <f>IF(OR(B21&lt;40,B21&gt;800),"gibt es nicht",(B21*0.025-1))</f>
        <v>4</v>
      </c>
      <c r="D21" s="82" t="s">
        <v>164</v>
      </c>
      <c r="E21" s="1"/>
      <c r="G21" s="480" t="s">
        <v>31</v>
      </c>
      <c r="H21" s="480">
        <v>0</v>
      </c>
      <c r="I21" s="482"/>
      <c r="J21" s="1488" t="s">
        <v>1198</v>
      </c>
      <c r="K21" s="1488">
        <v>1</v>
      </c>
    </row>
    <row r="22" spans="1:11" ht="19.5" customHeight="1">
      <c r="A22" s="81" t="s">
        <v>51</v>
      </c>
      <c r="B22" s="342" t="s">
        <v>31</v>
      </c>
      <c r="C22" s="66">
        <f>VLOOKUP(B22,J21:K27,2,FALSE)</f>
        <v>0</v>
      </c>
      <c r="D22" s="83" t="s">
        <v>50</v>
      </c>
      <c r="E22" s="1"/>
      <c r="G22" s="482" t="s">
        <v>25</v>
      </c>
      <c r="H22" s="482">
        <v>0</v>
      </c>
      <c r="I22" s="482"/>
      <c r="J22" s="1488" t="s">
        <v>184</v>
      </c>
      <c r="K22" s="1488">
        <v>0.5</v>
      </c>
    </row>
    <row r="23" spans="1:11" ht="19.5" customHeight="1">
      <c r="A23" s="81" t="s">
        <v>46</v>
      </c>
      <c r="B23" s="493">
        <v>0</v>
      </c>
      <c r="C23" s="54">
        <f>B23*10*C22</f>
        <v>0</v>
      </c>
      <c r="D23" s="82" t="s">
        <v>163</v>
      </c>
      <c r="E23" s="1"/>
      <c r="G23" s="482" t="s">
        <v>26</v>
      </c>
      <c r="H23" s="482">
        <v>0</v>
      </c>
      <c r="I23" s="482"/>
      <c r="J23" s="1488" t="s">
        <v>1200</v>
      </c>
      <c r="K23" s="1488">
        <v>0.6</v>
      </c>
    </row>
    <row r="24" spans="1:11" ht="19.5" customHeight="1">
      <c r="A24" s="84" t="s">
        <v>47</v>
      </c>
      <c r="B24" s="492" t="str">
        <f>IF(B23&gt;3,"Sind Sie sicher?"," ")</f>
        <v xml:space="preserve"> </v>
      </c>
      <c r="C24" s="54"/>
      <c r="D24" s="82"/>
      <c r="E24" s="1"/>
      <c r="G24" s="482" t="s">
        <v>27</v>
      </c>
      <c r="H24" s="482">
        <v>20</v>
      </c>
      <c r="I24" s="482"/>
      <c r="J24" s="1488" t="s">
        <v>1201</v>
      </c>
      <c r="K24" s="1488">
        <v>0.4</v>
      </c>
    </row>
    <row r="25" spans="1:11" ht="24.75" customHeight="1">
      <c r="A25" s="81"/>
      <c r="B25" s="244" t="s">
        <v>348</v>
      </c>
      <c r="C25" s="444">
        <v>11</v>
      </c>
      <c r="D25" s="224" t="s">
        <v>386</v>
      </c>
      <c r="E25" s="1"/>
      <c r="G25" s="482" t="s">
        <v>28</v>
      </c>
      <c r="H25" s="482">
        <v>10</v>
      </c>
      <c r="I25" s="482"/>
      <c r="J25" s="1488" t="s">
        <v>1199</v>
      </c>
      <c r="K25" s="1488">
        <v>0.35</v>
      </c>
    </row>
    <row r="26" spans="1:11" ht="24.75" customHeight="1" thickBot="1">
      <c r="A26" s="300"/>
      <c r="B26" s="87" t="s">
        <v>459</v>
      </c>
      <c r="C26" s="54"/>
      <c r="D26" s="88" t="s">
        <v>64</v>
      </c>
      <c r="E26" s="1"/>
      <c r="G26" s="482" t="s">
        <v>29</v>
      </c>
      <c r="H26" s="482">
        <v>10</v>
      </c>
      <c r="I26" s="482"/>
      <c r="J26" s="1488" t="s">
        <v>48</v>
      </c>
      <c r="K26" s="1488">
        <v>0.3</v>
      </c>
    </row>
    <row r="27" spans="1:11" ht="23.25" customHeight="1">
      <c r="A27" s="155" t="s">
        <v>125</v>
      </c>
      <c r="B27" s="90">
        <f>B29*0.67+C21*0.6</f>
        <v>86.587141499999987</v>
      </c>
      <c r="C27" s="267">
        <f>B27-C11-C12*0.75</f>
        <v>55.337141499999987</v>
      </c>
      <c r="D27" s="46" t="s">
        <v>387</v>
      </c>
      <c r="G27" s="480" t="s">
        <v>673</v>
      </c>
      <c r="H27" s="480">
        <v>30</v>
      </c>
      <c r="I27" s="482"/>
      <c r="J27" s="1488" t="s">
        <v>31</v>
      </c>
      <c r="K27" s="1488">
        <v>0</v>
      </c>
    </row>
    <row r="28" spans="1:11" ht="30" customHeight="1" thickBot="1">
      <c r="A28" s="155" t="s">
        <v>62</v>
      </c>
      <c r="B28" s="272">
        <f>B29*0.33+C21*0.4</f>
        <v>43.065308499999993</v>
      </c>
      <c r="C28" s="269">
        <f>B28-C12*0.25-C13-C14-C15*0.65-C20-C23</f>
        <v>35.315308499999993</v>
      </c>
      <c r="D28" s="273" t="s">
        <v>713</v>
      </c>
      <c r="G28" s="482" t="s">
        <v>30</v>
      </c>
      <c r="H28" s="482">
        <v>40</v>
      </c>
      <c r="I28" s="482"/>
      <c r="J28" s="969"/>
      <c r="K28" s="969"/>
    </row>
    <row r="29" spans="1:11" ht="17.25" customHeight="1">
      <c r="A29" s="957" t="s">
        <v>388</v>
      </c>
      <c r="B29" s="110">
        <f>(C43+C45)*1.15</f>
        <v>125.65244999999997</v>
      </c>
      <c r="C29" s="245">
        <f>C27+C28</f>
        <v>90.652449999999988</v>
      </c>
      <c r="D29" s="91" t="str">
        <f>IF(C29&gt;C17,"Obergrenze einhalten!!!"," ")</f>
        <v xml:space="preserve"> </v>
      </c>
      <c r="E29" s="30"/>
      <c r="F29" s="5"/>
      <c r="G29" s="480" t="s">
        <v>9</v>
      </c>
      <c r="H29" s="480">
        <v>0</v>
      </c>
      <c r="I29" s="482"/>
      <c r="J29" s="969"/>
      <c r="K29" s="969"/>
    </row>
    <row r="30" spans="1:11">
      <c r="G30" s="480" t="s">
        <v>10</v>
      </c>
      <c r="H30" s="482">
        <v>10</v>
      </c>
      <c r="I30" s="482"/>
      <c r="J30" s="969"/>
      <c r="K30" s="969"/>
    </row>
    <row r="31" spans="1:11" ht="31.5">
      <c r="A31" s="404"/>
      <c r="B31" s="405"/>
      <c r="C31" s="406" t="s">
        <v>719</v>
      </c>
      <c r="D31" s="407"/>
      <c r="F31" s="4"/>
      <c r="G31" s="480" t="s">
        <v>31</v>
      </c>
      <c r="H31" s="482">
        <v>0</v>
      </c>
      <c r="I31" s="481"/>
    </row>
    <row r="32" spans="1:11" ht="15.75">
      <c r="A32" s="408"/>
      <c r="B32" s="371" t="s">
        <v>42</v>
      </c>
      <c r="C32" s="409">
        <f>C17</f>
        <v>95</v>
      </c>
      <c r="D32" s="410" t="s">
        <v>4</v>
      </c>
      <c r="I32" s="481"/>
    </row>
    <row r="33" spans="1:11" ht="15.75">
      <c r="A33" s="3044" t="s">
        <v>702</v>
      </c>
      <c r="B33" s="775" t="s">
        <v>701</v>
      </c>
      <c r="C33" s="781">
        <v>0</v>
      </c>
      <c r="D33" s="779" t="s">
        <v>484</v>
      </c>
      <c r="I33" s="481"/>
    </row>
    <row r="34" spans="1:11" ht="26.25" customHeight="1">
      <c r="A34" s="3044"/>
      <c r="B34" s="776" t="s">
        <v>704</v>
      </c>
      <c r="C34" s="771">
        <v>0</v>
      </c>
      <c r="D34" s="415" t="s">
        <v>485</v>
      </c>
      <c r="E34" s="930"/>
      <c r="F34" s="930"/>
      <c r="I34" s="481"/>
    </row>
    <row r="35" spans="1:11" s="930" customFormat="1" ht="26.25" customHeight="1">
      <c r="A35" s="859" t="s">
        <v>817</v>
      </c>
      <c r="B35" s="777" t="s">
        <v>705</v>
      </c>
      <c r="C35" s="780">
        <v>0</v>
      </c>
      <c r="D35" s="415" t="s">
        <v>254</v>
      </c>
      <c r="F35"/>
      <c r="I35" s="478"/>
    </row>
    <row r="36" spans="1:11" ht="20.25" customHeight="1">
      <c r="A36" s="3044" t="s">
        <v>703</v>
      </c>
      <c r="B36" s="775" t="s">
        <v>706</v>
      </c>
      <c r="C36" s="771">
        <v>0</v>
      </c>
      <c r="D36" s="779" t="s">
        <v>484</v>
      </c>
      <c r="I36" s="481"/>
      <c r="J36" s="481"/>
      <c r="K36" s="482"/>
    </row>
    <row r="37" spans="1:11" ht="20.25" customHeight="1">
      <c r="A37" s="3044"/>
      <c r="B37" s="776" t="s">
        <v>707</v>
      </c>
      <c r="C37" s="771">
        <v>0</v>
      </c>
      <c r="D37" s="415" t="s">
        <v>485</v>
      </c>
      <c r="I37" s="481"/>
      <c r="J37" s="481"/>
      <c r="K37" s="482"/>
    </row>
    <row r="38" spans="1:11" ht="24.75" customHeight="1">
      <c r="A38" s="859" t="s">
        <v>817</v>
      </c>
      <c r="B38" s="778" t="s">
        <v>708</v>
      </c>
      <c r="C38" s="771">
        <v>0</v>
      </c>
      <c r="D38" s="415" t="s">
        <v>254</v>
      </c>
      <c r="I38" s="481"/>
      <c r="J38" s="481"/>
      <c r="K38" s="482"/>
    </row>
    <row r="39" spans="1:11" ht="21.75" customHeight="1">
      <c r="A39" s="379"/>
      <c r="B39" s="412" t="s">
        <v>255</v>
      </c>
      <c r="C39" s="414">
        <f>(C33*C34*C35/100)+(C36*C37*C38/100)</f>
        <v>0</v>
      </c>
      <c r="D39" s="416" t="s">
        <v>4</v>
      </c>
    </row>
    <row r="40" spans="1:11" ht="31.5" customHeight="1">
      <c r="A40" s="411"/>
      <c r="B40" s="413" t="s">
        <v>136</v>
      </c>
      <c r="C40" s="414">
        <f>C32-C39</f>
        <v>95</v>
      </c>
      <c r="D40" s="417" t="s">
        <v>4</v>
      </c>
      <c r="F40" s="946" t="s">
        <v>183</v>
      </c>
      <c r="G40" s="959" t="s">
        <v>186</v>
      </c>
      <c r="H40" s="959"/>
      <c r="I40" s="959"/>
    </row>
    <row r="41" spans="1:11" ht="19.5" customHeight="1">
      <c r="A41" s="174"/>
      <c r="B41" s="175"/>
      <c r="C41" s="934"/>
      <c r="D41" s="930"/>
      <c r="F41" s="951" t="s">
        <v>179</v>
      </c>
      <c r="G41" s="951">
        <v>90</v>
      </c>
      <c r="H41" s="937"/>
      <c r="I41" s="937"/>
    </row>
    <row r="42" spans="1:11" ht="19.5" customHeight="1">
      <c r="A42" s="43"/>
      <c r="B42" s="34"/>
      <c r="C42" s="948" t="s">
        <v>60</v>
      </c>
      <c r="D42" s="226"/>
      <c r="E42" s="6"/>
      <c r="F42" s="951" t="s">
        <v>804</v>
      </c>
      <c r="G42" s="951">
        <v>70</v>
      </c>
      <c r="H42" s="937"/>
      <c r="I42" s="937"/>
    </row>
    <row r="43" spans="1:11" ht="19.5" customHeight="1">
      <c r="A43" s="28"/>
      <c r="B43" s="35" t="s">
        <v>12</v>
      </c>
      <c r="C43" s="239">
        <f>C7*0.86*C25/6.25</f>
        <v>83.24799999999999</v>
      </c>
      <c r="D43" s="104" t="str">
        <f>IF(C43&gt;200,"mehr als 200 kg Korn-N/ha ist unrealistisch!","Korn-N-Abfuhr")</f>
        <v>Korn-N-Abfuhr</v>
      </c>
      <c r="F43" s="951" t="s">
        <v>805</v>
      </c>
      <c r="G43" s="951">
        <v>70</v>
      </c>
      <c r="H43" s="937"/>
      <c r="I43" s="937"/>
    </row>
    <row r="44" spans="1:11" ht="19.5" customHeight="1">
      <c r="A44" s="28"/>
      <c r="B44" s="37" t="s">
        <v>14</v>
      </c>
      <c r="C44" s="219">
        <f>(135-0.5*C7)/100</f>
        <v>1.075</v>
      </c>
      <c r="D44" s="94" t="s">
        <v>338</v>
      </c>
      <c r="F44" s="951" t="s">
        <v>809</v>
      </c>
      <c r="G44" s="946">
        <v>70</v>
      </c>
      <c r="H44" s="937"/>
      <c r="I44" s="937"/>
    </row>
    <row r="45" spans="1:11" ht="19.5" customHeight="1">
      <c r="A45" s="28"/>
      <c r="B45" s="35" t="s">
        <v>13</v>
      </c>
      <c r="C45" s="234">
        <f>C7*C44*C25/25</f>
        <v>26.015000000000001</v>
      </c>
      <c r="D45" s="227"/>
      <c r="E45" s="1"/>
      <c r="F45" s="782" t="s">
        <v>810</v>
      </c>
      <c r="G45" s="946">
        <v>60</v>
      </c>
      <c r="H45" s="937"/>
      <c r="I45" s="937"/>
    </row>
    <row r="46" spans="1:11" ht="19.5" customHeight="1">
      <c r="A46" s="28" t="s">
        <v>68</v>
      </c>
      <c r="B46" s="48" t="s">
        <v>65</v>
      </c>
      <c r="C46" s="115">
        <f>C27-C43</f>
        <v>-27.910858500000003</v>
      </c>
      <c r="D46" s="235" t="str">
        <f>IF(C46&gt;50,"!!!",(IF(C46&gt;40,"!!",(IF(C46&gt;30,"!"," ")))))</f>
        <v xml:space="preserve"> </v>
      </c>
      <c r="E46" s="1"/>
      <c r="F46" s="951" t="s">
        <v>48</v>
      </c>
      <c r="G46" s="946">
        <v>60</v>
      </c>
      <c r="H46" s="937"/>
      <c r="I46" s="937"/>
    </row>
    <row r="47" spans="1:11" ht="19.5" customHeight="1">
      <c r="A47" s="793" t="s">
        <v>729</v>
      </c>
      <c r="B47" s="48" t="s">
        <v>66</v>
      </c>
      <c r="C47" s="220">
        <f>C27-C43-C45</f>
        <v>-53.925858500000004</v>
      </c>
      <c r="D47" s="236"/>
      <c r="F47" s="951" t="s">
        <v>811</v>
      </c>
      <c r="G47" s="951">
        <v>45</v>
      </c>
      <c r="H47" s="937"/>
      <c r="I47" s="937"/>
    </row>
    <row r="48" spans="1:11" ht="19.5" customHeight="1">
      <c r="A48" s="792" t="s">
        <v>67</v>
      </c>
      <c r="B48" s="48" t="s">
        <v>65</v>
      </c>
      <c r="C48" s="220">
        <f>C17-C43</f>
        <v>11.75200000000001</v>
      </c>
      <c r="D48" s="235" t="str">
        <f>IF(C48&gt;50,"!!!",(IF(C48&gt;40,"!!",(IF(C48&gt;30,"!"," ")))))</f>
        <v xml:space="preserve"> </v>
      </c>
      <c r="F48" s="782" t="s">
        <v>806</v>
      </c>
      <c r="G48" s="946">
        <v>30</v>
      </c>
      <c r="H48" s="937"/>
      <c r="I48" s="937"/>
    </row>
    <row r="49" spans="1:9" ht="19.5" customHeight="1">
      <c r="A49" s="987" t="s">
        <v>729</v>
      </c>
      <c r="B49" s="97" t="s">
        <v>66</v>
      </c>
      <c r="C49" s="221">
        <f>C17-C43-C45</f>
        <v>-14.262999999999991</v>
      </c>
      <c r="D49" s="238"/>
      <c r="E49" s="930"/>
      <c r="F49" s="951" t="s">
        <v>1019</v>
      </c>
      <c r="G49" s="946">
        <v>30</v>
      </c>
      <c r="H49" s="937"/>
      <c r="I49" s="937"/>
    </row>
    <row r="50" spans="1:9" ht="19.5" customHeight="1" thickBot="1">
      <c r="A50" s="988"/>
      <c r="B50" s="48"/>
      <c r="C50" s="49"/>
      <c r="D50" s="114"/>
      <c r="E50" s="930"/>
      <c r="F50" s="951" t="s">
        <v>187</v>
      </c>
      <c r="G50" s="946">
        <v>30</v>
      </c>
      <c r="H50" s="937"/>
      <c r="I50" s="937"/>
    </row>
    <row r="51" spans="1:9" ht="19.5" customHeight="1">
      <c r="A51" s="3049" t="s">
        <v>578</v>
      </c>
      <c r="B51" s="3091"/>
      <c r="C51" s="1777" t="s">
        <v>587</v>
      </c>
      <c r="D51" s="603" t="s">
        <v>587</v>
      </c>
      <c r="E51" s="930"/>
      <c r="F51" s="951" t="s">
        <v>813</v>
      </c>
      <c r="G51" s="946">
        <v>30</v>
      </c>
      <c r="H51" s="937"/>
      <c r="I51" s="937"/>
    </row>
    <row r="52" spans="1:9" ht="19.5" customHeight="1">
      <c r="A52" s="3054" t="s">
        <v>590</v>
      </c>
      <c r="B52" s="626" t="s">
        <v>579</v>
      </c>
      <c r="C52" s="622" t="s">
        <v>580</v>
      </c>
      <c r="D52" s="625" t="s">
        <v>581</v>
      </c>
      <c r="E52" s="930"/>
      <c r="F52" s="951" t="s">
        <v>814</v>
      </c>
      <c r="G52" s="946">
        <v>30</v>
      </c>
      <c r="H52" s="937"/>
      <c r="I52" s="937"/>
    </row>
    <row r="53" spans="1:9" ht="19.5" customHeight="1">
      <c r="A53" s="3092"/>
      <c r="B53" s="601" t="s">
        <v>583</v>
      </c>
      <c r="C53" s="263">
        <f>C55*2</f>
        <v>88</v>
      </c>
      <c r="D53" s="602">
        <f>D55*2</f>
        <v>0</v>
      </c>
      <c r="E53" s="930"/>
      <c r="F53" s="951" t="s">
        <v>815</v>
      </c>
      <c r="G53" s="946">
        <v>30</v>
      </c>
      <c r="H53" s="937"/>
      <c r="I53" s="937"/>
    </row>
    <row r="54" spans="1:9" ht="19.5" customHeight="1">
      <c r="A54" s="3092"/>
      <c r="B54" s="601" t="s">
        <v>584</v>
      </c>
      <c r="C54" s="263">
        <f>C55*1.5</f>
        <v>66</v>
      </c>
      <c r="D54" s="602">
        <f>D55*1.5</f>
        <v>0</v>
      </c>
      <c r="E54" s="930"/>
      <c r="F54" s="951" t="s">
        <v>180</v>
      </c>
      <c r="G54" s="946">
        <v>25</v>
      </c>
      <c r="H54" s="937"/>
      <c r="I54" s="937"/>
    </row>
    <row r="55" spans="1:9" ht="19.5" customHeight="1">
      <c r="A55" s="3092"/>
      <c r="B55" s="601" t="s">
        <v>585</v>
      </c>
      <c r="C55" s="605">
        <f>C7*0.8</f>
        <v>44</v>
      </c>
      <c r="D55" s="606">
        <f>C39*1.13</f>
        <v>0</v>
      </c>
      <c r="F55" s="951" t="s">
        <v>807</v>
      </c>
      <c r="G55" s="946">
        <v>25</v>
      </c>
    </row>
    <row r="56" spans="1:9" ht="19.5" customHeight="1">
      <c r="A56" s="3093"/>
      <c r="B56" s="601" t="s">
        <v>586</v>
      </c>
      <c r="C56" s="263">
        <f>C55*0.5</f>
        <v>22</v>
      </c>
      <c r="D56" s="602">
        <f>D55*0.5</f>
        <v>0</v>
      </c>
      <c r="F56" s="782" t="s">
        <v>808</v>
      </c>
      <c r="G56" s="946">
        <v>25</v>
      </c>
    </row>
    <row r="57" spans="1:9" ht="26.25" customHeight="1">
      <c r="A57" s="3065"/>
      <c r="B57" s="3058" t="s">
        <v>588</v>
      </c>
      <c r="C57" s="3095" t="s">
        <v>591</v>
      </c>
      <c r="D57" s="3096"/>
      <c r="F57" s="782" t="s">
        <v>816</v>
      </c>
      <c r="G57" s="946">
        <v>10</v>
      </c>
    </row>
    <row r="58" spans="1:9" ht="27.75" customHeight="1" thickBot="1">
      <c r="A58" s="3066"/>
      <c r="B58" s="3094"/>
      <c r="C58" s="3097"/>
      <c r="D58" s="3098"/>
      <c r="F58" s="782" t="s">
        <v>181</v>
      </c>
      <c r="G58" s="946">
        <v>10</v>
      </c>
    </row>
    <row r="59" spans="1:9" ht="19.5" customHeight="1">
      <c r="A59" s="988"/>
      <c r="B59" s="48"/>
      <c r="C59" s="49"/>
      <c r="D59" s="114"/>
      <c r="E59" s="930"/>
      <c r="F59" s="782" t="s">
        <v>188</v>
      </c>
      <c r="G59" s="946">
        <v>5</v>
      </c>
    </row>
    <row r="60" spans="1:9" ht="19.5" customHeight="1">
      <c r="A60" s="103" t="s">
        <v>167</v>
      </c>
      <c r="B60" s="101"/>
      <c r="C60" s="774"/>
      <c r="D60" s="930"/>
      <c r="E60" s="930"/>
      <c r="F60" s="782" t="s">
        <v>182</v>
      </c>
      <c r="G60" s="946">
        <v>3</v>
      </c>
    </row>
    <row r="61" spans="1:9" ht="30" customHeight="1">
      <c r="A61" s="970" t="s">
        <v>328</v>
      </c>
      <c r="B61" s="3051" t="s">
        <v>400</v>
      </c>
      <c r="C61" s="2413"/>
      <c r="D61" s="2413"/>
      <c r="E61" s="1770"/>
      <c r="F61" s="1774"/>
      <c r="G61" s="1775"/>
    </row>
    <row r="62" spans="1:9" ht="19.5" customHeight="1">
      <c r="A62" s="970"/>
      <c r="B62" s="100" t="s">
        <v>401</v>
      </c>
      <c r="C62" s="102" t="s">
        <v>402</v>
      </c>
      <c r="D62" s="930"/>
      <c r="E62" s="1770"/>
      <c r="F62" s="1774"/>
      <c r="G62" s="1775"/>
    </row>
    <row r="63" spans="1:9" ht="19.5" customHeight="1">
      <c r="A63" s="970"/>
      <c r="B63" s="100" t="s">
        <v>343</v>
      </c>
      <c r="C63" s="102" t="s">
        <v>344</v>
      </c>
      <c r="D63" s="930"/>
      <c r="E63" s="1770"/>
      <c r="F63" s="1774"/>
      <c r="G63" s="1775"/>
    </row>
    <row r="64" spans="1:9" ht="19.5" customHeight="1">
      <c r="A64" s="970"/>
      <c r="B64" s="930"/>
      <c r="C64" s="930"/>
      <c r="D64" s="930"/>
      <c r="E64" s="1770"/>
      <c r="F64" s="1774"/>
      <c r="G64" s="1775"/>
    </row>
    <row r="65" spans="1:7" ht="105" customHeight="1">
      <c r="A65" s="970" t="s">
        <v>324</v>
      </c>
      <c r="B65" s="3051" t="s">
        <v>403</v>
      </c>
      <c r="C65" s="2736"/>
      <c r="D65" s="2736"/>
      <c r="E65" s="1770"/>
      <c r="F65" s="1774"/>
      <c r="G65" s="1775"/>
    </row>
    <row r="66" spans="1:7" ht="19.5" customHeight="1">
      <c r="A66" s="970"/>
      <c r="B66" s="101"/>
      <c r="C66" s="774"/>
      <c r="D66" s="930"/>
      <c r="E66" s="1770"/>
      <c r="F66" s="1774"/>
      <c r="G66" s="1775"/>
    </row>
    <row r="67" spans="1:7" ht="19.5" customHeight="1">
      <c r="A67" s="970"/>
      <c r="B67" s="100" t="s">
        <v>404</v>
      </c>
      <c r="C67" s="774"/>
      <c r="D67" s="934" t="s">
        <v>330</v>
      </c>
      <c r="E67" s="1770"/>
      <c r="F67" s="1774"/>
      <c r="G67" s="1775"/>
    </row>
    <row r="68" spans="1:7" ht="19.5" customHeight="1">
      <c r="A68" s="970" t="s">
        <v>168</v>
      </c>
      <c r="B68" s="100" t="s">
        <v>405</v>
      </c>
      <c r="C68" s="774"/>
      <c r="D68" s="774" t="s">
        <v>383</v>
      </c>
      <c r="E68" s="1770"/>
      <c r="F68" s="1774"/>
      <c r="G68" s="1775"/>
    </row>
    <row r="69" spans="1:7" ht="93.75" customHeight="1">
      <c r="A69" s="970" t="s">
        <v>169</v>
      </c>
      <c r="B69" s="100" t="s">
        <v>406</v>
      </c>
      <c r="C69" s="774"/>
      <c r="D69" s="772" t="s">
        <v>407</v>
      </c>
      <c r="E69" s="1770"/>
      <c r="F69" s="1774"/>
      <c r="G69" s="1775"/>
    </row>
    <row r="70" spans="1:7" ht="16.5" customHeight="1">
      <c r="A70" s="970" t="s">
        <v>340</v>
      </c>
      <c r="B70" s="100" t="s">
        <v>331</v>
      </c>
      <c r="C70" s="102"/>
      <c r="D70" s="930" t="s">
        <v>366</v>
      </c>
      <c r="E70" s="930"/>
      <c r="F70" s="930"/>
      <c r="G70" s="930"/>
    </row>
    <row r="71" spans="1:7" ht="21" customHeight="1">
      <c r="A71" s="174" t="s">
        <v>409</v>
      </c>
      <c r="B71" s="930" t="s">
        <v>335</v>
      </c>
      <c r="C71" s="930"/>
      <c r="E71" s="930"/>
      <c r="F71" s="930"/>
      <c r="G71" s="930"/>
    </row>
    <row r="72" spans="1:7" ht="15.75" customHeight="1">
      <c r="A72" s="174"/>
      <c r="B72" s="930" t="s">
        <v>334</v>
      </c>
      <c r="C72" s="930"/>
      <c r="E72" s="930"/>
      <c r="F72" s="930"/>
      <c r="G72" s="930"/>
    </row>
    <row r="73" spans="1:7" ht="12.75" customHeight="1">
      <c r="A73" s="970" t="s">
        <v>410</v>
      </c>
      <c r="B73" s="930" t="s">
        <v>339</v>
      </c>
      <c r="C73" s="774"/>
      <c r="E73" s="934"/>
      <c r="F73" s="930"/>
      <c r="G73" s="930"/>
    </row>
    <row r="74" spans="1:7" ht="22.5" customHeight="1">
      <c r="A74" s="174"/>
      <c r="B74" s="930" t="s">
        <v>408</v>
      </c>
      <c r="C74" s="934"/>
      <c r="E74" s="934"/>
      <c r="F74" s="3052"/>
      <c r="G74" s="930"/>
    </row>
    <row r="75" spans="1:7" ht="27" customHeight="1">
      <c r="E75" s="944"/>
      <c r="F75" s="3052"/>
      <c r="G75" s="944"/>
    </row>
    <row r="76" spans="1:7" ht="99" customHeight="1">
      <c r="E76" s="930"/>
      <c r="F76" s="930"/>
      <c r="G76" s="930"/>
    </row>
    <row r="77" spans="1:7" ht="27.75" customHeight="1">
      <c r="E77" s="930"/>
      <c r="F77" s="930"/>
      <c r="G77" s="930"/>
    </row>
    <row r="78" spans="1:7" ht="21.75" customHeight="1">
      <c r="E78" s="930"/>
      <c r="F78" s="930"/>
      <c r="G78" s="930"/>
    </row>
    <row r="79" spans="1:7" ht="26.25" customHeight="1">
      <c r="E79" s="930"/>
      <c r="F79" s="930"/>
      <c r="G79" s="930"/>
    </row>
    <row r="80" spans="1:7" ht="14.25" customHeight="1">
      <c r="E80" s="930"/>
      <c r="F80" s="930"/>
      <c r="G80" s="930"/>
    </row>
    <row r="81" spans="5:7" ht="16.5" customHeight="1">
      <c r="E81" s="930"/>
      <c r="F81" s="930"/>
      <c r="G81" s="930"/>
    </row>
    <row r="82" spans="5:7" ht="21" customHeight="1"/>
  </sheetData>
  <sheetProtection formatCells="0" formatColumns="0" formatRows="0" selectLockedCells="1"/>
  <mergeCells count="13">
    <mergeCell ref="A5:D5"/>
    <mergeCell ref="A6:B6"/>
    <mergeCell ref="B61:D61"/>
    <mergeCell ref="F74:F75"/>
    <mergeCell ref="B65:D65"/>
    <mergeCell ref="A36:A37"/>
    <mergeCell ref="A19:B19"/>
    <mergeCell ref="A33:A34"/>
    <mergeCell ref="A51:B51"/>
    <mergeCell ref="A52:A56"/>
    <mergeCell ref="A57:A58"/>
    <mergeCell ref="B57:B58"/>
    <mergeCell ref="C57:D58"/>
  </mergeCells>
  <dataValidations count="6">
    <dataValidation type="list" allowBlank="1" sqref="B13">
      <formula1>$G$21:$G$31</formula1>
    </dataValidation>
    <dataValidation type="list" allowBlank="1" showInputMessage="1" showErrorMessage="1" sqref="B22">
      <formula1>J21:J27</formula1>
    </dataValidation>
    <dataValidation type="list" allowBlank="1" sqref="C25">
      <mc:AlternateContent xmlns:x12ac="http://schemas.microsoft.com/office/spreadsheetml/2011/1/ac" xmlns:mc="http://schemas.openxmlformats.org/markup-compatibility/2006">
        <mc:Choice Requires="x12ac">
          <x12ac:list>8,"8,5",9,"9,5",10,"10,5",11,"11,5",12,"12,5",13,"13,5",14,"14,5"</x12ac:list>
        </mc:Choice>
        <mc:Fallback>
          <formula1>"8,8,5,9,9,5,10,10,5,11,11,5,12,12,5,13,13,5,14,14,5"</formula1>
        </mc:Fallback>
      </mc:AlternateContent>
    </dataValidation>
    <dataValidation type="list" allowBlank="1" sqref="B16">
      <formula1>"bis 4 %, größer 4 %"</formula1>
    </dataValidation>
    <dataValidation type="list" allowBlank="1" sqref="J8:J9">
      <formula1>"Humusgehalt"</formula1>
    </dataValidation>
    <dataValidation type="list" allowBlank="1" sqref="B14">
      <formula1>Vorfrucht</formula1>
    </dataValidation>
  </dataValidations>
  <pageMargins left="0.7" right="0.7" top="0.78740157499999996" bottom="0.78740157499999996" header="0.3" footer="0.3"/>
  <pageSetup paperSize="9" scale="65" orientation="portrait" horizontalDpi="4294967293" verticalDpi="4294967293" r:id="rId1"/>
  <colBreaks count="1" manualBreakCount="1">
    <brk id="4" max="4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0"/>
    <pageSetUpPr fitToPage="1"/>
  </sheetPr>
  <dimension ref="A1:O120"/>
  <sheetViews>
    <sheetView topLeftCell="A38" zoomScaleNormal="100" workbookViewId="0">
      <selection activeCell="D54" sqref="D54"/>
    </sheetView>
  </sheetViews>
  <sheetFormatPr baseColWidth="10" defaultRowHeight="15"/>
  <cols>
    <col min="1" max="1" width="41.5703125" style="173" customWidth="1"/>
    <col min="2" max="2" width="38.7109375" style="122" customWidth="1"/>
    <col min="3" max="3" width="12.140625" style="969" customWidth="1"/>
    <col min="4" max="4" width="11.85546875" style="969" customWidth="1"/>
    <col min="5" max="5" width="12.28515625" style="969" customWidth="1"/>
    <col min="6" max="6" width="12.140625" style="969" customWidth="1"/>
    <col min="7" max="7" width="35.28515625" customWidth="1"/>
    <col min="8" max="8" width="25.42578125" style="969" customWidth="1"/>
    <col min="9" max="9" width="10.28515625" style="969" customWidth="1"/>
    <col min="10" max="10" width="34.7109375" customWidth="1"/>
    <col min="11" max="11" width="27.140625" style="969" customWidth="1"/>
    <col min="12" max="12" width="23.5703125" customWidth="1"/>
    <col min="13" max="13" width="26.140625" customWidth="1"/>
  </cols>
  <sheetData>
    <row r="1" spans="1:15">
      <c r="A1" s="348"/>
      <c r="B1" s="412" t="str">
        <f>'DüV-N-Ackerbau'!C1</f>
        <v>Karl vom Land</v>
      </c>
      <c r="C1" s="412" t="str">
        <f>'DüV-N-Ackerbau'!F1</f>
        <v>Erntejahr</v>
      </c>
      <c r="D1" s="151"/>
      <c r="H1" s="8" t="s">
        <v>36</v>
      </c>
      <c r="I1" s="10"/>
    </row>
    <row r="2" spans="1:15" ht="15.75">
      <c r="B2" s="412" t="str">
        <f>'DüV-N-Ackerbau'!C2</f>
        <v>Höfen 1</v>
      </c>
      <c r="C2" s="412">
        <f>'DüV-N-Ackerbau'!G1</f>
        <v>2022</v>
      </c>
      <c r="D2" s="951"/>
      <c r="E2" s="604"/>
      <c r="F2" s="604"/>
      <c r="H2" s="9" t="s">
        <v>34</v>
      </c>
      <c r="I2" s="10"/>
    </row>
    <row r="3" spans="1:15">
      <c r="B3" s="412" t="str">
        <f>'DüV-N-Ackerbau'!C3</f>
        <v>12345 Auf dem Feld</v>
      </c>
      <c r="C3" s="174"/>
      <c r="D3" s="174"/>
    </row>
    <row r="4" spans="1:15" ht="9.75" customHeight="1" thickBot="1"/>
    <row r="5" spans="1:15" ht="21.75" thickBot="1">
      <c r="A5" s="3046" t="s">
        <v>126</v>
      </c>
      <c r="B5" s="3047"/>
      <c r="C5" s="3047"/>
      <c r="D5" s="3047"/>
      <c r="E5" s="3047"/>
      <c r="F5" s="3047"/>
      <c r="G5" s="3048"/>
    </row>
    <row r="6" spans="1:15" ht="36" customHeight="1" thickBot="1">
      <c r="A6" s="3049" t="s">
        <v>574</v>
      </c>
      <c r="B6" s="3050"/>
      <c r="C6" s="2674" t="s">
        <v>573</v>
      </c>
      <c r="D6" s="3149"/>
      <c r="E6" s="3150"/>
      <c r="F6" s="3151"/>
      <c r="G6" s="472" t="s">
        <v>527</v>
      </c>
      <c r="H6" s="122"/>
      <c r="I6" s="122"/>
      <c r="J6" s="482"/>
      <c r="K6" s="520" t="s">
        <v>5</v>
      </c>
      <c r="L6" s="482"/>
      <c r="M6" s="482"/>
      <c r="N6" s="482"/>
      <c r="O6" s="482"/>
    </row>
    <row r="7" spans="1:15" s="930" customFormat="1" ht="39" customHeight="1">
      <c r="A7" s="73"/>
      <c r="B7" s="39"/>
      <c r="C7" s="3152" t="s">
        <v>476</v>
      </c>
      <c r="D7" s="2488"/>
      <c r="E7" s="3153" t="s">
        <v>475</v>
      </c>
      <c r="F7" s="2486"/>
      <c r="G7" s="452"/>
      <c r="H7" s="286"/>
      <c r="I7" s="286"/>
      <c r="J7" s="479" t="s">
        <v>6</v>
      </c>
      <c r="K7" s="480"/>
      <c r="L7" s="480" t="s">
        <v>159</v>
      </c>
      <c r="M7" s="480"/>
      <c r="N7" s="480"/>
      <c r="O7" s="480"/>
    </row>
    <row r="8" spans="1:15" ht="21" customHeight="1">
      <c r="A8" s="936"/>
      <c r="B8" s="287" t="s">
        <v>477</v>
      </c>
      <c r="C8" s="3145">
        <v>700</v>
      </c>
      <c r="D8" s="3146"/>
      <c r="E8" s="3147">
        <v>750</v>
      </c>
      <c r="F8" s="3148"/>
      <c r="G8" s="452"/>
      <c r="H8" s="25"/>
      <c r="I8" s="25"/>
      <c r="J8" s="480" t="s">
        <v>503</v>
      </c>
      <c r="K8" s="480">
        <v>0</v>
      </c>
      <c r="L8" s="480" t="s">
        <v>160</v>
      </c>
      <c r="M8" s="480">
        <v>0</v>
      </c>
      <c r="N8" s="482"/>
      <c r="O8" s="482"/>
    </row>
    <row r="9" spans="1:15" ht="15.75">
      <c r="A9" s="73"/>
      <c r="B9" s="35"/>
      <c r="C9" s="3142" t="s">
        <v>4</v>
      </c>
      <c r="D9" s="3008"/>
      <c r="E9" s="3142" t="s">
        <v>4</v>
      </c>
      <c r="F9" s="3008"/>
      <c r="G9" s="452"/>
      <c r="H9" s="25"/>
      <c r="I9" s="25"/>
      <c r="J9" s="480" t="s">
        <v>22</v>
      </c>
      <c r="K9" s="480">
        <v>10</v>
      </c>
      <c r="L9" s="480" t="s">
        <v>161</v>
      </c>
      <c r="M9" s="480">
        <v>20</v>
      </c>
      <c r="N9" s="482"/>
      <c r="O9" s="482"/>
    </row>
    <row r="10" spans="1:15" ht="18" customHeight="1">
      <c r="A10" s="73"/>
      <c r="B10" s="48" t="s">
        <v>478</v>
      </c>
      <c r="C10" s="3143">
        <f>IF(C8=0,0,IF(C8&lt;650,72.5+C8*0.15,(IF(C8&gt;=650,170+(C8-650)*0.1))))</f>
        <v>175</v>
      </c>
      <c r="D10" s="3008"/>
      <c r="E10" s="3144">
        <f>IF(E8=0,0,(IF(E8&lt;650,72.5+E8*0.15,(IF(E8&gt;=650,170+(E8-650)*0.1)))))</f>
        <v>180</v>
      </c>
      <c r="F10" s="2492"/>
      <c r="G10" s="453"/>
      <c r="J10" s="480" t="s">
        <v>528</v>
      </c>
      <c r="K10" s="480">
        <v>10</v>
      </c>
      <c r="L10" s="482"/>
      <c r="M10" s="482"/>
      <c r="N10" s="482"/>
      <c r="O10" s="482"/>
    </row>
    <row r="11" spans="1:15" ht="16.5" customHeight="1">
      <c r="A11" s="73"/>
      <c r="B11" s="35" t="s">
        <v>38</v>
      </c>
      <c r="C11" s="3137">
        <v>25</v>
      </c>
      <c r="D11" s="3107"/>
      <c r="E11" s="3137">
        <v>20</v>
      </c>
      <c r="F11" s="3107"/>
      <c r="G11" s="453"/>
      <c r="J11" s="480" t="s">
        <v>7</v>
      </c>
      <c r="K11" s="480">
        <v>10</v>
      </c>
      <c r="L11" s="482"/>
      <c r="M11" s="482"/>
      <c r="N11" s="482"/>
      <c r="O11" s="482"/>
    </row>
    <row r="12" spans="1:15" ht="18">
      <c r="A12" s="73"/>
      <c r="B12" s="35" t="s">
        <v>39</v>
      </c>
      <c r="C12" s="3137">
        <v>15</v>
      </c>
      <c r="D12" s="3107"/>
      <c r="E12" s="3137">
        <v>15</v>
      </c>
      <c r="F12" s="3107"/>
      <c r="G12" s="453"/>
      <c r="J12" s="480" t="s">
        <v>17</v>
      </c>
      <c r="K12" s="480">
        <v>20</v>
      </c>
      <c r="L12" s="482"/>
      <c r="M12" s="482"/>
      <c r="N12" s="482"/>
      <c r="O12" s="482"/>
    </row>
    <row r="13" spans="1:15" ht="18">
      <c r="A13" s="73"/>
      <c r="B13" s="35" t="s">
        <v>40</v>
      </c>
      <c r="C13" s="3138">
        <v>5</v>
      </c>
      <c r="D13" s="3139"/>
      <c r="E13" s="3138">
        <v>10</v>
      </c>
      <c r="F13" s="3139"/>
      <c r="G13" s="453"/>
      <c r="J13" s="480" t="s">
        <v>23</v>
      </c>
      <c r="K13" s="480">
        <v>0</v>
      </c>
      <c r="L13" s="482"/>
      <c r="M13" s="482"/>
      <c r="N13" s="482"/>
      <c r="O13" s="482"/>
    </row>
    <row r="14" spans="1:15" ht="15.75">
      <c r="A14" s="73"/>
      <c r="B14" s="523" t="s">
        <v>481</v>
      </c>
      <c r="C14" s="3140"/>
      <c r="D14" s="3141"/>
      <c r="E14" s="3140"/>
      <c r="F14" s="3141"/>
      <c r="G14" s="621" t="s">
        <v>482</v>
      </c>
      <c r="J14" s="480" t="s">
        <v>20</v>
      </c>
      <c r="K14" s="480">
        <v>20</v>
      </c>
      <c r="L14" s="482"/>
      <c r="M14" s="482"/>
      <c r="N14" s="482"/>
      <c r="O14" s="482"/>
    </row>
    <row r="15" spans="1:15">
      <c r="A15" s="73" t="s">
        <v>8</v>
      </c>
      <c r="B15" s="457" t="s">
        <v>30</v>
      </c>
      <c r="C15" s="3132">
        <f>VLOOKUP(B15,J22:K32,2,FALSE)</f>
        <v>40</v>
      </c>
      <c r="D15" s="3133"/>
      <c r="E15" s="3132">
        <f>VLOOKUP(G15,J22:K32,2,FALSE)</f>
        <v>20</v>
      </c>
      <c r="F15" s="3133"/>
      <c r="G15" s="454" t="s">
        <v>27</v>
      </c>
      <c r="J15" s="480" t="s">
        <v>19</v>
      </c>
      <c r="K15" s="480">
        <v>10</v>
      </c>
      <c r="L15" s="482"/>
      <c r="M15" s="482"/>
      <c r="N15" s="482"/>
      <c r="O15" s="482"/>
    </row>
    <row r="16" spans="1:15">
      <c r="A16" s="73" t="s">
        <v>6</v>
      </c>
      <c r="B16" s="457" t="s">
        <v>503</v>
      </c>
      <c r="C16" s="3132">
        <f>VLOOKUP(B16,J8:K18,2,FALSE)</f>
        <v>0</v>
      </c>
      <c r="D16" s="3133"/>
      <c r="E16" s="3132">
        <f>VLOOKUP(G16,J8:K18,2,FALSE)</f>
        <v>0</v>
      </c>
      <c r="F16" s="3133"/>
      <c r="G16" s="455" t="s">
        <v>503</v>
      </c>
      <c r="J16" s="480" t="s">
        <v>529</v>
      </c>
      <c r="K16" s="480">
        <v>0</v>
      </c>
      <c r="L16" s="482"/>
      <c r="M16" s="482"/>
      <c r="N16" s="482"/>
      <c r="O16" s="482"/>
    </row>
    <row r="17" spans="1:15" ht="15.75">
      <c r="A17" s="69" t="s">
        <v>1057</v>
      </c>
      <c r="B17" s="288" t="s">
        <v>24</v>
      </c>
      <c r="C17" s="3134">
        <v>0</v>
      </c>
      <c r="D17" s="3135"/>
      <c r="E17" s="3136">
        <v>0</v>
      </c>
      <c r="F17" s="3135"/>
      <c r="G17" s="289" t="s">
        <v>24</v>
      </c>
      <c r="H17" s="489" t="str">
        <f>IF(OR(C17&gt;20,E17&gt;20),"Sind Sie sicher?"," ")</f>
        <v xml:space="preserve"> </v>
      </c>
      <c r="J17" s="480" t="s">
        <v>21</v>
      </c>
      <c r="K17" s="480">
        <v>10</v>
      </c>
      <c r="L17" s="482"/>
      <c r="M17" s="482"/>
      <c r="N17" s="482"/>
      <c r="O17" s="482"/>
    </row>
    <row r="18" spans="1:15" ht="16.5" thickBot="1">
      <c r="A18" s="69" t="s">
        <v>159</v>
      </c>
      <c r="B18" s="458" t="s">
        <v>160</v>
      </c>
      <c r="C18" s="3130">
        <f>VLOOKUP(B18,L8:M9,2,FALSE)</f>
        <v>0</v>
      </c>
      <c r="D18" s="3068"/>
      <c r="E18" s="3131">
        <f>VLOOKUP(G18,L8:M9,2,FALSE)</f>
        <v>0</v>
      </c>
      <c r="F18" s="2475"/>
      <c r="G18" s="456" t="s">
        <v>160</v>
      </c>
      <c r="H18" s="64"/>
      <c r="J18" s="480" t="s">
        <v>18</v>
      </c>
      <c r="K18" s="480">
        <v>20</v>
      </c>
      <c r="L18" s="482"/>
      <c r="M18" s="482"/>
      <c r="N18" s="482"/>
      <c r="O18" s="482"/>
    </row>
    <row r="19" spans="1:15" ht="20.25" customHeight="1" thickBot="1">
      <c r="A19" s="293"/>
      <c r="B19" s="71" t="s">
        <v>479</v>
      </c>
      <c r="C19" s="3117">
        <f>C10-SUM(C11:C18)</f>
        <v>90</v>
      </c>
      <c r="D19" s="3118"/>
      <c r="E19" s="3117">
        <f>E10-SUM(E11:E18)</f>
        <v>115</v>
      </c>
      <c r="F19" s="3118"/>
      <c r="G19" s="285" t="s">
        <v>470</v>
      </c>
      <c r="I19" s="64"/>
      <c r="J19" s="482"/>
      <c r="K19" s="482"/>
      <c r="L19" s="482"/>
      <c r="M19" s="482"/>
      <c r="N19" s="482"/>
      <c r="O19" s="482"/>
    </row>
    <row r="20" spans="1:15" ht="19.5" customHeight="1">
      <c r="A20" s="35"/>
      <c r="B20" s="167"/>
      <c r="C20" s="11"/>
      <c r="D20" s="11"/>
      <c r="E20" s="11"/>
      <c r="F20" s="11"/>
      <c r="G20" s="296"/>
      <c r="I20" s="64"/>
      <c r="J20" s="482"/>
      <c r="K20" s="482"/>
      <c r="L20" s="482"/>
      <c r="M20" s="482"/>
      <c r="N20" s="482"/>
      <c r="O20" s="482"/>
    </row>
    <row r="21" spans="1:15" ht="22.5" customHeight="1">
      <c r="A21" s="3075" t="s">
        <v>491</v>
      </c>
      <c r="B21" s="3007"/>
      <c r="C21" s="3007"/>
      <c r="D21" s="3007"/>
      <c r="E21" s="3007"/>
      <c r="F21" s="3007"/>
      <c r="G21" s="3008"/>
      <c r="H21" s="3127" t="s">
        <v>336</v>
      </c>
      <c r="I21" s="64"/>
      <c r="J21" s="520" t="s">
        <v>8</v>
      </c>
      <c r="K21" s="482"/>
      <c r="L21" s="482"/>
      <c r="M21" s="520" t="s">
        <v>135</v>
      </c>
      <c r="N21" s="482"/>
      <c r="O21" s="482"/>
    </row>
    <row r="22" spans="1:15" ht="19.5" customHeight="1">
      <c r="A22" s="81"/>
      <c r="B22" s="933" t="s">
        <v>483</v>
      </c>
      <c r="C22" s="3128" t="s">
        <v>480</v>
      </c>
      <c r="D22" s="3129"/>
      <c r="E22" s="3007"/>
      <c r="F22" s="3008"/>
      <c r="G22" s="952" t="s">
        <v>475</v>
      </c>
      <c r="H22" s="2715"/>
      <c r="I22" s="64"/>
      <c r="J22" s="480" t="s">
        <v>31</v>
      </c>
      <c r="K22" s="480">
        <v>0</v>
      </c>
      <c r="L22" s="482"/>
      <c r="M22" s="1488" t="s">
        <v>1198</v>
      </c>
      <c r="N22" s="1488">
        <v>1</v>
      </c>
      <c r="O22" s="482"/>
    </row>
    <row r="23" spans="1:15" ht="19.5" customHeight="1">
      <c r="A23" s="81" t="s">
        <v>35</v>
      </c>
      <c r="B23" s="345">
        <v>80</v>
      </c>
      <c r="C23" s="3124">
        <f>IF(OR(B23&lt;1,B23&gt;100),"Zahl 0 bis 100 eingeben",(-0.0025*B23*B23+0.75*B23-26)*0.7)</f>
        <v>12.6</v>
      </c>
      <c r="D23" s="2471"/>
      <c r="E23" s="3124">
        <f>IF(OR(G23&lt;1,G23&gt;100),"Zahl 0 bis 100 eingeben",(-0.0025*G23*G23+0.75*G23-26)*0.7)</f>
        <v>9.9749999999999996</v>
      </c>
      <c r="F23" s="2471"/>
      <c r="G23" s="459">
        <v>70</v>
      </c>
      <c r="H23" s="292" t="s">
        <v>163</v>
      </c>
      <c r="I23" s="64"/>
      <c r="J23" s="482" t="s">
        <v>25</v>
      </c>
      <c r="K23" s="482">
        <v>0</v>
      </c>
      <c r="L23" s="482"/>
      <c r="M23" s="1488" t="s">
        <v>184</v>
      </c>
      <c r="N23" s="1488">
        <v>0.5</v>
      </c>
      <c r="O23" s="482"/>
    </row>
    <row r="24" spans="1:15" ht="19.5" customHeight="1">
      <c r="A24" s="81" t="s">
        <v>162</v>
      </c>
      <c r="B24" s="345">
        <v>200</v>
      </c>
      <c r="C24" s="3125">
        <f>IF(OR(B24&lt;40,B24&gt;800),"gibt es nicht",(B24*0.025-1))</f>
        <v>4</v>
      </c>
      <c r="D24" s="2475"/>
      <c r="E24" s="3125">
        <f>IF(OR(G24&lt;40,G24&gt;800),"gibt es nicht",(G24*0.025-1))</f>
        <v>4</v>
      </c>
      <c r="F24" s="2475"/>
      <c r="G24" s="460">
        <v>200</v>
      </c>
      <c r="H24" s="262" t="s">
        <v>164</v>
      </c>
      <c r="I24" s="64"/>
      <c r="J24" s="482" t="s">
        <v>26</v>
      </c>
      <c r="K24" s="482">
        <v>0</v>
      </c>
      <c r="L24" s="482"/>
      <c r="M24" s="1488" t="s">
        <v>1200</v>
      </c>
      <c r="N24" s="1488">
        <v>0.6</v>
      </c>
      <c r="O24" s="482"/>
    </row>
    <row r="25" spans="1:15" ht="19.5" customHeight="1">
      <c r="A25" s="81" t="s">
        <v>51</v>
      </c>
      <c r="B25" s="342" t="s">
        <v>31</v>
      </c>
      <c r="C25" s="3126">
        <f>VLOOKUP(B25,M22:N28,2,FALSE)</f>
        <v>0</v>
      </c>
      <c r="D25" s="2475"/>
      <c r="E25" s="3126">
        <f>VLOOKUP(G25,M22:N28,2,FALSE)</f>
        <v>0</v>
      </c>
      <c r="F25" s="2475"/>
      <c r="G25" s="444" t="s">
        <v>31</v>
      </c>
      <c r="H25" s="297" t="s">
        <v>50</v>
      </c>
      <c r="I25" s="64"/>
      <c r="J25" s="482" t="s">
        <v>27</v>
      </c>
      <c r="K25" s="482">
        <v>20</v>
      </c>
      <c r="L25" s="482"/>
      <c r="M25" s="1488" t="s">
        <v>1201</v>
      </c>
      <c r="N25" s="1488">
        <v>0.4</v>
      </c>
      <c r="O25" s="482"/>
    </row>
    <row r="26" spans="1:15" ht="19.5" customHeight="1">
      <c r="A26" s="81" t="s">
        <v>46</v>
      </c>
      <c r="B26" s="493">
        <v>0</v>
      </c>
      <c r="C26" s="3121">
        <f>B26*10*C25*1.5</f>
        <v>0</v>
      </c>
      <c r="D26" s="2475"/>
      <c r="E26" s="3121">
        <f>G26*10*E25*1.5</f>
        <v>0</v>
      </c>
      <c r="F26" s="2475"/>
      <c r="G26" s="495">
        <v>0</v>
      </c>
      <c r="H26" s="262" t="s">
        <v>163</v>
      </c>
      <c r="I26" s="64"/>
      <c r="J26" s="482" t="s">
        <v>28</v>
      </c>
      <c r="K26" s="482">
        <v>10</v>
      </c>
      <c r="L26" s="482"/>
      <c r="M26" s="1488" t="s">
        <v>1199</v>
      </c>
      <c r="N26" s="1488">
        <v>0.35</v>
      </c>
      <c r="O26" s="482"/>
    </row>
    <row r="27" spans="1:15" ht="29.25" customHeight="1">
      <c r="A27" s="84" t="s">
        <v>47</v>
      </c>
      <c r="B27" s="261" t="str">
        <f>IF(B26&gt;3,"Sind Sie sicher?"," ")</f>
        <v xml:space="preserve"> </v>
      </c>
      <c r="C27" s="2671"/>
      <c r="D27" s="2480"/>
      <c r="E27" s="2671"/>
      <c r="F27" s="2480"/>
      <c r="G27" s="496" t="str">
        <f>IF(G26&gt;3,"Sind Sie sicher?"," ")</f>
        <v xml:space="preserve"> </v>
      </c>
      <c r="H27" s="262"/>
      <c r="I27" s="64"/>
      <c r="J27" s="482" t="s">
        <v>29</v>
      </c>
      <c r="K27" s="482">
        <v>10</v>
      </c>
      <c r="L27" s="482"/>
      <c r="M27" s="1488" t="s">
        <v>48</v>
      </c>
      <c r="N27" s="1488">
        <v>0.3</v>
      </c>
      <c r="O27" s="482"/>
    </row>
    <row r="28" spans="1:15" ht="30.75" customHeight="1" thickBot="1">
      <c r="A28" s="81"/>
      <c r="B28" s="254" t="s">
        <v>431</v>
      </c>
      <c r="C28" s="3122">
        <f>(-0.00009*C8*C8+0.2115*C8+72.9)</f>
        <v>176.85</v>
      </c>
      <c r="D28" s="3068"/>
      <c r="E28" s="3123">
        <f>(-0.00009*E8*E8+0.2115*E8+72.9)</f>
        <v>180.9</v>
      </c>
      <c r="F28" s="2475"/>
      <c r="G28" s="262"/>
      <c r="H28" s="299"/>
      <c r="I28" s="64"/>
      <c r="J28" s="480" t="s">
        <v>673</v>
      </c>
      <c r="K28" s="480">
        <v>30</v>
      </c>
      <c r="L28" s="482"/>
      <c r="M28" s="1488" t="s">
        <v>31</v>
      </c>
      <c r="N28" s="1488">
        <v>0</v>
      </c>
      <c r="O28" s="482"/>
    </row>
    <row r="29" spans="1:15" ht="27" customHeight="1" thickBot="1">
      <c r="A29" s="300"/>
      <c r="B29" s="167" t="s">
        <v>52</v>
      </c>
      <c r="C29" s="3117">
        <f>C28-C11-C12-C13-C15*1.5-C16*1.5-C17*0.8-C23+C24-C26*1.5</f>
        <v>63.249999999999993</v>
      </c>
      <c r="D29" s="3118"/>
      <c r="E29" s="3117">
        <f>E28-E11-E12-E13-E15*1.5-E16*1.5-E17*0.85-E23+E24-E26*1.5</f>
        <v>99.925000000000011</v>
      </c>
      <c r="F29" s="3118"/>
      <c r="G29" s="301" t="s">
        <v>4</v>
      </c>
      <c r="H29" s="54"/>
      <c r="J29" s="482" t="s">
        <v>30</v>
      </c>
      <c r="K29" s="482">
        <v>40</v>
      </c>
      <c r="L29" s="482"/>
      <c r="M29" s="482"/>
      <c r="N29" s="482"/>
      <c r="O29" s="482"/>
    </row>
    <row r="30" spans="1:15" ht="18.75" customHeight="1">
      <c r="A30" s="237"/>
      <c r="B30" s="213"/>
      <c r="C30" s="3119" t="s">
        <v>133</v>
      </c>
      <c r="D30" s="3120"/>
      <c r="E30" s="2479"/>
      <c r="F30" s="2480"/>
      <c r="G30" s="302"/>
      <c r="H30" s="955"/>
      <c r="J30" s="482" t="s">
        <v>9</v>
      </c>
      <c r="K30" s="482">
        <v>0</v>
      </c>
      <c r="L30" s="482"/>
      <c r="M30" s="482"/>
      <c r="N30" s="482"/>
      <c r="O30" s="482"/>
    </row>
    <row r="31" spans="1:15" ht="18.75" customHeight="1">
      <c r="A31" s="237"/>
      <c r="B31" s="307"/>
      <c r="C31" s="934"/>
      <c r="D31" s="934"/>
      <c r="E31" s="934"/>
      <c r="F31" s="934"/>
      <c r="G31" s="930"/>
      <c r="H31" s="934"/>
      <c r="I31" s="290"/>
      <c r="J31" s="482" t="s">
        <v>10</v>
      </c>
      <c r="K31" s="482">
        <v>10</v>
      </c>
    </row>
    <row r="32" spans="1:15" ht="21" customHeight="1">
      <c r="A32" s="404"/>
      <c r="B32" s="952" t="s">
        <v>483</v>
      </c>
      <c r="C32" s="2725" t="s">
        <v>719</v>
      </c>
      <c r="D32" s="3113"/>
      <c r="E32" s="3007"/>
      <c r="F32" s="3008"/>
      <c r="G32" s="952" t="s">
        <v>475</v>
      </c>
      <c r="H32" s="303"/>
      <c r="I32" s="114"/>
      <c r="J32" s="482" t="s">
        <v>31</v>
      </c>
      <c r="K32" s="482">
        <v>0</v>
      </c>
    </row>
    <row r="33" spans="1:12" ht="15.75">
      <c r="A33" s="408"/>
      <c r="B33" s="371" t="s">
        <v>42</v>
      </c>
      <c r="C33" s="3115">
        <f>C19</f>
        <v>90</v>
      </c>
      <c r="D33" s="3112"/>
      <c r="E33" s="3116">
        <f>E19</f>
        <v>115</v>
      </c>
      <c r="F33" s="2480"/>
      <c r="G33" s="305" t="s">
        <v>4</v>
      </c>
      <c r="H33" s="934"/>
      <c r="I33" s="114"/>
    </row>
    <row r="34" spans="1:12" ht="15.75">
      <c r="A34" s="3044" t="s">
        <v>702</v>
      </c>
      <c r="B34" s="775" t="s">
        <v>701</v>
      </c>
      <c r="C34" s="3110">
        <v>0</v>
      </c>
      <c r="D34" s="3107"/>
      <c r="E34" s="3110">
        <v>0</v>
      </c>
      <c r="F34" s="3107"/>
      <c r="G34" s="3044" t="s">
        <v>702</v>
      </c>
      <c r="H34" s="779" t="s">
        <v>484</v>
      </c>
      <c r="I34" s="67"/>
    </row>
    <row r="35" spans="1:12" ht="15.75">
      <c r="A35" s="3045"/>
      <c r="B35" s="776" t="s">
        <v>704</v>
      </c>
      <c r="C35" s="3108">
        <v>0</v>
      </c>
      <c r="D35" s="3109"/>
      <c r="E35" s="3108">
        <v>0</v>
      </c>
      <c r="F35" s="3109"/>
      <c r="G35" s="3045"/>
      <c r="H35" s="415" t="s">
        <v>485</v>
      </c>
      <c r="I35" s="114"/>
    </row>
    <row r="36" spans="1:12" ht="15.75">
      <c r="A36" s="859" t="s">
        <v>817</v>
      </c>
      <c r="B36" s="777" t="s">
        <v>705</v>
      </c>
      <c r="C36" s="3108">
        <v>0</v>
      </c>
      <c r="D36" s="3109"/>
      <c r="E36" s="3108">
        <v>0</v>
      </c>
      <c r="F36" s="3109"/>
      <c r="G36" s="859" t="s">
        <v>817</v>
      </c>
      <c r="H36" s="415" t="s">
        <v>254</v>
      </c>
      <c r="I36" s="30"/>
    </row>
    <row r="37" spans="1:12" ht="15.75">
      <c r="A37" s="3044" t="s">
        <v>703</v>
      </c>
      <c r="B37" s="775" t="s">
        <v>706</v>
      </c>
      <c r="C37" s="3110">
        <v>0</v>
      </c>
      <c r="D37" s="3107"/>
      <c r="E37" s="3110">
        <v>0</v>
      </c>
      <c r="F37" s="3107"/>
      <c r="G37" s="3044" t="s">
        <v>703</v>
      </c>
      <c r="H37" s="779" t="s">
        <v>484</v>
      </c>
      <c r="I37" s="30"/>
    </row>
    <row r="38" spans="1:12" ht="15.75">
      <c r="A38" s="3045"/>
      <c r="B38" s="776" t="s">
        <v>707</v>
      </c>
      <c r="C38" s="3108">
        <v>0</v>
      </c>
      <c r="D38" s="3109"/>
      <c r="E38" s="3108">
        <v>0</v>
      </c>
      <c r="F38" s="3109"/>
      <c r="G38" s="3045"/>
      <c r="H38" s="415" t="s">
        <v>485</v>
      </c>
      <c r="I38" s="291"/>
    </row>
    <row r="39" spans="1:12" ht="15.75">
      <c r="A39" s="859" t="s">
        <v>817</v>
      </c>
      <c r="B39" s="777" t="s">
        <v>708</v>
      </c>
      <c r="C39" s="3108">
        <v>0</v>
      </c>
      <c r="D39" s="3109"/>
      <c r="E39" s="3108">
        <v>0</v>
      </c>
      <c r="F39" s="3109"/>
      <c r="G39" s="859" t="s">
        <v>817</v>
      </c>
      <c r="H39" s="415" t="s">
        <v>254</v>
      </c>
      <c r="I39" s="45"/>
      <c r="J39" s="7"/>
    </row>
    <row r="40" spans="1:12" ht="21" customHeight="1">
      <c r="A40" s="379"/>
      <c r="B40" s="412" t="s">
        <v>255</v>
      </c>
      <c r="C40" s="3111">
        <f>(C34*C35*C36/100)+(C37*C38*C39/100)</f>
        <v>0</v>
      </c>
      <c r="D40" s="3112"/>
      <c r="E40" s="3111">
        <f>(E34*E35*E36/100)+(E37*E38*E39/100)</f>
        <v>0</v>
      </c>
      <c r="F40" s="3112"/>
      <c r="G40" s="162"/>
      <c r="H40" s="416" t="s">
        <v>4</v>
      </c>
    </row>
    <row r="41" spans="1:12" ht="19.5" customHeight="1">
      <c r="A41" s="411"/>
      <c r="B41" s="413" t="s">
        <v>136</v>
      </c>
      <c r="C41" s="3111">
        <f>C33-C40</f>
        <v>90</v>
      </c>
      <c r="D41" s="3112"/>
      <c r="E41" s="3111">
        <f>E33-E40</f>
        <v>115</v>
      </c>
      <c r="F41" s="3112"/>
      <c r="G41" s="161"/>
      <c r="H41" s="417" t="s">
        <v>4</v>
      </c>
      <c r="J41" s="946" t="s">
        <v>183</v>
      </c>
      <c r="K41" s="959" t="s">
        <v>186</v>
      </c>
      <c r="L41" s="3052"/>
    </row>
    <row r="42" spans="1:12" ht="19.5" customHeight="1">
      <c r="A42" s="174"/>
      <c r="B42" s="175"/>
      <c r="C42" s="934"/>
      <c r="D42" s="934"/>
      <c r="E42" s="934"/>
      <c r="F42" s="934"/>
      <c r="G42" s="930"/>
      <c r="H42" s="930"/>
      <c r="J42" s="951" t="s">
        <v>179</v>
      </c>
      <c r="K42" s="951">
        <v>90</v>
      </c>
      <c r="L42" s="3114"/>
    </row>
    <row r="43" spans="1:12" ht="19.5" customHeight="1">
      <c r="A43" s="306"/>
      <c r="B43" s="952" t="s">
        <v>483</v>
      </c>
      <c r="C43" s="2725" t="s">
        <v>60</v>
      </c>
      <c r="D43" s="3113"/>
      <c r="E43" s="3007"/>
      <c r="F43" s="3008"/>
      <c r="G43" s="952" t="s">
        <v>475</v>
      </c>
      <c r="H43" s="930"/>
      <c r="I43" s="24"/>
      <c r="J43" s="951" t="s">
        <v>804</v>
      </c>
      <c r="K43" s="951">
        <v>70</v>
      </c>
      <c r="L43" s="937"/>
    </row>
    <row r="44" spans="1:12" ht="19.5" customHeight="1">
      <c r="A44" s="81"/>
      <c r="B44" s="48" t="s">
        <v>127</v>
      </c>
      <c r="C44" s="3106">
        <v>0.15</v>
      </c>
      <c r="D44" s="3107"/>
      <c r="E44" s="3106">
        <v>0.15</v>
      </c>
      <c r="F44" s="3107"/>
      <c r="G44" s="251" t="s">
        <v>134</v>
      </c>
      <c r="H44" s="934"/>
      <c r="J44" s="951" t="s">
        <v>809</v>
      </c>
      <c r="K44" s="946">
        <v>70</v>
      </c>
      <c r="L44" s="937"/>
    </row>
    <row r="45" spans="1:12" ht="19.5" customHeight="1">
      <c r="A45" s="81"/>
      <c r="B45" s="48" t="s">
        <v>74</v>
      </c>
      <c r="C45" s="3104">
        <f>C8*C44</f>
        <v>105</v>
      </c>
      <c r="D45" s="2475"/>
      <c r="E45" s="3104">
        <f>E8*E44</f>
        <v>112.5</v>
      </c>
      <c r="F45" s="2475"/>
      <c r="G45" s="304" t="s">
        <v>76</v>
      </c>
      <c r="I45" s="175"/>
      <c r="J45" s="782" t="s">
        <v>810</v>
      </c>
      <c r="K45" s="946">
        <v>60</v>
      </c>
      <c r="L45" s="937"/>
    </row>
    <row r="46" spans="1:12" ht="19.5" customHeight="1">
      <c r="A46" s="81" t="s">
        <v>68</v>
      </c>
      <c r="B46" s="48" t="s">
        <v>72</v>
      </c>
      <c r="C46" s="3105">
        <f>C29-C45</f>
        <v>-41.750000000000007</v>
      </c>
      <c r="D46" s="2475"/>
      <c r="E46" s="3105">
        <f>E29-E45</f>
        <v>-12.574999999999989</v>
      </c>
      <c r="F46" s="2475"/>
      <c r="G46" s="235" t="str">
        <f>IF(C46&gt;50,"!!!",(IF(C46&gt;40,"!!",(IF(C46&gt;30,"!"," ")))))</f>
        <v xml:space="preserve"> </v>
      </c>
      <c r="I46" s="934"/>
      <c r="J46" s="951" t="s">
        <v>48</v>
      </c>
      <c r="K46" s="946">
        <v>60</v>
      </c>
      <c r="L46" s="937"/>
    </row>
    <row r="47" spans="1:12" ht="19.5" customHeight="1">
      <c r="A47" s="81" t="s">
        <v>67</v>
      </c>
      <c r="B47" s="48" t="s">
        <v>72</v>
      </c>
      <c r="C47" s="3105">
        <f>C19-C45</f>
        <v>-15</v>
      </c>
      <c r="D47" s="2475"/>
      <c r="E47" s="3105">
        <f>E19-E45</f>
        <v>2.5</v>
      </c>
      <c r="F47" s="2475"/>
      <c r="G47" s="235" t="str">
        <f>IF(C47&gt;50,"!!!",(IF(C47&gt;40,"!!",(IF(C47&gt;30,"!"," ")))))</f>
        <v xml:space="preserve"> </v>
      </c>
      <c r="I47" s="930"/>
      <c r="J47" s="951" t="s">
        <v>811</v>
      </c>
      <c r="K47" s="951">
        <v>45</v>
      </c>
      <c r="L47" s="937"/>
    </row>
    <row r="48" spans="1:12" ht="19.5" customHeight="1">
      <c r="A48" s="217" t="s">
        <v>729</v>
      </c>
      <c r="B48" s="213"/>
      <c r="C48" s="2671"/>
      <c r="D48" s="2480"/>
      <c r="E48" s="2671"/>
      <c r="F48" s="2480"/>
      <c r="G48" s="238"/>
      <c r="I48" s="930"/>
      <c r="J48" s="782" t="s">
        <v>806</v>
      </c>
      <c r="K48" s="946">
        <v>30</v>
      </c>
      <c r="L48" s="937"/>
    </row>
    <row r="49" spans="1:12" ht="19.5" customHeight="1" thickBot="1">
      <c r="A49" s="93"/>
      <c r="B49" s="933"/>
      <c r="C49" s="940"/>
      <c r="D49" s="940"/>
      <c r="E49" s="940"/>
      <c r="F49" s="940"/>
      <c r="G49" s="114"/>
      <c r="I49" s="930"/>
      <c r="J49" s="951" t="s">
        <v>1019</v>
      </c>
      <c r="K49" s="946">
        <v>30</v>
      </c>
      <c r="L49" s="937"/>
    </row>
    <row r="50" spans="1:12" ht="19.5" customHeight="1">
      <c r="A50" s="3049" t="s">
        <v>578</v>
      </c>
      <c r="B50" s="3053"/>
      <c r="C50" s="3099" t="s">
        <v>587</v>
      </c>
      <c r="D50" s="3100"/>
      <c r="E50" s="3099" t="s">
        <v>587</v>
      </c>
      <c r="F50" s="3100"/>
      <c r="G50" s="670"/>
      <c r="I50" s="930"/>
      <c r="J50" s="951" t="s">
        <v>187</v>
      </c>
      <c r="K50" s="946">
        <v>30</v>
      </c>
      <c r="L50" s="937"/>
    </row>
    <row r="51" spans="1:12" ht="19.5" customHeight="1">
      <c r="A51" s="3054" t="s">
        <v>590</v>
      </c>
      <c r="B51" s="600" t="s">
        <v>579</v>
      </c>
      <c r="C51" s="628" t="s">
        <v>595</v>
      </c>
      <c r="D51" s="628" t="s">
        <v>596</v>
      </c>
      <c r="E51" s="628" t="s">
        <v>595</v>
      </c>
      <c r="F51" s="628" t="s">
        <v>596</v>
      </c>
      <c r="G51" s="671"/>
      <c r="I51" s="930"/>
      <c r="J51" s="951" t="s">
        <v>813</v>
      </c>
      <c r="K51" s="946">
        <v>30</v>
      </c>
      <c r="L51" s="937"/>
    </row>
    <row r="52" spans="1:12" ht="19.5" customHeight="1">
      <c r="A52" s="3055"/>
      <c r="B52" s="601" t="s">
        <v>583</v>
      </c>
      <c r="C52" s="633">
        <f>C54*2</f>
        <v>140</v>
      </c>
      <c r="D52" s="633">
        <f t="shared" ref="D52:F52" si="0">D54*2</f>
        <v>140</v>
      </c>
      <c r="E52" s="633">
        <f t="shared" si="0"/>
        <v>150</v>
      </c>
      <c r="F52" s="633">
        <f t="shared" si="0"/>
        <v>270</v>
      </c>
      <c r="G52" s="671"/>
      <c r="I52" s="930"/>
      <c r="J52" s="951" t="s">
        <v>814</v>
      </c>
      <c r="K52" s="946">
        <v>30</v>
      </c>
      <c r="L52" s="937"/>
    </row>
    <row r="53" spans="1:12" ht="19.5" customHeight="1">
      <c r="A53" s="3055"/>
      <c r="B53" s="601" t="s">
        <v>584</v>
      </c>
      <c r="C53" s="263">
        <f>C54*1.5</f>
        <v>105</v>
      </c>
      <c r="D53" s="263">
        <f t="shared" ref="D53:F53" si="1">D54*1.5</f>
        <v>105</v>
      </c>
      <c r="E53" s="263">
        <f t="shared" si="1"/>
        <v>112.5</v>
      </c>
      <c r="F53" s="263">
        <f t="shared" si="1"/>
        <v>202.5</v>
      </c>
      <c r="G53" s="671"/>
      <c r="I53" s="930"/>
      <c r="J53" s="951" t="s">
        <v>815</v>
      </c>
      <c r="K53" s="946">
        <v>30</v>
      </c>
      <c r="L53" s="937"/>
    </row>
    <row r="54" spans="1:12" ht="19.5" customHeight="1">
      <c r="A54" s="3055"/>
      <c r="B54" s="601" t="s">
        <v>585</v>
      </c>
      <c r="C54" s="605">
        <f>C8*0.1</f>
        <v>70</v>
      </c>
      <c r="D54" s="605">
        <f>C8*0.1</f>
        <v>70</v>
      </c>
      <c r="E54" s="605">
        <f>E8*0.1</f>
        <v>75</v>
      </c>
      <c r="F54" s="629">
        <f>E8*0.18</f>
        <v>135</v>
      </c>
      <c r="G54" s="671"/>
      <c r="I54" s="930"/>
      <c r="J54" s="951" t="s">
        <v>180</v>
      </c>
      <c r="K54" s="946">
        <v>25</v>
      </c>
      <c r="L54" s="937"/>
    </row>
    <row r="55" spans="1:12" ht="19.5" customHeight="1">
      <c r="A55" s="2959"/>
      <c r="B55" s="627" t="s">
        <v>586</v>
      </c>
      <c r="C55" s="620">
        <f>C54*0.5</f>
        <v>35</v>
      </c>
      <c r="D55" s="272">
        <f>D54*0.5</f>
        <v>35</v>
      </c>
      <c r="E55" s="620">
        <f>E54*0.5</f>
        <v>37.5</v>
      </c>
      <c r="F55" s="630">
        <f>F54*0.5</f>
        <v>67.5</v>
      </c>
      <c r="G55" s="671"/>
      <c r="J55" s="951" t="s">
        <v>807</v>
      </c>
      <c r="K55" s="946">
        <v>25</v>
      </c>
    </row>
    <row r="56" spans="1:12" ht="19.5" customHeight="1">
      <c r="A56" s="3101"/>
      <c r="B56" s="3058" t="s">
        <v>588</v>
      </c>
      <c r="C56" s="3102" t="s">
        <v>591</v>
      </c>
      <c r="D56" s="2456"/>
      <c r="E56" s="2456"/>
      <c r="F56" s="2486"/>
      <c r="G56" s="671"/>
      <c r="J56" s="782" t="s">
        <v>808</v>
      </c>
      <c r="K56" s="946">
        <v>25</v>
      </c>
    </row>
    <row r="57" spans="1:12" ht="36" customHeight="1" thickBot="1">
      <c r="A57" s="3057"/>
      <c r="B57" s="3059"/>
      <c r="C57" s="3097"/>
      <c r="D57" s="3103"/>
      <c r="E57" s="3103"/>
      <c r="F57" s="2576"/>
      <c r="G57" s="672"/>
      <c r="J57" s="782" t="s">
        <v>816</v>
      </c>
      <c r="K57" s="946">
        <v>10</v>
      </c>
    </row>
    <row r="58" spans="1:12" ht="19.5" customHeight="1">
      <c r="A58" s="93"/>
      <c r="B58" s="1185"/>
      <c r="C58" s="1771"/>
      <c r="D58" s="1771"/>
      <c r="E58" s="1771"/>
      <c r="F58" s="1771"/>
      <c r="G58" s="114"/>
      <c r="J58" s="782" t="s">
        <v>181</v>
      </c>
      <c r="K58" s="946">
        <v>10</v>
      </c>
    </row>
    <row r="59" spans="1:12" ht="19.5" customHeight="1">
      <c r="A59" s="93"/>
      <c r="B59" s="933"/>
      <c r="C59" s="940"/>
      <c r="D59" s="940"/>
      <c r="E59" s="940"/>
      <c r="F59" s="940"/>
      <c r="G59" s="114"/>
      <c r="J59" s="782" t="s">
        <v>188</v>
      </c>
      <c r="K59" s="946">
        <v>5</v>
      </c>
    </row>
    <row r="60" spans="1:12" ht="52.5" customHeight="1">
      <c r="A60" s="103" t="s">
        <v>167</v>
      </c>
      <c r="B60" s="3051" t="s">
        <v>504</v>
      </c>
      <c r="C60" s="2413"/>
      <c r="D60" s="2413"/>
      <c r="E60" s="2413"/>
      <c r="F60" s="2413"/>
      <c r="G60" s="2413"/>
      <c r="H60"/>
      <c r="J60" s="782" t="s">
        <v>182</v>
      </c>
      <c r="K60" s="946">
        <v>3</v>
      </c>
    </row>
    <row r="61" spans="1:12" ht="52.5" customHeight="1">
      <c r="A61" s="254" t="s">
        <v>393</v>
      </c>
      <c r="B61" s="3051" t="s">
        <v>451</v>
      </c>
      <c r="C61" s="2413"/>
      <c r="D61" s="2413"/>
      <c r="E61" s="2413"/>
      <c r="F61" s="2413"/>
      <c r="G61" s="2413"/>
    </row>
    <row r="62" spans="1:12" ht="52.5" customHeight="1">
      <c r="A62" s="254" t="s">
        <v>398</v>
      </c>
      <c r="B62" s="3051" t="s">
        <v>473</v>
      </c>
      <c r="C62" s="2413"/>
      <c r="D62" s="2413"/>
      <c r="E62" s="2413"/>
      <c r="F62" s="2413"/>
      <c r="G62" s="2413"/>
    </row>
    <row r="63" spans="1:12" ht="52.5" customHeight="1">
      <c r="A63" s="970" t="s">
        <v>396</v>
      </c>
      <c r="B63" s="3051" t="s">
        <v>474</v>
      </c>
      <c r="C63" s="2736"/>
      <c r="D63" s="2736"/>
      <c r="E63" s="2736"/>
      <c r="F63" s="2736"/>
      <c r="G63" s="2736"/>
    </row>
    <row r="64" spans="1:12" ht="27.75" customHeight="1">
      <c r="A64" s="122"/>
      <c r="B64"/>
      <c r="C64"/>
      <c r="D64"/>
      <c r="E64"/>
      <c r="F64"/>
    </row>
    <row r="65" spans="1:11" ht="25.5" customHeight="1">
      <c r="A65" s="122"/>
      <c r="B65"/>
      <c r="C65" s="1"/>
      <c r="D65" s="1"/>
      <c r="E65" s="1"/>
      <c r="F65" s="1"/>
      <c r="G65" s="969" t="s">
        <v>130</v>
      </c>
    </row>
    <row r="66" spans="1:11" ht="36.75" customHeight="1">
      <c r="A66" s="122"/>
      <c r="B66"/>
      <c r="C66"/>
      <c r="D66"/>
      <c r="E66"/>
      <c r="F66"/>
      <c r="G66" s="969" t="s">
        <v>131</v>
      </c>
    </row>
    <row r="67" spans="1:11" ht="29.25" customHeight="1">
      <c r="A67" s="122"/>
      <c r="B67" s="969" t="s">
        <v>128</v>
      </c>
      <c r="G67" s="969" t="s">
        <v>427</v>
      </c>
    </row>
    <row r="68" spans="1:11" ht="36.75" customHeight="1">
      <c r="A68" s="122"/>
      <c r="B68" s="969" t="s">
        <v>33</v>
      </c>
      <c r="C68" s="969" t="s">
        <v>129</v>
      </c>
      <c r="G68" s="122" t="s">
        <v>452</v>
      </c>
      <c r="H68"/>
    </row>
    <row r="69" spans="1:11" ht="54.75" customHeight="1">
      <c r="A69" s="122"/>
      <c r="B69" s="969">
        <v>450</v>
      </c>
      <c r="C69" s="969">
        <v>140</v>
      </c>
      <c r="G69" s="969">
        <f>(B69*0.17+90)*0.9</f>
        <v>149.85</v>
      </c>
      <c r="H69"/>
      <c r="K69"/>
    </row>
    <row r="70" spans="1:11" ht="51.75" customHeight="1">
      <c r="A70" s="122"/>
      <c r="B70" s="969">
        <v>550</v>
      </c>
      <c r="C70" s="969">
        <v>155</v>
      </c>
      <c r="G70" s="969">
        <f>(B70*0.16+92)*0.9</f>
        <v>162</v>
      </c>
      <c r="H70"/>
      <c r="I70"/>
      <c r="K70"/>
    </row>
    <row r="71" spans="1:11" ht="42" customHeight="1">
      <c r="A71" s="122"/>
      <c r="B71" s="969">
        <v>650</v>
      </c>
      <c r="C71" s="969">
        <v>170</v>
      </c>
      <c r="G71" s="969">
        <f>(B71*0.15+94)*0.9</f>
        <v>172.35</v>
      </c>
      <c r="H71"/>
      <c r="I71"/>
      <c r="K71"/>
    </row>
    <row r="72" spans="1:11">
      <c r="A72" s="122"/>
      <c r="B72" s="969">
        <v>750</v>
      </c>
      <c r="C72" s="969">
        <v>180</v>
      </c>
      <c r="G72" s="969">
        <f>(B72*0.14+96)*0.9</f>
        <v>180.9</v>
      </c>
      <c r="H72"/>
      <c r="K72"/>
    </row>
    <row r="73" spans="1:11">
      <c r="A73" s="122"/>
      <c r="B73" s="969">
        <v>850</v>
      </c>
      <c r="C73" s="969">
        <v>190</v>
      </c>
      <c r="G73" s="969">
        <f>(B73*0.13+98)*0.9</f>
        <v>187.65</v>
      </c>
      <c r="H73"/>
      <c r="K73"/>
    </row>
    <row r="74" spans="1:11">
      <c r="A74" s="122"/>
      <c r="B74" s="969">
        <v>950</v>
      </c>
      <c r="C74" s="969">
        <v>200</v>
      </c>
      <c r="G74" s="969">
        <f>(B74*0.12+100)*0.9</f>
        <v>192.6</v>
      </c>
      <c r="H74"/>
      <c r="K74"/>
    </row>
    <row r="75" spans="1:11">
      <c r="A75" s="122"/>
      <c r="B75"/>
      <c r="C75"/>
      <c r="D75"/>
      <c r="E75"/>
      <c r="F75"/>
      <c r="H75"/>
      <c r="K75"/>
    </row>
    <row r="76" spans="1:11">
      <c r="A76" s="122"/>
      <c r="B76"/>
      <c r="C76"/>
      <c r="D76"/>
      <c r="E76"/>
      <c r="F76"/>
      <c r="H76"/>
      <c r="K76"/>
    </row>
    <row r="77" spans="1:11">
      <c r="A77" s="122"/>
      <c r="B77"/>
      <c r="C77"/>
      <c r="D77"/>
      <c r="E77"/>
      <c r="F77"/>
      <c r="H77"/>
      <c r="K77"/>
    </row>
    <row r="78" spans="1:11">
      <c r="A78" s="122"/>
      <c r="B78"/>
      <c r="C78"/>
      <c r="D78"/>
      <c r="E78"/>
      <c r="F78"/>
      <c r="H78"/>
      <c r="K78"/>
    </row>
    <row r="79" spans="1:11">
      <c r="A79" s="122"/>
      <c r="B79"/>
      <c r="C79"/>
      <c r="D79"/>
      <c r="E79"/>
      <c r="F79"/>
      <c r="H79"/>
      <c r="I79"/>
      <c r="K79"/>
    </row>
    <row r="80" spans="1:11">
      <c r="A80" s="122"/>
      <c r="B80" s="969"/>
      <c r="C80"/>
      <c r="D80"/>
      <c r="E80"/>
      <c r="F80"/>
      <c r="G80" s="969"/>
      <c r="H80"/>
      <c r="I80"/>
      <c r="K80"/>
    </row>
    <row r="81" spans="1:11">
      <c r="A81" s="122"/>
      <c r="B81" s="969"/>
      <c r="C81"/>
      <c r="D81"/>
      <c r="E81"/>
      <c r="F81"/>
      <c r="G81" s="969"/>
      <c r="H81"/>
      <c r="I81"/>
      <c r="K81"/>
    </row>
    <row r="82" spans="1:11">
      <c r="A82" s="122"/>
      <c r="B82" s="969"/>
      <c r="C82"/>
      <c r="D82"/>
      <c r="E82"/>
      <c r="F82"/>
      <c r="G82" s="969"/>
      <c r="H82"/>
      <c r="I82"/>
      <c r="K82"/>
    </row>
    <row r="83" spans="1:11">
      <c r="A83" s="122"/>
      <c r="B83" s="969"/>
      <c r="C83"/>
      <c r="D83"/>
      <c r="E83"/>
      <c r="F83"/>
      <c r="G83" s="969"/>
      <c r="H83"/>
      <c r="I83"/>
      <c r="K83"/>
    </row>
    <row r="84" spans="1:11">
      <c r="A84" s="122"/>
      <c r="B84" s="969"/>
      <c r="C84"/>
      <c r="D84"/>
      <c r="E84"/>
      <c r="F84"/>
      <c r="G84" s="969"/>
      <c r="H84"/>
      <c r="I84"/>
      <c r="J84" s="969"/>
      <c r="K84"/>
    </row>
    <row r="85" spans="1:11">
      <c r="A85" s="122"/>
      <c r="B85" s="969"/>
      <c r="C85"/>
      <c r="D85"/>
      <c r="E85"/>
      <c r="F85"/>
      <c r="G85" s="969"/>
      <c r="H85"/>
      <c r="I85"/>
      <c r="J85" s="969"/>
      <c r="K85"/>
    </row>
    <row r="86" spans="1:11">
      <c r="A86" s="122"/>
      <c r="B86" s="969"/>
      <c r="C86"/>
      <c r="D86"/>
      <c r="E86"/>
      <c r="F86"/>
      <c r="G86" s="969"/>
      <c r="H86"/>
      <c r="I86"/>
      <c r="J86" s="969"/>
      <c r="K86"/>
    </row>
    <row r="87" spans="1:11">
      <c r="A87" s="122"/>
      <c r="B87" s="969"/>
      <c r="C87"/>
      <c r="D87"/>
      <c r="E87"/>
      <c r="F87"/>
      <c r="G87" s="969"/>
      <c r="H87"/>
      <c r="I87"/>
      <c r="J87" s="969"/>
      <c r="K87"/>
    </row>
    <row r="88" spans="1:11">
      <c r="A88" s="122"/>
      <c r="B88" s="969"/>
      <c r="C88"/>
      <c r="D88"/>
      <c r="E88"/>
      <c r="F88"/>
      <c r="G88" s="969"/>
      <c r="H88"/>
      <c r="I88"/>
      <c r="J88" s="969"/>
      <c r="K88"/>
    </row>
    <row r="89" spans="1:11">
      <c r="A89" s="122"/>
      <c r="B89" s="969"/>
      <c r="C89"/>
      <c r="D89"/>
      <c r="E89"/>
      <c r="F89"/>
      <c r="G89" s="969"/>
      <c r="H89"/>
      <c r="I89"/>
      <c r="J89" s="969"/>
      <c r="K89"/>
    </row>
    <row r="90" spans="1:11">
      <c r="A90" s="122"/>
      <c r="B90" s="969"/>
      <c r="C90"/>
      <c r="D90"/>
      <c r="E90"/>
      <c r="F90"/>
      <c r="G90" s="969"/>
      <c r="H90"/>
      <c r="I90"/>
      <c r="J90" s="969"/>
      <c r="K90"/>
    </row>
    <row r="91" spans="1:11">
      <c r="A91" s="122"/>
      <c r="B91" s="969"/>
      <c r="C91"/>
      <c r="D91"/>
      <c r="E91"/>
      <c r="F91"/>
      <c r="G91" s="969"/>
      <c r="H91"/>
      <c r="I91"/>
      <c r="J91" s="969"/>
      <c r="K91"/>
    </row>
    <row r="92" spans="1:11">
      <c r="A92" s="122"/>
      <c r="B92" s="969"/>
      <c r="C92"/>
      <c r="D92"/>
      <c r="E92"/>
      <c r="F92"/>
      <c r="G92" s="969"/>
      <c r="H92"/>
      <c r="I92"/>
      <c r="J92" s="969"/>
      <c r="K92"/>
    </row>
    <row r="93" spans="1:11">
      <c r="A93" s="122"/>
      <c r="B93" s="969"/>
      <c r="C93"/>
      <c r="D93"/>
      <c r="E93"/>
      <c r="F93"/>
      <c r="G93" s="969"/>
      <c r="H93"/>
      <c r="I93"/>
      <c r="J93" s="969"/>
      <c r="K93"/>
    </row>
    <row r="94" spans="1:11">
      <c r="A94" s="2"/>
      <c r="B94" s="969"/>
      <c r="C94"/>
      <c r="D94"/>
      <c r="E94"/>
      <c r="F94"/>
      <c r="G94" s="969"/>
      <c r="H94"/>
      <c r="I94"/>
      <c r="J94" s="969"/>
      <c r="K94"/>
    </row>
    <row r="95" spans="1:11">
      <c r="A95" s="122"/>
      <c r="B95" s="969"/>
      <c r="C95"/>
      <c r="D95"/>
      <c r="E95"/>
      <c r="F95"/>
      <c r="G95" s="969"/>
      <c r="H95"/>
      <c r="I95"/>
      <c r="J95" s="969"/>
      <c r="K95"/>
    </row>
    <row r="96" spans="1:11">
      <c r="A96" s="122"/>
      <c r="B96" s="969"/>
      <c r="C96"/>
      <c r="D96"/>
      <c r="E96"/>
      <c r="F96"/>
      <c r="G96" s="969"/>
      <c r="H96"/>
      <c r="I96"/>
      <c r="J96" s="969"/>
      <c r="K96"/>
    </row>
    <row r="97" spans="1:11">
      <c r="A97" s="122"/>
      <c r="B97" s="969"/>
      <c r="C97"/>
      <c r="D97"/>
      <c r="E97"/>
      <c r="F97"/>
      <c r="G97" s="969"/>
      <c r="H97"/>
      <c r="I97"/>
      <c r="J97" s="969"/>
      <c r="K97"/>
    </row>
    <row r="98" spans="1:11">
      <c r="A98" s="122"/>
      <c r="B98" s="969"/>
      <c r="C98"/>
      <c r="D98"/>
      <c r="E98"/>
      <c r="F98"/>
      <c r="G98" s="969"/>
      <c r="H98"/>
      <c r="I98"/>
      <c r="J98" s="969"/>
      <c r="K98"/>
    </row>
    <row r="99" spans="1:11">
      <c r="A99" s="122"/>
      <c r="B99" s="969"/>
      <c r="C99"/>
      <c r="D99"/>
      <c r="E99"/>
      <c r="F99"/>
      <c r="G99" s="969"/>
      <c r="H99"/>
      <c r="I99"/>
      <c r="J99" s="969"/>
      <c r="K99"/>
    </row>
    <row r="100" spans="1:11">
      <c r="A100" s="122"/>
      <c r="B100" s="969"/>
      <c r="C100"/>
      <c r="D100"/>
      <c r="E100"/>
      <c r="F100"/>
      <c r="G100" s="969"/>
      <c r="H100"/>
      <c r="I100"/>
      <c r="J100" s="969"/>
      <c r="K100"/>
    </row>
    <row r="101" spans="1:11">
      <c r="A101" s="122"/>
      <c r="B101" s="969"/>
      <c r="C101"/>
      <c r="D101"/>
      <c r="E101"/>
      <c r="F101"/>
      <c r="G101" s="969"/>
      <c r="H101"/>
      <c r="I101"/>
      <c r="J101" s="969"/>
      <c r="K101"/>
    </row>
    <row r="102" spans="1:11">
      <c r="A102" s="122"/>
      <c r="B102" s="969"/>
      <c r="C102"/>
      <c r="D102"/>
      <c r="E102"/>
      <c r="F102"/>
      <c r="G102" s="969"/>
      <c r="H102"/>
      <c r="I102"/>
      <c r="J102" s="969"/>
      <c r="K102"/>
    </row>
    <row r="103" spans="1:11">
      <c r="A103" s="122"/>
      <c r="B103" s="969"/>
      <c r="C103"/>
      <c r="D103"/>
      <c r="E103"/>
      <c r="F103"/>
      <c r="G103" s="969"/>
      <c r="H103"/>
      <c r="I103"/>
      <c r="J103" s="969"/>
      <c r="K103"/>
    </row>
    <row r="104" spans="1:11">
      <c r="A104" s="122"/>
      <c r="B104" s="969"/>
      <c r="C104"/>
      <c r="D104"/>
      <c r="E104"/>
      <c r="F104"/>
      <c r="G104" s="969"/>
      <c r="H104"/>
      <c r="I104"/>
      <c r="J104" s="969"/>
      <c r="K104"/>
    </row>
    <row r="105" spans="1:11">
      <c r="A105" s="122"/>
      <c r="B105" s="969"/>
      <c r="C105"/>
      <c r="D105"/>
      <c r="E105"/>
      <c r="F105"/>
      <c r="G105" s="969"/>
      <c r="H105"/>
      <c r="I105"/>
      <c r="J105" s="969"/>
      <c r="K105"/>
    </row>
    <row r="106" spans="1:11">
      <c r="A106" s="122"/>
      <c r="B106" s="969"/>
      <c r="C106"/>
      <c r="D106"/>
      <c r="E106"/>
      <c r="F106"/>
      <c r="G106" s="969"/>
      <c r="H106"/>
      <c r="I106"/>
      <c r="J106" s="969"/>
      <c r="K106"/>
    </row>
    <row r="107" spans="1:11">
      <c r="A107" s="122"/>
      <c r="B107" s="969"/>
      <c r="C107"/>
      <c r="D107"/>
      <c r="E107"/>
      <c r="F107"/>
      <c r="G107" s="969"/>
      <c r="I107"/>
      <c r="J107" s="969"/>
      <c r="K107"/>
    </row>
    <row r="108" spans="1:11">
      <c r="A108" s="122"/>
      <c r="B108" s="969"/>
      <c r="C108"/>
      <c r="D108"/>
      <c r="E108"/>
      <c r="F108"/>
      <c r="G108" s="969"/>
      <c r="I108"/>
      <c r="J108" s="969"/>
      <c r="K108"/>
    </row>
    <row r="109" spans="1:11">
      <c r="A109" s="122"/>
      <c r="B109" s="969"/>
      <c r="C109"/>
      <c r="D109"/>
      <c r="E109"/>
      <c r="F109"/>
      <c r="G109" s="969"/>
      <c r="I109"/>
      <c r="J109" s="969"/>
      <c r="K109"/>
    </row>
    <row r="110" spans="1:11">
      <c r="A110" s="122"/>
      <c r="B110" s="969"/>
      <c r="C110"/>
      <c r="D110"/>
      <c r="E110"/>
      <c r="F110"/>
      <c r="G110" s="969"/>
      <c r="I110"/>
      <c r="J110" s="969"/>
      <c r="K110"/>
    </row>
    <row r="111" spans="1:11">
      <c r="A111" s="122"/>
      <c r="B111" s="969"/>
      <c r="C111"/>
      <c r="D111"/>
      <c r="E111"/>
      <c r="F111"/>
      <c r="G111" s="969"/>
      <c r="I111"/>
      <c r="J111" s="969"/>
      <c r="K111"/>
    </row>
    <row r="112" spans="1:11">
      <c r="A112" s="122"/>
      <c r="B112" s="969"/>
      <c r="C112"/>
      <c r="D112"/>
      <c r="E112"/>
      <c r="F112"/>
      <c r="G112" s="969"/>
      <c r="I112"/>
      <c r="J112" s="969"/>
      <c r="K112"/>
    </row>
    <row r="113" spans="1:15">
      <c r="I113"/>
      <c r="J113" s="969"/>
      <c r="K113"/>
    </row>
    <row r="114" spans="1:15">
      <c r="I114"/>
      <c r="J114" s="969"/>
      <c r="K114"/>
    </row>
    <row r="115" spans="1:15">
      <c r="I115"/>
      <c r="J115" s="969"/>
      <c r="K115"/>
    </row>
    <row r="116" spans="1:15">
      <c r="I116"/>
      <c r="J116" s="969"/>
      <c r="K116"/>
    </row>
    <row r="117" spans="1:15">
      <c r="I117"/>
    </row>
    <row r="118" spans="1:15" s="969" customFormat="1">
      <c r="A118" s="173"/>
      <c r="B118" s="122"/>
      <c r="G118"/>
      <c r="J118"/>
      <c r="L118"/>
      <c r="M118"/>
      <c r="N118"/>
      <c r="O118"/>
    </row>
    <row r="119" spans="1:15" s="969" customFormat="1">
      <c r="A119" s="173"/>
      <c r="B119" s="122"/>
      <c r="G119"/>
      <c r="J119"/>
      <c r="L119"/>
      <c r="M119"/>
      <c r="N119"/>
      <c r="O119"/>
    </row>
    <row r="120" spans="1:15" s="969" customFormat="1">
      <c r="A120" s="173"/>
      <c r="B120" s="122"/>
      <c r="G120"/>
      <c r="J120"/>
      <c r="L120"/>
      <c r="M120"/>
      <c r="N120"/>
      <c r="O120"/>
    </row>
  </sheetData>
  <sheetProtection formatCells="0" formatColumns="0" formatRows="0" selectLockedCells="1"/>
  <mergeCells count="93">
    <mergeCell ref="C8:D8"/>
    <mergeCell ref="E8:F8"/>
    <mergeCell ref="A5:G5"/>
    <mergeCell ref="A6:B6"/>
    <mergeCell ref="C6:F6"/>
    <mergeCell ref="C7:D7"/>
    <mergeCell ref="E7:F7"/>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A21:G21"/>
    <mergeCell ref="H21:H22"/>
    <mergeCell ref="C22:F22"/>
    <mergeCell ref="C18:D18"/>
    <mergeCell ref="E18:F18"/>
    <mergeCell ref="C19:D19"/>
    <mergeCell ref="E19:F19"/>
    <mergeCell ref="C23:D23"/>
    <mergeCell ref="E23:F23"/>
    <mergeCell ref="C24:D24"/>
    <mergeCell ref="E24:F24"/>
    <mergeCell ref="C25:D25"/>
    <mergeCell ref="E25:F25"/>
    <mergeCell ref="C29:D29"/>
    <mergeCell ref="E29:F29"/>
    <mergeCell ref="C30:F30"/>
    <mergeCell ref="C32:F32"/>
    <mergeCell ref="C26:D26"/>
    <mergeCell ref="E26:F26"/>
    <mergeCell ref="C27:D27"/>
    <mergeCell ref="E27:F27"/>
    <mergeCell ref="C28:D28"/>
    <mergeCell ref="E28:F28"/>
    <mergeCell ref="L41:L42"/>
    <mergeCell ref="C33:D33"/>
    <mergeCell ref="E33:F33"/>
    <mergeCell ref="A34:A35"/>
    <mergeCell ref="C34:D34"/>
    <mergeCell ref="E34:F34"/>
    <mergeCell ref="G34:G35"/>
    <mergeCell ref="C35:D35"/>
    <mergeCell ref="E35:F35"/>
    <mergeCell ref="G37:G38"/>
    <mergeCell ref="C38:D38"/>
    <mergeCell ref="E38:F38"/>
    <mergeCell ref="C36:D36"/>
    <mergeCell ref="E36:F36"/>
    <mergeCell ref="C44:D44"/>
    <mergeCell ref="E44:F44"/>
    <mergeCell ref="C39:D39"/>
    <mergeCell ref="E39:F39"/>
    <mergeCell ref="A37:A38"/>
    <mergeCell ref="C37:D37"/>
    <mergeCell ref="E37:F37"/>
    <mergeCell ref="C40:D40"/>
    <mergeCell ref="E40:F40"/>
    <mergeCell ref="C41:D41"/>
    <mergeCell ref="E41:F41"/>
    <mergeCell ref="C43:F43"/>
    <mergeCell ref="C45:D45"/>
    <mergeCell ref="E45:F45"/>
    <mergeCell ref="C46:D46"/>
    <mergeCell ref="E46:F46"/>
    <mergeCell ref="C47:D47"/>
    <mergeCell ref="E47:F47"/>
    <mergeCell ref="B63:G63"/>
    <mergeCell ref="C48:D48"/>
    <mergeCell ref="E48:F48"/>
    <mergeCell ref="B60:G60"/>
    <mergeCell ref="B61:G61"/>
    <mergeCell ref="B62:G62"/>
    <mergeCell ref="A50:B50"/>
    <mergeCell ref="C50:D50"/>
    <mergeCell ref="E50:F50"/>
    <mergeCell ref="A51:A55"/>
    <mergeCell ref="A56:A57"/>
    <mergeCell ref="B56:B57"/>
    <mergeCell ref="C56:F57"/>
  </mergeCells>
  <dataValidations count="7">
    <dataValidation type="list" allowBlank="1" sqref="G15 B15">
      <formula1>$J$22:$J$32</formula1>
    </dataValidation>
    <dataValidation type="list" allowBlank="1" showInputMessage="1" showErrorMessage="1" sqref="G25">
      <formula1>M22:M28</formula1>
    </dataValidation>
    <dataValidation type="list" allowBlank="1" showInputMessage="1" showErrorMessage="1" sqref="B25">
      <formula1>M22:M28</formula1>
    </dataValidation>
    <dataValidation type="list" allowBlank="1" showInputMessage="1" showErrorMessage="1" sqref="C44 E44">
      <mc:AlternateContent xmlns:x12ac="http://schemas.microsoft.com/office/spreadsheetml/2011/1/ac" xmlns:mc="http://schemas.openxmlformats.org/markup-compatibility/2006">
        <mc:Choice Requires="x12ac">
          <x12ac:list>"0,11","0,12","0,13","0,14","0,15","0,16","0,17","0,18"</x12ac:list>
        </mc:Choice>
        <mc:Fallback>
          <formula1>"0,11,0,12,0,13,0,14,0,15,0,16,0,17,0,18"</formula1>
        </mc:Fallback>
      </mc:AlternateContent>
    </dataValidation>
    <dataValidation type="list" allowBlank="1" sqref="B18 G18">
      <formula1>"bis 4 %, größer 4 %"</formula1>
    </dataValidation>
    <dataValidation type="list" allowBlank="1" sqref="L8:L9">
      <formula1>"Humusgehalt"</formula1>
    </dataValidation>
    <dataValidation type="list" allowBlank="1" sqref="B16 G16">
      <formula1>Vorfrucht</formula1>
    </dataValidation>
  </dataValidations>
  <pageMargins left="0.7" right="0.7" top="0.78740157499999996" bottom="0.78740157499999996" header="0.3" footer="0.3"/>
  <pageSetup paperSize="9" scale="61" orientation="landscape" horizontalDpi="4294967293" verticalDpi="4294967293" r:id="rId1"/>
  <rowBreaks count="1" manualBreakCount="1">
    <brk id="59" max="5" man="1"/>
  </rowBreaks>
  <ignoredErrors>
    <ignoredError sqref="D54"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theme="0"/>
    <pageSetUpPr fitToPage="1"/>
  </sheetPr>
  <dimension ref="A1:M102"/>
  <sheetViews>
    <sheetView topLeftCell="A35" zoomScaleNormal="100" workbookViewId="0">
      <selection activeCell="C57" sqref="C57"/>
    </sheetView>
  </sheetViews>
  <sheetFormatPr baseColWidth="10" defaultRowHeight="15"/>
  <cols>
    <col min="1" max="1" width="40.7109375" style="174" customWidth="1"/>
    <col min="2" max="2" width="39.28515625" style="175" customWidth="1"/>
    <col min="3" max="3" width="24" style="934" customWidth="1"/>
    <col min="4" max="4" width="29.85546875" style="930" customWidth="1"/>
    <col min="5" max="5" width="18" style="930" customWidth="1"/>
    <col min="6" max="6" width="32.42578125" style="930" customWidth="1"/>
    <col min="7" max="7" width="34.5703125" style="930" customWidth="1"/>
    <col min="8" max="8" width="24.140625" style="934" customWidth="1"/>
    <col min="9" max="9" width="21.85546875" style="930" customWidth="1"/>
    <col min="10" max="10" width="25.7109375" style="934" customWidth="1"/>
    <col min="11" max="11" width="17.85546875" style="934" customWidth="1"/>
    <col min="12" max="16384" width="11.42578125" style="930"/>
  </cols>
  <sheetData>
    <row r="1" spans="1:11">
      <c r="B1" s="412" t="str">
        <f>'DüV-N-Ackerbau'!C1</f>
        <v>Karl vom Land</v>
      </c>
      <c r="C1" s="412" t="str">
        <f>'DüV-N-Ackerbau'!F1</f>
        <v>Erntejahr</v>
      </c>
      <c r="E1" s="12" t="s">
        <v>36</v>
      </c>
    </row>
    <row r="2" spans="1:11">
      <c r="B2" s="412" t="str">
        <f>'DüV-N-Ackerbau'!C2</f>
        <v>Höfen 1</v>
      </c>
      <c r="C2" s="412">
        <f>'DüV-N-Ackerbau'!G1</f>
        <v>2022</v>
      </c>
      <c r="E2" s="13" t="s">
        <v>34</v>
      </c>
    </row>
    <row r="3" spans="1:11">
      <c r="B3" s="412" t="str">
        <f>'DüV-N-Ackerbau'!C3</f>
        <v>12345 Auf dem Feld</v>
      </c>
      <c r="C3" s="174"/>
    </row>
    <row r="4" spans="1:11" ht="6" customHeight="1" thickBot="1"/>
    <row r="5" spans="1:11" ht="21.75" thickBot="1">
      <c r="A5" s="3046" t="s">
        <v>113</v>
      </c>
      <c r="B5" s="3047"/>
      <c r="C5" s="3047"/>
      <c r="D5" s="3048"/>
    </row>
    <row r="6" spans="1:11" ht="48" thickBot="1">
      <c r="A6" s="3049" t="s">
        <v>574</v>
      </c>
      <c r="B6" s="3050"/>
      <c r="C6" s="327" t="s">
        <v>573</v>
      </c>
      <c r="D6" s="472" t="s">
        <v>526</v>
      </c>
      <c r="G6" s="480"/>
      <c r="H6" s="479" t="s">
        <v>5</v>
      </c>
      <c r="I6" s="480"/>
      <c r="J6" s="480"/>
      <c r="K6" s="480"/>
    </row>
    <row r="7" spans="1:11" ht="15.75">
      <c r="A7" s="69"/>
      <c r="B7" s="48" t="s">
        <v>670</v>
      </c>
      <c r="C7" s="449">
        <v>40</v>
      </c>
      <c r="D7" s="445"/>
      <c r="G7" s="479" t="s">
        <v>6</v>
      </c>
      <c r="H7" s="480"/>
      <c r="I7" s="480"/>
      <c r="J7" s="480" t="s">
        <v>159</v>
      </c>
      <c r="K7" s="480"/>
    </row>
    <row r="8" spans="1:11" ht="15.75">
      <c r="A8" s="69"/>
      <c r="B8" s="48"/>
      <c r="C8" s="474" t="str">
        <f>IF(OR(C7&lt;20,C7&gt;100),"Sind Sie sicher?"," ")</f>
        <v xml:space="preserve"> </v>
      </c>
      <c r="D8" s="445"/>
      <c r="G8" s="480" t="s">
        <v>503</v>
      </c>
      <c r="H8" s="480">
        <v>0</v>
      </c>
      <c r="I8" s="480"/>
      <c r="J8" s="480" t="s">
        <v>160</v>
      </c>
      <c r="K8" s="480">
        <v>0</v>
      </c>
    </row>
    <row r="9" spans="1:11" ht="15.75">
      <c r="A9" s="69"/>
      <c r="B9" s="48"/>
      <c r="C9" s="471" t="s">
        <v>4</v>
      </c>
      <c r="D9" s="445"/>
      <c r="G9" s="480" t="s">
        <v>22</v>
      </c>
      <c r="H9" s="480">
        <v>10</v>
      </c>
      <c r="I9" s="480"/>
      <c r="J9" s="480" t="s">
        <v>161</v>
      </c>
      <c r="K9" s="480">
        <v>20</v>
      </c>
    </row>
    <row r="10" spans="1:11" ht="15.75">
      <c r="A10" s="69"/>
      <c r="B10" s="48" t="s">
        <v>37</v>
      </c>
      <c r="C10" s="958">
        <f>IF(C7&lt;=39,80+C7*3,(IF(C7&gt;=40,200+(C7-40)*2)))</f>
        <v>200</v>
      </c>
      <c r="D10" s="446"/>
      <c r="E10" s="174"/>
      <c r="G10" s="480" t="s">
        <v>528</v>
      </c>
      <c r="H10" s="480">
        <v>10</v>
      </c>
      <c r="I10" s="480"/>
      <c r="J10" s="480"/>
      <c r="K10" s="480"/>
    </row>
    <row r="11" spans="1:11" ht="18">
      <c r="A11" s="69"/>
      <c r="B11" s="48" t="s">
        <v>38</v>
      </c>
      <c r="C11" s="490">
        <v>15</v>
      </c>
      <c r="D11" s="446"/>
      <c r="G11" s="480" t="s">
        <v>7</v>
      </c>
      <c r="H11" s="480">
        <v>10</v>
      </c>
      <c r="I11" s="480"/>
      <c r="J11" s="479" t="s">
        <v>115</v>
      </c>
      <c r="K11" s="480"/>
    </row>
    <row r="12" spans="1:11" ht="18">
      <c r="A12" s="69"/>
      <c r="B12" s="48" t="s">
        <v>39</v>
      </c>
      <c r="C12" s="490">
        <v>10</v>
      </c>
      <c r="D12" s="446"/>
      <c r="G12" s="480" t="s">
        <v>17</v>
      </c>
      <c r="H12" s="480">
        <v>20</v>
      </c>
      <c r="I12" s="480"/>
      <c r="J12" s="480" t="s">
        <v>114</v>
      </c>
      <c r="K12" s="480">
        <v>15</v>
      </c>
    </row>
    <row r="13" spans="1:11" ht="18">
      <c r="A13" s="69"/>
      <c r="B13" s="48" t="s">
        <v>40</v>
      </c>
      <c r="C13" s="490">
        <v>5</v>
      </c>
      <c r="D13" s="446"/>
      <c r="G13" s="480" t="s">
        <v>23</v>
      </c>
      <c r="H13" s="480">
        <v>0</v>
      </c>
      <c r="I13" s="480"/>
      <c r="J13" s="480" t="s">
        <v>116</v>
      </c>
      <c r="K13" s="480">
        <v>7</v>
      </c>
    </row>
    <row r="14" spans="1:11">
      <c r="A14" s="69" t="s">
        <v>8</v>
      </c>
      <c r="B14" s="342" t="s">
        <v>31</v>
      </c>
      <c r="C14" s="53">
        <f>VLOOKUP(B14,G22:H32,2,FALSE)</f>
        <v>0</v>
      </c>
      <c r="D14" s="446"/>
      <c r="G14" s="480" t="s">
        <v>20</v>
      </c>
      <c r="H14" s="480">
        <v>20</v>
      </c>
      <c r="I14" s="480"/>
      <c r="J14" s="480" t="s">
        <v>117</v>
      </c>
      <c r="K14" s="480">
        <v>0</v>
      </c>
    </row>
    <row r="15" spans="1:11">
      <c r="A15" s="69" t="s">
        <v>6</v>
      </c>
      <c r="B15" s="342" t="s">
        <v>503</v>
      </c>
      <c r="C15" s="53">
        <f>VLOOKUP(B15,G8:H18,2,FALSE)</f>
        <v>0</v>
      </c>
      <c r="D15" s="446"/>
      <c r="G15" s="480" t="s">
        <v>19</v>
      </c>
      <c r="H15" s="480">
        <v>10</v>
      </c>
      <c r="I15" s="480"/>
      <c r="J15" s="480" t="s">
        <v>118</v>
      </c>
      <c r="K15" s="480">
        <v>-15</v>
      </c>
    </row>
    <row r="16" spans="1:11" ht="15.75">
      <c r="A16" s="69" t="s">
        <v>1057</v>
      </c>
      <c r="B16" s="933" t="s">
        <v>24</v>
      </c>
      <c r="C16" s="447"/>
      <c r="D16" s="446"/>
      <c r="E16" s="489" t="str">
        <f>IF(C16&gt;20,"Sind Sie sicher?"," ")</f>
        <v xml:space="preserve"> </v>
      </c>
      <c r="G16" s="480" t="s">
        <v>529</v>
      </c>
      <c r="H16" s="480">
        <v>0</v>
      </c>
      <c r="I16" s="480"/>
      <c r="J16" s="480" t="s">
        <v>119</v>
      </c>
      <c r="K16" s="480">
        <v>-25</v>
      </c>
    </row>
    <row r="17" spans="1:12" ht="15.75" thickBot="1">
      <c r="A17" s="69" t="s">
        <v>159</v>
      </c>
      <c r="B17" s="342" t="s">
        <v>160</v>
      </c>
      <c r="C17" s="76">
        <f>VLOOKUP(B17,J8:K9,2,FALSE)</f>
        <v>0</v>
      </c>
      <c r="D17" s="343"/>
      <c r="G17" s="480" t="s">
        <v>21</v>
      </c>
      <c r="H17" s="480">
        <v>10</v>
      </c>
      <c r="I17" s="480"/>
      <c r="J17" s="480" t="s">
        <v>121</v>
      </c>
      <c r="K17" s="480">
        <v>-35</v>
      </c>
    </row>
    <row r="18" spans="1:12" ht="16.5" thickBot="1">
      <c r="A18" s="283"/>
      <c r="B18" s="284" t="s">
        <v>468</v>
      </c>
      <c r="C18" s="276">
        <f>C10-SUM(C11:C17)</f>
        <v>170</v>
      </c>
      <c r="D18" s="285" t="s">
        <v>470</v>
      </c>
      <c r="G18" s="480" t="s">
        <v>18</v>
      </c>
      <c r="H18" s="480">
        <v>20</v>
      </c>
      <c r="I18" s="480"/>
      <c r="J18" s="480" t="s">
        <v>120</v>
      </c>
      <c r="K18" s="480">
        <v>-45</v>
      </c>
    </row>
    <row r="19" spans="1:12" ht="20.25" customHeight="1" thickBot="1">
      <c r="A19" s="48"/>
      <c r="B19" s="167"/>
      <c r="C19" s="11"/>
      <c r="D19" s="296"/>
      <c r="G19" s="521"/>
      <c r="H19" s="480"/>
      <c r="I19" s="478"/>
      <c r="J19" s="480"/>
      <c r="K19" s="480"/>
    </row>
    <row r="20" spans="1:12" ht="35.25" customHeight="1" thickBot="1">
      <c r="A20" s="3075" t="s">
        <v>577</v>
      </c>
      <c r="B20" s="3076"/>
      <c r="C20" s="270" t="s">
        <v>385</v>
      </c>
      <c r="D20" s="240" t="s">
        <v>336</v>
      </c>
      <c r="G20" s="521"/>
      <c r="H20" s="480"/>
      <c r="I20" s="478"/>
      <c r="J20" s="480"/>
      <c r="K20" s="480"/>
    </row>
    <row r="21" spans="1:12" ht="19.5" customHeight="1">
      <c r="A21" s="81" t="s">
        <v>35</v>
      </c>
      <c r="B21" s="345">
        <v>60</v>
      </c>
      <c r="C21" s="242">
        <f>IF(OR(B21&lt;1,B21&gt;100),"Zahl 0 bis 100 eingeben",(-0.0025*B21*B21+0.75*B21-26)*0.5)</f>
        <v>5</v>
      </c>
      <c r="D21" s="82" t="s">
        <v>163</v>
      </c>
      <c r="G21" s="479" t="s">
        <v>8</v>
      </c>
      <c r="H21" s="480"/>
      <c r="I21" s="480"/>
      <c r="J21" s="480"/>
      <c r="K21" s="480"/>
      <c r="L21" s="934"/>
    </row>
    <row r="22" spans="1:12" ht="19.5" customHeight="1">
      <c r="A22" s="81" t="s">
        <v>162</v>
      </c>
      <c r="B22" s="345">
        <v>200</v>
      </c>
      <c r="C22" s="59">
        <f>IF(OR(B22&lt;40,B22&gt;800),"gibt es nicht",(B22*0.025-1))</f>
        <v>4</v>
      </c>
      <c r="D22" s="82" t="s">
        <v>164</v>
      </c>
      <c r="G22" s="480" t="s">
        <v>31</v>
      </c>
      <c r="H22" s="480">
        <v>0</v>
      </c>
      <c r="I22" s="480"/>
      <c r="J22" s="479" t="s">
        <v>49</v>
      </c>
      <c r="K22" s="480"/>
      <c r="L22" s="934"/>
    </row>
    <row r="23" spans="1:12" ht="19.5" customHeight="1">
      <c r="A23" s="81" t="s">
        <v>51</v>
      </c>
      <c r="B23" s="342" t="s">
        <v>31</v>
      </c>
      <c r="C23" s="66">
        <f>VLOOKUP(B23,J23:K29,2,FALSE)</f>
        <v>0</v>
      </c>
      <c r="D23" s="83" t="s">
        <v>50</v>
      </c>
      <c r="G23" s="480" t="s">
        <v>25</v>
      </c>
      <c r="H23" s="480">
        <v>0</v>
      </c>
      <c r="I23" s="480"/>
      <c r="J23" s="1488" t="s">
        <v>1198</v>
      </c>
      <c r="K23" s="1488">
        <v>1</v>
      </c>
      <c r="L23" s="934"/>
    </row>
    <row r="24" spans="1:12" ht="19.5" customHeight="1">
      <c r="A24" s="81" t="s">
        <v>46</v>
      </c>
      <c r="B24" s="493">
        <v>0</v>
      </c>
      <c r="C24" s="54">
        <f>B24*10*C23</f>
        <v>0</v>
      </c>
      <c r="D24" s="82" t="s">
        <v>163</v>
      </c>
      <c r="G24" s="480" t="s">
        <v>26</v>
      </c>
      <c r="H24" s="480">
        <v>0</v>
      </c>
      <c r="I24" s="480"/>
      <c r="J24" s="1488" t="s">
        <v>184</v>
      </c>
      <c r="K24" s="1488">
        <v>0.5</v>
      </c>
      <c r="L24" s="934"/>
    </row>
    <row r="25" spans="1:12" ht="19.5" customHeight="1">
      <c r="A25" s="84" t="s">
        <v>47</v>
      </c>
      <c r="B25" s="492" t="str">
        <f>IF(B24&gt;3,"Sind Sie sicher?"," ")</f>
        <v xml:space="preserve"> </v>
      </c>
      <c r="C25" s="54"/>
      <c r="D25" s="82"/>
      <c r="G25" s="480" t="s">
        <v>27</v>
      </c>
      <c r="H25" s="480">
        <v>20</v>
      </c>
      <c r="I25" s="480"/>
      <c r="J25" s="1488" t="s">
        <v>1200</v>
      </c>
      <c r="K25" s="1488">
        <v>0.6</v>
      </c>
      <c r="L25" s="934"/>
    </row>
    <row r="26" spans="1:12" ht="30" customHeight="1">
      <c r="A26" s="241" t="s">
        <v>115</v>
      </c>
      <c r="B26" s="342" t="s">
        <v>120</v>
      </c>
      <c r="C26" s="54">
        <f>VLOOKUP(B26,J12:K18,2,FALSE)</f>
        <v>-45</v>
      </c>
      <c r="D26" s="82" t="s">
        <v>303</v>
      </c>
      <c r="G26" s="480" t="s">
        <v>28</v>
      </c>
      <c r="H26" s="480">
        <v>10</v>
      </c>
      <c r="I26" s="480"/>
      <c r="J26" s="1488" t="s">
        <v>1201</v>
      </c>
      <c r="K26" s="1488">
        <v>0.4</v>
      </c>
      <c r="L26" s="934"/>
    </row>
    <row r="27" spans="1:12" ht="30" customHeight="1" thickBot="1">
      <c r="A27" s="81"/>
      <c r="B27" s="87" t="s">
        <v>606</v>
      </c>
      <c r="C27" s="54"/>
      <c r="D27" s="88" t="s">
        <v>64</v>
      </c>
      <c r="G27" s="480" t="s">
        <v>29</v>
      </c>
      <c r="H27" s="480">
        <v>10</v>
      </c>
      <c r="I27" s="480"/>
      <c r="J27" s="1488" t="s">
        <v>1199</v>
      </c>
      <c r="K27" s="1488">
        <v>0.35</v>
      </c>
      <c r="L27" s="934"/>
    </row>
    <row r="28" spans="1:12" ht="23.25" customHeight="1">
      <c r="A28" s="155" t="s">
        <v>61</v>
      </c>
      <c r="B28" s="90">
        <f>B30*0.5+C22*0.6</f>
        <v>102.67000000000002</v>
      </c>
      <c r="C28" s="267">
        <f>B28-C11-C12*0.67+C26*0.33</f>
        <v>66.12</v>
      </c>
      <c r="D28" s="46" t="s">
        <v>434</v>
      </c>
      <c r="E28" s="14"/>
      <c r="G28" s="480" t="s">
        <v>673</v>
      </c>
      <c r="H28" s="480">
        <v>30</v>
      </c>
      <c r="I28" s="480"/>
      <c r="J28" s="1488" t="s">
        <v>48</v>
      </c>
      <c r="K28" s="1488">
        <v>0.3</v>
      </c>
      <c r="L28" s="934"/>
    </row>
    <row r="29" spans="1:12" ht="36" customHeight="1" thickBot="1">
      <c r="A29" s="155" t="s">
        <v>62</v>
      </c>
      <c r="B29" s="90">
        <f>B30*0.5+C22*0.4</f>
        <v>101.87</v>
      </c>
      <c r="C29" s="269">
        <f>B29-C12*0.33-C13*0.75-C14-C15-C16*0.65-C21-C24+C26*0.67</f>
        <v>59.67</v>
      </c>
      <c r="D29" s="46" t="s">
        <v>435</v>
      </c>
      <c r="G29" s="480" t="s">
        <v>30</v>
      </c>
      <c r="H29" s="480">
        <v>40</v>
      </c>
      <c r="I29" s="480"/>
      <c r="J29" s="1488" t="s">
        <v>31</v>
      </c>
      <c r="K29" s="1488">
        <v>0</v>
      </c>
      <c r="L29" s="934"/>
    </row>
    <row r="30" spans="1:12" ht="25.5" customHeight="1">
      <c r="A30" s="237" t="s">
        <v>143</v>
      </c>
      <c r="B30" s="98">
        <f>-0.0336*C7*C7+5.39*C7+38.7</f>
        <v>200.54000000000002</v>
      </c>
      <c r="C30" s="245">
        <f>C28+C29</f>
        <v>125.79</v>
      </c>
      <c r="D30" s="91" t="str">
        <f>IF(C30&gt;C18,"Obergrenze einhalten!!!"," ")</f>
        <v xml:space="preserve"> </v>
      </c>
      <c r="E30" s="114"/>
      <c r="F30" s="16"/>
      <c r="G30" s="480" t="s">
        <v>9</v>
      </c>
      <c r="H30" s="480">
        <v>0</v>
      </c>
      <c r="I30" s="480"/>
      <c r="J30" s="930"/>
      <c r="K30" s="930"/>
      <c r="L30" s="934"/>
    </row>
    <row r="31" spans="1:12">
      <c r="E31" s="114"/>
      <c r="G31" s="480" t="s">
        <v>10</v>
      </c>
      <c r="H31" s="480">
        <v>10</v>
      </c>
      <c r="J31" s="930"/>
      <c r="K31" s="930"/>
    </row>
    <row r="32" spans="1:12" ht="31.5">
      <c r="A32" s="404"/>
      <c r="B32" s="405"/>
      <c r="C32" s="406" t="s">
        <v>719</v>
      </c>
      <c r="D32" s="407"/>
      <c r="F32" s="932"/>
      <c r="G32" s="480" t="s">
        <v>31</v>
      </c>
      <c r="H32" s="480">
        <v>0</v>
      </c>
      <c r="J32" s="930"/>
      <c r="K32" s="930"/>
    </row>
    <row r="33" spans="1:11" ht="15.75">
      <c r="A33" s="408"/>
      <c r="B33" s="371" t="s">
        <v>42</v>
      </c>
      <c r="C33" s="409">
        <f>C18</f>
        <v>170</v>
      </c>
      <c r="D33" s="410" t="s">
        <v>4</v>
      </c>
      <c r="H33" s="930"/>
      <c r="J33" s="930"/>
      <c r="K33" s="930"/>
    </row>
    <row r="34" spans="1:11" ht="15.75">
      <c r="A34" s="3044" t="s">
        <v>702</v>
      </c>
      <c r="B34" s="775" t="s">
        <v>701</v>
      </c>
      <c r="C34" s="781">
        <v>0</v>
      </c>
      <c r="D34" s="779" t="s">
        <v>484</v>
      </c>
      <c r="H34" s="930"/>
      <c r="J34" s="930"/>
      <c r="K34" s="930"/>
    </row>
    <row r="35" spans="1:11" ht="15.75">
      <c r="A35" s="3045"/>
      <c r="B35" s="776" t="s">
        <v>704</v>
      </c>
      <c r="C35" s="771">
        <v>0</v>
      </c>
      <c r="D35" s="415" t="s">
        <v>485</v>
      </c>
      <c r="H35" s="930"/>
      <c r="J35" s="930"/>
      <c r="K35" s="930"/>
    </row>
    <row r="36" spans="1:11" ht="30" customHeight="1">
      <c r="A36" s="859" t="s">
        <v>817</v>
      </c>
      <c r="B36" s="777" t="s">
        <v>705</v>
      </c>
      <c r="C36" s="780">
        <v>0</v>
      </c>
      <c r="D36" s="415" t="s">
        <v>254</v>
      </c>
      <c r="H36" s="930"/>
      <c r="J36" s="930"/>
      <c r="K36" s="930"/>
    </row>
    <row r="37" spans="1:11" ht="24.75" customHeight="1">
      <c r="A37" s="3044" t="s">
        <v>703</v>
      </c>
      <c r="B37" s="775" t="s">
        <v>706</v>
      </c>
      <c r="C37" s="771">
        <v>0</v>
      </c>
      <c r="D37" s="779" t="s">
        <v>484</v>
      </c>
      <c r="H37" s="930"/>
      <c r="J37" s="930"/>
      <c r="K37" s="930"/>
    </row>
    <row r="38" spans="1:11" ht="27.75" customHeight="1">
      <c r="A38" s="3045"/>
      <c r="B38" s="776" t="s">
        <v>707</v>
      </c>
      <c r="C38" s="771">
        <v>0</v>
      </c>
      <c r="D38" s="415" t="s">
        <v>485</v>
      </c>
      <c r="G38" s="478"/>
      <c r="H38" s="480"/>
      <c r="I38" s="478"/>
      <c r="J38" s="480"/>
      <c r="K38" s="480"/>
    </row>
    <row r="39" spans="1:11" ht="20.25" customHeight="1">
      <c r="A39" s="859" t="s">
        <v>817</v>
      </c>
      <c r="B39" s="778" t="s">
        <v>708</v>
      </c>
      <c r="C39" s="771">
        <v>0</v>
      </c>
      <c r="D39" s="415" t="s">
        <v>254</v>
      </c>
    </row>
    <row r="40" spans="1:11" ht="19.5" customHeight="1">
      <c r="A40" s="379"/>
      <c r="B40" s="412" t="s">
        <v>255</v>
      </c>
      <c r="C40" s="414">
        <f>(C34*C35*C36/100)+(C37*C38*C39/100)</f>
        <v>0</v>
      </c>
      <c r="D40" s="416" t="s">
        <v>4</v>
      </c>
    </row>
    <row r="41" spans="1:11" ht="34.5" customHeight="1">
      <c r="A41" s="411"/>
      <c r="B41" s="413" t="s">
        <v>136</v>
      </c>
      <c r="C41" s="414">
        <f>C33-C40</f>
        <v>170</v>
      </c>
      <c r="D41" s="417" t="s">
        <v>4</v>
      </c>
      <c r="F41" s="946" t="s">
        <v>183</v>
      </c>
      <c r="G41" s="959" t="s">
        <v>186</v>
      </c>
      <c r="H41" s="959"/>
      <c r="I41" s="959"/>
    </row>
    <row r="42" spans="1:11" ht="18.75" customHeight="1">
      <c r="F42" s="951" t="s">
        <v>179</v>
      </c>
      <c r="G42" s="951">
        <v>90</v>
      </c>
      <c r="H42" s="937"/>
      <c r="I42" s="937"/>
    </row>
    <row r="43" spans="1:11" ht="18.75" customHeight="1">
      <c r="A43" s="78"/>
      <c r="B43" s="79"/>
      <c r="C43" s="948" t="s">
        <v>60</v>
      </c>
      <c r="D43" s="80"/>
      <c r="F43" s="951" t="s">
        <v>804</v>
      </c>
      <c r="G43" s="951">
        <v>70</v>
      </c>
      <c r="H43" s="937"/>
      <c r="I43" s="937"/>
    </row>
    <row r="44" spans="1:11" ht="18.75" customHeight="1">
      <c r="A44" s="81"/>
      <c r="B44" s="48" t="s">
        <v>73</v>
      </c>
      <c r="C44" s="461">
        <v>23</v>
      </c>
      <c r="D44" s="82" t="s">
        <v>539</v>
      </c>
      <c r="F44" s="951" t="s">
        <v>805</v>
      </c>
      <c r="G44" s="951">
        <v>70</v>
      </c>
      <c r="H44" s="937"/>
      <c r="I44" s="937"/>
    </row>
    <row r="45" spans="1:11" ht="18.75" customHeight="1">
      <c r="A45" s="81"/>
      <c r="B45" s="48" t="s">
        <v>12</v>
      </c>
      <c r="C45" s="115">
        <f>C7*0.91*C44/6.25</f>
        <v>133.952</v>
      </c>
      <c r="D45" s="104" t="str">
        <f>IF(C45&gt;200,"mehr als 200 kg Korn-N/ha ist unrealistisch!","Korn-N-Abfuhr")</f>
        <v>Korn-N-Abfuhr</v>
      </c>
      <c r="F45" s="951" t="s">
        <v>809</v>
      </c>
      <c r="G45" s="946">
        <v>70</v>
      </c>
      <c r="H45" s="937"/>
      <c r="I45" s="937"/>
    </row>
    <row r="46" spans="1:11" ht="18.75" customHeight="1">
      <c r="A46" s="81"/>
      <c r="B46" s="93" t="s">
        <v>14</v>
      </c>
      <c r="C46" s="249">
        <f>(190-C7)/100</f>
        <v>1.5</v>
      </c>
      <c r="D46" s="94" t="s">
        <v>338</v>
      </c>
      <c r="F46" s="782" t="s">
        <v>810</v>
      </c>
      <c r="G46" s="946">
        <v>60</v>
      </c>
      <c r="H46" s="937"/>
      <c r="I46" s="937"/>
    </row>
    <row r="47" spans="1:11" ht="18.75" customHeight="1">
      <c r="A47" s="81"/>
      <c r="B47" s="48" t="s">
        <v>13</v>
      </c>
      <c r="C47" s="250">
        <f>C7*C46*C44/25</f>
        <v>55.2</v>
      </c>
      <c r="D47" s="82"/>
      <c r="F47" s="951" t="s">
        <v>48</v>
      </c>
      <c r="G47" s="946">
        <v>60</v>
      </c>
      <c r="H47" s="937"/>
      <c r="I47" s="937"/>
    </row>
    <row r="48" spans="1:11" ht="18.75" customHeight="1">
      <c r="A48" s="28" t="s">
        <v>68</v>
      </c>
      <c r="B48" s="48" t="s">
        <v>65</v>
      </c>
      <c r="C48" s="115">
        <f>C30-C45</f>
        <v>-8.1619999999999919</v>
      </c>
      <c r="D48" s="235" t="str">
        <f>IF(C48&gt;50,"!!!",(IF(C48&gt;40,"!!",(IF(C48&gt;30,"!"," ")))))</f>
        <v xml:space="preserve"> </v>
      </c>
      <c r="F48" s="951" t="s">
        <v>811</v>
      </c>
      <c r="G48" s="951">
        <v>45</v>
      </c>
      <c r="H48" s="937"/>
      <c r="I48" s="937"/>
    </row>
    <row r="49" spans="1:11" ht="18.75" customHeight="1">
      <c r="A49" s="793" t="s">
        <v>729</v>
      </c>
      <c r="B49" s="48" t="s">
        <v>66</v>
      </c>
      <c r="C49" s="220">
        <f>C30-C45-C47</f>
        <v>-63.361999999999995</v>
      </c>
      <c r="D49" s="236"/>
      <c r="F49" s="782" t="s">
        <v>806</v>
      </c>
      <c r="G49" s="946">
        <v>30</v>
      </c>
      <c r="H49" s="937"/>
      <c r="I49" s="937"/>
    </row>
    <row r="50" spans="1:11" ht="18.75" customHeight="1">
      <c r="A50" s="792" t="s">
        <v>67</v>
      </c>
      <c r="B50" s="48" t="s">
        <v>65</v>
      </c>
      <c r="C50" s="220">
        <f>C18-C45</f>
        <v>36.048000000000002</v>
      </c>
      <c r="D50" s="235" t="str">
        <f>IF(C50&gt;50,"!!!",(IF(C50&gt;40,"!!",(IF(C50&gt;30,"!"," ")))))</f>
        <v>!</v>
      </c>
      <c r="F50" s="951" t="s">
        <v>1019</v>
      </c>
      <c r="G50" s="946">
        <v>30</v>
      </c>
      <c r="H50" s="937"/>
      <c r="I50" s="937"/>
    </row>
    <row r="51" spans="1:11" ht="19.5" customHeight="1">
      <c r="A51" s="987" t="s">
        <v>729</v>
      </c>
      <c r="B51" s="97" t="s">
        <v>66</v>
      </c>
      <c r="C51" s="221">
        <f>C18-C45-C47</f>
        <v>-19.152000000000001</v>
      </c>
      <c r="D51" s="238"/>
      <c r="F51" s="951" t="s">
        <v>187</v>
      </c>
      <c r="G51" s="946">
        <v>30</v>
      </c>
      <c r="H51" s="937"/>
      <c r="I51" s="937"/>
    </row>
    <row r="52" spans="1:11" ht="19.5" customHeight="1" thickBot="1">
      <c r="A52" s="988"/>
      <c r="B52" s="48"/>
      <c r="C52" s="49"/>
      <c r="D52" s="114"/>
      <c r="F52" s="951" t="s">
        <v>813</v>
      </c>
      <c r="G52" s="946">
        <v>30</v>
      </c>
      <c r="H52" s="937"/>
      <c r="I52" s="937"/>
    </row>
    <row r="53" spans="1:11" ht="19.5" customHeight="1">
      <c r="A53" s="3049" t="s">
        <v>578</v>
      </c>
      <c r="B53" s="3053"/>
      <c r="C53" s="1777" t="s">
        <v>587</v>
      </c>
      <c r="D53" s="618" t="s">
        <v>592</v>
      </c>
      <c r="F53" s="951" t="s">
        <v>814</v>
      </c>
      <c r="G53" s="946">
        <v>30</v>
      </c>
      <c r="H53" s="937"/>
      <c r="I53" s="937"/>
    </row>
    <row r="54" spans="1:11" ht="19.5" customHeight="1">
      <c r="A54" s="3054" t="s">
        <v>590</v>
      </c>
      <c r="B54" s="626" t="s">
        <v>579</v>
      </c>
      <c r="C54" s="622" t="s">
        <v>580</v>
      </c>
      <c r="D54" s="631" t="s">
        <v>581</v>
      </c>
      <c r="F54" s="951" t="s">
        <v>815</v>
      </c>
      <c r="G54" s="946">
        <v>30</v>
      </c>
    </row>
    <row r="55" spans="1:11" ht="19.5" customHeight="1">
      <c r="A55" s="3055"/>
      <c r="B55" s="601" t="s">
        <v>583</v>
      </c>
      <c r="C55" s="263">
        <f>C57*2</f>
        <v>144</v>
      </c>
      <c r="D55" s="616">
        <f>D57*2</f>
        <v>0</v>
      </c>
      <c r="F55" s="951" t="s">
        <v>180</v>
      </c>
      <c r="G55" s="946">
        <v>25</v>
      </c>
    </row>
    <row r="56" spans="1:11" ht="19.5" customHeight="1">
      <c r="A56" s="3055"/>
      <c r="B56" s="601" t="s">
        <v>584</v>
      </c>
      <c r="C56" s="263">
        <f>C57*1.5</f>
        <v>108</v>
      </c>
      <c r="D56" s="616">
        <f>D57*1.5</f>
        <v>0</v>
      </c>
      <c r="E56" s="15"/>
      <c r="F56" s="951" t="s">
        <v>807</v>
      </c>
      <c r="G56" s="946">
        <v>25</v>
      </c>
    </row>
    <row r="57" spans="1:11" ht="19.5" customHeight="1">
      <c r="A57" s="3055"/>
      <c r="B57" s="601" t="s">
        <v>585</v>
      </c>
      <c r="C57" s="605">
        <f>C7*1.8</f>
        <v>72</v>
      </c>
      <c r="D57" s="617">
        <f>C40*2.48</f>
        <v>0</v>
      </c>
      <c r="F57" s="782" t="s">
        <v>808</v>
      </c>
      <c r="G57" s="946">
        <v>25</v>
      </c>
    </row>
    <row r="58" spans="1:11" ht="19.5" customHeight="1">
      <c r="A58" s="2959"/>
      <c r="B58" s="623" t="s">
        <v>586</v>
      </c>
      <c r="C58" s="263">
        <f>C57*0.5</f>
        <v>36</v>
      </c>
      <c r="D58" s="616">
        <f>D57*0.5</f>
        <v>0</v>
      </c>
      <c r="F58" s="782" t="s">
        <v>816</v>
      </c>
      <c r="G58" s="946">
        <v>10</v>
      </c>
    </row>
    <row r="59" spans="1:11" ht="19.5" customHeight="1">
      <c r="A59" s="3069"/>
      <c r="B59" s="3070" t="s">
        <v>588</v>
      </c>
      <c r="C59" s="3060" t="s">
        <v>591</v>
      </c>
      <c r="D59" s="3061"/>
      <c r="F59" s="782" t="s">
        <v>181</v>
      </c>
      <c r="G59" s="946">
        <v>10</v>
      </c>
    </row>
    <row r="60" spans="1:11" ht="19.5" customHeight="1" thickBot="1">
      <c r="A60" s="3066"/>
      <c r="B60" s="3068"/>
      <c r="C60" s="3062"/>
      <c r="D60" s="3063"/>
      <c r="F60" s="782" t="s">
        <v>188</v>
      </c>
      <c r="G60" s="946">
        <v>5</v>
      </c>
    </row>
    <row r="61" spans="1:11" ht="19.5" customHeight="1">
      <c r="A61" s="1772"/>
      <c r="B61" s="1771"/>
      <c r="C61" s="1772"/>
      <c r="D61" s="1772"/>
      <c r="F61" s="782" t="s">
        <v>182</v>
      </c>
      <c r="G61" s="946">
        <v>3</v>
      </c>
    </row>
    <row r="62" spans="1:11" s="1770" customFormat="1" ht="19.5" customHeight="1">
      <c r="A62" s="103" t="s">
        <v>167</v>
      </c>
      <c r="B62" s="101"/>
      <c r="C62" s="774"/>
      <c r="D62" s="930"/>
      <c r="F62" s="1774"/>
      <c r="G62" s="1775"/>
      <c r="H62" s="1421"/>
      <c r="J62" s="1421"/>
      <c r="K62" s="1421"/>
    </row>
    <row r="63" spans="1:11" s="1770" customFormat="1" ht="28.5" customHeight="1">
      <c r="A63" s="254" t="s">
        <v>393</v>
      </c>
      <c r="B63" s="3051" t="s">
        <v>415</v>
      </c>
      <c r="C63" s="2413"/>
      <c r="D63" s="2413"/>
      <c r="F63" s="1774"/>
      <c r="G63" s="1775"/>
      <c r="H63" s="1421"/>
      <c r="J63" s="1421"/>
      <c r="K63" s="1421"/>
    </row>
    <row r="64" spans="1:11" s="1770" customFormat="1" ht="19.5" customHeight="1">
      <c r="A64" s="3154" t="s">
        <v>414</v>
      </c>
      <c r="B64" s="100" t="s">
        <v>412</v>
      </c>
      <c r="C64" s="102" t="s">
        <v>413</v>
      </c>
      <c r="D64" s="930"/>
      <c r="F64" s="1774"/>
      <c r="G64" s="1775"/>
      <c r="H64" s="1421"/>
      <c r="J64" s="1421"/>
      <c r="K64" s="1421"/>
    </row>
    <row r="65" spans="1:11" s="1770" customFormat="1" ht="19.5" customHeight="1">
      <c r="A65" s="3155"/>
      <c r="B65" s="100" t="s">
        <v>343</v>
      </c>
      <c r="C65" s="102" t="s">
        <v>344</v>
      </c>
      <c r="D65" s="930"/>
      <c r="F65" s="1774"/>
      <c r="G65" s="1775"/>
      <c r="H65" s="1421"/>
      <c r="J65" s="1421"/>
      <c r="K65" s="1421"/>
    </row>
    <row r="66" spans="1:11" s="1770" customFormat="1" ht="66" customHeight="1">
      <c r="A66" s="3155"/>
      <c r="B66" s="3051" t="s">
        <v>416</v>
      </c>
      <c r="C66" s="2736"/>
      <c r="D66" s="2736"/>
      <c r="F66" s="1774"/>
      <c r="G66" s="1775"/>
      <c r="H66" s="1421"/>
      <c r="J66" s="1421"/>
      <c r="K66" s="1421"/>
    </row>
    <row r="67" spans="1:11" s="1770" customFormat="1" ht="19.5" customHeight="1">
      <c r="A67" s="970"/>
      <c r="B67" s="101"/>
      <c r="C67" s="774"/>
      <c r="D67" s="930"/>
      <c r="F67" s="1774"/>
      <c r="G67" s="1775"/>
      <c r="H67" s="1421"/>
      <c r="J67" s="1421"/>
      <c r="K67" s="1421"/>
    </row>
    <row r="68" spans="1:11" s="1770" customFormat="1" ht="19.5" customHeight="1">
      <c r="A68" s="970"/>
      <c r="B68" s="100" t="s">
        <v>404</v>
      </c>
      <c r="C68" s="774"/>
      <c r="D68" s="934" t="s">
        <v>330</v>
      </c>
      <c r="F68" s="1774"/>
      <c r="G68" s="1775"/>
      <c r="H68" s="1421"/>
      <c r="J68" s="1421"/>
      <c r="K68" s="1421"/>
    </row>
    <row r="69" spans="1:11" ht="39.75" customHeight="1">
      <c r="A69" s="970" t="s">
        <v>168</v>
      </c>
      <c r="B69" s="100" t="s">
        <v>417</v>
      </c>
      <c r="C69" s="774"/>
      <c r="D69" s="772" t="s">
        <v>419</v>
      </c>
    </row>
    <row r="70" spans="1:11" s="1770" customFormat="1" ht="117.75" customHeight="1">
      <c r="A70" s="970" t="s">
        <v>169</v>
      </c>
      <c r="B70" s="100" t="s">
        <v>418</v>
      </c>
      <c r="C70" s="774"/>
      <c r="D70" s="772" t="s">
        <v>420</v>
      </c>
      <c r="H70" s="1421"/>
      <c r="J70" s="1421"/>
      <c r="K70" s="1421"/>
    </row>
    <row r="71" spans="1:11" ht="27" customHeight="1">
      <c r="A71" s="970" t="s">
        <v>340</v>
      </c>
      <c r="B71" s="100" t="s">
        <v>331</v>
      </c>
      <c r="C71" s="102"/>
      <c r="D71" s="930" t="s">
        <v>366</v>
      </c>
    </row>
    <row r="72" spans="1:11" ht="23.25" customHeight="1">
      <c r="A72" s="174" t="s">
        <v>409</v>
      </c>
      <c r="B72" s="930" t="s">
        <v>335</v>
      </c>
      <c r="C72" s="930"/>
      <c r="D72"/>
      <c r="E72" s="934"/>
    </row>
    <row r="73" spans="1:11" ht="21" customHeight="1">
      <c r="B73" s="930" t="s">
        <v>334</v>
      </c>
      <c r="C73" s="930"/>
      <c r="D73"/>
      <c r="E73" s="944"/>
    </row>
    <row r="74" spans="1:11" ht="18" customHeight="1">
      <c r="A74" s="970" t="s">
        <v>410</v>
      </c>
      <c r="B74" s="930" t="s">
        <v>339</v>
      </c>
      <c r="C74" s="774"/>
      <c r="D74"/>
      <c r="F74" s="944"/>
    </row>
    <row r="75" spans="1:11" ht="21.75" customHeight="1">
      <c r="B75" s="930" t="s">
        <v>411</v>
      </c>
      <c r="D75"/>
    </row>
    <row r="76" spans="1:11" ht="21.75" customHeight="1">
      <c r="B76" s="122" t="s">
        <v>122</v>
      </c>
      <c r="C76" s="969" t="s">
        <v>123</v>
      </c>
      <c r="D76" s="969" t="s">
        <v>124</v>
      </c>
    </row>
    <row r="77" spans="1:11" ht="17.25" customHeight="1">
      <c r="D77" s="934"/>
    </row>
    <row r="78" spans="1:11">
      <c r="B78" s="969">
        <v>25</v>
      </c>
      <c r="C78" s="969">
        <v>153</v>
      </c>
      <c r="D78" s="969">
        <v>155</v>
      </c>
      <c r="E78"/>
      <c r="G78" s="969"/>
    </row>
    <row r="79" spans="1:11">
      <c r="B79" s="969"/>
      <c r="C79" s="969"/>
      <c r="D79" s="969"/>
      <c r="E79" s="969"/>
      <c r="F79" s="969"/>
      <c r="G79" s="969"/>
    </row>
    <row r="80" spans="1:11">
      <c r="B80" s="969">
        <v>35</v>
      </c>
      <c r="C80" s="969">
        <v>185</v>
      </c>
      <c r="D80" s="969">
        <v>185</v>
      </c>
      <c r="E80" s="969"/>
      <c r="F80" s="969"/>
      <c r="G80" s="969"/>
      <c r="H80" s="969"/>
      <c r="I80" s="969"/>
    </row>
    <row r="81" spans="2:13">
      <c r="B81" s="969"/>
      <c r="C81" s="969"/>
      <c r="D81" s="969"/>
      <c r="E81" s="969"/>
      <c r="F81" s="969"/>
      <c r="G81" s="969"/>
      <c r="H81" s="969"/>
      <c r="I81" s="969"/>
      <c r="J81" s="969"/>
      <c r="K81" s="969"/>
      <c r="L81" s="969"/>
      <c r="M81" s="969"/>
    </row>
    <row r="82" spans="2:13">
      <c r="B82" s="969">
        <v>45</v>
      </c>
      <c r="C82" s="969">
        <v>214</v>
      </c>
      <c r="D82" s="969">
        <v>210</v>
      </c>
      <c r="E82" s="969"/>
      <c r="F82" s="969"/>
      <c r="G82" s="950"/>
      <c r="H82" s="969"/>
      <c r="I82" s="969"/>
      <c r="J82" s="969"/>
      <c r="K82" s="969"/>
      <c r="L82" s="969"/>
      <c r="M82" s="969"/>
    </row>
    <row r="83" spans="2:13">
      <c r="B83" s="969"/>
      <c r="C83" s="969"/>
      <c r="D83" s="969"/>
      <c r="E83" s="969"/>
      <c r="F83" s="969"/>
      <c r="G83" s="950"/>
      <c r="H83" s="969"/>
      <c r="I83" s="969"/>
      <c r="J83" s="969"/>
      <c r="K83" s="969"/>
      <c r="L83" s="969"/>
      <c r="M83" s="969"/>
    </row>
    <row r="84" spans="2:13">
      <c r="B84" s="969">
        <v>55</v>
      </c>
      <c r="C84" s="969">
        <v>234</v>
      </c>
      <c r="D84" s="969">
        <v>230</v>
      </c>
      <c r="E84" s="969"/>
      <c r="F84" s="969"/>
      <c r="G84" s="950"/>
      <c r="H84" s="950"/>
      <c r="I84" s="950"/>
      <c r="J84" s="969"/>
      <c r="K84" s="969"/>
      <c r="L84" s="969"/>
      <c r="M84" s="969"/>
    </row>
    <row r="85" spans="2:13">
      <c r="B85" s="969"/>
      <c r="C85" s="969"/>
      <c r="D85" s="969"/>
      <c r="E85" s="969"/>
      <c r="F85" s="969"/>
      <c r="G85" s="950"/>
      <c r="H85" s="950"/>
      <c r="I85" s="950"/>
      <c r="J85" s="950"/>
      <c r="K85" s="950"/>
      <c r="L85" s="950"/>
      <c r="M85"/>
    </row>
    <row r="86" spans="2:13">
      <c r="B86" s="969">
        <v>65</v>
      </c>
      <c r="C86" s="969">
        <v>247</v>
      </c>
      <c r="D86" s="969">
        <v>250</v>
      </c>
      <c r="E86" s="969"/>
      <c r="F86" s="969"/>
      <c r="G86" s="950"/>
      <c r="H86" s="950"/>
      <c r="I86" s="950"/>
      <c r="J86" s="950"/>
      <c r="K86" s="950"/>
      <c r="L86" s="950"/>
      <c r="M86"/>
    </row>
    <row r="87" spans="2:13">
      <c r="B87" s="950"/>
      <c r="C87" s="950"/>
      <c r="D87" s="950"/>
      <c r="E87" s="969"/>
      <c r="F87" s="969"/>
      <c r="G87" s="950"/>
      <c r="H87" s="950"/>
      <c r="I87" s="950"/>
      <c r="J87" s="950"/>
      <c r="K87" s="950"/>
      <c r="L87" s="950"/>
      <c r="M87"/>
    </row>
    <row r="88" spans="2:13">
      <c r="B88" s="950"/>
      <c r="C88" s="950"/>
      <c r="D88" s="950"/>
      <c r="E88" s="969"/>
      <c r="F88" s="969"/>
      <c r="G88" s="950"/>
      <c r="H88" s="950"/>
      <c r="I88" s="950"/>
      <c r="J88" s="950"/>
      <c r="K88" s="950"/>
      <c r="L88" s="950"/>
      <c r="M88"/>
    </row>
    <row r="89" spans="2:13">
      <c r="B89" s="950"/>
      <c r="C89" s="950"/>
      <c r="D89" s="950"/>
      <c r="E89" s="969"/>
      <c r="F89" s="969"/>
      <c r="G89" s="950"/>
      <c r="H89" s="950"/>
      <c r="I89" s="950"/>
      <c r="J89" s="950"/>
      <c r="K89" s="950"/>
      <c r="L89" s="950"/>
      <c r="M89"/>
    </row>
    <row r="90" spans="2:13">
      <c r="B90" s="950"/>
      <c r="C90" s="950"/>
      <c r="D90" s="950"/>
      <c r="E90" s="969"/>
      <c r="F90" s="969"/>
      <c r="G90" s="950"/>
      <c r="H90" s="950"/>
      <c r="I90" s="950"/>
      <c r="J90" s="950"/>
      <c r="K90" s="950"/>
      <c r="L90" s="950"/>
      <c r="M90"/>
    </row>
    <row r="91" spans="2:13">
      <c r="B91" s="950"/>
      <c r="C91" s="950"/>
      <c r="D91" s="950"/>
      <c r="E91" s="950"/>
      <c r="F91" s="969"/>
      <c r="G91" s="950"/>
      <c r="H91" s="950"/>
      <c r="I91" s="950"/>
      <c r="J91" s="950"/>
      <c r="K91" s="950"/>
      <c r="L91" s="950"/>
      <c r="M91"/>
    </row>
    <row r="92" spans="2:13">
      <c r="B92" s="950"/>
      <c r="C92" s="950"/>
      <c r="D92" s="950"/>
      <c r="E92" s="950"/>
      <c r="F92" s="950"/>
      <c r="G92" s="950"/>
      <c r="H92" s="950"/>
      <c r="I92" s="950"/>
      <c r="J92" s="950"/>
      <c r="K92" s="950"/>
      <c r="L92" s="950"/>
      <c r="M92"/>
    </row>
    <row r="93" spans="2:13">
      <c r="B93" s="950"/>
      <c r="C93" s="950"/>
      <c r="D93" s="950"/>
      <c r="E93" s="950"/>
      <c r="F93" s="950"/>
      <c r="G93" s="950"/>
      <c r="H93" s="950"/>
      <c r="I93" s="950"/>
      <c r="J93" s="950"/>
      <c r="K93" s="950"/>
      <c r="L93" s="950"/>
      <c r="M93"/>
    </row>
    <row r="94" spans="2:13">
      <c r="B94" s="950"/>
      <c r="C94" s="950"/>
      <c r="D94" s="950"/>
      <c r="E94" s="950"/>
      <c r="F94" s="950"/>
      <c r="G94" s="950"/>
      <c r="H94" s="950"/>
      <c r="I94" s="950"/>
      <c r="J94" s="950"/>
      <c r="K94" s="950"/>
      <c r="L94" s="950"/>
      <c r="M94"/>
    </row>
    <row r="95" spans="2:13">
      <c r="B95" s="950"/>
      <c r="C95" s="950"/>
      <c r="D95" s="950"/>
      <c r="E95" s="950"/>
      <c r="F95" s="950"/>
      <c r="G95" s="950"/>
      <c r="H95" s="950"/>
      <c r="I95" s="950"/>
      <c r="J95" s="950"/>
      <c r="K95" s="950"/>
      <c r="L95" s="950"/>
      <c r="M95"/>
    </row>
    <row r="96" spans="2:13">
      <c r="E96" s="950"/>
      <c r="F96" s="950"/>
      <c r="G96" s="950"/>
      <c r="H96" s="950"/>
      <c r="I96" s="950"/>
      <c r="J96" s="950"/>
      <c r="K96" s="950"/>
      <c r="L96" s="950"/>
      <c r="M96"/>
    </row>
    <row r="97" spans="5:13">
      <c r="E97" s="950"/>
      <c r="F97" s="950"/>
      <c r="G97" s="950"/>
      <c r="H97" s="950"/>
      <c r="I97" s="950"/>
      <c r="J97" s="950"/>
      <c r="K97" s="950"/>
      <c r="L97" s="950"/>
      <c r="M97"/>
    </row>
    <row r="98" spans="5:13">
      <c r="E98" s="950"/>
      <c r="F98" s="950"/>
      <c r="G98" s="950"/>
      <c r="H98" s="950"/>
      <c r="I98" s="950"/>
      <c r="J98" s="950"/>
      <c r="K98" s="950"/>
      <c r="L98" s="950"/>
      <c r="M98"/>
    </row>
    <row r="99" spans="5:13">
      <c r="E99" s="950"/>
      <c r="F99" s="950"/>
      <c r="G99" s="950"/>
      <c r="H99" s="950"/>
      <c r="I99" s="950"/>
      <c r="J99" s="950"/>
      <c r="K99" s="950"/>
      <c r="L99" s="950"/>
      <c r="M99"/>
    </row>
    <row r="100" spans="5:13">
      <c r="F100" s="950"/>
      <c r="H100" s="950"/>
      <c r="I100" s="950"/>
      <c r="J100" s="950"/>
      <c r="K100" s="950"/>
      <c r="L100" s="950"/>
      <c r="M100"/>
    </row>
    <row r="101" spans="5:13">
      <c r="H101" s="950"/>
      <c r="I101" s="950"/>
      <c r="J101" s="950"/>
      <c r="K101" s="950"/>
      <c r="L101" s="950"/>
      <c r="M101"/>
    </row>
    <row r="102" spans="5:13">
      <c r="J102" s="950"/>
      <c r="K102" s="950"/>
      <c r="L102" s="950"/>
      <c r="M102"/>
    </row>
  </sheetData>
  <sheetProtection formatCells="0" formatColumns="0" formatRows="0" selectLockedCells="1"/>
  <mergeCells count="13">
    <mergeCell ref="A5:D5"/>
    <mergeCell ref="A6:B6"/>
    <mergeCell ref="B63:D63"/>
    <mergeCell ref="A64:A66"/>
    <mergeCell ref="B66:D66"/>
    <mergeCell ref="A37:A38"/>
    <mergeCell ref="A20:B20"/>
    <mergeCell ref="A34:A35"/>
    <mergeCell ref="A53:B53"/>
    <mergeCell ref="A54:A58"/>
    <mergeCell ref="A59:A60"/>
    <mergeCell ref="B59:B60"/>
    <mergeCell ref="C59:D60"/>
  </mergeCells>
  <dataValidations count="6">
    <dataValidation type="list" allowBlank="1" sqref="B14">
      <formula1>$G$22:$G$32</formula1>
    </dataValidation>
    <dataValidation type="list" allowBlank="1" sqref="B23">
      <formula1>J23:J29</formula1>
    </dataValidation>
    <dataValidation type="list" allowBlank="1" sqref="B17">
      <formula1>"bis 4 %, größer 4 %"</formula1>
    </dataValidation>
    <dataValidation type="list" allowBlank="1" sqref="J8:J9">
      <formula1>"Humusgehalt"</formula1>
    </dataValidation>
    <dataValidation type="list" allowBlank="1" sqref="B26">
      <formula1>FM</formula1>
    </dataValidation>
    <dataValidation type="list" allowBlank="1" sqref="B15">
      <formula1>Vorfrucht</formula1>
    </dataValidation>
  </dataValidations>
  <pageMargins left="0.7" right="0.7" top="0.78740157499999996" bottom="0.78740157499999996" header="0.3" footer="0.3"/>
  <pageSetup paperSize="9" scale="65" orientation="portrait" horizontalDpi="4294967293" vertic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0"/>
    <pageSetUpPr fitToPage="1"/>
  </sheetPr>
  <dimension ref="A1:K74"/>
  <sheetViews>
    <sheetView topLeftCell="A38" zoomScaleNormal="100" workbookViewId="0">
      <selection activeCell="C55" sqref="C55"/>
    </sheetView>
  </sheetViews>
  <sheetFormatPr baseColWidth="10" defaultRowHeight="15"/>
  <cols>
    <col min="1" max="1" width="40.42578125" style="173" customWidth="1"/>
    <col min="2" max="2" width="39.7109375" style="122" customWidth="1"/>
    <col min="3" max="3" width="22.5703125" style="969" customWidth="1"/>
    <col min="4" max="4" width="34" customWidth="1"/>
    <col min="5" max="5" width="25.42578125" customWidth="1"/>
    <col min="6" max="6" width="36.5703125" customWidth="1"/>
    <col min="7" max="7" width="35" customWidth="1"/>
    <col min="8" max="8" width="24" style="969" customWidth="1"/>
    <col min="9" max="9" width="24.28515625" customWidth="1"/>
    <col min="10" max="10" width="32.140625" customWidth="1"/>
    <col min="11" max="11" width="30.85546875" customWidth="1"/>
  </cols>
  <sheetData>
    <row r="1" spans="1:11">
      <c r="A1" s="451"/>
      <c r="B1" s="412" t="str">
        <f>'DüV-N-Ackerbau'!C1</f>
        <v>Karl vom Land</v>
      </c>
      <c r="C1" s="412" t="str">
        <f>'DüV-N-Ackerbau'!F1</f>
        <v>Erntejahr</v>
      </c>
      <c r="E1" s="8" t="s">
        <v>36</v>
      </c>
    </row>
    <row r="2" spans="1:11">
      <c r="B2" s="412" t="str">
        <f>'DüV-N-Ackerbau'!C2</f>
        <v>Höfen 1</v>
      </c>
      <c r="C2" s="412">
        <f>'DüV-N-Ackerbau'!G1</f>
        <v>2022</v>
      </c>
      <c r="E2" s="9" t="s">
        <v>34</v>
      </c>
    </row>
    <row r="3" spans="1:11">
      <c r="B3" s="412" t="str">
        <f>'DüV-N-Ackerbau'!C3</f>
        <v>12345 Auf dem Feld</v>
      </c>
      <c r="C3" s="174"/>
    </row>
    <row r="4" spans="1:11" ht="7.5" customHeight="1" thickBot="1"/>
    <row r="5" spans="1:11" ht="21.75" thickBot="1">
      <c r="A5" s="3046" t="s">
        <v>154</v>
      </c>
      <c r="B5" s="3047"/>
      <c r="C5" s="3047"/>
      <c r="D5" s="3048"/>
      <c r="G5" s="479" t="s">
        <v>6</v>
      </c>
      <c r="H5" s="479" t="s">
        <v>5</v>
      </c>
      <c r="I5" s="480"/>
      <c r="J5" s="480"/>
      <c r="K5" s="480"/>
    </row>
    <row r="6" spans="1:11" ht="47.25">
      <c r="A6" s="3049" t="s">
        <v>574</v>
      </c>
      <c r="B6" s="3050"/>
      <c r="C6" s="475" t="s">
        <v>573</v>
      </c>
      <c r="D6" s="945" t="s">
        <v>526</v>
      </c>
      <c r="G6" s="480" t="s">
        <v>503</v>
      </c>
      <c r="H6" s="480">
        <v>0</v>
      </c>
      <c r="I6" s="480"/>
      <c r="J6" s="480"/>
      <c r="K6" s="480"/>
    </row>
    <row r="7" spans="1:11" ht="15.75">
      <c r="A7" s="73"/>
      <c r="B7" s="48" t="s">
        <v>669</v>
      </c>
      <c r="C7" s="476">
        <v>90</v>
      </c>
      <c r="D7" s="338"/>
      <c r="G7" s="480" t="s">
        <v>22</v>
      </c>
      <c r="H7" s="480">
        <v>10</v>
      </c>
      <c r="I7" s="480"/>
      <c r="J7" s="480" t="s">
        <v>159</v>
      </c>
      <c r="K7" s="480"/>
    </row>
    <row r="8" spans="1:11" ht="15.75">
      <c r="A8" s="73"/>
      <c r="B8" s="734" t="s">
        <v>672</v>
      </c>
      <c r="C8" s="733">
        <f>C7*0.86</f>
        <v>77.400000000000006</v>
      </c>
      <c r="D8" s="338"/>
      <c r="G8" s="480" t="s">
        <v>528</v>
      </c>
      <c r="H8" s="480">
        <v>10</v>
      </c>
      <c r="I8" s="480"/>
      <c r="J8" s="480" t="s">
        <v>160</v>
      </c>
      <c r="K8" s="480">
        <v>0</v>
      </c>
    </row>
    <row r="9" spans="1:11" ht="15.75">
      <c r="A9" s="73"/>
      <c r="B9" s="35"/>
      <c r="C9" s="57" t="s">
        <v>4</v>
      </c>
      <c r="D9" s="338"/>
      <c r="G9" s="480" t="s">
        <v>7</v>
      </c>
      <c r="H9" s="480">
        <v>10</v>
      </c>
      <c r="I9" s="480"/>
      <c r="J9" s="480" t="s">
        <v>161</v>
      </c>
      <c r="K9" s="480">
        <v>20</v>
      </c>
    </row>
    <row r="10" spans="1:11" ht="15.75">
      <c r="A10" s="73"/>
      <c r="B10" s="35" t="s">
        <v>37</v>
      </c>
      <c r="C10" s="115">
        <f>IF(C7&lt;=89.9,65+C7*1.5,(IF(C7&gt;=90,110+C7)))</f>
        <v>200</v>
      </c>
      <c r="D10" s="339"/>
      <c r="G10" s="480" t="s">
        <v>17</v>
      </c>
      <c r="H10" s="480">
        <v>20</v>
      </c>
      <c r="I10" s="480"/>
      <c r="J10" s="480"/>
      <c r="K10" s="480"/>
    </row>
    <row r="11" spans="1:11" ht="18">
      <c r="A11" s="73"/>
      <c r="B11" s="35" t="s">
        <v>38</v>
      </c>
      <c r="C11" s="491">
        <v>20</v>
      </c>
      <c r="D11" s="339"/>
      <c r="G11" s="480" t="s">
        <v>23</v>
      </c>
      <c r="H11" s="480">
        <v>0</v>
      </c>
      <c r="I11" s="480"/>
      <c r="J11" s="479" t="s">
        <v>49</v>
      </c>
      <c r="K11" s="480"/>
    </row>
    <row r="12" spans="1:11" ht="18">
      <c r="A12" s="73"/>
      <c r="B12" s="35" t="s">
        <v>39</v>
      </c>
      <c r="C12" s="491">
        <v>15</v>
      </c>
      <c r="D12" s="339"/>
      <c r="G12" s="480" t="s">
        <v>20</v>
      </c>
      <c r="H12" s="480">
        <v>20</v>
      </c>
      <c r="I12" s="480"/>
      <c r="J12" s="1488" t="s">
        <v>1198</v>
      </c>
      <c r="K12" s="1488">
        <v>1</v>
      </c>
    </row>
    <row r="13" spans="1:11" ht="18">
      <c r="A13" s="73"/>
      <c r="B13" s="35" t="s">
        <v>40</v>
      </c>
      <c r="C13" s="491">
        <v>10</v>
      </c>
      <c r="D13" s="339"/>
      <c r="G13" s="480" t="s">
        <v>19</v>
      </c>
      <c r="H13" s="480">
        <v>10</v>
      </c>
      <c r="I13" s="480"/>
      <c r="J13" s="1488" t="s">
        <v>184</v>
      </c>
      <c r="K13" s="1488">
        <v>0.5</v>
      </c>
    </row>
    <row r="14" spans="1:11">
      <c r="A14" s="73" t="s">
        <v>8</v>
      </c>
      <c r="B14" s="340" t="s">
        <v>27</v>
      </c>
      <c r="C14" s="55">
        <f>VLOOKUP(B14,G19:H29,2,FALSE)</f>
        <v>20</v>
      </c>
      <c r="D14" s="339"/>
      <c r="G14" s="480" t="s">
        <v>529</v>
      </c>
      <c r="H14" s="480">
        <v>0</v>
      </c>
      <c r="I14" s="480"/>
      <c r="J14" s="1488" t="s">
        <v>1200</v>
      </c>
      <c r="K14" s="1488">
        <v>0.6</v>
      </c>
    </row>
    <row r="15" spans="1:11">
      <c r="A15" s="73" t="s">
        <v>6</v>
      </c>
      <c r="B15" s="340" t="s">
        <v>503</v>
      </c>
      <c r="C15" s="55">
        <f>VLOOKUP(B15,G6:H16,2,FALSE)</f>
        <v>0</v>
      </c>
      <c r="D15" s="339"/>
      <c r="G15" s="480" t="s">
        <v>21</v>
      </c>
      <c r="H15" s="480">
        <v>10</v>
      </c>
      <c r="I15" s="480"/>
      <c r="J15" s="1488" t="s">
        <v>1201</v>
      </c>
      <c r="K15" s="1488">
        <v>0.4</v>
      </c>
    </row>
    <row r="16" spans="1:11" ht="15.75">
      <c r="A16" s="69" t="s">
        <v>1057</v>
      </c>
      <c r="B16" s="39" t="s">
        <v>24</v>
      </c>
      <c r="C16" s="341">
        <v>0</v>
      </c>
      <c r="D16" s="339"/>
      <c r="E16" s="489" t="str">
        <f>IF(C16&gt;25,"Sind Sie sicher?"," ")</f>
        <v xml:space="preserve"> </v>
      </c>
      <c r="G16" s="480" t="s">
        <v>18</v>
      </c>
      <c r="H16" s="480">
        <v>20</v>
      </c>
      <c r="I16" s="480"/>
      <c r="J16" s="1488" t="s">
        <v>1199</v>
      </c>
      <c r="K16" s="1488">
        <v>0.35</v>
      </c>
    </row>
    <row r="17" spans="1:11" ht="15.75" thickBot="1">
      <c r="A17" s="69" t="s">
        <v>159</v>
      </c>
      <c r="B17" s="342" t="s">
        <v>160</v>
      </c>
      <c r="C17" s="76">
        <f>VLOOKUP(B17,J8:K9,2,FALSE)</f>
        <v>0</v>
      </c>
      <c r="D17" s="343"/>
      <c r="G17" s="480"/>
      <c r="H17" s="480"/>
      <c r="I17" s="480"/>
      <c r="J17" s="1488" t="s">
        <v>48</v>
      </c>
      <c r="K17" s="1488">
        <v>0.3</v>
      </c>
    </row>
    <row r="18" spans="1:11" ht="18" customHeight="1" thickBot="1">
      <c r="A18" s="293"/>
      <c r="B18" s="284" t="s">
        <v>468</v>
      </c>
      <c r="C18" s="276">
        <f>C10-SUM(C11:C17)</f>
        <v>135</v>
      </c>
      <c r="D18" s="285" t="s">
        <v>470</v>
      </c>
      <c r="E18" s="1"/>
      <c r="G18" s="479" t="s">
        <v>8</v>
      </c>
      <c r="H18" s="480"/>
      <c r="I18" s="480"/>
      <c r="J18" s="1488" t="s">
        <v>31</v>
      </c>
      <c r="K18" s="1488">
        <v>0</v>
      </c>
    </row>
    <row r="19" spans="1:11" ht="23.25" customHeight="1" thickBot="1">
      <c r="A19" s="35"/>
      <c r="B19" s="167"/>
      <c r="C19" s="11"/>
      <c r="D19" s="296"/>
      <c r="E19" s="1"/>
      <c r="G19" s="480" t="s">
        <v>31</v>
      </c>
      <c r="H19" s="480">
        <v>0</v>
      </c>
      <c r="I19" s="480"/>
      <c r="J19" s="480"/>
      <c r="K19" s="480"/>
    </row>
    <row r="20" spans="1:11" ht="45.75" customHeight="1" thickBot="1">
      <c r="A20" s="3075" t="s">
        <v>491</v>
      </c>
      <c r="B20" s="3076"/>
      <c r="C20" s="270" t="s">
        <v>385</v>
      </c>
      <c r="D20" s="240" t="s">
        <v>336</v>
      </c>
      <c r="E20" s="1"/>
      <c r="G20" s="480" t="s">
        <v>25</v>
      </c>
      <c r="H20" s="480">
        <v>0</v>
      </c>
      <c r="I20" s="480"/>
      <c r="J20" s="480"/>
      <c r="K20" s="480"/>
    </row>
    <row r="21" spans="1:11" ht="19.5" customHeight="1">
      <c r="A21" s="81" t="s">
        <v>35</v>
      </c>
      <c r="B21" s="345">
        <v>60</v>
      </c>
      <c r="C21" s="242">
        <f>IF(OR(B21&lt;1,B21&gt;100),"Zahl 0 bis 100 eingeben",(-0.0025*B21*B21+0.75*B21-26)*0.4)</f>
        <v>4</v>
      </c>
      <c r="D21" s="262" t="s">
        <v>163</v>
      </c>
      <c r="E21" s="1"/>
      <c r="G21" s="480" t="s">
        <v>26</v>
      </c>
      <c r="H21" s="480">
        <v>0</v>
      </c>
      <c r="I21" s="480"/>
      <c r="J21" s="480"/>
      <c r="K21" s="480"/>
    </row>
    <row r="22" spans="1:11" ht="19.5" customHeight="1">
      <c r="A22" s="81" t="s">
        <v>162</v>
      </c>
      <c r="B22" s="345">
        <v>200</v>
      </c>
      <c r="C22" s="59">
        <f>IF(OR(B22&lt;40,B22&gt;800),"gibt es nicht",(B22*0.025-1))</f>
        <v>4</v>
      </c>
      <c r="D22" s="82" t="s">
        <v>164</v>
      </c>
      <c r="E22" s="1"/>
      <c r="G22" s="480" t="s">
        <v>27</v>
      </c>
      <c r="H22" s="480">
        <v>20</v>
      </c>
      <c r="I22" s="480"/>
      <c r="J22" s="480"/>
      <c r="K22" s="480"/>
    </row>
    <row r="23" spans="1:11" ht="19.5" customHeight="1">
      <c r="A23" s="28" t="s">
        <v>51</v>
      </c>
      <c r="B23" s="340" t="s">
        <v>31</v>
      </c>
      <c r="C23" s="117">
        <f>VLOOKUP(B23,J12:K18,2,FALSE)</f>
        <v>0</v>
      </c>
      <c r="D23" s="228" t="s">
        <v>50</v>
      </c>
      <c r="E23" s="1"/>
      <c r="G23" s="480" t="s">
        <v>28</v>
      </c>
      <c r="H23" s="480">
        <v>10</v>
      </c>
      <c r="I23" s="480"/>
      <c r="J23" s="480"/>
      <c r="K23" s="480"/>
    </row>
    <row r="24" spans="1:11" ht="19.5" customHeight="1">
      <c r="A24" s="28" t="s">
        <v>46</v>
      </c>
      <c r="B24" s="493">
        <v>0</v>
      </c>
      <c r="C24" s="56">
        <f>B24*10*C23*1.5</f>
        <v>0</v>
      </c>
      <c r="D24" s="82" t="s">
        <v>163</v>
      </c>
      <c r="E24" s="1"/>
      <c r="G24" s="480" t="s">
        <v>29</v>
      </c>
      <c r="H24" s="480">
        <v>10</v>
      </c>
      <c r="I24" s="480"/>
      <c r="J24" s="480"/>
      <c r="K24" s="480"/>
    </row>
    <row r="25" spans="1:11" ht="19.5" customHeight="1">
      <c r="A25" s="61" t="s">
        <v>47</v>
      </c>
      <c r="B25" s="261" t="str">
        <f>IF(B24&gt;3,"Sind Sie sicher?"," ")</f>
        <v xml:space="preserve"> </v>
      </c>
      <c r="C25" s="56"/>
      <c r="D25" s="88"/>
      <c r="E25" s="1"/>
      <c r="G25" s="480" t="s">
        <v>673</v>
      </c>
      <c r="H25" s="480">
        <v>30</v>
      </c>
      <c r="I25" s="480"/>
      <c r="J25" s="480"/>
      <c r="K25" s="480"/>
    </row>
    <row r="26" spans="1:11" ht="25.5" customHeight="1" thickBot="1">
      <c r="A26" s="230"/>
      <c r="B26" s="783" t="s">
        <v>607</v>
      </c>
      <c r="C26" s="263">
        <f>(C43+C45)*0.94</f>
        <v>198.80766620689656</v>
      </c>
      <c r="D26" s="46"/>
      <c r="E26" s="1"/>
      <c r="G26" s="480" t="s">
        <v>30</v>
      </c>
      <c r="H26" s="480">
        <v>40</v>
      </c>
      <c r="I26" s="480"/>
      <c r="J26" s="480"/>
      <c r="K26" s="480"/>
    </row>
    <row r="27" spans="1:11" ht="25.5" customHeight="1" thickBot="1">
      <c r="A27" s="953" t="s">
        <v>437</v>
      </c>
      <c r="B27" s="804" t="s">
        <v>747</v>
      </c>
      <c r="C27" s="276">
        <f>C26-C11-C12*0.875-C13*0.75-C14*1.5-C15*1.5-C16*0.85-C21+C22-C24*1.5</f>
        <v>128.18266620689656</v>
      </c>
      <c r="D27" s="91" t="str">
        <f>IF(C27&gt;C18,"Obergrenze einhalten!!!"," ")</f>
        <v xml:space="preserve"> </v>
      </c>
      <c r="E27" s="1"/>
      <c r="G27" s="480" t="s">
        <v>9</v>
      </c>
      <c r="H27" s="480">
        <v>0</v>
      </c>
      <c r="I27" s="480"/>
      <c r="J27" s="480"/>
      <c r="K27" s="480"/>
    </row>
    <row r="28" spans="1:11" ht="12" customHeight="1">
      <c r="G28" s="480" t="s">
        <v>10</v>
      </c>
      <c r="H28" s="480">
        <v>10</v>
      </c>
      <c r="I28" s="480"/>
      <c r="J28" s="480"/>
      <c r="K28" s="480"/>
    </row>
    <row r="29" spans="1:11" ht="32.25" customHeight="1">
      <c r="A29" s="977"/>
      <c r="B29" s="79"/>
      <c r="C29" s="947" t="s">
        <v>720</v>
      </c>
      <c r="D29" s="158"/>
      <c r="G29" s="480" t="s">
        <v>31</v>
      </c>
      <c r="H29" s="480">
        <v>0</v>
      </c>
      <c r="I29" s="480"/>
      <c r="J29" s="480"/>
      <c r="K29" s="480"/>
    </row>
    <row r="30" spans="1:11" s="930" customFormat="1" ht="19.5" customHeight="1">
      <c r="A30" s="156"/>
      <c r="B30" s="167" t="s">
        <v>42</v>
      </c>
      <c r="C30" s="157">
        <f>C18</f>
        <v>135</v>
      </c>
      <c r="D30" s="159" t="s">
        <v>4</v>
      </c>
      <c r="F30" s="16"/>
      <c r="I30" s="481"/>
      <c r="J30" s="480"/>
      <c r="K30" s="480"/>
    </row>
    <row r="31" spans="1:11" ht="15.75">
      <c r="A31" s="156"/>
      <c r="B31" s="261" t="s">
        <v>538</v>
      </c>
      <c r="C31" s="462">
        <v>0</v>
      </c>
      <c r="D31" s="166" t="s">
        <v>4</v>
      </c>
      <c r="E31" s="943"/>
      <c r="I31" s="481"/>
      <c r="J31" s="482"/>
      <c r="K31" s="482"/>
    </row>
    <row r="32" spans="1:11" ht="15.75">
      <c r="A32" s="3044" t="s">
        <v>702</v>
      </c>
      <c r="B32" s="775" t="s">
        <v>701</v>
      </c>
      <c r="C32" s="781">
        <v>0</v>
      </c>
      <c r="D32" s="779" t="s">
        <v>484</v>
      </c>
      <c r="F32" s="4"/>
      <c r="I32" s="481"/>
      <c r="J32" s="481"/>
      <c r="K32" s="481"/>
    </row>
    <row r="33" spans="1:11" ht="15.75">
      <c r="A33" s="3045"/>
      <c r="B33" s="776" t="s">
        <v>704</v>
      </c>
      <c r="C33" s="771">
        <v>0</v>
      </c>
      <c r="D33" s="415" t="s">
        <v>485</v>
      </c>
      <c r="I33" s="481"/>
      <c r="J33" s="481"/>
      <c r="K33" s="481"/>
    </row>
    <row r="34" spans="1:11" ht="15.75">
      <c r="A34" s="859" t="s">
        <v>817</v>
      </c>
      <c r="B34" s="777" t="s">
        <v>705</v>
      </c>
      <c r="C34" s="780">
        <v>0</v>
      </c>
      <c r="D34" s="415" t="s">
        <v>254</v>
      </c>
      <c r="I34" s="481"/>
      <c r="J34" s="481"/>
      <c r="K34" s="481"/>
    </row>
    <row r="35" spans="1:11" ht="29.25" customHeight="1">
      <c r="A35" s="3044" t="s">
        <v>703</v>
      </c>
      <c r="B35" s="775" t="s">
        <v>706</v>
      </c>
      <c r="C35" s="771">
        <v>0</v>
      </c>
      <c r="D35" s="779" t="s">
        <v>484</v>
      </c>
      <c r="I35" s="481"/>
      <c r="J35" s="481"/>
      <c r="K35" s="481"/>
    </row>
    <row r="36" spans="1:11" ht="30" customHeight="1">
      <c r="A36" s="3045"/>
      <c r="B36" s="776" t="s">
        <v>707</v>
      </c>
      <c r="C36" s="771">
        <v>0</v>
      </c>
      <c r="D36" s="415" t="s">
        <v>485</v>
      </c>
      <c r="I36" s="481"/>
      <c r="J36" s="481"/>
      <c r="K36" s="481"/>
    </row>
    <row r="37" spans="1:11" ht="9.75" customHeight="1">
      <c r="A37" s="859" t="s">
        <v>817</v>
      </c>
      <c r="B37" s="778" t="s">
        <v>708</v>
      </c>
      <c r="C37" s="771">
        <v>0</v>
      </c>
      <c r="D37" s="415" t="s">
        <v>254</v>
      </c>
      <c r="G37" s="7"/>
    </row>
    <row r="38" spans="1:11" ht="27" customHeight="1">
      <c r="A38" s="379"/>
      <c r="B38" s="412" t="s">
        <v>255</v>
      </c>
      <c r="C38" s="414">
        <f>(C32*C33*C34/100)+(C35*C36*C37/100)</f>
        <v>0</v>
      </c>
      <c r="D38" s="416" t="s">
        <v>4</v>
      </c>
      <c r="F38" s="946" t="s">
        <v>183</v>
      </c>
      <c r="G38" s="959" t="s">
        <v>186</v>
      </c>
      <c r="H38" s="959"/>
      <c r="I38" s="959"/>
    </row>
    <row r="39" spans="1:11" ht="19.5" customHeight="1">
      <c r="A39" s="411"/>
      <c r="B39" s="413" t="s">
        <v>136</v>
      </c>
      <c r="C39" s="414">
        <f>C30-C31-C38</f>
        <v>135</v>
      </c>
      <c r="D39" s="417" t="s">
        <v>4</v>
      </c>
      <c r="F39" s="951" t="s">
        <v>179</v>
      </c>
      <c r="G39" s="951">
        <v>90</v>
      </c>
      <c r="H39" s="937"/>
      <c r="I39" s="937"/>
    </row>
    <row r="40" spans="1:11" ht="19.5" customHeight="1">
      <c r="F40" s="951" t="s">
        <v>804</v>
      </c>
      <c r="G40" s="951">
        <v>70</v>
      </c>
      <c r="H40" s="937"/>
      <c r="I40" s="937"/>
    </row>
    <row r="41" spans="1:11" ht="19.5" customHeight="1">
      <c r="A41" s="43"/>
      <c r="B41" s="34"/>
      <c r="C41" s="948" t="s">
        <v>60</v>
      </c>
      <c r="D41" s="226"/>
      <c r="F41" s="951" t="s">
        <v>805</v>
      </c>
      <c r="G41" s="951">
        <v>70</v>
      </c>
      <c r="H41" s="937"/>
      <c r="I41" s="937"/>
    </row>
    <row r="42" spans="1:11" ht="19.5" customHeight="1">
      <c r="A42" s="28"/>
      <c r="B42" s="35" t="s">
        <v>73</v>
      </c>
      <c r="C42" s="463">
        <v>10.5</v>
      </c>
      <c r="D42" s="227"/>
      <c r="F42" s="951" t="s">
        <v>809</v>
      </c>
      <c r="G42" s="946">
        <v>70</v>
      </c>
      <c r="H42" s="937"/>
      <c r="I42" s="937"/>
    </row>
    <row r="43" spans="1:11" ht="19.5" customHeight="1">
      <c r="A43" s="28"/>
      <c r="B43" s="35" t="s">
        <v>12</v>
      </c>
      <c r="C43" s="239">
        <f>C7*0.86*C42/6.25</f>
        <v>130.03200000000001</v>
      </c>
      <c r="D43" s="104" t="str">
        <f>IF(C43&gt;200,"mehr als 200 kg Korn-N/ha ist unrealistisch!","Korn-N-Abfuhr")</f>
        <v>Korn-N-Abfuhr</v>
      </c>
      <c r="F43" s="782" t="s">
        <v>810</v>
      </c>
      <c r="G43" s="946">
        <v>60</v>
      </c>
      <c r="H43" s="937"/>
      <c r="I43" s="937"/>
    </row>
    <row r="44" spans="1:11" ht="19.5" customHeight="1">
      <c r="A44" s="28"/>
      <c r="B44" s="93" t="s">
        <v>14</v>
      </c>
      <c r="C44" s="329">
        <f>(190-C7)/100</f>
        <v>1</v>
      </c>
      <c r="D44" s="94" t="s">
        <v>338</v>
      </c>
      <c r="F44" s="951" t="s">
        <v>48</v>
      </c>
      <c r="G44" s="946">
        <v>60</v>
      </c>
      <c r="H44" s="937"/>
      <c r="I44" s="937"/>
    </row>
    <row r="45" spans="1:11" ht="19.5" customHeight="1">
      <c r="A45" s="28"/>
      <c r="B45" s="35" t="s">
        <v>13</v>
      </c>
      <c r="C45" s="234">
        <f>C7*C44*C42/11.6</f>
        <v>81.465517241379317</v>
      </c>
      <c r="D45" s="227"/>
      <c r="F45" s="951" t="s">
        <v>811</v>
      </c>
      <c r="G45" s="951">
        <v>45</v>
      </c>
      <c r="H45" s="937"/>
      <c r="I45" s="937"/>
    </row>
    <row r="46" spans="1:11" ht="19.5" customHeight="1">
      <c r="A46" s="28" t="s">
        <v>68</v>
      </c>
      <c r="B46" s="48" t="s">
        <v>65</v>
      </c>
      <c r="C46" s="115">
        <f>C27-C43</f>
        <v>-1.8493337931034546</v>
      </c>
      <c r="D46" s="235" t="str">
        <f>IF(C46&gt;50,"!!!",(IF(C46&gt;40,"!!",(IF(C46&gt;30,"!"," ")))))</f>
        <v xml:space="preserve"> </v>
      </c>
      <c r="F46" s="782" t="s">
        <v>806</v>
      </c>
      <c r="G46" s="946">
        <v>30</v>
      </c>
      <c r="H46" s="937"/>
      <c r="I46" s="937"/>
    </row>
    <row r="47" spans="1:11" ht="19.5" customHeight="1">
      <c r="A47" s="793" t="s">
        <v>729</v>
      </c>
      <c r="B47" s="48" t="s">
        <v>66</v>
      </c>
      <c r="C47" s="220">
        <f>C27-C43-C45</f>
        <v>-83.314851034482771</v>
      </c>
      <c r="D47" s="236"/>
      <c r="F47" s="951" t="s">
        <v>1019</v>
      </c>
      <c r="G47" s="946">
        <v>30</v>
      </c>
      <c r="H47" s="937"/>
      <c r="I47" s="937"/>
    </row>
    <row r="48" spans="1:11" ht="19.5" customHeight="1">
      <c r="A48" s="792" t="s">
        <v>67</v>
      </c>
      <c r="B48" s="48" t="s">
        <v>65</v>
      </c>
      <c r="C48" s="220">
        <f>C18-C43</f>
        <v>4.9679999999999893</v>
      </c>
      <c r="D48" s="235" t="str">
        <f>IF(C48&gt;50,"!!!",(IF(C48&gt;40,"!!",(IF(C48&gt;30,"!"," ")))))</f>
        <v xml:space="preserve"> </v>
      </c>
      <c r="F48" s="951" t="s">
        <v>187</v>
      </c>
      <c r="G48" s="946">
        <v>30</v>
      </c>
      <c r="H48" s="937"/>
      <c r="I48" s="937"/>
    </row>
    <row r="49" spans="1:9" ht="19.5" customHeight="1">
      <c r="A49" s="987" t="s">
        <v>729</v>
      </c>
      <c r="B49" s="97" t="s">
        <v>66</v>
      </c>
      <c r="C49" s="221">
        <f>C18-C43-C45</f>
        <v>-76.497517241379327</v>
      </c>
      <c r="D49" s="238"/>
      <c r="E49" s="930"/>
      <c r="F49" s="951" t="s">
        <v>813</v>
      </c>
      <c r="G49" s="946">
        <v>30</v>
      </c>
      <c r="H49" s="937"/>
      <c r="I49" s="937"/>
    </row>
    <row r="50" spans="1:9" ht="19.5" customHeight="1" thickBot="1">
      <c r="A50" s="988"/>
      <c r="B50" s="48"/>
      <c r="C50" s="49"/>
      <c r="D50" s="114"/>
      <c r="F50" s="951" t="s">
        <v>814</v>
      </c>
      <c r="G50" s="946">
        <v>30</v>
      </c>
      <c r="H50" s="937"/>
      <c r="I50" s="937"/>
    </row>
    <row r="51" spans="1:9" ht="19.5" customHeight="1">
      <c r="A51" s="3049" t="s">
        <v>578</v>
      </c>
      <c r="B51" s="3053"/>
      <c r="C51" s="1777" t="s">
        <v>587</v>
      </c>
      <c r="D51" s="603" t="s">
        <v>587</v>
      </c>
      <c r="F51" s="951" t="s">
        <v>815</v>
      </c>
      <c r="G51" s="946">
        <v>30</v>
      </c>
      <c r="H51" s="937"/>
      <c r="I51" s="937"/>
    </row>
    <row r="52" spans="1:9" ht="19.5" customHeight="1">
      <c r="A52" s="3054" t="s">
        <v>590</v>
      </c>
      <c r="B52" s="626" t="s">
        <v>579</v>
      </c>
      <c r="C52" s="622" t="s">
        <v>580</v>
      </c>
      <c r="D52" s="631" t="s">
        <v>581</v>
      </c>
      <c r="E52" s="1"/>
      <c r="F52" s="951" t="s">
        <v>180</v>
      </c>
      <c r="G52" s="946">
        <v>25</v>
      </c>
      <c r="H52" s="937"/>
      <c r="I52" s="937"/>
    </row>
    <row r="53" spans="1:9" ht="19.5" customHeight="1">
      <c r="A53" s="3055"/>
      <c r="B53" s="601" t="s">
        <v>583</v>
      </c>
      <c r="C53" s="263">
        <f>C55*2</f>
        <v>144</v>
      </c>
      <c r="D53" s="616">
        <f>D55*2</f>
        <v>0</v>
      </c>
      <c r="E53" s="1"/>
      <c r="F53" s="951" t="s">
        <v>807</v>
      </c>
      <c r="G53" s="946">
        <v>25</v>
      </c>
    </row>
    <row r="54" spans="1:9" ht="19.5" customHeight="1">
      <c r="A54" s="3055"/>
      <c r="B54" s="601" t="s">
        <v>584</v>
      </c>
      <c r="C54" s="263">
        <f>C55*1.5</f>
        <v>108</v>
      </c>
      <c r="D54" s="616">
        <f>D55*1.5</f>
        <v>0</v>
      </c>
      <c r="F54" s="782" t="s">
        <v>808</v>
      </c>
      <c r="G54" s="946">
        <v>25</v>
      </c>
    </row>
    <row r="55" spans="1:9" ht="19.5" customHeight="1">
      <c r="A55" s="3055"/>
      <c r="B55" s="601" t="s">
        <v>585</v>
      </c>
      <c r="C55" s="605">
        <f>C7*0.8</f>
        <v>72</v>
      </c>
      <c r="D55" s="695">
        <f>C38*1</f>
        <v>0</v>
      </c>
      <c r="F55" s="782" t="s">
        <v>816</v>
      </c>
      <c r="G55" s="946">
        <v>10</v>
      </c>
    </row>
    <row r="56" spans="1:9" ht="19.5" customHeight="1">
      <c r="A56" s="2959"/>
      <c r="B56" s="623" t="s">
        <v>586</v>
      </c>
      <c r="C56" s="263">
        <f>C55*0.5</f>
        <v>36</v>
      </c>
      <c r="D56" s="616">
        <f>D55*0.5</f>
        <v>0</v>
      </c>
      <c r="F56" s="782" t="s">
        <v>181</v>
      </c>
      <c r="G56" s="946">
        <v>10</v>
      </c>
    </row>
    <row r="57" spans="1:9" ht="28.5" customHeight="1">
      <c r="A57" s="3069"/>
      <c r="B57" s="3070" t="s">
        <v>588</v>
      </c>
      <c r="C57" s="3060" t="s">
        <v>591</v>
      </c>
      <c r="D57" s="3061"/>
      <c r="F57" s="782" t="s">
        <v>188</v>
      </c>
      <c r="G57" s="946">
        <v>5</v>
      </c>
    </row>
    <row r="58" spans="1:9" ht="19.5" customHeight="1" thickBot="1">
      <c r="A58" s="3066"/>
      <c r="B58" s="3068"/>
      <c r="C58" s="3062"/>
      <c r="D58" s="3063"/>
      <c r="F58" s="782" t="s">
        <v>182</v>
      </c>
      <c r="G58" s="946">
        <v>3</v>
      </c>
    </row>
    <row r="59" spans="1:9" ht="19.5" customHeight="1"/>
    <row r="60" spans="1:9" ht="19.5" customHeight="1">
      <c r="A60" s="103" t="s">
        <v>167</v>
      </c>
      <c r="B60" s="101"/>
      <c r="C60" s="774"/>
      <c r="D60" s="930"/>
    </row>
    <row r="61" spans="1:9" ht="67.5" customHeight="1">
      <c r="A61" s="254" t="s">
        <v>393</v>
      </c>
      <c r="B61" s="3051" t="s">
        <v>428</v>
      </c>
      <c r="C61" s="2413"/>
      <c r="D61" s="2413"/>
    </row>
    <row r="62" spans="1:9" ht="75.75" customHeight="1">
      <c r="A62" s="254" t="s">
        <v>398</v>
      </c>
      <c r="B62" s="3051" t="s">
        <v>493</v>
      </c>
      <c r="C62" s="2413"/>
      <c r="D62" s="2413"/>
    </row>
    <row r="63" spans="1:9" ht="33.75" customHeight="1">
      <c r="A63" s="3154" t="s">
        <v>396</v>
      </c>
      <c r="B63" s="960" t="s">
        <v>412</v>
      </c>
      <c r="C63" s="102" t="s">
        <v>430</v>
      </c>
      <c r="D63" s="930"/>
    </row>
    <row r="64" spans="1:9" ht="58.5" customHeight="1">
      <c r="A64" s="3155"/>
      <c r="B64" s="3051" t="s">
        <v>429</v>
      </c>
      <c r="C64" s="2736"/>
      <c r="D64" s="2736"/>
    </row>
    <row r="65" ht="19.5" customHeight="1"/>
    <row r="66" ht="19.5" customHeight="1"/>
    <row r="67" ht="19.5" customHeight="1"/>
    <row r="68" ht="19.5" customHeight="1"/>
    <row r="69" ht="68.25" customHeight="1"/>
    <row r="70" ht="70.5" customHeight="1"/>
    <row r="71" ht="26.25" customHeight="1"/>
    <row r="72" ht="63.75" customHeight="1"/>
    <row r="73" ht="20.25" customHeight="1"/>
    <row r="74" ht="69.75" customHeight="1"/>
  </sheetData>
  <sheetProtection formatCells="0" formatColumns="0" formatRows="0" selectLockedCells="1"/>
  <mergeCells count="14">
    <mergeCell ref="A20:B20"/>
    <mergeCell ref="A32:A33"/>
    <mergeCell ref="A5:D5"/>
    <mergeCell ref="A6:B6"/>
    <mergeCell ref="B61:D61"/>
    <mergeCell ref="B62:D62"/>
    <mergeCell ref="A63:A64"/>
    <mergeCell ref="B64:D64"/>
    <mergeCell ref="A35:A36"/>
    <mergeCell ref="A51:B51"/>
    <mergeCell ref="A52:A56"/>
    <mergeCell ref="A57:A58"/>
    <mergeCell ref="B57:B58"/>
    <mergeCell ref="C57:D58"/>
  </mergeCells>
  <dataValidations count="5">
    <dataValidation type="list" allowBlank="1" sqref="B14">
      <formula1>$G$19:$G$29</formula1>
    </dataValidation>
    <dataValidation type="list" allowBlank="1" showInputMessage="1" showErrorMessage="1" sqref="B23">
      <formula1>J12:J18</formula1>
    </dataValidation>
    <dataValidation type="list" allowBlank="1" sqref="B15">
      <formula1>Vorfrucht</formula1>
    </dataValidation>
    <dataValidation type="list" allowBlank="1" sqref="J8:J9">
      <formula1>"Humusgehalt"</formula1>
    </dataValidation>
    <dataValidation type="list" allowBlank="1" sqref="B17">
      <formula1>"bis 4 %, größer 4 %"</formula1>
    </dataValidation>
  </dataValidations>
  <pageMargins left="0.7" right="0.7" top="0.78740157499999996" bottom="0.78740157499999996" header="0.3" footer="0.3"/>
  <pageSetup paperSize="9" scale="63" orientation="portrait" horizontalDpi="4294967293" vertic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theme="0"/>
    <pageSetUpPr fitToPage="1"/>
  </sheetPr>
  <dimension ref="A1:L103"/>
  <sheetViews>
    <sheetView topLeftCell="A46" zoomScaleNormal="100" workbookViewId="0">
      <selection activeCell="C55" sqref="C55"/>
    </sheetView>
  </sheetViews>
  <sheetFormatPr baseColWidth="10" defaultRowHeight="15"/>
  <cols>
    <col min="1" max="1" width="41.85546875" style="173" customWidth="1"/>
    <col min="2" max="2" width="39.85546875" style="122" customWidth="1"/>
    <col min="3" max="3" width="22.5703125" style="969" customWidth="1"/>
    <col min="4" max="4" width="23.5703125" customWidth="1"/>
    <col min="5" max="5" width="21.7109375" style="969" customWidth="1"/>
    <col min="6" max="6" width="36.85546875" customWidth="1"/>
    <col min="7" max="7" width="40.42578125" customWidth="1"/>
    <col min="8" max="8" width="21" style="969" customWidth="1"/>
    <col min="9" max="9" width="23.7109375" customWidth="1"/>
    <col min="10" max="10" width="29.42578125" customWidth="1"/>
  </cols>
  <sheetData>
    <row r="1" spans="1:12">
      <c r="B1" s="412" t="str">
        <f>'DüV-N-Ackerbau'!C1</f>
        <v>Karl vom Land</v>
      </c>
      <c r="C1" s="412" t="str">
        <f>'DüV-N-Ackerbau'!F1</f>
        <v>Erntejahr</v>
      </c>
      <c r="F1" s="38" t="s">
        <v>36</v>
      </c>
      <c r="G1" s="969"/>
    </row>
    <row r="2" spans="1:12">
      <c r="B2" s="412" t="str">
        <f>'DüV-N-Ackerbau'!C2</f>
        <v>Höfen 1</v>
      </c>
      <c r="C2" s="412">
        <f>'DüV-N-Ackerbau'!G1</f>
        <v>2022</v>
      </c>
      <c r="F2" s="41" t="s">
        <v>34</v>
      </c>
    </row>
    <row r="3" spans="1:12">
      <c r="B3" s="412" t="str">
        <f>'DüV-N-Ackerbau'!C3</f>
        <v>12345 Auf dem Feld</v>
      </c>
      <c r="C3" s="174"/>
    </row>
    <row r="4" spans="1:12" ht="8.25" customHeight="1" thickBot="1"/>
    <row r="5" spans="1:12" ht="21.75" thickBot="1">
      <c r="A5" s="3046" t="s">
        <v>71</v>
      </c>
      <c r="B5" s="3047"/>
      <c r="C5" s="3047"/>
      <c r="D5" s="3047"/>
      <c r="E5" s="3048"/>
      <c r="F5" s="62"/>
    </row>
    <row r="6" spans="1:12" ht="51.75" customHeight="1" thickBot="1">
      <c r="A6" s="3049" t="s">
        <v>574</v>
      </c>
      <c r="B6" s="3050"/>
      <c r="C6" s="327" t="s">
        <v>573</v>
      </c>
      <c r="D6" s="2722" t="s">
        <v>527</v>
      </c>
      <c r="E6" s="3166"/>
      <c r="F6" s="74"/>
      <c r="G6" s="480"/>
      <c r="H6" s="479" t="s">
        <v>5</v>
      </c>
      <c r="I6" s="480"/>
      <c r="J6" s="480" t="s">
        <v>159</v>
      </c>
      <c r="K6" s="480"/>
      <c r="L6" s="480"/>
    </row>
    <row r="7" spans="1:12" ht="15.75">
      <c r="A7" s="73"/>
      <c r="B7" s="35" t="s">
        <v>75</v>
      </c>
      <c r="C7" s="337">
        <v>450</v>
      </c>
      <c r="D7" s="3163"/>
      <c r="E7" s="2450"/>
      <c r="F7" s="75"/>
      <c r="G7" s="479" t="s">
        <v>6</v>
      </c>
      <c r="H7" s="480"/>
      <c r="I7" s="480"/>
      <c r="J7" s="480" t="s">
        <v>160</v>
      </c>
      <c r="K7" s="480">
        <v>0</v>
      </c>
      <c r="L7" s="480"/>
    </row>
    <row r="8" spans="1:12">
      <c r="A8" s="73"/>
      <c r="B8" s="37" t="s">
        <v>302</v>
      </c>
      <c r="C8" s="464">
        <v>30</v>
      </c>
      <c r="D8" s="3163"/>
      <c r="E8" s="2450"/>
      <c r="F8" s="30"/>
      <c r="G8" s="480" t="s">
        <v>503</v>
      </c>
      <c r="H8" s="480">
        <v>0</v>
      </c>
      <c r="I8" s="480"/>
      <c r="J8" s="480" t="s">
        <v>161</v>
      </c>
      <c r="K8" s="480">
        <v>20</v>
      </c>
      <c r="L8" s="480"/>
    </row>
    <row r="9" spans="1:12" ht="15" customHeight="1">
      <c r="A9" s="3167" t="s">
        <v>439</v>
      </c>
      <c r="B9" s="3168"/>
      <c r="C9" s="474" t="str">
        <f>IF(OR(C7&lt;150,C7&gt;800),"Sind Sie sicher?"," ")</f>
        <v xml:space="preserve"> </v>
      </c>
      <c r="D9" s="3163"/>
      <c r="E9" s="2450"/>
      <c r="F9" s="30"/>
      <c r="G9" s="480" t="s">
        <v>22</v>
      </c>
      <c r="H9" s="480">
        <v>10</v>
      </c>
      <c r="I9" s="480"/>
      <c r="J9" s="480"/>
      <c r="K9" s="480"/>
      <c r="L9" s="480"/>
    </row>
    <row r="10" spans="1:12" ht="15.75">
      <c r="A10" s="73"/>
      <c r="B10" s="37"/>
      <c r="C10" s="264" t="s">
        <v>4</v>
      </c>
      <c r="D10" s="3163"/>
      <c r="E10" s="2450"/>
      <c r="F10" s="30"/>
      <c r="G10" s="480" t="s">
        <v>528</v>
      </c>
      <c r="H10" s="480">
        <v>10</v>
      </c>
      <c r="I10" s="480"/>
      <c r="J10" s="480"/>
      <c r="K10" s="480"/>
      <c r="L10" s="480"/>
    </row>
    <row r="11" spans="1:12" ht="15.75">
      <c r="A11" s="73"/>
      <c r="B11" s="35" t="s">
        <v>37</v>
      </c>
      <c r="C11" s="264">
        <f>IF(C7&lt;450,65+C7*0.3,(IF(C7&gt;=450,200+(C7-450)*0.2)))</f>
        <v>200</v>
      </c>
      <c r="D11" s="3163"/>
      <c r="E11" s="2450"/>
      <c r="F11" s="30"/>
      <c r="G11" s="480" t="s">
        <v>7</v>
      </c>
      <c r="H11" s="480">
        <v>10</v>
      </c>
      <c r="I11" s="480"/>
      <c r="J11" s="480"/>
      <c r="K11" s="480"/>
      <c r="L11" s="480"/>
    </row>
    <row r="12" spans="1:12" ht="18">
      <c r="A12" s="73"/>
      <c r="B12" s="35" t="s">
        <v>38</v>
      </c>
      <c r="C12" s="491">
        <v>30</v>
      </c>
      <c r="D12" s="3163"/>
      <c r="E12" s="2450"/>
      <c r="F12" s="30"/>
      <c r="G12" s="480" t="s">
        <v>17</v>
      </c>
      <c r="H12" s="480">
        <v>20</v>
      </c>
      <c r="I12" s="480"/>
      <c r="J12" s="480"/>
      <c r="K12" s="480"/>
      <c r="L12" s="480"/>
    </row>
    <row r="13" spans="1:12" ht="18">
      <c r="A13" s="73"/>
      <c r="B13" s="35" t="s">
        <v>39</v>
      </c>
      <c r="C13" s="491">
        <v>20</v>
      </c>
      <c r="D13" s="3163"/>
      <c r="E13" s="2450"/>
      <c r="F13" s="30"/>
      <c r="G13" s="480" t="s">
        <v>23</v>
      </c>
      <c r="H13" s="480">
        <v>0</v>
      </c>
      <c r="I13" s="480"/>
      <c r="J13" s="480"/>
      <c r="K13" s="480"/>
      <c r="L13" s="480"/>
    </row>
    <row r="14" spans="1:12" ht="18">
      <c r="A14" s="73"/>
      <c r="B14" s="35" t="s">
        <v>40</v>
      </c>
      <c r="C14" s="491">
        <v>10</v>
      </c>
      <c r="D14" s="3163"/>
      <c r="E14" s="2450"/>
      <c r="F14" s="30"/>
      <c r="G14" s="480" t="s">
        <v>20</v>
      </c>
      <c r="H14" s="480">
        <v>20</v>
      </c>
      <c r="I14" s="480"/>
      <c r="J14" s="480"/>
      <c r="K14" s="480"/>
      <c r="L14" s="480"/>
    </row>
    <row r="15" spans="1:12">
      <c r="A15" s="73" t="s">
        <v>8</v>
      </c>
      <c r="B15" s="340" t="s">
        <v>31</v>
      </c>
      <c r="C15" s="967">
        <f>VLOOKUP(B15,G22:H32,2,FALSE)</f>
        <v>0</v>
      </c>
      <c r="D15" s="3163"/>
      <c r="E15" s="2450"/>
      <c r="F15" s="30"/>
      <c r="G15" s="480" t="s">
        <v>19</v>
      </c>
      <c r="H15" s="480">
        <v>10</v>
      </c>
      <c r="I15" s="480"/>
      <c r="J15" s="480"/>
      <c r="K15" s="480"/>
      <c r="L15" s="480"/>
    </row>
    <row r="16" spans="1:12">
      <c r="A16" s="73" t="s">
        <v>6</v>
      </c>
      <c r="B16" s="340" t="s">
        <v>503</v>
      </c>
      <c r="C16" s="967">
        <f>VLOOKUP(B16,G8:H18,2,FALSE)</f>
        <v>0</v>
      </c>
      <c r="D16" s="3163"/>
      <c r="E16" s="2450"/>
      <c r="F16" s="30"/>
      <c r="G16" s="480" t="s">
        <v>529</v>
      </c>
      <c r="H16" s="480">
        <v>0</v>
      </c>
      <c r="I16" s="480"/>
      <c r="J16" s="480"/>
      <c r="K16" s="480"/>
      <c r="L16" s="480"/>
    </row>
    <row r="17" spans="1:12" ht="15.75">
      <c r="A17" s="69" t="s">
        <v>1057</v>
      </c>
      <c r="B17" s="39" t="s">
        <v>24</v>
      </c>
      <c r="C17" s="964">
        <v>20</v>
      </c>
      <c r="D17" s="3163"/>
      <c r="E17" s="2450"/>
      <c r="F17" s="489" t="str">
        <f>IF(D17&gt;25,"Sind Sie sicher?"," ")</f>
        <v xml:space="preserve"> </v>
      </c>
      <c r="G17" s="480" t="s">
        <v>21</v>
      </c>
      <c r="H17" s="480">
        <v>10</v>
      </c>
      <c r="I17" s="480"/>
      <c r="J17" s="480"/>
      <c r="K17" s="480"/>
      <c r="L17" s="480"/>
    </row>
    <row r="18" spans="1:12" ht="15.75" thickBot="1">
      <c r="A18" s="69" t="s">
        <v>159</v>
      </c>
      <c r="B18" s="342" t="s">
        <v>160</v>
      </c>
      <c r="C18" s="965">
        <f>VLOOKUP(B18,J7:K8,2,FALSE)</f>
        <v>0</v>
      </c>
      <c r="D18" s="3163"/>
      <c r="E18" s="2450"/>
      <c r="F18" s="30"/>
      <c r="G18" s="480" t="s">
        <v>18</v>
      </c>
      <c r="H18" s="480">
        <v>20</v>
      </c>
      <c r="I18" s="480"/>
      <c r="J18" s="480"/>
      <c r="K18" s="480"/>
      <c r="L18" s="480"/>
    </row>
    <row r="19" spans="1:12" ht="23.25" customHeight="1" thickBot="1">
      <c r="A19" s="293"/>
      <c r="B19" s="284" t="s">
        <v>468</v>
      </c>
      <c r="C19" s="276">
        <f>C11-SUM(C12:C18)</f>
        <v>120</v>
      </c>
      <c r="D19" s="3164" t="s">
        <v>470</v>
      </c>
      <c r="E19" s="3165"/>
      <c r="F19" s="36"/>
      <c r="G19" s="480"/>
      <c r="H19" s="480"/>
      <c r="I19" s="480"/>
      <c r="J19" s="480"/>
      <c r="K19" s="480"/>
      <c r="L19" s="480"/>
    </row>
    <row r="20" spans="1:12" ht="21.75" customHeight="1" thickBot="1">
      <c r="A20" s="35"/>
      <c r="B20" s="167"/>
      <c r="C20" s="11"/>
      <c r="D20" s="131"/>
      <c r="E20" s="92"/>
      <c r="F20" s="36"/>
      <c r="G20" s="480"/>
      <c r="H20" s="480"/>
      <c r="I20" s="480"/>
      <c r="J20" s="480"/>
      <c r="K20" s="480"/>
      <c r="L20" s="480"/>
    </row>
    <row r="21" spans="1:12" ht="39.75" customHeight="1" thickBot="1">
      <c r="A21" s="3075" t="s">
        <v>491</v>
      </c>
      <c r="B21" s="3076"/>
      <c r="C21" s="270" t="s">
        <v>385</v>
      </c>
      <c r="D21" s="203" t="s">
        <v>158</v>
      </c>
      <c r="E21" s="72">
        <f>C7*C8/100</f>
        <v>135</v>
      </c>
      <c r="F21" s="30"/>
      <c r="G21" s="479" t="s">
        <v>8</v>
      </c>
      <c r="H21" s="480"/>
      <c r="I21" s="480"/>
      <c r="J21" s="479" t="s">
        <v>49</v>
      </c>
      <c r="K21" s="480"/>
      <c r="L21" s="480"/>
    </row>
    <row r="22" spans="1:12" ht="19.5" customHeight="1">
      <c r="A22" s="43" t="s">
        <v>35</v>
      </c>
      <c r="B22" s="344">
        <v>60</v>
      </c>
      <c r="C22" s="116">
        <f>IF(OR(B22&lt;1,B22&gt;100),"Zahl 0 bis 100 eingeben",(-0.0025*B22*B22+0.75*B22-26)*0.4)</f>
        <v>4</v>
      </c>
      <c r="D22" s="114" t="s">
        <v>163</v>
      </c>
      <c r="E22" s="968"/>
      <c r="F22" s="30"/>
      <c r="G22" s="480" t="s">
        <v>31</v>
      </c>
      <c r="H22" s="480">
        <v>0</v>
      </c>
      <c r="I22" s="480"/>
      <c r="J22" s="1488" t="s">
        <v>1198</v>
      </c>
      <c r="K22" s="1488">
        <v>1</v>
      </c>
      <c r="L22" s="480"/>
    </row>
    <row r="23" spans="1:12" ht="19.5" customHeight="1">
      <c r="A23" s="81" t="s">
        <v>162</v>
      </c>
      <c r="B23" s="345">
        <v>200</v>
      </c>
      <c r="C23" s="59">
        <f>IF(OR(B23&lt;40,B23&gt;800),"gibt es nicht",(B23*0.025-1))</f>
        <v>4</v>
      </c>
      <c r="D23" s="114" t="s">
        <v>164</v>
      </c>
      <c r="E23" s="968"/>
      <c r="F23" s="30"/>
      <c r="G23" s="480" t="s">
        <v>25</v>
      </c>
      <c r="H23" s="480">
        <v>0</v>
      </c>
      <c r="I23" s="480"/>
      <c r="J23" s="1488" t="s">
        <v>184</v>
      </c>
      <c r="K23" s="1488">
        <v>0.5</v>
      </c>
      <c r="L23" s="480"/>
    </row>
    <row r="24" spans="1:12" ht="19.5" customHeight="1">
      <c r="A24" s="28" t="s">
        <v>51</v>
      </c>
      <c r="B24" s="340" t="s">
        <v>31</v>
      </c>
      <c r="C24" s="117">
        <f>VLOOKUP(B24,J22:K28,2,FALSE)</f>
        <v>0</v>
      </c>
      <c r="D24" s="67" t="s">
        <v>50</v>
      </c>
      <c r="E24" s="968"/>
      <c r="F24" s="30"/>
      <c r="G24" s="480" t="s">
        <v>26</v>
      </c>
      <c r="H24" s="480">
        <v>0</v>
      </c>
      <c r="I24" s="480"/>
      <c r="J24" s="1488" t="s">
        <v>1200</v>
      </c>
      <c r="K24" s="1488">
        <v>0.6</v>
      </c>
      <c r="L24" s="480"/>
    </row>
    <row r="25" spans="1:12" ht="19.5" customHeight="1">
      <c r="A25" s="28" t="s">
        <v>46</v>
      </c>
      <c r="B25" s="493">
        <v>0</v>
      </c>
      <c r="C25" s="56">
        <f>B25*10*C24*1.5</f>
        <v>0</v>
      </c>
      <c r="D25" s="114" t="s">
        <v>163</v>
      </c>
      <c r="E25" s="968"/>
      <c r="F25" s="30"/>
      <c r="G25" s="480" t="s">
        <v>27</v>
      </c>
      <c r="H25" s="480">
        <v>20</v>
      </c>
      <c r="I25" s="480"/>
      <c r="J25" s="1488" t="s">
        <v>1201</v>
      </c>
      <c r="K25" s="1488">
        <v>0.4</v>
      </c>
      <c r="L25" s="480"/>
    </row>
    <row r="26" spans="1:12" ht="19.5" customHeight="1">
      <c r="A26" s="61" t="s">
        <v>47</v>
      </c>
      <c r="B26" s="492" t="str">
        <f>IF(B25&gt;3,"Sind Sie sicher?"," ")</f>
        <v xml:space="preserve"> </v>
      </c>
      <c r="C26" s="56"/>
      <c r="D26" s="30"/>
      <c r="E26" s="968"/>
      <c r="F26" s="30"/>
      <c r="G26" s="480" t="s">
        <v>28</v>
      </c>
      <c r="H26" s="480">
        <v>10</v>
      </c>
      <c r="I26" s="480"/>
      <c r="J26" s="1488" t="s">
        <v>1199</v>
      </c>
      <c r="K26" s="1488">
        <v>0.35</v>
      </c>
      <c r="L26" s="480"/>
    </row>
    <row r="27" spans="1:12" ht="24" customHeight="1">
      <c r="A27" s="28"/>
      <c r="B27" s="60"/>
      <c r="C27" s="56"/>
      <c r="E27" s="968"/>
      <c r="F27" s="30"/>
      <c r="G27" s="480" t="s">
        <v>29</v>
      </c>
      <c r="H27" s="480">
        <v>10</v>
      </c>
      <c r="I27" s="480"/>
      <c r="J27" s="1488" t="s">
        <v>48</v>
      </c>
      <c r="K27" s="1488">
        <v>0.3</v>
      </c>
      <c r="L27" s="480"/>
    </row>
    <row r="28" spans="1:12" ht="25.5" customHeight="1" thickBot="1">
      <c r="A28" s="28"/>
      <c r="B28" s="44" t="s">
        <v>431</v>
      </c>
      <c r="C28" s="118">
        <f>-0.00328*E21*E21+1.775*E21+13</f>
        <v>192.84700000000001</v>
      </c>
      <c r="D28" s="30" t="s">
        <v>77</v>
      </c>
      <c r="E28" s="968"/>
      <c r="F28" s="30"/>
      <c r="G28" s="480" t="s">
        <v>673</v>
      </c>
      <c r="H28" s="480">
        <v>30</v>
      </c>
      <c r="I28" s="480"/>
      <c r="J28" s="1488" t="s">
        <v>31</v>
      </c>
      <c r="K28" s="1488">
        <v>0</v>
      </c>
      <c r="L28" s="480"/>
    </row>
    <row r="29" spans="1:12" ht="33.75" customHeight="1" thickBot="1">
      <c r="A29" s="28"/>
      <c r="B29" s="274" t="s">
        <v>52</v>
      </c>
      <c r="C29" s="276">
        <f>C28-C12-C13*0.875-C14*0.75-C15*1.5-C16*1.5-C17*0.8-C22+C23-C25*1.5</f>
        <v>121.84700000000001</v>
      </c>
      <c r="D29" s="275" t="s">
        <v>4</v>
      </c>
      <c r="E29" s="3160" t="s">
        <v>336</v>
      </c>
      <c r="F29" s="30"/>
      <c r="G29" s="480" t="s">
        <v>30</v>
      </c>
      <c r="H29" s="480">
        <v>40</v>
      </c>
      <c r="I29" s="480"/>
      <c r="J29" s="480"/>
      <c r="K29" s="480"/>
      <c r="L29" s="480"/>
    </row>
    <row r="30" spans="1:12" ht="32.25" customHeight="1">
      <c r="A30" s="47"/>
      <c r="B30" s="68" t="s">
        <v>58</v>
      </c>
      <c r="C30" s="119" t="str">
        <f>IF(C29&gt;C19,"Obergrenze einhalten!"," ")</f>
        <v>Obergrenze einhalten!</v>
      </c>
      <c r="D30" s="42"/>
      <c r="E30" s="2492"/>
      <c r="F30" s="30"/>
      <c r="G30" s="480" t="s">
        <v>9</v>
      </c>
      <c r="H30" s="480">
        <v>0</v>
      </c>
      <c r="I30" s="480"/>
      <c r="J30" s="480"/>
      <c r="K30" s="480"/>
      <c r="L30" s="480"/>
    </row>
    <row r="31" spans="1:12">
      <c r="A31" s="949"/>
      <c r="B31" s="497"/>
      <c r="C31" s="938"/>
      <c r="D31" s="205"/>
      <c r="E31" s="966"/>
      <c r="G31" s="480" t="s">
        <v>10</v>
      </c>
      <c r="H31" s="480">
        <v>10</v>
      </c>
      <c r="L31" s="480"/>
    </row>
    <row r="32" spans="1:12" ht="31.5">
      <c r="A32" s="977"/>
      <c r="B32" s="79"/>
      <c r="C32" s="947" t="s">
        <v>720</v>
      </c>
      <c r="D32" s="158"/>
      <c r="E32" s="153"/>
      <c r="F32" s="946" t="s">
        <v>183</v>
      </c>
      <c r="G32" s="480" t="s">
        <v>31</v>
      </c>
      <c r="H32" s="480">
        <v>0</v>
      </c>
      <c r="L32" s="480"/>
    </row>
    <row r="33" spans="1:12" ht="15.75">
      <c r="A33" s="156"/>
      <c r="B33" s="167" t="s">
        <v>42</v>
      </c>
      <c r="C33" s="157">
        <f>C19</f>
        <v>120</v>
      </c>
      <c r="D33" s="159" t="s">
        <v>4</v>
      </c>
      <c r="E33" s="153"/>
      <c r="F33" s="951" t="s">
        <v>179</v>
      </c>
      <c r="L33" s="480"/>
    </row>
    <row r="34" spans="1:12" ht="15.75">
      <c r="A34" s="156"/>
      <c r="B34" s="261" t="s">
        <v>538</v>
      </c>
      <c r="C34" s="462">
        <v>0</v>
      </c>
      <c r="D34" s="166" t="s">
        <v>4</v>
      </c>
      <c r="E34" s="153"/>
      <c r="F34" s="951" t="s">
        <v>804</v>
      </c>
      <c r="L34" s="480"/>
    </row>
    <row r="35" spans="1:12" ht="15.75">
      <c r="A35" s="3044" t="s">
        <v>702</v>
      </c>
      <c r="B35" s="775" t="s">
        <v>701</v>
      </c>
      <c r="C35" s="781">
        <v>0</v>
      </c>
      <c r="D35" s="779" t="s">
        <v>484</v>
      </c>
      <c r="E35" s="153"/>
      <c r="F35" s="951" t="s">
        <v>805</v>
      </c>
      <c r="L35" s="480"/>
    </row>
    <row r="36" spans="1:12" ht="15" customHeight="1">
      <c r="A36" s="3045"/>
      <c r="B36" s="776" t="s">
        <v>704</v>
      </c>
      <c r="C36" s="771">
        <v>0</v>
      </c>
      <c r="D36" s="415" t="s">
        <v>485</v>
      </c>
      <c r="E36" s="153"/>
      <c r="F36" s="951" t="s">
        <v>809</v>
      </c>
      <c r="L36" s="480"/>
    </row>
    <row r="37" spans="1:12" ht="15.75">
      <c r="A37" s="859" t="s">
        <v>817</v>
      </c>
      <c r="B37" s="777" t="s">
        <v>705</v>
      </c>
      <c r="C37" s="780">
        <v>0</v>
      </c>
      <c r="D37" s="415" t="s">
        <v>254</v>
      </c>
      <c r="E37" s="153"/>
      <c r="F37" s="782" t="s">
        <v>810</v>
      </c>
      <c r="L37" s="480"/>
    </row>
    <row r="38" spans="1:12" ht="35.25" customHeight="1">
      <c r="A38" s="3044" t="s">
        <v>703</v>
      </c>
      <c r="B38" s="775" t="s">
        <v>706</v>
      </c>
      <c r="C38" s="771">
        <v>0</v>
      </c>
      <c r="D38" s="779" t="s">
        <v>484</v>
      </c>
      <c r="E38" s="153"/>
      <c r="F38" s="951" t="s">
        <v>48</v>
      </c>
      <c r="L38" s="480"/>
    </row>
    <row r="39" spans="1:12" ht="14.25" customHeight="1">
      <c r="A39" s="3045"/>
      <c r="B39" s="776" t="s">
        <v>707</v>
      </c>
      <c r="C39" s="771">
        <v>0</v>
      </c>
      <c r="D39" s="415" t="s">
        <v>485</v>
      </c>
      <c r="E39" s="153"/>
      <c r="F39" s="951" t="s">
        <v>811</v>
      </c>
      <c r="L39" s="480"/>
    </row>
    <row r="40" spans="1:12" ht="11.25" customHeight="1">
      <c r="A40" s="859" t="s">
        <v>817</v>
      </c>
      <c r="B40" s="778" t="s">
        <v>708</v>
      </c>
      <c r="C40" s="771">
        <v>0</v>
      </c>
      <c r="D40" s="415" t="s">
        <v>254</v>
      </c>
      <c r="E40" s="153"/>
      <c r="F40" s="782" t="s">
        <v>806</v>
      </c>
    </row>
    <row r="41" spans="1:12" ht="34.5" customHeight="1">
      <c r="A41" s="379"/>
      <c r="B41" s="412" t="s">
        <v>255</v>
      </c>
      <c r="C41" s="414">
        <f>(C35*C36*C37/100)+(C38*C39*C40/100)</f>
        <v>0</v>
      </c>
      <c r="D41" s="416" t="s">
        <v>4</v>
      </c>
      <c r="F41" s="951" t="s">
        <v>1019</v>
      </c>
      <c r="G41" s="959" t="s">
        <v>186</v>
      </c>
      <c r="H41" s="959"/>
      <c r="I41" s="959"/>
    </row>
    <row r="42" spans="1:12" ht="18.75" customHeight="1">
      <c r="A42" s="411"/>
      <c r="B42" s="413" t="s">
        <v>136</v>
      </c>
      <c r="C42" s="414">
        <f>C33-C34-C41</f>
        <v>120</v>
      </c>
      <c r="D42" s="417" t="s">
        <v>4</v>
      </c>
      <c r="E42" s="153"/>
      <c r="F42" s="951" t="s">
        <v>187</v>
      </c>
      <c r="G42" s="951">
        <v>90</v>
      </c>
      <c r="H42" s="937"/>
      <c r="I42" s="937"/>
    </row>
    <row r="43" spans="1:12" ht="18.75" customHeight="1">
      <c r="A43" s="35"/>
      <c r="B43" s="120"/>
      <c r="C43" s="165"/>
      <c r="D43" s="30"/>
      <c r="E43" s="933"/>
      <c r="F43" s="951" t="s">
        <v>813</v>
      </c>
      <c r="G43" s="951">
        <v>70</v>
      </c>
      <c r="H43" s="937"/>
      <c r="I43" s="937"/>
    </row>
    <row r="44" spans="1:12" ht="18.75" customHeight="1">
      <c r="A44" s="43"/>
      <c r="B44" s="34"/>
      <c r="C44" s="948" t="s">
        <v>60</v>
      </c>
      <c r="D44" s="498"/>
      <c r="E44" s="22"/>
      <c r="F44" s="951" t="s">
        <v>814</v>
      </c>
      <c r="G44" s="951">
        <v>70</v>
      </c>
      <c r="H44" s="937"/>
      <c r="I44" s="937"/>
    </row>
    <row r="45" spans="1:12" ht="18.75" customHeight="1">
      <c r="A45" s="28"/>
      <c r="B45" s="35" t="s">
        <v>73</v>
      </c>
      <c r="C45" s="341">
        <v>7.4</v>
      </c>
      <c r="D45" s="499" t="s">
        <v>78</v>
      </c>
      <c r="F45" s="951" t="s">
        <v>815</v>
      </c>
      <c r="G45" s="946">
        <v>70</v>
      </c>
      <c r="H45" s="937"/>
      <c r="I45" s="937"/>
    </row>
    <row r="46" spans="1:12" ht="18.75" customHeight="1">
      <c r="A46" s="28"/>
      <c r="B46" s="35" t="s">
        <v>74</v>
      </c>
      <c r="C46" s="239">
        <f>C7*C8/100*C45/6.25</f>
        <v>159.84</v>
      </c>
      <c r="D46" s="500" t="s">
        <v>76</v>
      </c>
      <c r="F46" s="951" t="s">
        <v>180</v>
      </c>
      <c r="G46" s="946">
        <v>60</v>
      </c>
      <c r="H46" s="937"/>
      <c r="I46" s="937"/>
    </row>
    <row r="47" spans="1:12" ht="18.75" customHeight="1">
      <c r="A47" s="28" t="s">
        <v>68</v>
      </c>
      <c r="B47" s="48" t="s">
        <v>144</v>
      </c>
      <c r="C47" s="220">
        <f>C29-C46</f>
        <v>-37.992999999999995</v>
      </c>
      <c r="D47" s="501" t="s">
        <v>4</v>
      </c>
      <c r="F47" s="951" t="s">
        <v>807</v>
      </c>
      <c r="G47" s="946">
        <v>60</v>
      </c>
      <c r="H47" s="937"/>
      <c r="I47" s="937"/>
      <c r="J47" s="946"/>
    </row>
    <row r="48" spans="1:12" ht="18.75" customHeight="1">
      <c r="A48" s="28" t="s">
        <v>67</v>
      </c>
      <c r="B48" s="48" t="s">
        <v>144</v>
      </c>
      <c r="C48" s="220">
        <f>C19-C46</f>
        <v>-39.840000000000003</v>
      </c>
      <c r="D48" s="501" t="s">
        <v>4</v>
      </c>
      <c r="F48" s="782" t="s">
        <v>808</v>
      </c>
      <c r="G48" s="951">
        <v>45</v>
      </c>
      <c r="H48" s="937"/>
      <c r="I48" s="937"/>
      <c r="J48" s="946"/>
    </row>
    <row r="49" spans="1:10" ht="18.75" customHeight="1">
      <c r="A49" s="217" t="s">
        <v>729</v>
      </c>
      <c r="B49" s="97"/>
      <c r="C49" s="221"/>
      <c r="D49" s="302"/>
      <c r="F49" s="782" t="s">
        <v>816</v>
      </c>
      <c r="G49" s="946">
        <v>30</v>
      </c>
      <c r="H49" s="937"/>
      <c r="I49" s="937"/>
      <c r="J49" s="946"/>
    </row>
    <row r="50" spans="1:10" ht="18.75" customHeight="1" thickBot="1">
      <c r="A50" s="93"/>
      <c r="B50" s="48"/>
      <c r="C50" s="49"/>
      <c r="D50" s="114"/>
      <c r="F50" s="782" t="s">
        <v>181</v>
      </c>
      <c r="G50" s="946">
        <v>30</v>
      </c>
      <c r="H50" s="937"/>
      <c r="I50" s="937"/>
      <c r="J50" s="946"/>
    </row>
    <row r="51" spans="1:10" ht="18.75" customHeight="1">
      <c r="A51" s="3049" t="s">
        <v>578</v>
      </c>
      <c r="B51" s="3053"/>
      <c r="C51" s="1777" t="s">
        <v>587</v>
      </c>
      <c r="D51" s="3161"/>
      <c r="E51" s="3162"/>
      <c r="F51" s="782" t="s">
        <v>188</v>
      </c>
      <c r="G51" s="946">
        <v>30</v>
      </c>
      <c r="H51" s="937"/>
      <c r="I51" s="937"/>
      <c r="J51" s="946"/>
    </row>
    <row r="52" spans="1:10" ht="18.75" customHeight="1">
      <c r="A52" s="3054" t="s">
        <v>590</v>
      </c>
      <c r="B52" s="624" t="s">
        <v>579</v>
      </c>
      <c r="C52" s="622" t="s">
        <v>71</v>
      </c>
      <c r="D52" s="3156"/>
      <c r="E52" s="3157"/>
      <c r="F52" s="782" t="s">
        <v>182</v>
      </c>
      <c r="G52" s="946">
        <v>30</v>
      </c>
      <c r="H52" s="937"/>
      <c r="I52" s="937"/>
      <c r="J52" s="946"/>
    </row>
    <row r="53" spans="1:10" ht="18.75" customHeight="1">
      <c r="A53" s="3055"/>
      <c r="B53" s="601" t="s">
        <v>583</v>
      </c>
      <c r="C53" s="263">
        <f>C55*2</f>
        <v>137.69999999999999</v>
      </c>
      <c r="D53" s="3156"/>
      <c r="E53" s="3157"/>
      <c r="F53" s="1774"/>
      <c r="G53" s="946">
        <v>30</v>
      </c>
      <c r="H53" s="937"/>
      <c r="I53" s="937"/>
      <c r="J53" s="946"/>
    </row>
    <row r="54" spans="1:10" ht="18.75" customHeight="1">
      <c r="A54" s="3055"/>
      <c r="B54" s="601" t="s">
        <v>584</v>
      </c>
      <c r="C54" s="263">
        <f>C55*1.5</f>
        <v>103.27499999999999</v>
      </c>
      <c r="D54" s="3156"/>
      <c r="E54" s="3157"/>
      <c r="F54" s="1774"/>
      <c r="G54" s="946">
        <v>30</v>
      </c>
      <c r="H54" s="930"/>
      <c r="I54" s="930"/>
      <c r="J54" s="946"/>
    </row>
    <row r="55" spans="1:10" ht="18.75" customHeight="1">
      <c r="A55" s="3055"/>
      <c r="B55" s="601" t="s">
        <v>585</v>
      </c>
      <c r="C55" s="605">
        <f>E21*0.51</f>
        <v>68.849999999999994</v>
      </c>
      <c r="D55" s="3156"/>
      <c r="E55" s="3157"/>
      <c r="F55" s="1774"/>
      <c r="G55" s="946">
        <v>25</v>
      </c>
      <c r="H55" s="14"/>
      <c r="I55" s="946"/>
      <c r="J55" s="946"/>
    </row>
    <row r="56" spans="1:10" ht="18.75" customHeight="1">
      <c r="A56" s="2959"/>
      <c r="B56" s="632" t="s">
        <v>586</v>
      </c>
      <c r="C56" s="263">
        <f>C55*0.5</f>
        <v>34.424999999999997</v>
      </c>
      <c r="D56" s="3156"/>
      <c r="E56" s="3157"/>
      <c r="F56" s="1774"/>
      <c r="G56" s="946">
        <v>25</v>
      </c>
      <c r="H56" s="14"/>
      <c r="I56" s="946"/>
      <c r="J56" s="946"/>
    </row>
    <row r="57" spans="1:10" ht="18.75" customHeight="1">
      <c r="A57" s="3069"/>
      <c r="B57" s="3070" t="s">
        <v>588</v>
      </c>
      <c r="C57" s="3095" t="s">
        <v>591</v>
      </c>
      <c r="D57" s="3158"/>
      <c r="E57" s="3159"/>
      <c r="F57" s="1774"/>
      <c r="G57" s="946">
        <v>25</v>
      </c>
      <c r="H57" s="121"/>
      <c r="I57" s="946"/>
      <c r="J57" s="946"/>
    </row>
    <row r="58" spans="1:10" ht="18.75" customHeight="1" thickBot="1">
      <c r="A58" s="3066"/>
      <c r="B58" s="3068"/>
      <c r="C58" s="3097"/>
      <c r="D58" s="3103"/>
      <c r="E58" s="2540"/>
      <c r="F58" s="1774"/>
      <c r="G58" s="946">
        <v>10</v>
      </c>
      <c r="H58" s="121"/>
      <c r="I58" s="946"/>
      <c r="J58" s="946"/>
    </row>
    <row r="59" spans="1:10" ht="18.75" customHeight="1">
      <c r="G59" s="946">
        <v>10</v>
      </c>
      <c r="H59" s="121"/>
      <c r="I59" s="946"/>
      <c r="J59" s="946"/>
    </row>
    <row r="60" spans="1:10" ht="21.75" customHeight="1">
      <c r="A60" s="103" t="s">
        <v>167</v>
      </c>
      <c r="B60" s="101"/>
      <c r="C60" s="774"/>
      <c r="D60" s="930"/>
      <c r="F60" s="30"/>
      <c r="G60" s="946">
        <v>5</v>
      </c>
    </row>
    <row r="61" spans="1:10" ht="88.5" customHeight="1">
      <c r="A61" s="254" t="s">
        <v>393</v>
      </c>
      <c r="B61" s="3051" t="s">
        <v>520</v>
      </c>
      <c r="C61" s="2413"/>
      <c r="D61" s="2413"/>
      <c r="F61" s="30"/>
      <c r="G61" s="946">
        <v>3</v>
      </c>
    </row>
    <row r="62" spans="1:10" ht="84.75" customHeight="1">
      <c r="A62" s="254" t="s">
        <v>398</v>
      </c>
      <c r="B62" s="3051" t="s">
        <v>493</v>
      </c>
      <c r="C62" s="2413"/>
      <c r="D62" s="2413"/>
      <c r="F62" s="930"/>
      <c r="G62" s="1775"/>
    </row>
    <row r="63" spans="1:10" ht="54.75" customHeight="1">
      <c r="A63" s="970" t="s">
        <v>396</v>
      </c>
      <c r="B63" s="3051" t="s">
        <v>436</v>
      </c>
      <c r="C63" s="2736"/>
      <c r="D63" s="2736"/>
      <c r="F63" s="934"/>
      <c r="G63" s="1775"/>
    </row>
    <row r="64" spans="1:10" ht="22.5" customHeight="1">
      <c r="A64" s="103"/>
      <c r="B64" s="105"/>
      <c r="C64" s="106"/>
      <c r="D64" s="107"/>
      <c r="F64" s="969" t="s">
        <v>11</v>
      </c>
      <c r="G64" s="1775"/>
    </row>
    <row r="65" spans="1:8" ht="22.5" customHeight="1">
      <c r="A65" s="970" t="s">
        <v>172</v>
      </c>
      <c r="B65" s="100" t="s">
        <v>515</v>
      </c>
      <c r="C65" s="106"/>
      <c r="D65" s="107"/>
      <c r="E65" s="969" t="s">
        <v>438</v>
      </c>
      <c r="F65" s="969">
        <v>8.4</v>
      </c>
      <c r="G65" s="1775"/>
    </row>
    <row r="66" spans="1:8" ht="22.5" customHeight="1">
      <c r="A66" s="970"/>
      <c r="B66" s="330" t="s">
        <v>521</v>
      </c>
      <c r="D66" s="109" t="s">
        <v>516</v>
      </c>
      <c r="E66" s="969" t="s">
        <v>519</v>
      </c>
      <c r="F66" s="969">
        <v>8.15</v>
      </c>
      <c r="G66" s="1775"/>
    </row>
    <row r="67" spans="1:8" ht="22.5" customHeight="1">
      <c r="A67" s="970"/>
      <c r="B67" s="331" t="s">
        <v>517</v>
      </c>
      <c r="C67" s="106"/>
      <c r="D67" s="107"/>
      <c r="F67" s="969">
        <v>7.9</v>
      </c>
      <c r="G67" s="1775"/>
    </row>
    <row r="68" spans="1:8" ht="22.5" customHeight="1">
      <c r="A68" s="108"/>
      <c r="B68" s="106"/>
      <c r="D68" s="107"/>
      <c r="F68" s="969">
        <v>7.65</v>
      </c>
    </row>
    <row r="69" spans="1:8" ht="81" customHeight="1">
      <c r="A69" s="35"/>
      <c r="B69" s="969"/>
      <c r="C69" s="969" t="s">
        <v>57</v>
      </c>
      <c r="D69" s="969" t="s">
        <v>438</v>
      </c>
      <c r="E69" s="969">
        <v>194</v>
      </c>
      <c r="F69" s="969">
        <v>7.4</v>
      </c>
      <c r="G69" s="934"/>
    </row>
    <row r="70" spans="1:8">
      <c r="A70" s="35"/>
      <c r="B70" s="969" t="s">
        <v>85</v>
      </c>
      <c r="C70" t="s">
        <v>514</v>
      </c>
      <c r="D70" s="969" t="s">
        <v>518</v>
      </c>
      <c r="F70" s="969">
        <v>7.15</v>
      </c>
      <c r="G70" s="934"/>
    </row>
    <row r="71" spans="1:8" ht="14.25" customHeight="1">
      <c r="A71" s="174"/>
      <c r="B71" s="969">
        <v>80</v>
      </c>
      <c r="C71" s="211">
        <f>B71*F65/6.25*1.2+5</f>
        <v>134.024</v>
      </c>
      <c r="D71" s="969"/>
      <c r="E71" s="969">
        <v>224</v>
      </c>
      <c r="F71" s="969">
        <v>6.9</v>
      </c>
      <c r="G71" s="934"/>
    </row>
    <row r="72" spans="1:8" ht="27" customHeight="1">
      <c r="A72" s="174"/>
      <c r="B72" s="969">
        <v>100</v>
      </c>
      <c r="C72" s="211">
        <f>B72*F66/6.25*1.175+5</f>
        <v>158.22</v>
      </c>
      <c r="D72" s="969"/>
      <c r="F72" s="969">
        <v>6.65</v>
      </c>
      <c r="G72" s="969"/>
      <c r="H72"/>
    </row>
    <row r="73" spans="1:8" ht="23.25" customHeight="1">
      <c r="A73" s="174"/>
      <c r="B73" s="969">
        <v>120</v>
      </c>
      <c r="C73" s="211">
        <f>B73*F67/6.25*1.15+5</f>
        <v>179.43199999999999</v>
      </c>
      <c r="D73" s="969">
        <v>177</v>
      </c>
      <c r="E73" s="969">
        <v>253</v>
      </c>
      <c r="F73" s="969">
        <v>6.4</v>
      </c>
      <c r="G73" s="969"/>
      <c r="H73"/>
    </row>
    <row r="74" spans="1:8" ht="21" customHeight="1">
      <c r="A74" s="174"/>
      <c r="B74" s="969">
        <v>140</v>
      </c>
      <c r="C74" s="211">
        <f>B74*F68/6.25*1.125+5</f>
        <v>197.78000000000003</v>
      </c>
      <c r="D74" s="969"/>
      <c r="G74" s="969"/>
      <c r="H74"/>
    </row>
    <row r="75" spans="1:8">
      <c r="A75" s="174"/>
      <c r="B75" s="122">
        <v>160</v>
      </c>
      <c r="C75" s="211">
        <f>B75*F69/6.25*1.1+5</f>
        <v>213.38400000000001</v>
      </c>
      <c r="D75" s="969">
        <v>210</v>
      </c>
      <c r="G75" s="969"/>
      <c r="H75"/>
    </row>
    <row r="76" spans="1:8">
      <c r="A76" s="174"/>
      <c r="B76" s="969">
        <v>180</v>
      </c>
      <c r="C76" s="211">
        <f>B76*F70/6.25*1.075+5</f>
        <v>226.36399999999998</v>
      </c>
      <c r="D76" s="969"/>
      <c r="E76"/>
      <c r="G76" s="969"/>
      <c r="H76"/>
    </row>
    <row r="77" spans="1:8">
      <c r="A77" s="174"/>
      <c r="B77" s="969">
        <v>200</v>
      </c>
      <c r="C77" s="211">
        <f>B77*F71/6.25*1.05+5</f>
        <v>236.84000000000003</v>
      </c>
      <c r="D77" s="969">
        <v>235</v>
      </c>
      <c r="E77"/>
      <c r="G77" s="969"/>
      <c r="H77"/>
    </row>
    <row r="78" spans="1:8">
      <c r="A78" s="174"/>
      <c r="B78" s="969">
        <v>220</v>
      </c>
      <c r="C78" s="211">
        <f>B78*F72/6.25*1.025+5</f>
        <v>244.93199999999999</v>
      </c>
      <c r="D78" s="969"/>
      <c r="E78"/>
      <c r="G78" s="969"/>
      <c r="H78"/>
    </row>
    <row r="79" spans="1:8">
      <c r="A79" s="174"/>
      <c r="B79" s="969">
        <v>240</v>
      </c>
      <c r="C79" s="211">
        <f>B79*F73/6.25*1+5</f>
        <v>250.76</v>
      </c>
      <c r="D79" s="969"/>
      <c r="E79"/>
      <c r="G79" s="969"/>
      <c r="H79"/>
    </row>
    <row r="80" spans="1:8">
      <c r="B80" s="969"/>
      <c r="D80" s="969"/>
      <c r="E80"/>
      <c r="G80" s="969"/>
      <c r="H80"/>
    </row>
    <row r="81" spans="2:8">
      <c r="B81" s="969"/>
      <c r="E81"/>
      <c r="G81" s="969"/>
      <c r="H81"/>
    </row>
    <row r="82" spans="2:8">
      <c r="B82" s="969"/>
      <c r="E82"/>
      <c r="G82" s="969"/>
      <c r="H82"/>
    </row>
    <row r="83" spans="2:8">
      <c r="B83" s="969"/>
      <c r="G83" s="969"/>
      <c r="H83"/>
    </row>
    <row r="84" spans="2:8">
      <c r="B84" s="969"/>
      <c r="E84"/>
      <c r="G84" s="969"/>
      <c r="H84"/>
    </row>
    <row r="85" spans="2:8">
      <c r="B85" s="969"/>
      <c r="G85" s="969"/>
      <c r="H85"/>
    </row>
    <row r="86" spans="2:8">
      <c r="B86" s="969"/>
      <c r="C86" s="122"/>
      <c r="G86" s="969"/>
      <c r="H86"/>
    </row>
    <row r="87" spans="2:8">
      <c r="B87" s="969"/>
      <c r="D87" s="969"/>
      <c r="G87" s="969"/>
      <c r="H87"/>
    </row>
    <row r="88" spans="2:8">
      <c r="B88" s="969"/>
      <c r="D88" s="969"/>
      <c r="G88" s="969"/>
      <c r="H88"/>
    </row>
    <row r="89" spans="2:8">
      <c r="B89" s="969"/>
      <c r="D89" s="969"/>
      <c r="G89" s="969"/>
      <c r="H89"/>
    </row>
    <row r="90" spans="2:8">
      <c r="B90" s="969"/>
      <c r="D90" s="969"/>
      <c r="G90" s="969"/>
      <c r="H90"/>
    </row>
    <row r="91" spans="2:8">
      <c r="B91" s="969"/>
      <c r="D91" s="969"/>
      <c r="G91" s="969"/>
      <c r="H91"/>
    </row>
    <row r="92" spans="2:8">
      <c r="B92" s="969"/>
      <c r="D92" s="969"/>
      <c r="G92" s="969"/>
      <c r="H92"/>
    </row>
    <row r="93" spans="2:8">
      <c r="B93" s="969"/>
      <c r="D93" s="969"/>
      <c r="G93" s="969"/>
      <c r="H93"/>
    </row>
    <row r="94" spans="2:8">
      <c r="B94" s="969"/>
      <c r="D94" s="969"/>
      <c r="E94"/>
      <c r="G94" s="969"/>
      <c r="H94"/>
    </row>
    <row r="95" spans="2:8">
      <c r="B95" s="969"/>
      <c r="D95" s="969"/>
      <c r="E95"/>
      <c r="G95" s="969"/>
      <c r="H95"/>
    </row>
    <row r="96" spans="2:8">
      <c r="B96" s="969"/>
      <c r="D96" s="969"/>
      <c r="E96"/>
      <c r="G96" s="969"/>
      <c r="H96"/>
    </row>
    <row r="97" spans="2:8">
      <c r="B97" s="969"/>
      <c r="D97" s="969"/>
      <c r="G97" s="969"/>
      <c r="H97"/>
    </row>
    <row r="98" spans="2:8">
      <c r="B98" s="969"/>
      <c r="D98" s="969"/>
      <c r="G98" s="969"/>
      <c r="H98"/>
    </row>
    <row r="99" spans="2:8">
      <c r="B99" s="969"/>
      <c r="G99" s="969"/>
      <c r="H99"/>
    </row>
    <row r="100" spans="2:8">
      <c r="B100" s="32" t="s">
        <v>440</v>
      </c>
      <c r="G100" s="969"/>
      <c r="H100"/>
    </row>
    <row r="101" spans="2:8">
      <c r="B101" s="32" t="s">
        <v>441</v>
      </c>
      <c r="G101" s="969"/>
      <c r="H101"/>
    </row>
    <row r="102" spans="2:8">
      <c r="B102" s="32" t="s">
        <v>442</v>
      </c>
      <c r="G102" s="969"/>
      <c r="H102"/>
    </row>
    <row r="103" spans="2:8">
      <c r="B103" s="32" t="s">
        <v>443</v>
      </c>
      <c r="G103" s="969"/>
      <c r="H103"/>
    </row>
  </sheetData>
  <sheetProtection formatCells="0" formatColumns="0" formatRows="0" selectLockedCells="1"/>
  <mergeCells count="35">
    <mergeCell ref="D15:E15"/>
    <mergeCell ref="A5:E5"/>
    <mergeCell ref="A6:B6"/>
    <mergeCell ref="D6:E6"/>
    <mergeCell ref="D7:E7"/>
    <mergeCell ref="D8:E8"/>
    <mergeCell ref="D13:E13"/>
    <mergeCell ref="D14:E14"/>
    <mergeCell ref="A9:B9"/>
    <mergeCell ref="D9:E9"/>
    <mergeCell ref="D10:E10"/>
    <mergeCell ref="D11:E11"/>
    <mergeCell ref="D12:E12"/>
    <mergeCell ref="D53:E53"/>
    <mergeCell ref="D54:E54"/>
    <mergeCell ref="D16:E16"/>
    <mergeCell ref="D17:E17"/>
    <mergeCell ref="D18:E18"/>
    <mergeCell ref="D19:E19"/>
    <mergeCell ref="B63:D63"/>
    <mergeCell ref="A38:A39"/>
    <mergeCell ref="B61:D61"/>
    <mergeCell ref="B62:D62"/>
    <mergeCell ref="A21:B21"/>
    <mergeCell ref="D55:E55"/>
    <mergeCell ref="D56:E56"/>
    <mergeCell ref="A57:A58"/>
    <mergeCell ref="B57:B58"/>
    <mergeCell ref="C57:E58"/>
    <mergeCell ref="E29:E30"/>
    <mergeCell ref="A35:A36"/>
    <mergeCell ref="A51:B51"/>
    <mergeCell ref="D51:E51"/>
    <mergeCell ref="A52:A56"/>
    <mergeCell ref="D52:E52"/>
  </mergeCells>
  <dataValidations count="5">
    <dataValidation type="list" allowBlank="1" sqref="B15">
      <formula1>$G$22:$G$32</formula1>
    </dataValidation>
    <dataValidation type="list" allowBlank="1" showInputMessage="1" showErrorMessage="1" sqref="B24">
      <formula1>J22:J28</formula1>
    </dataValidation>
    <dataValidation type="list" allowBlank="1" sqref="B18">
      <formula1>"bis 4 %, größer 4 %"</formula1>
    </dataValidation>
    <dataValidation type="list" allowBlank="1" sqref="J7:J8">
      <formula1>"Humusgehalt"</formula1>
    </dataValidation>
    <dataValidation type="list" allowBlank="1" sqref="B16">
      <formula1>Vorfrucht</formula1>
    </dataValidation>
  </dataValidations>
  <pageMargins left="0.7" right="0.7" top="0.78740157499999996" bottom="0.78740157499999996" header="0.3" footer="0.3"/>
  <pageSetup paperSize="9" scale="58" orientation="portrait" horizontalDpi="4294967293" verticalDpi="4294967293" r:id="rId1"/>
  <colBreaks count="1" manualBreakCount="1">
    <brk id="6" max="4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theme="0"/>
    <pageSetUpPr fitToPage="1"/>
  </sheetPr>
  <dimension ref="A1:K88"/>
  <sheetViews>
    <sheetView topLeftCell="A38" zoomScaleNormal="100" workbookViewId="0">
      <selection activeCell="C51" sqref="C51"/>
    </sheetView>
  </sheetViews>
  <sheetFormatPr baseColWidth="10" defaultRowHeight="15"/>
  <cols>
    <col min="1" max="1" width="40.28515625" style="173" customWidth="1"/>
    <col min="2" max="2" width="40.140625" style="122" customWidth="1"/>
    <col min="3" max="3" width="24" style="969" customWidth="1"/>
    <col min="4" max="4" width="28.85546875" customWidth="1"/>
    <col min="5" max="5" width="19.140625" style="969" customWidth="1"/>
    <col min="6" max="6" width="45.5703125" customWidth="1"/>
    <col min="7" max="7" width="44" customWidth="1"/>
    <col min="8" max="8" width="24.5703125" style="969" customWidth="1"/>
    <col min="9" max="9" width="24.85546875" customWidth="1"/>
  </cols>
  <sheetData>
    <row r="1" spans="1:11">
      <c r="A1" s="348"/>
      <c r="B1" s="412" t="str">
        <f>'DüV-N-Ackerbau'!C1</f>
        <v>Karl vom Land</v>
      </c>
      <c r="C1" s="412" t="str">
        <f>'DüV-N-Ackerbau'!F1</f>
        <v>Erntejahr</v>
      </c>
      <c r="E1" s="8" t="s">
        <v>36</v>
      </c>
    </row>
    <row r="2" spans="1:11">
      <c r="B2" s="412" t="str">
        <f>'DüV-N-Ackerbau'!C2</f>
        <v>Höfen 1</v>
      </c>
      <c r="C2" s="412">
        <f>'DüV-N-Ackerbau'!G1</f>
        <v>2022</v>
      </c>
      <c r="E2" s="9" t="s">
        <v>34</v>
      </c>
    </row>
    <row r="3" spans="1:11">
      <c r="B3" s="412" t="str">
        <f>'DüV-N-Ackerbau'!C3</f>
        <v>12345 Auf dem Feld</v>
      </c>
      <c r="C3" s="174"/>
    </row>
    <row r="4" spans="1:11" ht="9" customHeight="1" thickBot="1"/>
    <row r="5" spans="1:11" ht="21.75" thickBot="1">
      <c r="A5" s="3046" t="s">
        <v>137</v>
      </c>
      <c r="B5" s="3047"/>
      <c r="C5" s="3047"/>
      <c r="D5" s="3048"/>
    </row>
    <row r="6" spans="1:11" ht="48" thickBot="1">
      <c r="A6" s="3049" t="s">
        <v>574</v>
      </c>
      <c r="B6" s="3050"/>
      <c r="C6" s="327" t="s">
        <v>573</v>
      </c>
      <c r="D6" s="472" t="s">
        <v>526</v>
      </c>
      <c r="E6" s="122"/>
      <c r="G6" s="480"/>
      <c r="H6" s="479" t="s">
        <v>5</v>
      </c>
      <c r="I6" s="480"/>
      <c r="J6" s="480"/>
      <c r="K6" s="480"/>
    </row>
    <row r="7" spans="1:11" ht="15.75">
      <c r="A7" s="73"/>
      <c r="B7" s="35" t="s">
        <v>75</v>
      </c>
      <c r="C7" s="337">
        <v>450</v>
      </c>
      <c r="D7" s="338"/>
      <c r="G7" s="479" t="s">
        <v>6</v>
      </c>
      <c r="H7" s="480"/>
      <c r="I7" s="480" t="s">
        <v>159</v>
      </c>
      <c r="J7" s="480"/>
      <c r="K7" s="480"/>
    </row>
    <row r="8" spans="1:11" ht="15.75">
      <c r="A8" s="73"/>
      <c r="B8" s="35"/>
      <c r="C8" s="57"/>
      <c r="D8" s="338"/>
      <c r="G8" s="480" t="s">
        <v>503</v>
      </c>
      <c r="H8" s="480">
        <v>0</v>
      </c>
      <c r="I8" s="480" t="s">
        <v>160</v>
      </c>
      <c r="J8" s="480">
        <v>0</v>
      </c>
      <c r="K8" s="480"/>
    </row>
    <row r="9" spans="1:11" ht="15.75">
      <c r="A9" s="73"/>
      <c r="B9" s="35"/>
      <c r="C9" s="57" t="s">
        <v>4</v>
      </c>
      <c r="D9" s="338"/>
      <c r="G9" s="480" t="s">
        <v>22</v>
      </c>
      <c r="H9" s="480">
        <v>10</v>
      </c>
      <c r="I9" s="480" t="s">
        <v>161</v>
      </c>
      <c r="J9" s="480">
        <v>20</v>
      </c>
      <c r="K9" s="480"/>
    </row>
    <row r="10" spans="1:11" ht="15.75">
      <c r="A10" s="73"/>
      <c r="B10" s="35" t="s">
        <v>37</v>
      </c>
      <c r="C10" s="58">
        <f>90+C7*0.2</f>
        <v>180</v>
      </c>
      <c r="D10" s="339"/>
      <c r="G10" s="480" t="s">
        <v>528</v>
      </c>
      <c r="H10" s="480">
        <v>10</v>
      </c>
      <c r="I10" s="480"/>
      <c r="J10" s="480"/>
      <c r="K10" s="480"/>
    </row>
    <row r="11" spans="1:11" ht="18">
      <c r="A11" s="73"/>
      <c r="B11" s="35" t="s">
        <v>38</v>
      </c>
      <c r="C11" s="491">
        <v>20</v>
      </c>
      <c r="D11" s="339"/>
      <c r="G11" s="480" t="s">
        <v>7</v>
      </c>
      <c r="H11" s="480">
        <v>10</v>
      </c>
      <c r="I11" s="480"/>
      <c r="J11" s="480"/>
      <c r="K11" s="480"/>
    </row>
    <row r="12" spans="1:11" ht="18">
      <c r="A12" s="73"/>
      <c r="B12" s="35" t="s">
        <v>39</v>
      </c>
      <c r="C12" s="491">
        <v>20</v>
      </c>
      <c r="D12" s="339"/>
      <c r="G12" s="480" t="s">
        <v>17</v>
      </c>
      <c r="H12" s="480">
        <v>20</v>
      </c>
      <c r="I12" s="480"/>
      <c r="J12" s="480"/>
      <c r="K12" s="480"/>
    </row>
    <row r="13" spans="1:11">
      <c r="A13" s="73" t="s">
        <v>8</v>
      </c>
      <c r="B13" s="340" t="s">
        <v>31</v>
      </c>
      <c r="C13" s="55">
        <f>VLOOKUP(B13,G21:H31,2,FALSE)</f>
        <v>0</v>
      </c>
      <c r="D13" s="339"/>
      <c r="G13" s="480" t="s">
        <v>23</v>
      </c>
      <c r="H13" s="480">
        <v>0</v>
      </c>
      <c r="I13" s="480"/>
      <c r="J13" s="480"/>
      <c r="K13" s="480"/>
    </row>
    <row r="14" spans="1:11">
      <c r="A14" s="73" t="s">
        <v>6</v>
      </c>
      <c r="B14" s="340" t="s">
        <v>503</v>
      </c>
      <c r="C14" s="55">
        <f>VLOOKUP(B14,G8:H18,2,FALSE)</f>
        <v>0</v>
      </c>
      <c r="D14" s="339"/>
      <c r="G14" s="480" t="s">
        <v>20</v>
      </c>
      <c r="H14" s="480">
        <v>20</v>
      </c>
      <c r="I14" s="480"/>
      <c r="J14" s="480"/>
      <c r="K14" s="480"/>
    </row>
    <row r="15" spans="1:11" ht="15.75">
      <c r="A15" s="69" t="s">
        <v>1057</v>
      </c>
      <c r="B15" s="39" t="s">
        <v>24</v>
      </c>
      <c r="C15" s="341">
        <v>0</v>
      </c>
      <c r="D15" s="339"/>
      <c r="E15" s="489" t="str">
        <f>IF(C15&gt;25,"Sind Sie sicher?"," ")</f>
        <v xml:space="preserve"> </v>
      </c>
      <c r="G15" s="480" t="s">
        <v>19</v>
      </c>
      <c r="H15" s="480">
        <v>10</v>
      </c>
      <c r="I15" s="480"/>
      <c r="J15" s="480"/>
      <c r="K15" s="480"/>
    </row>
    <row r="16" spans="1:11" ht="15.75" thickBot="1">
      <c r="A16" s="69" t="s">
        <v>159</v>
      </c>
      <c r="B16" s="342" t="s">
        <v>160</v>
      </c>
      <c r="C16" s="76">
        <f>VLOOKUP(B16,I8:J9,2,FALSE)</f>
        <v>0</v>
      </c>
      <c r="D16" s="343"/>
      <c r="G16" s="480" t="s">
        <v>529</v>
      </c>
      <c r="H16" s="480">
        <v>0</v>
      </c>
      <c r="I16" s="480"/>
      <c r="J16" s="480"/>
      <c r="K16" s="480"/>
    </row>
    <row r="17" spans="1:11" ht="16.5" thickBot="1">
      <c r="A17" s="293"/>
      <c r="B17" s="284" t="s">
        <v>468</v>
      </c>
      <c r="C17" s="276">
        <f>C10-SUM(C11:C16)</f>
        <v>140</v>
      </c>
      <c r="D17" s="285" t="s">
        <v>470</v>
      </c>
      <c r="G17" s="480" t="s">
        <v>21</v>
      </c>
      <c r="H17" s="480">
        <v>10</v>
      </c>
      <c r="I17" s="480"/>
      <c r="J17" s="480"/>
      <c r="K17" s="480"/>
    </row>
    <row r="18" spans="1:11" ht="11.25" customHeight="1" thickBot="1">
      <c r="A18" s="35"/>
      <c r="B18" s="167"/>
      <c r="C18" s="11"/>
      <c r="D18" s="296"/>
      <c r="E18" s="64"/>
      <c r="G18" s="480" t="s">
        <v>18</v>
      </c>
      <c r="H18" s="480">
        <v>20</v>
      </c>
      <c r="I18" s="480"/>
      <c r="J18" s="480"/>
      <c r="K18" s="480"/>
    </row>
    <row r="19" spans="1:11" ht="42" customHeight="1" thickBot="1">
      <c r="A19" s="3075" t="s">
        <v>491</v>
      </c>
      <c r="B19" s="3076"/>
      <c r="C19" s="270" t="s">
        <v>385</v>
      </c>
      <c r="D19" s="240" t="s">
        <v>336</v>
      </c>
      <c r="E19" s="64"/>
      <c r="G19" s="480"/>
      <c r="H19" s="480"/>
      <c r="I19" s="480"/>
      <c r="J19" s="480"/>
      <c r="K19" s="480"/>
    </row>
    <row r="20" spans="1:11" ht="21" customHeight="1">
      <c r="A20" s="28" t="s">
        <v>35</v>
      </c>
      <c r="B20" s="344">
        <v>60</v>
      </c>
      <c r="C20" s="234">
        <f>IF(OR(B20&lt;1,B20&gt;100),"Zahl 0 bis 100 eingeben",(-0.0025*B20*B20+0.75*B20-26)*0.4)</f>
        <v>4</v>
      </c>
      <c r="D20" s="82" t="s">
        <v>163</v>
      </c>
      <c r="E20" s="64"/>
      <c r="G20" s="479" t="s">
        <v>8</v>
      </c>
      <c r="H20" s="480"/>
      <c r="I20" s="479" t="s">
        <v>135</v>
      </c>
      <c r="J20" s="480"/>
      <c r="K20" s="480"/>
    </row>
    <row r="21" spans="1:11" ht="19.5" customHeight="1">
      <c r="A21" s="81" t="s">
        <v>162</v>
      </c>
      <c r="B21" s="345">
        <v>200</v>
      </c>
      <c r="C21" s="59">
        <f>IF(OR(B21&lt;40,B21&gt;800),"gibt es nicht",(B21*0.025-1))</f>
        <v>4</v>
      </c>
      <c r="D21" s="82" t="s">
        <v>164</v>
      </c>
      <c r="E21" s="64"/>
      <c r="G21" s="480" t="s">
        <v>31</v>
      </c>
      <c r="H21" s="480">
        <v>0</v>
      </c>
      <c r="I21" s="1488" t="s">
        <v>1198</v>
      </c>
      <c r="J21" s="1488">
        <v>1</v>
      </c>
      <c r="K21" s="480"/>
    </row>
    <row r="22" spans="1:11" ht="19.5" customHeight="1">
      <c r="A22" s="28" t="s">
        <v>51</v>
      </c>
      <c r="B22" s="340" t="s">
        <v>31</v>
      </c>
      <c r="C22" s="117">
        <f>VLOOKUP(B22,I21:J27,2,FALSE)</f>
        <v>0</v>
      </c>
      <c r="D22" s="228" t="s">
        <v>50</v>
      </c>
      <c r="E22" s="64"/>
      <c r="G22" s="480" t="s">
        <v>25</v>
      </c>
      <c r="H22" s="480">
        <v>0</v>
      </c>
      <c r="I22" s="1488" t="s">
        <v>184</v>
      </c>
      <c r="J22" s="1488">
        <v>0.5</v>
      </c>
      <c r="K22" s="480"/>
    </row>
    <row r="23" spans="1:11" ht="19.5" customHeight="1">
      <c r="A23" s="28" t="s">
        <v>46</v>
      </c>
      <c r="B23" s="493">
        <v>0</v>
      </c>
      <c r="C23" s="56">
        <f>B23*10*C22</f>
        <v>0</v>
      </c>
      <c r="D23" s="82" t="s">
        <v>163</v>
      </c>
      <c r="E23" s="64"/>
      <c r="G23" s="480" t="s">
        <v>26</v>
      </c>
      <c r="H23" s="480">
        <v>0</v>
      </c>
      <c r="I23" s="1488" t="s">
        <v>1200</v>
      </c>
      <c r="J23" s="1488">
        <v>0.6</v>
      </c>
      <c r="K23" s="480"/>
    </row>
    <row r="24" spans="1:11" ht="19.5" customHeight="1">
      <c r="A24" s="61" t="s">
        <v>47</v>
      </c>
      <c r="B24" s="492" t="str">
        <f>IF(B23&gt;3,"Sind Sie sicher?"," ")</f>
        <v xml:space="preserve"> </v>
      </c>
      <c r="C24" s="56"/>
      <c r="D24" s="227"/>
      <c r="E24" s="64"/>
      <c r="G24" s="480" t="s">
        <v>27</v>
      </c>
      <c r="H24" s="480">
        <v>20</v>
      </c>
      <c r="I24" s="1488" t="s">
        <v>1201</v>
      </c>
      <c r="J24" s="1488">
        <v>0.4</v>
      </c>
      <c r="K24" s="480"/>
    </row>
    <row r="25" spans="1:11" ht="21.75" customHeight="1" thickBot="1">
      <c r="A25" s="28"/>
      <c r="B25" s="44" t="s">
        <v>431</v>
      </c>
      <c r="C25" s="118">
        <f>-0.000125*C7*C7+0.3245*C7+60</f>
        <v>180.71250000000001</v>
      </c>
      <c r="D25" s="229"/>
      <c r="E25" s="64"/>
      <c r="G25" s="480" t="s">
        <v>28</v>
      </c>
      <c r="H25" s="480">
        <v>10</v>
      </c>
      <c r="I25" s="1488" t="s">
        <v>1199</v>
      </c>
      <c r="J25" s="1488">
        <v>0.35</v>
      </c>
      <c r="K25" s="480"/>
    </row>
    <row r="26" spans="1:11" ht="26.25" customHeight="1" thickBot="1">
      <c r="A26" s="230"/>
      <c r="B26" s="40" t="s">
        <v>52</v>
      </c>
      <c r="C26" s="271">
        <f>C25-C11-C12-C13-C14-C15*0.7-C20+C21-C23</f>
        <v>140.71250000000001</v>
      </c>
      <c r="D26" s="231" t="s">
        <v>4</v>
      </c>
      <c r="E26" s="64"/>
      <c r="G26" s="480" t="s">
        <v>29</v>
      </c>
      <c r="H26" s="480">
        <v>10</v>
      </c>
      <c r="I26" s="1488" t="s">
        <v>48</v>
      </c>
      <c r="J26" s="1488">
        <v>0.3</v>
      </c>
      <c r="K26" s="480"/>
    </row>
    <row r="27" spans="1:11" ht="21.75" customHeight="1">
      <c r="A27" s="47"/>
      <c r="B27" s="232"/>
      <c r="C27" s="318" t="str">
        <f>IF(C26&gt;C17,"Obergrenze einhalten!!!"," ")</f>
        <v>Obergrenze einhalten!!!</v>
      </c>
      <c r="D27" s="233"/>
      <c r="E27" s="64"/>
      <c r="G27" s="480" t="s">
        <v>673</v>
      </c>
      <c r="H27" s="480">
        <v>30</v>
      </c>
      <c r="I27" s="1488" t="s">
        <v>31</v>
      </c>
      <c r="J27" s="1488">
        <v>0</v>
      </c>
      <c r="K27" s="480"/>
    </row>
    <row r="28" spans="1:11" ht="22.5" customHeight="1">
      <c r="C28" s="22"/>
      <c r="G28" s="480" t="s">
        <v>30</v>
      </c>
      <c r="H28" s="480">
        <v>40</v>
      </c>
      <c r="I28" s="480"/>
      <c r="J28" s="480"/>
      <c r="K28" s="480"/>
    </row>
    <row r="29" spans="1:11" ht="15.75" customHeight="1">
      <c r="A29" s="404"/>
      <c r="B29" s="405"/>
      <c r="C29" s="406" t="s">
        <v>719</v>
      </c>
      <c r="D29" s="407"/>
      <c r="G29" s="480" t="s">
        <v>9</v>
      </c>
      <c r="H29" s="480">
        <v>0</v>
      </c>
      <c r="I29" s="480"/>
      <c r="J29" s="480"/>
      <c r="K29" s="480"/>
    </row>
    <row r="30" spans="1:11" ht="15.75">
      <c r="A30" s="408"/>
      <c r="B30" s="371" t="s">
        <v>42</v>
      </c>
      <c r="C30" s="409">
        <f>C17</f>
        <v>140</v>
      </c>
      <c r="D30" s="410" t="s">
        <v>4</v>
      </c>
      <c r="E30" s="153"/>
      <c r="F30" s="5"/>
      <c r="G30" s="480" t="s">
        <v>10</v>
      </c>
      <c r="H30" s="480">
        <v>10</v>
      </c>
      <c r="K30" s="480"/>
    </row>
    <row r="31" spans="1:11" ht="15.75">
      <c r="A31" s="3044" t="s">
        <v>702</v>
      </c>
      <c r="B31" s="775" t="s">
        <v>701</v>
      </c>
      <c r="C31" s="781">
        <v>0</v>
      </c>
      <c r="D31" s="779" t="s">
        <v>484</v>
      </c>
      <c r="E31" s="153"/>
      <c r="G31" s="480" t="s">
        <v>31</v>
      </c>
      <c r="H31" s="480">
        <v>0</v>
      </c>
      <c r="K31" s="480"/>
    </row>
    <row r="32" spans="1:11" ht="15.75">
      <c r="A32" s="3045"/>
      <c r="B32" s="776" t="s">
        <v>704</v>
      </c>
      <c r="C32" s="771">
        <v>0</v>
      </c>
      <c r="D32" s="415" t="s">
        <v>485</v>
      </c>
      <c r="F32" s="4"/>
      <c r="K32" s="480"/>
    </row>
    <row r="33" spans="1:11" ht="15.75">
      <c r="A33" s="859" t="s">
        <v>817</v>
      </c>
      <c r="B33" s="777" t="s">
        <v>705</v>
      </c>
      <c r="C33" s="780">
        <v>0</v>
      </c>
      <c r="D33" s="415" t="s">
        <v>254</v>
      </c>
      <c r="K33" s="480"/>
    </row>
    <row r="34" spans="1:11" ht="15" customHeight="1">
      <c r="A34" s="3044" t="s">
        <v>703</v>
      </c>
      <c r="B34" s="775" t="s">
        <v>706</v>
      </c>
      <c r="C34" s="771">
        <v>0</v>
      </c>
      <c r="D34" s="779" t="s">
        <v>484</v>
      </c>
      <c r="K34" s="480"/>
    </row>
    <row r="35" spans="1:11" ht="15.75">
      <c r="A35" s="3045"/>
      <c r="B35" s="776" t="s">
        <v>707</v>
      </c>
      <c r="C35" s="771">
        <v>0</v>
      </c>
      <c r="D35" s="415" t="s">
        <v>485</v>
      </c>
      <c r="K35" s="480"/>
    </row>
    <row r="36" spans="1:11" ht="15.75">
      <c r="A36" s="859" t="s">
        <v>817</v>
      </c>
      <c r="B36" s="778" t="s">
        <v>708</v>
      </c>
      <c r="C36" s="771">
        <v>0</v>
      </c>
      <c r="D36" s="415" t="s">
        <v>254</v>
      </c>
      <c r="E36" s="26"/>
      <c r="K36" s="480"/>
    </row>
    <row r="37" spans="1:11" ht="21" customHeight="1">
      <c r="A37" s="379"/>
      <c r="B37" s="412" t="s">
        <v>255</v>
      </c>
      <c r="C37" s="414">
        <f>(C31*C32*C33/100)+(C34*C35*C36/100)</f>
        <v>0</v>
      </c>
      <c r="D37" s="416" t="s">
        <v>4</v>
      </c>
      <c r="E37" s="64"/>
      <c r="K37" s="480"/>
    </row>
    <row r="38" spans="1:11" ht="31.5" customHeight="1">
      <c r="A38" s="411"/>
      <c r="B38" s="413" t="s">
        <v>136</v>
      </c>
      <c r="C38" s="414">
        <f>C30-C37</f>
        <v>140</v>
      </c>
      <c r="D38" s="417" t="s">
        <v>4</v>
      </c>
      <c r="E38" s="64"/>
      <c r="F38" s="946" t="s">
        <v>183</v>
      </c>
      <c r="G38" s="959" t="s">
        <v>186</v>
      </c>
      <c r="H38" s="959"/>
      <c r="I38" s="959"/>
      <c r="K38" s="480"/>
    </row>
    <row r="39" spans="1:11" ht="18.75" customHeight="1">
      <c r="E39" s="64"/>
      <c r="F39" s="951" t="s">
        <v>179</v>
      </c>
      <c r="G39" s="951">
        <v>90</v>
      </c>
      <c r="H39" s="937"/>
      <c r="I39" s="937"/>
    </row>
    <row r="40" spans="1:11" ht="18.75" customHeight="1">
      <c r="A40" s="43"/>
      <c r="B40" s="34"/>
      <c r="C40" s="948" t="s">
        <v>60</v>
      </c>
      <c r="D40" s="226"/>
      <c r="E40" s="64"/>
      <c r="F40" s="951" t="s">
        <v>804</v>
      </c>
      <c r="G40" s="951">
        <v>70</v>
      </c>
      <c r="H40" s="937"/>
      <c r="I40" s="937"/>
    </row>
    <row r="41" spans="1:11" ht="18.75" customHeight="1">
      <c r="A41" s="28"/>
      <c r="B41" s="48" t="s">
        <v>127</v>
      </c>
      <c r="C41" s="461">
        <v>0.35</v>
      </c>
      <c r="D41" s="251" t="s">
        <v>138</v>
      </c>
      <c r="E41" s="64"/>
      <c r="F41" s="951" t="s">
        <v>805</v>
      </c>
      <c r="G41" s="951">
        <v>70</v>
      </c>
      <c r="H41" s="937"/>
      <c r="I41" s="937"/>
    </row>
    <row r="42" spans="1:11" ht="18.75" customHeight="1">
      <c r="A42" s="28"/>
      <c r="B42" s="35" t="s">
        <v>74</v>
      </c>
      <c r="C42" s="239">
        <f>C7*C41</f>
        <v>157.5</v>
      </c>
      <c r="D42" s="252" t="s">
        <v>76</v>
      </c>
      <c r="E42" s="64"/>
      <c r="F42" s="951" t="s">
        <v>809</v>
      </c>
      <c r="G42" s="946">
        <v>70</v>
      </c>
      <c r="H42" s="937"/>
      <c r="I42" s="937"/>
    </row>
    <row r="43" spans="1:11" ht="18.75" customHeight="1">
      <c r="A43" s="28" t="s">
        <v>68</v>
      </c>
      <c r="B43" s="48" t="s">
        <v>72</v>
      </c>
      <c r="C43" s="220">
        <f>C26-C42</f>
        <v>-16.787499999999994</v>
      </c>
      <c r="D43" s="235" t="str">
        <f>IF(C43&gt;50,"!!!",(IF(C43&gt;40,"!!",(IF(C43&gt;30,"!"," ")))))</f>
        <v xml:space="preserve"> </v>
      </c>
      <c r="E43" s="64"/>
      <c r="F43" s="782" t="s">
        <v>810</v>
      </c>
      <c r="G43" s="946">
        <v>60</v>
      </c>
      <c r="H43" s="937"/>
      <c r="I43" s="937"/>
    </row>
    <row r="44" spans="1:11" ht="18.75" customHeight="1">
      <c r="A44" s="28" t="s">
        <v>67</v>
      </c>
      <c r="B44" s="48" t="s">
        <v>72</v>
      </c>
      <c r="C44" s="220">
        <f>C17-C42</f>
        <v>-17.5</v>
      </c>
      <c r="D44" s="235" t="str">
        <f>IF(C44&gt;50,"!!!",(IF(C44&gt;40,"!!",(IF(C44&gt;30,"!"," ")))))</f>
        <v xml:space="preserve"> </v>
      </c>
      <c r="E44" s="64"/>
      <c r="F44" s="951" t="s">
        <v>48</v>
      </c>
      <c r="G44" s="946">
        <v>60</v>
      </c>
      <c r="H44" s="937"/>
      <c r="I44" s="937"/>
    </row>
    <row r="45" spans="1:11" ht="18.75" customHeight="1">
      <c r="A45" s="217" t="s">
        <v>729</v>
      </c>
      <c r="B45" s="97"/>
      <c r="C45" s="221"/>
      <c r="D45" s="238"/>
      <c r="E45" s="64"/>
      <c r="F45" s="951" t="s">
        <v>811</v>
      </c>
      <c r="G45" s="951">
        <v>45</v>
      </c>
      <c r="H45" s="937"/>
      <c r="I45" s="937"/>
    </row>
    <row r="46" spans="1:11" ht="18.75" customHeight="1" thickBot="1">
      <c r="A46" s="93"/>
      <c r="B46" s="48"/>
      <c r="C46" s="49"/>
      <c r="D46" s="114"/>
      <c r="F46" s="782" t="s">
        <v>806</v>
      </c>
      <c r="G46" s="946">
        <v>30</v>
      </c>
      <c r="H46" s="937"/>
      <c r="I46" s="937"/>
    </row>
    <row r="47" spans="1:11" ht="18.75" customHeight="1">
      <c r="A47" s="3049" t="s">
        <v>578</v>
      </c>
      <c r="B47" s="3053"/>
      <c r="C47" s="1777" t="s">
        <v>587</v>
      </c>
      <c r="D47" s="618" t="s">
        <v>592</v>
      </c>
      <c r="F47" s="951" t="s">
        <v>1019</v>
      </c>
      <c r="G47" s="946">
        <v>30</v>
      </c>
      <c r="H47" s="937"/>
      <c r="I47" s="937"/>
    </row>
    <row r="48" spans="1:11" ht="18.75" customHeight="1">
      <c r="A48" s="3054" t="s">
        <v>590</v>
      </c>
      <c r="B48" s="626" t="s">
        <v>579</v>
      </c>
      <c r="C48" s="622" t="s">
        <v>593</v>
      </c>
      <c r="D48" s="631" t="s">
        <v>594</v>
      </c>
      <c r="E48" s="24"/>
      <c r="F48" s="951" t="s">
        <v>187</v>
      </c>
      <c r="G48" s="946">
        <v>30</v>
      </c>
      <c r="H48" s="937"/>
      <c r="I48" s="937"/>
    </row>
    <row r="49" spans="1:9" ht="18.75" customHeight="1">
      <c r="A49" s="3055"/>
      <c r="B49" s="601" t="s">
        <v>583</v>
      </c>
      <c r="C49" s="263">
        <f>C51*2</f>
        <v>126.00000000000001</v>
      </c>
      <c r="D49" s="616">
        <f>D51*2</f>
        <v>0</v>
      </c>
      <c r="F49" s="951" t="s">
        <v>813</v>
      </c>
      <c r="G49" s="946">
        <v>30</v>
      </c>
      <c r="H49" s="937"/>
      <c r="I49" s="937"/>
    </row>
    <row r="50" spans="1:9" ht="18.75" customHeight="1">
      <c r="A50" s="3055"/>
      <c r="B50" s="601" t="s">
        <v>584</v>
      </c>
      <c r="C50" s="263">
        <f>C51*1.5</f>
        <v>94.500000000000014</v>
      </c>
      <c r="D50" s="616">
        <f>D51*1.5</f>
        <v>0</v>
      </c>
      <c r="E50" s="175"/>
      <c r="F50" s="951" t="s">
        <v>814</v>
      </c>
      <c r="G50" s="946">
        <v>30</v>
      </c>
      <c r="H50" s="937"/>
      <c r="I50" s="937"/>
    </row>
    <row r="51" spans="1:9" ht="18.75" customHeight="1">
      <c r="A51" s="3055"/>
      <c r="B51" s="601" t="s">
        <v>585</v>
      </c>
      <c r="C51" s="605">
        <f>C7*0.14</f>
        <v>63.000000000000007</v>
      </c>
      <c r="D51" s="617">
        <f>C35*0.15</f>
        <v>0</v>
      </c>
      <c r="E51" s="22"/>
      <c r="F51" s="951" t="s">
        <v>815</v>
      </c>
      <c r="G51" s="946">
        <v>30</v>
      </c>
    </row>
    <row r="52" spans="1:9" ht="18.75" customHeight="1">
      <c r="A52" s="2959"/>
      <c r="B52" s="623" t="s">
        <v>586</v>
      </c>
      <c r="C52" s="263">
        <f>C51*0.5</f>
        <v>31.500000000000004</v>
      </c>
      <c r="D52" s="616">
        <f>D51*0.5</f>
        <v>0</v>
      </c>
      <c r="E52" s="934"/>
      <c r="F52" s="951" t="s">
        <v>180</v>
      </c>
      <c r="G52" s="946">
        <v>25</v>
      </c>
    </row>
    <row r="53" spans="1:9" ht="35.25" customHeight="1">
      <c r="A53" s="3069"/>
      <c r="B53" s="3070" t="s">
        <v>588</v>
      </c>
      <c r="C53" s="3060" t="s">
        <v>591</v>
      </c>
      <c r="D53" s="3061"/>
      <c r="F53" s="951" t="s">
        <v>807</v>
      </c>
      <c r="G53" s="946">
        <v>25</v>
      </c>
    </row>
    <row r="54" spans="1:9" ht="18.75" customHeight="1" thickBot="1">
      <c r="A54" s="3066"/>
      <c r="B54" s="3068"/>
      <c r="C54" s="3062"/>
      <c r="D54" s="3063"/>
      <c r="E54" s="31"/>
      <c r="F54" s="782" t="s">
        <v>808</v>
      </c>
      <c r="G54" s="946">
        <v>25</v>
      </c>
    </row>
    <row r="55" spans="1:9" ht="18.75" customHeight="1">
      <c r="E55" s="31"/>
      <c r="F55" s="782" t="s">
        <v>816</v>
      </c>
      <c r="G55" s="946">
        <v>10</v>
      </c>
    </row>
    <row r="56" spans="1:9" ht="46.5" customHeight="1">
      <c r="A56" s="317" t="s">
        <v>167</v>
      </c>
      <c r="B56" s="3073" t="s">
        <v>504</v>
      </c>
      <c r="C56" s="3169"/>
      <c r="D56" s="3169"/>
      <c r="E56" s="31"/>
      <c r="F56" s="782" t="s">
        <v>181</v>
      </c>
      <c r="G56" s="946">
        <v>10</v>
      </c>
    </row>
    <row r="57" spans="1:9" ht="57" customHeight="1">
      <c r="A57" s="254" t="s">
        <v>393</v>
      </c>
      <c r="B57" s="3073" t="s">
        <v>495</v>
      </c>
      <c r="C57" s="3169"/>
      <c r="D57" s="3169"/>
      <c r="E57" s="31"/>
      <c r="F57" s="782" t="s">
        <v>188</v>
      </c>
      <c r="G57" s="946">
        <v>5</v>
      </c>
    </row>
    <row r="58" spans="1:9" s="186" customFormat="1" ht="71.25" customHeight="1">
      <c r="A58" s="254" t="s">
        <v>398</v>
      </c>
      <c r="B58" s="3073" t="s">
        <v>494</v>
      </c>
      <c r="C58" s="3169"/>
      <c r="D58" s="3169"/>
      <c r="E58" s="31"/>
      <c r="F58" s="782" t="s">
        <v>182</v>
      </c>
      <c r="G58" s="946">
        <v>3</v>
      </c>
      <c r="H58" s="31"/>
    </row>
    <row r="59" spans="1:9" ht="44.25" customHeight="1">
      <c r="A59" s="961" t="s">
        <v>396</v>
      </c>
      <c r="B59" s="3073" t="s">
        <v>497</v>
      </c>
      <c r="C59" s="3074"/>
      <c r="D59" s="3074"/>
      <c r="E59"/>
    </row>
    <row r="60" spans="1:9" ht="27.75" customHeight="1">
      <c r="A60"/>
      <c r="B60"/>
      <c r="C60"/>
      <c r="E60"/>
    </row>
    <row r="61" spans="1:9" ht="33.75" customHeight="1">
      <c r="A61"/>
      <c r="C61" s="122" t="s">
        <v>139</v>
      </c>
      <c r="D61" s="969"/>
    </row>
    <row r="62" spans="1:9" ht="36" customHeight="1">
      <c r="A62"/>
      <c r="B62" s="122" t="s">
        <v>137</v>
      </c>
      <c r="C62" s="324" t="s">
        <v>496</v>
      </c>
      <c r="D62" s="63"/>
      <c r="E62" s="33"/>
    </row>
    <row r="63" spans="1:9">
      <c r="A63"/>
      <c r="C63" s="324" t="s">
        <v>499</v>
      </c>
      <c r="D63" s="969"/>
      <c r="E63" s="33"/>
    </row>
    <row r="64" spans="1:9">
      <c r="A64"/>
      <c r="B64" s="122" t="s">
        <v>146</v>
      </c>
      <c r="C64" s="122"/>
      <c r="D64" s="969"/>
      <c r="E64" s="33"/>
    </row>
    <row r="65" spans="1:8">
      <c r="A65" s="969" t="s">
        <v>33</v>
      </c>
      <c r="B65" s="122" t="s">
        <v>492</v>
      </c>
      <c r="C65" s="122" t="s">
        <v>132</v>
      </c>
      <c r="D65" s="969"/>
      <c r="E65" s="33"/>
    </row>
    <row r="66" spans="1:8">
      <c r="A66" s="969"/>
      <c r="B66" s="1"/>
      <c r="C66" s="122"/>
      <c r="D66" s="969"/>
      <c r="E66" s="323"/>
    </row>
    <row r="67" spans="1:8">
      <c r="A67" s="969">
        <v>250</v>
      </c>
      <c r="B67" s="122">
        <v>140</v>
      </c>
      <c r="C67" s="122">
        <f>A67*0.39+35</f>
        <v>132.5</v>
      </c>
      <c r="D67" s="969"/>
      <c r="E67" s="323"/>
      <c r="H67"/>
    </row>
    <row r="68" spans="1:8">
      <c r="A68" s="969">
        <v>350</v>
      </c>
      <c r="B68" s="122">
        <v>160</v>
      </c>
      <c r="C68" s="122">
        <f>A68*0.355+35</f>
        <v>159.25</v>
      </c>
      <c r="D68" s="969"/>
      <c r="E68" s="323"/>
      <c r="H68"/>
    </row>
    <row r="69" spans="1:8" ht="9" customHeight="1">
      <c r="A69" s="969">
        <v>450</v>
      </c>
      <c r="B69" s="122">
        <v>180</v>
      </c>
      <c r="C69" s="122">
        <f>A69*0.325+35</f>
        <v>181.25</v>
      </c>
      <c r="D69" s="969"/>
      <c r="E69" s="323"/>
      <c r="H69"/>
    </row>
    <row r="70" spans="1:8">
      <c r="A70" s="969">
        <v>550</v>
      </c>
      <c r="B70" s="122">
        <v>200</v>
      </c>
      <c r="C70" s="122">
        <f>A70*0.3+35</f>
        <v>200</v>
      </c>
      <c r="D70" s="969"/>
      <c r="E70" s="323"/>
      <c r="F70" s="969"/>
      <c r="G70" s="322"/>
      <c r="H70"/>
    </row>
    <row r="71" spans="1:8">
      <c r="A71" s="969">
        <v>650</v>
      </c>
      <c r="B71" s="122">
        <v>220</v>
      </c>
      <c r="C71" s="122">
        <f>A71*0.28+35</f>
        <v>217.00000000000003</v>
      </c>
      <c r="D71" s="969"/>
      <c r="F71" s="969"/>
      <c r="H71"/>
    </row>
    <row r="72" spans="1:8">
      <c r="A72" s="969">
        <v>750</v>
      </c>
      <c r="B72" s="122">
        <v>240</v>
      </c>
      <c r="C72" s="122">
        <f>A72*0.265+35</f>
        <v>233.75</v>
      </c>
      <c r="D72" s="969"/>
      <c r="F72" s="969"/>
      <c r="H72"/>
    </row>
    <row r="73" spans="1:8">
      <c r="A73"/>
      <c r="B73"/>
      <c r="C73" s="51"/>
      <c r="D73" s="969"/>
      <c r="F73" s="969"/>
      <c r="H73"/>
    </row>
    <row r="74" spans="1:8">
      <c r="A74"/>
      <c r="B74"/>
      <c r="D74" s="969"/>
      <c r="F74" s="969"/>
      <c r="G74" s="969"/>
      <c r="H74"/>
    </row>
    <row r="75" spans="1:8">
      <c r="A75"/>
      <c r="B75"/>
      <c r="D75" s="969"/>
      <c r="F75" s="969"/>
      <c r="G75" s="969"/>
      <c r="H75"/>
    </row>
    <row r="76" spans="1:8">
      <c r="A76"/>
      <c r="B76"/>
      <c r="C76"/>
      <c r="E76"/>
      <c r="F76" s="969"/>
      <c r="G76" s="969"/>
      <c r="H76"/>
    </row>
    <row r="77" spans="1:8">
      <c r="A77"/>
      <c r="B77"/>
      <c r="C77"/>
      <c r="E77"/>
      <c r="F77" s="969"/>
      <c r="G77" s="969"/>
      <c r="H77"/>
    </row>
    <row r="78" spans="1:8">
      <c r="A78"/>
      <c r="B78"/>
      <c r="C78"/>
      <c r="E78"/>
      <c r="F78" s="969"/>
      <c r="G78" s="969"/>
      <c r="H78"/>
    </row>
    <row r="79" spans="1:8">
      <c r="A79"/>
      <c r="B79"/>
      <c r="C79"/>
      <c r="E79"/>
      <c r="F79" s="969"/>
      <c r="H79"/>
    </row>
    <row r="80" spans="1:8">
      <c r="F80" s="969"/>
      <c r="H80"/>
    </row>
    <row r="81" spans="6:8">
      <c r="F81" s="969"/>
      <c r="H81"/>
    </row>
    <row r="82" spans="6:8">
      <c r="F82" s="969"/>
      <c r="H82"/>
    </row>
    <row r="83" spans="6:8">
      <c r="F83" s="969"/>
      <c r="H83"/>
    </row>
    <row r="84" spans="6:8">
      <c r="F84" s="969"/>
      <c r="H84"/>
    </row>
    <row r="85" spans="6:8">
      <c r="H85"/>
    </row>
    <row r="86" spans="6:8">
      <c r="H86"/>
    </row>
    <row r="87" spans="6:8">
      <c r="H87"/>
    </row>
    <row r="88" spans="6:8">
      <c r="H88"/>
    </row>
  </sheetData>
  <sheetProtection formatCells="0" formatColumns="0" formatRows="0" selectLockedCells="1"/>
  <mergeCells count="14">
    <mergeCell ref="A19:B19"/>
    <mergeCell ref="A31:A32"/>
    <mergeCell ref="A5:D5"/>
    <mergeCell ref="A6:B6"/>
    <mergeCell ref="B56:D56"/>
    <mergeCell ref="B57:D57"/>
    <mergeCell ref="B58:D58"/>
    <mergeCell ref="B59:D59"/>
    <mergeCell ref="A34:A35"/>
    <mergeCell ref="A47:B47"/>
    <mergeCell ref="A48:A52"/>
    <mergeCell ref="A53:A54"/>
    <mergeCell ref="B53:B54"/>
    <mergeCell ref="C53:D54"/>
  </mergeCells>
  <dataValidations count="5">
    <dataValidation type="list" allowBlank="1" sqref="B13">
      <formula1>$G$21:$G$31</formula1>
    </dataValidation>
    <dataValidation type="list" allowBlank="1" showInputMessage="1" showErrorMessage="1" sqref="B22">
      <formula1>I21:I27</formula1>
    </dataValidation>
    <dataValidation type="list" allowBlank="1" sqref="B16">
      <formula1>"bis 4 %, größer 4 %"</formula1>
    </dataValidation>
    <dataValidation type="list" allowBlank="1" sqref="I8:I9">
      <formula1>"Humusgehalt"</formula1>
    </dataValidation>
    <dataValidation type="list" allowBlank="1" sqref="B14">
      <formula1>Vorfrucht</formula1>
    </dataValidation>
  </dataValidations>
  <pageMargins left="0.7" right="0.7" top="0.78740157499999996" bottom="0.78740157499999996" header="0.3" footer="0.3"/>
  <pageSetup paperSize="9" scale="65" orientation="portrait" horizontalDpi="4294967293" vertic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theme="0"/>
    <pageSetUpPr fitToPage="1"/>
  </sheetPr>
  <dimension ref="A1:M104"/>
  <sheetViews>
    <sheetView topLeftCell="A33" zoomScaleNormal="100" workbookViewId="0">
      <selection activeCell="C52" sqref="C52"/>
    </sheetView>
  </sheetViews>
  <sheetFormatPr baseColWidth="10" defaultRowHeight="15"/>
  <cols>
    <col min="1" max="1" width="40.42578125" style="173" customWidth="1"/>
    <col min="2" max="2" width="39.7109375" style="122" customWidth="1"/>
    <col min="3" max="3" width="24.42578125" style="969" customWidth="1"/>
    <col min="4" max="4" width="26.28515625" customWidth="1"/>
    <col min="5" max="5" width="19.5703125" customWidth="1"/>
    <col min="6" max="6" width="43.5703125" customWidth="1"/>
    <col min="7" max="7" width="44" customWidth="1"/>
    <col min="8" max="8" width="23.5703125" style="969" customWidth="1"/>
    <col min="9" max="9" width="19.85546875" customWidth="1"/>
  </cols>
  <sheetData>
    <row r="1" spans="1:13">
      <c r="B1" s="412" t="str">
        <f>'DüV-N-Ackerbau'!C1</f>
        <v>Karl vom Land</v>
      </c>
      <c r="C1" s="412" t="str">
        <f>'DüV-N-Ackerbau'!F1</f>
        <v>Erntejahr</v>
      </c>
      <c r="E1" s="8" t="s">
        <v>36</v>
      </c>
    </row>
    <row r="2" spans="1:13">
      <c r="B2" s="412" t="str">
        <f>'DüV-N-Ackerbau'!C2</f>
        <v>Höfen 1</v>
      </c>
      <c r="C2" s="412">
        <f>'DüV-N-Ackerbau'!G1</f>
        <v>2022</v>
      </c>
      <c r="E2" s="9" t="s">
        <v>34</v>
      </c>
    </row>
    <row r="3" spans="1:13">
      <c r="B3" s="412" t="str">
        <f>'DüV-N-Ackerbau'!C3</f>
        <v>12345 Auf dem Feld</v>
      </c>
      <c r="C3" s="174"/>
    </row>
    <row r="4" spans="1:13" ht="9" customHeight="1" thickBot="1"/>
    <row r="5" spans="1:13" ht="21.75" thickBot="1">
      <c r="A5" s="3046" t="s">
        <v>145</v>
      </c>
      <c r="B5" s="3047"/>
      <c r="C5" s="3047"/>
      <c r="D5" s="3048"/>
    </row>
    <row r="6" spans="1:13" ht="48" thickBot="1">
      <c r="A6" s="3049" t="s">
        <v>574</v>
      </c>
      <c r="B6" s="3050"/>
      <c r="C6" s="327" t="s">
        <v>573</v>
      </c>
      <c r="D6" s="472" t="s">
        <v>526</v>
      </c>
      <c r="G6" s="480"/>
      <c r="H6" s="479" t="s">
        <v>5</v>
      </c>
      <c r="I6" s="480"/>
      <c r="J6" s="480"/>
      <c r="K6" s="480"/>
      <c r="L6" s="480"/>
      <c r="M6" s="480"/>
    </row>
    <row r="7" spans="1:13" ht="15.75">
      <c r="A7" s="73"/>
      <c r="B7" s="35" t="s">
        <v>75</v>
      </c>
      <c r="C7" s="337">
        <v>450</v>
      </c>
      <c r="D7" s="338"/>
      <c r="G7" s="479" t="s">
        <v>6</v>
      </c>
      <c r="H7" s="480"/>
      <c r="I7" s="480"/>
      <c r="J7" s="480" t="s">
        <v>159</v>
      </c>
      <c r="K7" s="480"/>
      <c r="L7" s="480"/>
      <c r="M7" s="480"/>
    </row>
    <row r="8" spans="1:13" ht="15.75">
      <c r="A8" s="73"/>
      <c r="B8" s="35"/>
      <c r="C8" s="57"/>
      <c r="D8" s="338"/>
      <c r="G8" s="480" t="s">
        <v>503</v>
      </c>
      <c r="H8" s="480">
        <v>0</v>
      </c>
      <c r="I8" s="480"/>
      <c r="J8" s="480" t="s">
        <v>160</v>
      </c>
      <c r="K8" s="480">
        <v>0</v>
      </c>
      <c r="L8" s="480"/>
      <c r="M8" s="480"/>
    </row>
    <row r="9" spans="1:13" ht="15.75">
      <c r="A9" s="73"/>
      <c r="B9" s="35"/>
      <c r="C9" s="57" t="s">
        <v>4</v>
      </c>
      <c r="D9" s="338"/>
      <c r="G9" s="480" t="s">
        <v>22</v>
      </c>
      <c r="H9" s="480">
        <v>10</v>
      </c>
      <c r="I9" s="480"/>
      <c r="J9" s="480" t="s">
        <v>161</v>
      </c>
      <c r="K9" s="480">
        <v>20</v>
      </c>
      <c r="L9" s="480"/>
      <c r="M9" s="480"/>
    </row>
    <row r="10" spans="1:13" ht="15.75">
      <c r="A10" s="73"/>
      <c r="B10" s="35" t="s">
        <v>37</v>
      </c>
      <c r="C10" s="58">
        <f>140+C7*0.2</f>
        <v>230</v>
      </c>
      <c r="D10" s="339"/>
      <c r="G10" s="480" t="s">
        <v>528</v>
      </c>
      <c r="H10" s="480">
        <v>10</v>
      </c>
      <c r="I10" s="480"/>
      <c r="J10" s="480"/>
      <c r="K10" s="480"/>
      <c r="L10" s="480"/>
      <c r="M10" s="480"/>
    </row>
    <row r="11" spans="1:13" ht="18">
      <c r="A11" s="73"/>
      <c r="B11" s="35" t="s">
        <v>38</v>
      </c>
      <c r="C11" s="491">
        <v>20</v>
      </c>
      <c r="D11" s="339"/>
      <c r="G11" s="480" t="s">
        <v>7</v>
      </c>
      <c r="H11" s="480">
        <v>10</v>
      </c>
      <c r="I11" s="480"/>
      <c r="J11" s="480"/>
      <c r="K11" s="480"/>
      <c r="L11" s="480"/>
      <c r="M11" s="480"/>
    </row>
    <row r="12" spans="1:13" ht="18">
      <c r="A12" s="73"/>
      <c r="B12" s="35" t="s">
        <v>39</v>
      </c>
      <c r="C12" s="491">
        <v>20</v>
      </c>
      <c r="D12" s="339"/>
      <c r="G12" s="480" t="s">
        <v>17</v>
      </c>
      <c r="H12" s="480">
        <v>20</v>
      </c>
      <c r="I12" s="480"/>
      <c r="J12" s="480"/>
      <c r="K12" s="480"/>
      <c r="L12" s="480"/>
      <c r="M12" s="480"/>
    </row>
    <row r="13" spans="1:13">
      <c r="A13" s="73" t="s">
        <v>8</v>
      </c>
      <c r="B13" s="340" t="s">
        <v>28</v>
      </c>
      <c r="C13" s="55">
        <f>VLOOKUP(B13,G21:H31,2,FALSE)</f>
        <v>10</v>
      </c>
      <c r="D13" s="339"/>
      <c r="G13" s="480" t="s">
        <v>23</v>
      </c>
      <c r="H13" s="480">
        <v>0</v>
      </c>
      <c r="I13" s="480"/>
      <c r="J13" s="480"/>
      <c r="K13" s="480"/>
      <c r="L13" s="480"/>
      <c r="M13" s="480"/>
    </row>
    <row r="14" spans="1:13">
      <c r="A14" s="73" t="s">
        <v>6</v>
      </c>
      <c r="B14" s="340" t="s">
        <v>503</v>
      </c>
      <c r="C14" s="55">
        <f>VLOOKUP(B14,G8:H18,2,FALSE)</f>
        <v>0</v>
      </c>
      <c r="D14" s="339"/>
      <c r="G14" s="480" t="s">
        <v>20</v>
      </c>
      <c r="H14" s="480">
        <v>20</v>
      </c>
      <c r="I14" s="480"/>
      <c r="J14" s="480"/>
      <c r="K14" s="480"/>
      <c r="L14" s="480"/>
      <c r="M14" s="480"/>
    </row>
    <row r="15" spans="1:13" ht="15.75">
      <c r="A15" s="69" t="s">
        <v>1057</v>
      </c>
      <c r="B15" s="39" t="s">
        <v>24</v>
      </c>
      <c r="C15" s="341">
        <v>0</v>
      </c>
      <c r="D15" s="339"/>
      <c r="E15" s="489" t="str">
        <f>IF(C15&gt;20,"Sind Sie sicher?"," ")</f>
        <v xml:space="preserve"> </v>
      </c>
      <c r="G15" s="480" t="s">
        <v>19</v>
      </c>
      <c r="H15" s="480">
        <v>10</v>
      </c>
      <c r="I15" s="480"/>
      <c r="J15" s="480"/>
      <c r="K15" s="480"/>
      <c r="L15" s="480"/>
      <c r="M15" s="480"/>
    </row>
    <row r="16" spans="1:13" ht="15.75" thickBot="1">
      <c r="A16" s="69" t="s">
        <v>159</v>
      </c>
      <c r="B16" s="342" t="s">
        <v>160</v>
      </c>
      <c r="C16" s="76">
        <f>VLOOKUP(B16,J8:K9,2,FALSE)</f>
        <v>0</v>
      </c>
      <c r="D16" s="343"/>
      <c r="G16" s="480" t="s">
        <v>529</v>
      </c>
      <c r="H16" s="480">
        <v>0</v>
      </c>
      <c r="I16" s="480"/>
      <c r="J16" s="480"/>
      <c r="K16" s="480"/>
      <c r="L16" s="480"/>
      <c r="M16" s="480"/>
    </row>
    <row r="17" spans="1:13" ht="16.5" thickBot="1">
      <c r="A17" s="293"/>
      <c r="B17" s="284" t="s">
        <v>468</v>
      </c>
      <c r="C17" s="276">
        <f>C10-SUM(C11:C16)</f>
        <v>180</v>
      </c>
      <c r="D17" s="285" t="s">
        <v>470</v>
      </c>
      <c r="E17" s="1"/>
      <c r="G17" s="480" t="s">
        <v>21</v>
      </c>
      <c r="H17" s="480">
        <v>10</v>
      </c>
      <c r="I17" s="480"/>
      <c r="J17" s="480"/>
      <c r="K17" s="480"/>
      <c r="L17" s="480"/>
      <c r="M17" s="480"/>
    </row>
    <row r="18" spans="1:13" ht="22.5" customHeight="1" thickBot="1">
      <c r="A18" s="35"/>
      <c r="B18" s="167"/>
      <c r="C18" s="11"/>
      <c r="D18" s="296"/>
      <c r="E18" s="1"/>
      <c r="G18" s="480" t="s">
        <v>18</v>
      </c>
      <c r="H18" s="480">
        <v>20</v>
      </c>
      <c r="I18" s="480"/>
      <c r="J18" s="480"/>
      <c r="K18" s="480"/>
      <c r="L18" s="480"/>
      <c r="M18" s="480"/>
    </row>
    <row r="19" spans="1:13" ht="37.5" customHeight="1" thickBot="1">
      <c r="A19" s="3170" t="s">
        <v>491</v>
      </c>
      <c r="B19" s="3171"/>
      <c r="C19" s="270" t="s">
        <v>385</v>
      </c>
      <c r="D19" s="326" t="s">
        <v>336</v>
      </c>
      <c r="E19" s="1"/>
      <c r="G19" s="480"/>
      <c r="H19" s="480"/>
      <c r="I19" s="480"/>
      <c r="J19" s="480"/>
      <c r="K19" s="480"/>
      <c r="L19" s="480"/>
      <c r="M19" s="480"/>
    </row>
    <row r="20" spans="1:13" ht="15.75" customHeight="1">
      <c r="A20" s="43" t="s">
        <v>35</v>
      </c>
      <c r="B20" s="465">
        <v>60</v>
      </c>
      <c r="C20" s="234">
        <f>IF(OR(B20&lt;1,B20&gt;100),"Zahl 0 bis 100 eingeben",(-0.0025*B20*B20+0.75*B20-26)*0.4)</f>
        <v>4</v>
      </c>
      <c r="D20" s="80" t="s">
        <v>163</v>
      </c>
      <c r="E20" s="1"/>
      <c r="G20" s="479" t="s">
        <v>8</v>
      </c>
      <c r="H20" s="480"/>
      <c r="I20" s="480"/>
      <c r="J20" s="479" t="s">
        <v>135</v>
      </c>
      <c r="K20" s="480"/>
      <c r="L20" s="480"/>
      <c r="M20" s="480"/>
    </row>
    <row r="21" spans="1:13" ht="19.5" customHeight="1">
      <c r="A21" s="81" t="s">
        <v>162</v>
      </c>
      <c r="B21" s="345">
        <v>200</v>
      </c>
      <c r="C21" s="59">
        <f>IF(OR(B21&lt;40,B21&gt;800),"gibt es nicht",(B21*0.025-1))</f>
        <v>4</v>
      </c>
      <c r="D21" s="82" t="s">
        <v>164</v>
      </c>
      <c r="E21" s="1"/>
      <c r="G21" s="480" t="s">
        <v>31</v>
      </c>
      <c r="H21" s="480">
        <v>0</v>
      </c>
      <c r="I21" s="480"/>
      <c r="J21" s="1488" t="s">
        <v>1198</v>
      </c>
      <c r="K21" s="1488">
        <v>1</v>
      </c>
      <c r="L21" s="480"/>
      <c r="M21" s="480"/>
    </row>
    <row r="22" spans="1:13" ht="19.5" customHeight="1">
      <c r="A22" s="28" t="s">
        <v>51</v>
      </c>
      <c r="B22" s="340" t="s">
        <v>31</v>
      </c>
      <c r="C22" s="117">
        <f>VLOOKUP(B22,J21:K27,2,FALSE)</f>
        <v>0</v>
      </c>
      <c r="D22" s="228" t="s">
        <v>50</v>
      </c>
      <c r="E22" s="1"/>
      <c r="G22" s="480" t="s">
        <v>25</v>
      </c>
      <c r="H22" s="480">
        <v>0</v>
      </c>
      <c r="I22" s="480"/>
      <c r="J22" s="1488" t="s">
        <v>184</v>
      </c>
      <c r="K22" s="1488">
        <v>0.5</v>
      </c>
      <c r="L22" s="480"/>
      <c r="M22" s="480"/>
    </row>
    <row r="23" spans="1:13" ht="19.5" customHeight="1">
      <c r="A23" s="28" t="s">
        <v>46</v>
      </c>
      <c r="B23" s="493">
        <v>0</v>
      </c>
      <c r="C23" s="56">
        <f>B23*10*C22</f>
        <v>0</v>
      </c>
      <c r="D23" s="82" t="s">
        <v>163</v>
      </c>
      <c r="E23" s="1"/>
      <c r="G23" s="480" t="s">
        <v>26</v>
      </c>
      <c r="H23" s="480">
        <v>0</v>
      </c>
      <c r="I23" s="480"/>
      <c r="J23" s="1488" t="s">
        <v>1200</v>
      </c>
      <c r="K23" s="1488">
        <v>0.6</v>
      </c>
      <c r="L23" s="480"/>
      <c r="M23" s="480"/>
    </row>
    <row r="24" spans="1:13" ht="19.5" customHeight="1">
      <c r="A24" s="61" t="s">
        <v>47</v>
      </c>
      <c r="B24" s="492" t="str">
        <f>IF(B23&gt;3,"Sind Sie sicher?"," ")</f>
        <v xml:space="preserve"> </v>
      </c>
      <c r="C24" s="56"/>
      <c r="D24" s="227"/>
      <c r="E24" s="1"/>
      <c r="G24" s="480" t="s">
        <v>27</v>
      </c>
      <c r="H24" s="480">
        <v>20</v>
      </c>
      <c r="I24" s="480"/>
      <c r="J24" s="1488" t="s">
        <v>1201</v>
      </c>
      <c r="K24" s="1488">
        <v>0.4</v>
      </c>
      <c r="L24" s="480"/>
      <c r="M24" s="480"/>
    </row>
    <row r="25" spans="1:13" ht="27.75" customHeight="1" thickBot="1">
      <c r="A25" s="28"/>
      <c r="B25" s="44" t="s">
        <v>431</v>
      </c>
      <c r="C25" s="118">
        <f>-0.000225*C7*C7+0.3645*C7+112.7</f>
        <v>231.16250000000002</v>
      </c>
      <c r="D25" s="229"/>
      <c r="E25" s="1"/>
      <c r="G25" s="480" t="s">
        <v>28</v>
      </c>
      <c r="H25" s="480">
        <v>10</v>
      </c>
      <c r="I25" s="480"/>
      <c r="J25" s="1488" t="s">
        <v>1199</v>
      </c>
      <c r="K25" s="1488">
        <v>0.35</v>
      </c>
      <c r="L25" s="480"/>
      <c r="M25" s="480"/>
    </row>
    <row r="26" spans="1:13" ht="24.75" customHeight="1" thickBot="1">
      <c r="A26" s="230"/>
      <c r="B26" s="40" t="s">
        <v>52</v>
      </c>
      <c r="C26" s="271">
        <f>C25-C11-C12*0.75-C13*0.6-C14*0.6-C15*0.5-C20+C21-C23*0.5</f>
        <v>190.16250000000002</v>
      </c>
      <c r="D26" s="231" t="s">
        <v>4</v>
      </c>
      <c r="E26" s="1"/>
      <c r="G26" s="480" t="s">
        <v>29</v>
      </c>
      <c r="H26" s="480">
        <v>10</v>
      </c>
      <c r="I26" s="480"/>
      <c r="J26" s="1488" t="s">
        <v>48</v>
      </c>
      <c r="K26" s="1488">
        <v>0.3</v>
      </c>
      <c r="L26" s="480"/>
      <c r="M26" s="480"/>
    </row>
    <row r="27" spans="1:13" ht="20.25" customHeight="1">
      <c r="A27" s="47"/>
      <c r="B27" s="232"/>
      <c r="C27" s="119" t="str">
        <f>IF(C26&gt;C17,"Obergrenze einhalten!!!"," ")</f>
        <v>Obergrenze einhalten!!!</v>
      </c>
      <c r="D27" s="233"/>
      <c r="G27" s="480" t="s">
        <v>673</v>
      </c>
      <c r="H27" s="480">
        <v>30</v>
      </c>
      <c r="I27" s="480"/>
      <c r="J27" s="1488" t="s">
        <v>31</v>
      </c>
      <c r="K27" s="1488">
        <v>0</v>
      </c>
      <c r="L27" s="480"/>
      <c r="M27" s="480"/>
    </row>
    <row r="28" spans="1:13" ht="18.75" customHeight="1">
      <c r="A28" s="35"/>
      <c r="B28" s="39"/>
      <c r="C28" s="165"/>
      <c r="D28" s="30"/>
      <c r="G28" s="480" t="s">
        <v>30</v>
      </c>
      <c r="H28" s="480">
        <v>40</v>
      </c>
      <c r="I28" s="480"/>
      <c r="J28" s="480"/>
      <c r="K28" s="480"/>
      <c r="L28" s="480"/>
      <c r="M28" s="480"/>
    </row>
    <row r="29" spans="1:13" ht="33" customHeight="1">
      <c r="A29" s="404"/>
      <c r="B29" s="405"/>
      <c r="C29" s="406" t="s">
        <v>719</v>
      </c>
      <c r="D29" s="407"/>
      <c r="E29" s="30"/>
      <c r="G29" s="480" t="s">
        <v>9</v>
      </c>
      <c r="H29" s="480">
        <v>0</v>
      </c>
      <c r="I29" s="480"/>
      <c r="J29" s="480"/>
      <c r="K29" s="480"/>
      <c r="L29" s="480"/>
      <c r="M29" s="480"/>
    </row>
    <row r="30" spans="1:13" ht="15.75">
      <c r="A30" s="408"/>
      <c r="B30" s="371" t="s">
        <v>42</v>
      </c>
      <c r="C30" s="409">
        <f>C17</f>
        <v>180</v>
      </c>
      <c r="D30" s="410" t="s">
        <v>4</v>
      </c>
      <c r="E30" s="30"/>
      <c r="F30" s="5"/>
      <c r="G30" s="480" t="s">
        <v>10</v>
      </c>
      <c r="H30" s="480">
        <v>10</v>
      </c>
      <c r="M30" s="480"/>
    </row>
    <row r="31" spans="1:13" ht="15.75">
      <c r="A31" s="3044" t="s">
        <v>702</v>
      </c>
      <c r="B31" s="775" t="s">
        <v>701</v>
      </c>
      <c r="C31" s="781">
        <v>0</v>
      </c>
      <c r="D31" s="779" t="s">
        <v>484</v>
      </c>
      <c r="G31" s="480" t="s">
        <v>31</v>
      </c>
      <c r="H31" s="480">
        <v>0</v>
      </c>
      <c r="M31" s="480"/>
    </row>
    <row r="32" spans="1:13" ht="15.75">
      <c r="A32" s="3045"/>
      <c r="B32" s="776" t="s">
        <v>704</v>
      </c>
      <c r="C32" s="771">
        <v>0</v>
      </c>
      <c r="D32" s="415" t="s">
        <v>485</v>
      </c>
      <c r="F32" s="4"/>
      <c r="M32" s="480"/>
    </row>
    <row r="33" spans="1:13" ht="15.75">
      <c r="A33" s="859" t="s">
        <v>817</v>
      </c>
      <c r="B33" s="777" t="s">
        <v>705</v>
      </c>
      <c r="C33" s="780">
        <v>0</v>
      </c>
      <c r="D33" s="415" t="s">
        <v>254</v>
      </c>
      <c r="M33" s="480"/>
    </row>
    <row r="34" spans="1:13" ht="15" customHeight="1">
      <c r="A34" s="3044" t="s">
        <v>703</v>
      </c>
      <c r="B34" s="775" t="s">
        <v>706</v>
      </c>
      <c r="C34" s="771">
        <v>0</v>
      </c>
      <c r="D34" s="779" t="s">
        <v>484</v>
      </c>
      <c r="M34" s="480"/>
    </row>
    <row r="35" spans="1:13" ht="15.75">
      <c r="A35" s="3045"/>
      <c r="B35" s="776" t="s">
        <v>707</v>
      </c>
      <c r="C35" s="771">
        <v>0</v>
      </c>
      <c r="D35" s="415" t="s">
        <v>485</v>
      </c>
      <c r="M35" s="480"/>
    </row>
    <row r="36" spans="1:13" ht="15.75" customHeight="1">
      <c r="A36" s="859" t="s">
        <v>817</v>
      </c>
      <c r="B36" s="778" t="s">
        <v>708</v>
      </c>
      <c r="C36" s="771">
        <v>0</v>
      </c>
      <c r="D36" s="415" t="s">
        <v>254</v>
      </c>
      <c r="M36" s="480"/>
    </row>
    <row r="37" spans="1:13" ht="23.25" customHeight="1">
      <c r="A37" s="379"/>
      <c r="B37" s="412" t="s">
        <v>255</v>
      </c>
      <c r="C37" s="414">
        <f>(C31*C32*C33/100)+(C34*C35*C36/100)</f>
        <v>0</v>
      </c>
      <c r="D37" s="416" t="s">
        <v>4</v>
      </c>
      <c r="M37" s="480"/>
    </row>
    <row r="38" spans="1:13" ht="30.75" customHeight="1">
      <c r="A38" s="411"/>
      <c r="B38" s="413" t="s">
        <v>136</v>
      </c>
      <c r="C38" s="414">
        <f>C30-C37</f>
        <v>180</v>
      </c>
      <c r="D38" s="417" t="s">
        <v>4</v>
      </c>
      <c r="F38" s="946" t="s">
        <v>183</v>
      </c>
      <c r="G38" s="959" t="s">
        <v>186</v>
      </c>
      <c r="H38" s="959"/>
      <c r="I38" s="959"/>
      <c r="M38" s="480"/>
    </row>
    <row r="39" spans="1:13" ht="19.5" customHeight="1">
      <c r="C39" s="122"/>
      <c r="F39" s="951" t="s">
        <v>179</v>
      </c>
      <c r="G39" s="951">
        <v>90</v>
      </c>
      <c r="H39" s="937"/>
      <c r="I39" s="937"/>
      <c r="M39" s="480"/>
    </row>
    <row r="40" spans="1:13" ht="19.5" customHeight="1">
      <c r="A40" s="43"/>
      <c r="B40" s="34"/>
      <c r="C40" s="948" t="s">
        <v>60</v>
      </c>
      <c r="D40" s="226"/>
      <c r="F40" s="951" t="s">
        <v>804</v>
      </c>
      <c r="G40" s="951">
        <v>70</v>
      </c>
      <c r="H40" s="937"/>
      <c r="I40" s="937"/>
      <c r="M40" s="480"/>
    </row>
    <row r="41" spans="1:13" ht="19.5" customHeight="1">
      <c r="A41" s="28"/>
      <c r="B41" s="48" t="s">
        <v>127</v>
      </c>
      <c r="C41" s="461">
        <v>0.35</v>
      </c>
      <c r="D41" s="251" t="s">
        <v>138</v>
      </c>
      <c r="F41" s="951" t="s">
        <v>805</v>
      </c>
      <c r="G41" s="951">
        <v>70</v>
      </c>
      <c r="H41" s="937"/>
      <c r="I41" s="937"/>
      <c r="M41" s="480"/>
    </row>
    <row r="42" spans="1:13" ht="19.5" customHeight="1">
      <c r="A42" s="28"/>
      <c r="B42" s="35" t="s">
        <v>74</v>
      </c>
      <c r="C42" s="239">
        <f>C7*C41</f>
        <v>157.5</v>
      </c>
      <c r="D42" s="252" t="s">
        <v>76</v>
      </c>
      <c r="F42" s="951" t="s">
        <v>809</v>
      </c>
      <c r="G42" s="946">
        <v>70</v>
      </c>
      <c r="H42" s="937"/>
      <c r="I42" s="937"/>
      <c r="M42" s="480"/>
    </row>
    <row r="43" spans="1:13" ht="19.5" customHeight="1">
      <c r="A43" s="28"/>
      <c r="B43" s="35"/>
      <c r="C43" s="56"/>
      <c r="D43" s="227"/>
      <c r="F43" s="782" t="s">
        <v>810</v>
      </c>
      <c r="G43" s="946">
        <v>60</v>
      </c>
      <c r="H43" s="937"/>
      <c r="I43" s="937"/>
      <c r="M43" s="480"/>
    </row>
    <row r="44" spans="1:13" ht="19.5" customHeight="1">
      <c r="A44" s="28" t="s">
        <v>68</v>
      </c>
      <c r="B44" s="48" t="s">
        <v>72</v>
      </c>
      <c r="C44" s="220">
        <f>C26-C42</f>
        <v>32.662500000000023</v>
      </c>
      <c r="D44" s="235" t="str">
        <f>IF(C44&gt;50,"!!!",(IF(C44&gt;40,"!!",(IF(C44&gt;30,"!"," ")))))</f>
        <v>!</v>
      </c>
      <c r="F44" s="951" t="s">
        <v>48</v>
      </c>
      <c r="G44" s="946">
        <v>60</v>
      </c>
      <c r="H44" s="937"/>
      <c r="I44" s="937"/>
      <c r="M44" s="480"/>
    </row>
    <row r="45" spans="1:13" ht="19.5" customHeight="1">
      <c r="A45" s="28" t="s">
        <v>67</v>
      </c>
      <c r="B45" s="48" t="s">
        <v>72</v>
      </c>
      <c r="C45" s="220">
        <f>C17-C42</f>
        <v>22.5</v>
      </c>
      <c r="D45" s="235" t="str">
        <f>IF(C45&gt;50,"!!!",(IF(C45&gt;40,"!!",(IF(C45&gt;30,"!"," ")))))</f>
        <v xml:space="preserve"> </v>
      </c>
      <c r="F45" s="951" t="s">
        <v>811</v>
      </c>
      <c r="G45" s="951">
        <v>45</v>
      </c>
      <c r="H45" s="937"/>
      <c r="I45" s="937"/>
      <c r="M45" s="480"/>
    </row>
    <row r="46" spans="1:13" ht="19.5" customHeight="1">
      <c r="A46" s="217" t="s">
        <v>729</v>
      </c>
      <c r="B46" s="97"/>
      <c r="C46" s="221"/>
      <c r="D46" s="238"/>
      <c r="F46" s="782" t="s">
        <v>806</v>
      </c>
      <c r="G46" s="946">
        <v>30</v>
      </c>
      <c r="H46" s="937"/>
      <c r="I46" s="937"/>
      <c r="M46" s="480"/>
    </row>
    <row r="47" spans="1:13" ht="19.5" customHeight="1" thickBot="1">
      <c r="A47" s="93"/>
      <c r="B47" s="48"/>
      <c r="C47" s="49"/>
      <c r="D47" s="114"/>
      <c r="F47" s="951" t="s">
        <v>1019</v>
      </c>
      <c r="G47" s="946">
        <v>30</v>
      </c>
      <c r="H47" s="937"/>
      <c r="I47" s="937"/>
      <c r="M47" s="480"/>
    </row>
    <row r="48" spans="1:13" ht="19.5" customHeight="1">
      <c r="A48" s="3049" t="s">
        <v>578</v>
      </c>
      <c r="B48" s="3053"/>
      <c r="C48" s="1777" t="s">
        <v>587</v>
      </c>
      <c r="D48" s="618" t="s">
        <v>592</v>
      </c>
      <c r="E48" s="23"/>
      <c r="F48" s="951" t="s">
        <v>187</v>
      </c>
      <c r="G48" s="946">
        <v>30</v>
      </c>
      <c r="H48" s="937"/>
      <c r="I48" s="937"/>
      <c r="M48" s="480"/>
    </row>
    <row r="49" spans="1:13" ht="19.5" customHeight="1">
      <c r="A49" s="3054" t="s">
        <v>590</v>
      </c>
      <c r="B49" s="624" t="s">
        <v>579</v>
      </c>
      <c r="C49" s="622" t="s">
        <v>593</v>
      </c>
      <c r="D49" s="631" t="s">
        <v>594</v>
      </c>
      <c r="F49" s="951" t="s">
        <v>813</v>
      </c>
      <c r="G49" s="946">
        <v>30</v>
      </c>
      <c r="H49" s="937"/>
      <c r="I49" s="937"/>
      <c r="M49" s="480"/>
    </row>
    <row r="50" spans="1:13" ht="19.5" customHeight="1">
      <c r="A50" s="3055"/>
      <c r="B50" s="601" t="s">
        <v>583</v>
      </c>
      <c r="C50" s="263">
        <f>C52*2</f>
        <v>126.00000000000001</v>
      </c>
      <c r="D50" s="616">
        <f>D52*2</f>
        <v>0</v>
      </c>
      <c r="F50" s="951" t="s">
        <v>814</v>
      </c>
      <c r="G50" s="946">
        <v>30</v>
      </c>
      <c r="H50" s="937"/>
      <c r="I50" s="937"/>
    </row>
    <row r="51" spans="1:13" ht="19.5" customHeight="1">
      <c r="A51" s="3055"/>
      <c r="B51" s="601" t="s">
        <v>584</v>
      </c>
      <c r="C51" s="263">
        <f>C52*1.5</f>
        <v>94.500000000000014</v>
      </c>
      <c r="D51" s="616">
        <f>D52*1.5</f>
        <v>0</v>
      </c>
      <c r="F51" s="951" t="s">
        <v>815</v>
      </c>
      <c r="G51" s="946">
        <v>30</v>
      </c>
    </row>
    <row r="52" spans="1:13" ht="19.5" customHeight="1">
      <c r="A52" s="3055"/>
      <c r="B52" s="601" t="s">
        <v>585</v>
      </c>
      <c r="C52" s="605">
        <f>C7*0.14</f>
        <v>63.000000000000007</v>
      </c>
      <c r="D52" s="617">
        <f>C36*0.15</f>
        <v>0</v>
      </c>
      <c r="F52" s="951" t="s">
        <v>180</v>
      </c>
      <c r="G52" s="946">
        <v>25</v>
      </c>
    </row>
    <row r="53" spans="1:13" ht="19.5" customHeight="1">
      <c r="A53" s="2959"/>
      <c r="B53" s="632" t="s">
        <v>586</v>
      </c>
      <c r="C53" s="263">
        <f>C52*0.5</f>
        <v>31.500000000000004</v>
      </c>
      <c r="D53" s="616">
        <f>D52*0.5</f>
        <v>0</v>
      </c>
      <c r="F53" s="951" t="s">
        <v>807</v>
      </c>
      <c r="G53" s="946">
        <v>25</v>
      </c>
    </row>
    <row r="54" spans="1:13" ht="31.5" customHeight="1">
      <c r="A54" s="3069"/>
      <c r="B54" s="3070" t="s">
        <v>588</v>
      </c>
      <c r="C54" s="3060" t="s">
        <v>591</v>
      </c>
      <c r="D54" s="3061"/>
      <c r="F54" s="782" t="s">
        <v>808</v>
      </c>
      <c r="G54" s="946">
        <v>25</v>
      </c>
    </row>
    <row r="55" spans="1:13" ht="27.75" customHeight="1" thickBot="1">
      <c r="A55" s="3066"/>
      <c r="B55" s="3068"/>
      <c r="C55" s="3062"/>
      <c r="D55" s="3063"/>
      <c r="E55" s="1"/>
      <c r="F55" s="782" t="s">
        <v>816</v>
      </c>
      <c r="G55" s="946">
        <v>10</v>
      </c>
    </row>
    <row r="56" spans="1:13" ht="19.5" customHeight="1">
      <c r="E56" s="1"/>
      <c r="F56" s="782" t="s">
        <v>181</v>
      </c>
      <c r="G56" s="946">
        <v>10</v>
      </c>
    </row>
    <row r="57" spans="1:13" ht="60.75" customHeight="1">
      <c r="A57" s="317" t="s">
        <v>167</v>
      </c>
      <c r="B57" s="3073" t="s">
        <v>504</v>
      </c>
      <c r="C57" s="3169"/>
      <c r="D57" s="3169"/>
      <c r="E57" s="1"/>
      <c r="F57" s="782" t="s">
        <v>188</v>
      </c>
      <c r="G57" s="946">
        <v>5</v>
      </c>
    </row>
    <row r="58" spans="1:13" ht="60.75" customHeight="1">
      <c r="A58" s="254" t="s">
        <v>393</v>
      </c>
      <c r="B58" s="3073" t="s">
        <v>500</v>
      </c>
      <c r="C58" s="3169"/>
      <c r="D58" s="3169"/>
      <c r="E58" s="1"/>
      <c r="F58" s="782" t="s">
        <v>182</v>
      </c>
      <c r="G58" s="946">
        <v>3</v>
      </c>
    </row>
    <row r="59" spans="1:13" ht="78" customHeight="1">
      <c r="A59" s="254" t="s">
        <v>398</v>
      </c>
      <c r="B59" s="3073" t="s">
        <v>501</v>
      </c>
      <c r="C59" s="3169"/>
      <c r="D59" s="3169"/>
    </row>
    <row r="60" spans="1:13" ht="48" customHeight="1">
      <c r="A60" s="961" t="s">
        <v>396</v>
      </c>
      <c r="B60" s="3073" t="s">
        <v>497</v>
      </c>
      <c r="C60" s="3074"/>
      <c r="D60" s="3074"/>
    </row>
    <row r="61" spans="1:13" ht="27" customHeight="1">
      <c r="A61"/>
      <c r="B61" s="122" t="s">
        <v>145</v>
      </c>
      <c r="C61" s="324" t="s">
        <v>139</v>
      </c>
    </row>
    <row r="62" spans="1:13" ht="33" customHeight="1">
      <c r="A62"/>
      <c r="C62" s="324" t="s">
        <v>498</v>
      </c>
    </row>
    <row r="63" spans="1:13">
      <c r="A63"/>
      <c r="C63" s="324" t="s">
        <v>502</v>
      </c>
    </row>
    <row r="64" spans="1:13">
      <c r="A64" s="969" t="s">
        <v>33</v>
      </c>
      <c r="B64" s="122" t="s">
        <v>129</v>
      </c>
      <c r="C64" s="324" t="s">
        <v>132</v>
      </c>
      <c r="F64" s="969"/>
    </row>
    <row r="65" spans="1:13">
      <c r="A65" s="969">
        <v>150</v>
      </c>
      <c r="B65" s="122">
        <v>170</v>
      </c>
      <c r="C65" s="325">
        <f>A65*0.425+98</f>
        <v>161.75</v>
      </c>
      <c r="F65" s="969"/>
    </row>
    <row r="66" spans="1:13">
      <c r="A66" s="969">
        <v>250</v>
      </c>
      <c r="B66" s="122">
        <v>190</v>
      </c>
      <c r="C66" s="325">
        <f>A66*0.37+98.5</f>
        <v>191</v>
      </c>
      <c r="F66" s="969"/>
      <c r="H66"/>
    </row>
    <row r="67" spans="1:13">
      <c r="A67" s="969">
        <v>350</v>
      </c>
      <c r="B67" s="122">
        <v>210</v>
      </c>
      <c r="C67" s="325">
        <f>A67*0.325+99</f>
        <v>212.75</v>
      </c>
      <c r="F67" s="969"/>
      <c r="H67"/>
    </row>
    <row r="68" spans="1:13">
      <c r="A68" s="969">
        <v>450</v>
      </c>
      <c r="B68" s="122">
        <v>230</v>
      </c>
      <c r="C68" s="325">
        <f>A68*0.29+99.5</f>
        <v>230</v>
      </c>
      <c r="F68" s="969"/>
      <c r="H68"/>
    </row>
    <row r="69" spans="1:13">
      <c r="A69" s="969">
        <v>550</v>
      </c>
      <c r="B69" s="122">
        <v>250</v>
      </c>
      <c r="C69" s="325">
        <f>A69*0.265+100</f>
        <v>245.75</v>
      </c>
      <c r="D69" s="969"/>
      <c r="F69" s="969"/>
      <c r="H69"/>
    </row>
    <row r="70" spans="1:13">
      <c r="A70" s="969"/>
      <c r="B70" s="969"/>
      <c r="D70" s="969"/>
      <c r="F70" s="969"/>
      <c r="H70"/>
    </row>
    <row r="71" spans="1:13">
      <c r="A71" s="969"/>
      <c r="B71" s="969"/>
      <c r="D71" s="969"/>
      <c r="F71" s="969"/>
      <c r="H71"/>
    </row>
    <row r="72" spans="1:13">
      <c r="A72"/>
      <c r="B72" s="969"/>
      <c r="D72" s="969"/>
      <c r="E72" s="322"/>
      <c r="F72" s="969"/>
      <c r="H72"/>
    </row>
    <row r="73" spans="1:13">
      <c r="A73"/>
      <c r="B73"/>
      <c r="D73" s="969"/>
      <c r="F73" s="969"/>
      <c r="H73"/>
    </row>
    <row r="74" spans="1:13">
      <c r="A74"/>
      <c r="B74"/>
      <c r="D74" s="969"/>
      <c r="F74" s="969"/>
      <c r="H74"/>
    </row>
    <row r="75" spans="1:13">
      <c r="A75"/>
      <c r="B75"/>
      <c r="C75"/>
      <c r="F75" s="969"/>
      <c r="H75"/>
    </row>
    <row r="76" spans="1:13">
      <c r="A76"/>
      <c r="B76"/>
      <c r="C76"/>
      <c r="E76" s="969"/>
      <c r="F76" s="969"/>
      <c r="H76"/>
    </row>
    <row r="77" spans="1:13">
      <c r="A77"/>
      <c r="B77"/>
      <c r="C77"/>
      <c r="E77" s="969"/>
      <c r="F77" s="969"/>
      <c r="G77" s="969"/>
      <c r="H77"/>
    </row>
    <row r="78" spans="1:13">
      <c r="A78"/>
      <c r="B78"/>
      <c r="C78"/>
      <c r="F78" s="969"/>
      <c r="G78" s="969"/>
      <c r="H78"/>
    </row>
    <row r="79" spans="1:13">
      <c r="F79" s="969"/>
      <c r="G79" s="969"/>
    </row>
    <row r="80" spans="1:13" s="969" customFormat="1">
      <c r="A80" s="173"/>
      <c r="B80" s="122"/>
      <c r="D80"/>
      <c r="E80"/>
      <c r="I80"/>
      <c r="J80"/>
      <c r="K80"/>
      <c r="L80"/>
      <c r="M80"/>
    </row>
    <row r="81" spans="1:13" s="969" customFormat="1">
      <c r="A81" s="173"/>
      <c r="B81" s="122"/>
      <c r="D81"/>
      <c r="E81"/>
      <c r="I81"/>
      <c r="J81"/>
      <c r="K81"/>
      <c r="L81"/>
      <c r="M81"/>
    </row>
    <row r="82" spans="1:13" s="969" customFormat="1">
      <c r="A82" s="173"/>
      <c r="B82" s="122"/>
      <c r="D82"/>
      <c r="G82"/>
      <c r="I82"/>
      <c r="J82"/>
      <c r="K82"/>
      <c r="L82"/>
      <c r="M82"/>
    </row>
    <row r="83" spans="1:13" s="969" customFormat="1">
      <c r="A83" s="173"/>
      <c r="B83" s="122"/>
      <c r="D83"/>
      <c r="G83"/>
      <c r="I83"/>
      <c r="J83"/>
      <c r="K83"/>
      <c r="L83"/>
      <c r="M83"/>
    </row>
    <row r="84" spans="1:13" s="969" customFormat="1">
      <c r="A84" s="173"/>
      <c r="B84" s="122"/>
      <c r="D84"/>
      <c r="G84"/>
      <c r="I84"/>
      <c r="J84"/>
      <c r="K84"/>
      <c r="L84"/>
      <c r="M84"/>
    </row>
    <row r="85" spans="1:13" s="969" customFormat="1">
      <c r="A85" s="173"/>
      <c r="B85" s="122"/>
      <c r="D85"/>
      <c r="G85"/>
      <c r="I85"/>
      <c r="J85"/>
      <c r="K85"/>
      <c r="L85"/>
      <c r="M85"/>
    </row>
    <row r="86" spans="1:13" s="969" customFormat="1">
      <c r="A86" s="173"/>
      <c r="B86" s="122"/>
      <c r="D86"/>
      <c r="G86"/>
      <c r="I86"/>
      <c r="J86"/>
      <c r="K86"/>
      <c r="L86"/>
      <c r="M86"/>
    </row>
    <row r="87" spans="1:13" s="969" customFormat="1">
      <c r="A87" s="173"/>
      <c r="B87" s="122"/>
      <c r="D87"/>
      <c r="G87"/>
      <c r="I87"/>
      <c r="J87"/>
      <c r="K87"/>
      <c r="L87"/>
      <c r="M87"/>
    </row>
    <row r="88" spans="1:13" s="969" customFormat="1">
      <c r="A88" s="173"/>
      <c r="B88" s="122"/>
      <c r="D88"/>
      <c r="F88"/>
      <c r="G88"/>
      <c r="I88"/>
      <c r="J88"/>
      <c r="K88"/>
      <c r="L88"/>
      <c r="M88"/>
    </row>
    <row r="89" spans="1:13" s="969" customFormat="1">
      <c r="A89" s="173"/>
      <c r="B89" s="122"/>
      <c r="D89"/>
      <c r="F89"/>
      <c r="G89"/>
      <c r="I89"/>
      <c r="J89"/>
      <c r="K89"/>
      <c r="L89"/>
      <c r="M89"/>
    </row>
    <row r="90" spans="1:13" s="969" customFormat="1">
      <c r="A90" s="173"/>
      <c r="B90" s="122"/>
      <c r="D90"/>
      <c r="F90"/>
      <c r="G90"/>
      <c r="I90"/>
      <c r="J90"/>
      <c r="K90"/>
      <c r="L90"/>
      <c r="M90"/>
    </row>
    <row r="91" spans="1:13" s="969" customFormat="1">
      <c r="A91" s="173"/>
      <c r="B91" s="122"/>
      <c r="D91"/>
      <c r="F91"/>
      <c r="G91"/>
      <c r="I91"/>
      <c r="J91"/>
      <c r="K91"/>
      <c r="L91"/>
      <c r="M91"/>
    </row>
    <row r="92" spans="1:13" s="969" customFormat="1">
      <c r="A92" s="173"/>
      <c r="B92" s="122"/>
      <c r="D92"/>
      <c r="F92"/>
      <c r="G92"/>
      <c r="I92"/>
      <c r="J92"/>
      <c r="K92"/>
      <c r="L92"/>
      <c r="M92"/>
    </row>
    <row r="93" spans="1:13" s="969" customFormat="1">
      <c r="A93" s="173"/>
      <c r="B93" s="122"/>
      <c r="D93"/>
      <c r="F93"/>
      <c r="G93"/>
      <c r="I93"/>
      <c r="J93"/>
      <c r="K93"/>
      <c r="L93"/>
      <c r="M93"/>
    </row>
    <row r="94" spans="1:13" s="969" customFormat="1">
      <c r="A94" s="173"/>
      <c r="B94" s="122"/>
      <c r="D94"/>
      <c r="F94"/>
      <c r="G94"/>
      <c r="I94"/>
      <c r="J94"/>
      <c r="K94"/>
      <c r="L94"/>
      <c r="M94"/>
    </row>
    <row r="95" spans="1:13" s="969" customFormat="1">
      <c r="A95" s="173"/>
      <c r="B95" s="122"/>
      <c r="D95"/>
      <c r="F95"/>
      <c r="G95"/>
      <c r="I95"/>
      <c r="J95"/>
      <c r="K95"/>
      <c r="L95"/>
      <c r="M95"/>
    </row>
    <row r="96" spans="1:13">
      <c r="E96" s="969"/>
    </row>
    <row r="97" spans="5:5">
      <c r="E97" s="969"/>
    </row>
    <row r="98" spans="5:5">
      <c r="E98" s="969"/>
    </row>
    <row r="99" spans="5:5">
      <c r="E99" s="969"/>
    </row>
    <row r="100" spans="5:5">
      <c r="E100" s="969"/>
    </row>
    <row r="101" spans="5:5">
      <c r="E101" s="969"/>
    </row>
    <row r="102" spans="5:5">
      <c r="E102" s="969"/>
    </row>
    <row r="103" spans="5:5">
      <c r="E103" s="969"/>
    </row>
    <row r="104" spans="5:5">
      <c r="E104" s="969"/>
    </row>
  </sheetData>
  <sheetProtection formatCells="0" formatColumns="0" formatRows="0" selectLockedCells="1"/>
  <mergeCells count="14">
    <mergeCell ref="A19:B19"/>
    <mergeCell ref="A31:A32"/>
    <mergeCell ref="A5:D5"/>
    <mergeCell ref="A6:B6"/>
    <mergeCell ref="B57:D57"/>
    <mergeCell ref="B58:D58"/>
    <mergeCell ref="B59:D59"/>
    <mergeCell ref="B60:D60"/>
    <mergeCell ref="A34:A35"/>
    <mergeCell ref="A48:B48"/>
    <mergeCell ref="A49:A53"/>
    <mergeCell ref="A54:A55"/>
    <mergeCell ref="B54:B55"/>
    <mergeCell ref="C54:D55"/>
  </mergeCells>
  <dataValidations disablePrompts="1" count="5">
    <dataValidation type="list" allowBlank="1" sqref="B13">
      <formula1>$G$21:$G$31</formula1>
    </dataValidation>
    <dataValidation type="list" allowBlank="1" showInputMessage="1" showErrorMessage="1" sqref="B22">
      <formula1>J21:J27</formula1>
    </dataValidation>
    <dataValidation type="list" allowBlank="1" sqref="B16">
      <formula1>"bis 4 %, größer 4 %"</formula1>
    </dataValidation>
    <dataValidation type="list" allowBlank="1" sqref="J8:J9">
      <formula1>"Humusgehalt"</formula1>
    </dataValidation>
    <dataValidation type="list" allowBlank="1" sqref="B14">
      <formula1>Vorfrucht</formula1>
    </dataValidation>
  </dataValidations>
  <pageMargins left="0.7" right="0.7" top="0.78740157499999996" bottom="0.78740157499999996" header="0.3" footer="0.3"/>
  <pageSetup paperSize="9" scale="66" orientation="portrait" horizontalDpi="4294967293" verticalDpi="4294967293" r:id="rId1"/>
  <rowBreaks count="1" manualBreakCount="1">
    <brk id="56"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theme="0" tint="-4.9989318521683403E-2"/>
    <pageSetUpPr fitToPage="1"/>
  </sheetPr>
  <dimension ref="A1:W99"/>
  <sheetViews>
    <sheetView topLeftCell="A32" zoomScaleNormal="100" workbookViewId="0">
      <selection activeCell="O40" sqref="O40"/>
    </sheetView>
  </sheetViews>
  <sheetFormatPr baseColWidth="10" defaultRowHeight="15"/>
  <cols>
    <col min="1" max="1" width="7" style="35" customWidth="1"/>
    <col min="2" max="2" width="42.85546875" style="175" customWidth="1"/>
    <col min="3" max="3" width="8.28515625" style="175" customWidth="1"/>
    <col min="4" max="4" width="9.85546875" style="934" customWidth="1"/>
    <col min="5" max="5" width="8.28515625" style="111" customWidth="1"/>
    <col min="6" max="6" width="9.7109375" style="930" customWidth="1"/>
    <col min="7" max="7" width="8.28515625" style="127" customWidth="1"/>
    <col min="8" max="8" width="8.28515625" style="930" customWidth="1"/>
    <col min="9" max="9" width="8.28515625" style="127" customWidth="1"/>
    <col min="10" max="10" width="8.28515625" style="934" customWidth="1"/>
    <col min="11" max="11" width="8.28515625" style="111" customWidth="1"/>
    <col min="12" max="12" width="8.28515625" style="930" customWidth="1"/>
    <col min="13" max="13" width="8.28515625" style="127" customWidth="1"/>
    <col min="14" max="14" width="8.28515625" style="930" customWidth="1"/>
    <col min="15" max="15" width="30.5703125" style="930" customWidth="1"/>
    <col min="16" max="16" width="12.42578125" style="930" customWidth="1"/>
    <col min="17" max="17" width="38" customWidth="1"/>
    <col min="18" max="18" width="27.28515625" customWidth="1"/>
    <col min="19" max="19" width="24" style="969" customWidth="1"/>
    <col min="20" max="20" width="17.7109375" customWidth="1"/>
    <col min="21" max="22" width="16" customWidth="1"/>
    <col min="23" max="23" width="20.42578125" customWidth="1"/>
    <col min="24" max="26" width="24.140625" customWidth="1"/>
  </cols>
  <sheetData>
    <row r="1" spans="1:23">
      <c r="A1" s="358"/>
      <c r="B1" s="412" t="str">
        <f>'DüV-N-Ackerbau'!C1</f>
        <v>Karl vom Land</v>
      </c>
      <c r="C1" s="412" t="str">
        <f>'DüV-N-Ackerbau'!F1</f>
        <v>Erntejahr</v>
      </c>
      <c r="O1" s="124" t="s">
        <v>36</v>
      </c>
      <c r="P1" s="295"/>
    </row>
    <row r="2" spans="1:23">
      <c r="B2" s="412" t="str">
        <f>'DüV-N-Ackerbau'!C2</f>
        <v>Höfen 1</v>
      </c>
      <c r="C2" s="412">
        <f>'DüV-N-Ackerbau'!G1</f>
        <v>2022</v>
      </c>
      <c r="O2" s="125" t="s">
        <v>34</v>
      </c>
      <c r="P2" s="295"/>
    </row>
    <row r="3" spans="1:23">
      <c r="B3" s="412" t="str">
        <f>'DüV-N-Ackerbau'!C3</f>
        <v>12345 Auf dem Feld</v>
      </c>
      <c r="C3" s="174"/>
    </row>
    <row r="4" spans="1:23" ht="6.75" customHeight="1" thickBot="1">
      <c r="C4" s="174"/>
    </row>
    <row r="5" spans="1:23" ht="16.5" thickBot="1">
      <c r="B5" s="3197" t="s">
        <v>605</v>
      </c>
      <c r="C5" s="3198"/>
      <c r="D5" s="3198"/>
      <c r="E5" s="3198"/>
      <c r="F5" s="3198"/>
      <c r="G5" s="3198"/>
      <c r="H5" s="3198"/>
      <c r="I5" s="3198"/>
      <c r="J5" s="3198"/>
      <c r="K5" s="3198"/>
      <c r="L5" s="3198"/>
      <c r="M5" s="3198"/>
      <c r="N5" s="3118"/>
      <c r="O5" s="951"/>
      <c r="P5" s="951"/>
    </row>
    <row r="6" spans="1:23" ht="5.25" customHeight="1" thickBot="1">
      <c r="B6" s="183"/>
    </row>
    <row r="7" spans="1:23" ht="18" customHeight="1" thickBot="1">
      <c r="B7" s="183"/>
      <c r="C7" s="3199" t="s">
        <v>191</v>
      </c>
      <c r="D7" s="3200"/>
      <c r="E7" s="3200"/>
      <c r="F7" s="3200"/>
      <c r="G7" s="3200"/>
      <c r="H7" s="3200"/>
      <c r="I7" s="3200"/>
      <c r="J7" s="3200"/>
      <c r="K7" s="3200"/>
      <c r="L7" s="3200"/>
      <c r="M7" s="3200"/>
      <c r="N7" s="3201"/>
    </row>
    <row r="8" spans="1:23" ht="18" customHeight="1">
      <c r="B8" s="3206" t="s">
        <v>1304</v>
      </c>
      <c r="C8" s="3176"/>
      <c r="D8" s="3176"/>
      <c r="E8" s="3177"/>
      <c r="F8" s="3177"/>
      <c r="G8" s="3177"/>
      <c r="H8" s="3177"/>
      <c r="I8" s="3177"/>
      <c r="J8" s="3177"/>
      <c r="K8" s="3177"/>
      <c r="L8" s="3177"/>
      <c r="M8" s="3177"/>
      <c r="N8" s="3177"/>
      <c r="O8" s="3175" t="s">
        <v>1304</v>
      </c>
      <c r="P8" s="1770"/>
    </row>
    <row r="9" spans="1:23" ht="18" customHeight="1">
      <c r="B9" s="3206"/>
      <c r="C9" s="3204"/>
      <c r="D9" s="3205"/>
      <c r="E9" s="3177"/>
      <c r="F9" s="3177"/>
      <c r="G9" s="3177"/>
      <c r="H9" s="3177"/>
      <c r="I9" s="3177"/>
      <c r="J9" s="3177"/>
      <c r="K9" s="3177"/>
      <c r="L9" s="3177"/>
      <c r="M9" s="3177"/>
      <c r="N9" s="3177"/>
      <c r="O9" s="3175"/>
      <c r="P9" s="1770"/>
    </row>
    <row r="10" spans="1:23" ht="18" customHeight="1">
      <c r="B10" s="3206"/>
      <c r="C10" s="3176"/>
      <c r="D10" s="3176"/>
      <c r="E10" s="3177"/>
      <c r="F10" s="3177"/>
      <c r="G10" s="3177"/>
      <c r="H10" s="3177"/>
      <c r="I10" s="3177"/>
      <c r="J10" s="3177"/>
      <c r="K10" s="3177"/>
      <c r="L10" s="3177"/>
      <c r="M10" s="3177"/>
      <c r="N10" s="3177"/>
      <c r="O10" s="3175"/>
      <c r="P10" s="1770"/>
    </row>
    <row r="11" spans="1:23" ht="18" customHeight="1">
      <c r="B11" s="3206"/>
      <c r="C11" s="3176"/>
      <c r="D11" s="3176"/>
      <c r="E11" s="3177"/>
      <c r="F11" s="3177"/>
      <c r="G11" s="3177"/>
      <c r="H11" s="3177"/>
      <c r="I11" s="3177"/>
      <c r="J11" s="3177"/>
      <c r="K11" s="3177"/>
      <c r="L11" s="3177"/>
      <c r="M11" s="3177"/>
      <c r="N11" s="3177"/>
      <c r="O11" s="3175"/>
      <c r="P11" s="1770"/>
    </row>
    <row r="12" spans="1:23" ht="18" customHeight="1">
      <c r="B12" s="3206"/>
      <c r="C12" s="3176"/>
      <c r="D12" s="3176"/>
      <c r="E12" s="3177"/>
      <c r="F12" s="3177"/>
      <c r="G12" s="3177"/>
      <c r="H12" s="3177"/>
      <c r="I12" s="3177"/>
      <c r="J12" s="3177"/>
      <c r="K12" s="3177"/>
      <c r="L12" s="3177"/>
      <c r="M12" s="3177"/>
      <c r="N12" s="3177"/>
      <c r="O12" s="3175"/>
      <c r="P12" s="1770"/>
    </row>
    <row r="13" spans="1:23" ht="30" customHeight="1">
      <c r="B13" s="177" t="s">
        <v>725</v>
      </c>
      <c r="C13" s="3202">
        <v>1</v>
      </c>
      <c r="D13" s="3202"/>
      <c r="E13" s="3202">
        <v>2</v>
      </c>
      <c r="F13" s="3202"/>
      <c r="G13" s="3202">
        <v>3</v>
      </c>
      <c r="H13" s="3202"/>
      <c r="I13" s="3202">
        <v>4</v>
      </c>
      <c r="J13" s="3202"/>
      <c r="K13" s="3202">
        <v>5</v>
      </c>
      <c r="L13" s="3202"/>
      <c r="M13" s="3202">
        <v>6</v>
      </c>
      <c r="N13" s="3202"/>
      <c r="O13" s="1769" t="s">
        <v>725</v>
      </c>
      <c r="P13" s="1770"/>
    </row>
    <row r="14" spans="1:23" ht="18" customHeight="1">
      <c r="B14" s="140" t="s">
        <v>233</v>
      </c>
      <c r="C14" s="3137">
        <v>40</v>
      </c>
      <c r="D14" s="3203"/>
      <c r="E14" s="3137">
        <v>55</v>
      </c>
      <c r="F14" s="3203"/>
      <c r="G14" s="3137">
        <v>80</v>
      </c>
      <c r="H14" s="3203"/>
      <c r="I14" s="3137">
        <v>90</v>
      </c>
      <c r="J14" s="3203"/>
      <c r="K14" s="3137">
        <v>110</v>
      </c>
      <c r="L14" s="3203"/>
      <c r="M14" s="3137">
        <v>120</v>
      </c>
      <c r="N14" s="3203"/>
      <c r="O14" s="141" t="s">
        <v>233</v>
      </c>
      <c r="P14" s="1770"/>
    </row>
    <row r="15" spans="1:23" ht="20.25" customHeight="1">
      <c r="B15" s="140" t="s">
        <v>73</v>
      </c>
      <c r="C15" s="3210">
        <v>8.6</v>
      </c>
      <c r="D15" s="3211"/>
      <c r="E15" s="3210">
        <v>11.4</v>
      </c>
      <c r="F15" s="3211"/>
      <c r="G15" s="3210">
        <v>15</v>
      </c>
      <c r="H15" s="3211"/>
      <c r="I15" s="3210">
        <v>17</v>
      </c>
      <c r="J15" s="3211"/>
      <c r="K15" s="3210">
        <v>17.5</v>
      </c>
      <c r="L15" s="3211"/>
      <c r="M15" s="3210">
        <v>18.2</v>
      </c>
      <c r="N15" s="3211"/>
      <c r="O15" s="141" t="s">
        <v>73</v>
      </c>
    </row>
    <row r="16" spans="1:23" ht="36" customHeight="1">
      <c r="B16" s="140" t="s">
        <v>257</v>
      </c>
      <c r="C16" s="3212">
        <f>C14*C15/6.25</f>
        <v>55.04</v>
      </c>
      <c r="D16" s="3213"/>
      <c r="E16" s="3212">
        <f>E14*E15/6.25</f>
        <v>100.32</v>
      </c>
      <c r="F16" s="3213"/>
      <c r="G16" s="3212">
        <f>G14*G15/6.25</f>
        <v>192</v>
      </c>
      <c r="H16" s="3213"/>
      <c r="I16" s="3212">
        <f>I14*I15/6.25</f>
        <v>244.8</v>
      </c>
      <c r="J16" s="3213"/>
      <c r="K16" s="3212">
        <f>K14*K15/6.25</f>
        <v>308</v>
      </c>
      <c r="L16" s="3213"/>
      <c r="M16" s="3212">
        <f>M14*M15/6.25</f>
        <v>349.44</v>
      </c>
      <c r="N16" s="3213"/>
      <c r="O16" s="141" t="s">
        <v>257</v>
      </c>
      <c r="P16" s="138"/>
      <c r="R16" s="486" t="s">
        <v>79</v>
      </c>
      <c r="S16" s="486" t="s">
        <v>5</v>
      </c>
      <c r="U16" s="481"/>
      <c r="V16" s="481" t="s">
        <v>1732</v>
      </c>
      <c r="W16" s="481" t="s">
        <v>1748</v>
      </c>
    </row>
    <row r="17" spans="1:23" ht="28.5" customHeight="1">
      <c r="A17" s="168"/>
      <c r="B17" s="174" t="s">
        <v>82</v>
      </c>
      <c r="C17" s="466" t="s">
        <v>86</v>
      </c>
      <c r="D17" s="29">
        <f>VLOOKUP(C17,R17:S21,2,FALSE)</f>
        <v>10</v>
      </c>
      <c r="E17" s="466" t="s">
        <v>86</v>
      </c>
      <c r="F17" s="29">
        <f>VLOOKUP(E17,R17:S21,2,FALSE)</f>
        <v>10</v>
      </c>
      <c r="G17" s="466" t="s">
        <v>86</v>
      </c>
      <c r="H17" s="29">
        <f>VLOOKUP(G17,R17:S21,2,FALSE)</f>
        <v>10</v>
      </c>
      <c r="I17" s="466" t="s">
        <v>86</v>
      </c>
      <c r="J17" s="29">
        <f>VLOOKUP(I17,R17:S21,2,FALSE)</f>
        <v>10</v>
      </c>
      <c r="K17" s="466" t="s">
        <v>86</v>
      </c>
      <c r="L17" s="29">
        <f>VLOOKUP(K17,R17:S21,2,FALSE)</f>
        <v>10</v>
      </c>
      <c r="M17" s="466" t="s">
        <v>86</v>
      </c>
      <c r="N17" s="29">
        <f>VLOOKUP(M17,R17:S21,2,FALSE)</f>
        <v>10</v>
      </c>
      <c r="O17" s="138" t="s">
        <v>82</v>
      </c>
      <c r="P17" s="141"/>
      <c r="Q17" s="3064" t="s">
        <v>247</v>
      </c>
      <c r="R17" s="512" t="s">
        <v>86</v>
      </c>
      <c r="S17" s="482">
        <v>10</v>
      </c>
      <c r="U17" s="481" t="s">
        <v>1733</v>
      </c>
      <c r="V17" s="481">
        <v>5</v>
      </c>
      <c r="W17" s="481">
        <v>500</v>
      </c>
    </row>
    <row r="18" spans="1:23" ht="41.25" customHeight="1">
      <c r="A18" s="48"/>
      <c r="B18" s="174" t="s">
        <v>83</v>
      </c>
      <c r="C18" s="466" t="s">
        <v>90</v>
      </c>
      <c r="D18" s="29">
        <f>VLOOKUP(C18,$R24:$S27,2,FALSE)</f>
        <v>0</v>
      </c>
      <c r="E18" s="466" t="s">
        <v>88</v>
      </c>
      <c r="F18" s="29">
        <f>VLOOKUP(E18,$R24:$S27,2,FALSE)</f>
        <v>20</v>
      </c>
      <c r="G18" s="466" t="s">
        <v>89</v>
      </c>
      <c r="H18" s="29">
        <f>VLOOKUP(G18,$R24:$S27,2,FALSE)</f>
        <v>40</v>
      </c>
      <c r="I18" s="466" t="s">
        <v>89</v>
      </c>
      <c r="J18" s="29">
        <f>VLOOKUP(I18,$R24:$S27,2,FALSE)</f>
        <v>40</v>
      </c>
      <c r="K18" s="466" t="s">
        <v>90</v>
      </c>
      <c r="L18" s="29">
        <f>VLOOKUP(K18,$R24:$S27,2,FALSE)</f>
        <v>0</v>
      </c>
      <c r="M18" s="466" t="s">
        <v>90</v>
      </c>
      <c r="N18" s="29">
        <f>VLOOKUP(M18,$R24:$S27,2,FALSE)</f>
        <v>0</v>
      </c>
      <c r="O18" s="138" t="s">
        <v>83</v>
      </c>
      <c r="P18" s="141"/>
      <c r="Q18" s="3114"/>
      <c r="R18" s="512" t="s">
        <v>87</v>
      </c>
      <c r="S18" s="482">
        <v>30</v>
      </c>
      <c r="U18" s="481" t="s">
        <v>1734</v>
      </c>
      <c r="V18" s="481">
        <v>4.8</v>
      </c>
      <c r="W18" s="481">
        <v>400</v>
      </c>
    </row>
    <row r="19" spans="1:23" ht="28.5" customHeight="1">
      <c r="A19" s="168"/>
      <c r="B19" s="174" t="s">
        <v>91</v>
      </c>
      <c r="C19" s="3193">
        <v>0</v>
      </c>
      <c r="D19" s="3194"/>
      <c r="E19" s="3193">
        <v>0</v>
      </c>
      <c r="F19" s="3194"/>
      <c r="G19" s="3193">
        <v>0</v>
      </c>
      <c r="H19" s="3194"/>
      <c r="I19" s="3193">
        <v>0</v>
      </c>
      <c r="J19" s="3194"/>
      <c r="K19" s="3193">
        <v>0</v>
      </c>
      <c r="L19" s="3194"/>
      <c r="M19" s="3193">
        <v>0</v>
      </c>
      <c r="N19" s="3194"/>
      <c r="O19" s="138" t="s">
        <v>91</v>
      </c>
      <c r="P19" s="138"/>
      <c r="Q19" s="3114"/>
      <c r="R19" s="512" t="s">
        <v>232</v>
      </c>
      <c r="S19" s="482">
        <v>50</v>
      </c>
      <c r="U19" s="481" t="s">
        <v>1735</v>
      </c>
      <c r="V19" s="481">
        <v>4.5</v>
      </c>
      <c r="W19" s="481">
        <v>300</v>
      </c>
    </row>
    <row r="20" spans="1:23" ht="37.5" customHeight="1">
      <c r="A20" s="48"/>
      <c r="B20" s="167" t="s">
        <v>468</v>
      </c>
      <c r="C20" s="3195">
        <f>IF(C16-D17-D18-C19&lt;0,0,C16-D17-D18-C19)</f>
        <v>45.04</v>
      </c>
      <c r="D20" s="3195"/>
      <c r="E20" s="3195">
        <f>IF(E16-F17-F18-E19&lt;0,0,E16-F17-F18-E19)</f>
        <v>70.319999999999993</v>
      </c>
      <c r="F20" s="3195"/>
      <c r="G20" s="3195">
        <f>IF(G16-H17-H18-G19&lt;0,0,G16-H17-H18-G19)</f>
        <v>142</v>
      </c>
      <c r="H20" s="3195"/>
      <c r="I20" s="3195">
        <f>IF(I16-J17-J18-I19&lt;0,0,I16-J17-J18-I19)</f>
        <v>194.8</v>
      </c>
      <c r="J20" s="3195"/>
      <c r="K20" s="3195">
        <f>IF(K16-L17-L18-K19&lt;0,0,K16-L17-L18-K19)</f>
        <v>298</v>
      </c>
      <c r="L20" s="3195"/>
      <c r="M20" s="3195">
        <f>IF(M16-N17-N18-M19&lt;0,0,M16-N17-N18-M19)</f>
        <v>339.44</v>
      </c>
      <c r="N20" s="3195"/>
      <c r="O20" s="1787" t="s">
        <v>468</v>
      </c>
      <c r="P20" s="138"/>
      <c r="Q20" s="3114"/>
      <c r="R20" s="512" t="s">
        <v>80</v>
      </c>
      <c r="S20" s="482">
        <v>50</v>
      </c>
      <c r="U20" s="481" t="s">
        <v>1739</v>
      </c>
      <c r="V20" s="481">
        <v>5.4</v>
      </c>
      <c r="W20" s="481">
        <v>600</v>
      </c>
    </row>
    <row r="21" spans="1:23" ht="15.75" customHeight="1">
      <c r="A21" s="48"/>
      <c r="B21" s="174"/>
      <c r="O21" s="138"/>
      <c r="P21" s="138"/>
      <c r="Q21" s="3114"/>
      <c r="R21" s="512" t="s">
        <v>81</v>
      </c>
      <c r="S21" s="482">
        <v>80</v>
      </c>
      <c r="U21" s="481" t="s">
        <v>1740</v>
      </c>
      <c r="V21" s="481">
        <v>5.2</v>
      </c>
      <c r="W21" s="481">
        <v>500</v>
      </c>
    </row>
    <row r="22" spans="1:23" ht="26.25" customHeight="1">
      <c r="B22" s="174"/>
      <c r="C22" s="2725" t="s">
        <v>719</v>
      </c>
      <c r="D22" s="3113"/>
      <c r="E22" s="2726"/>
      <c r="F22" s="2726"/>
      <c r="G22" s="2726"/>
      <c r="H22" s="2726"/>
      <c r="I22" s="2726"/>
      <c r="J22" s="2726"/>
      <c r="K22" s="2726"/>
      <c r="L22" s="2726"/>
      <c r="M22" s="2726"/>
      <c r="N22" s="2727"/>
      <c r="O22" s="138"/>
      <c r="Q22" s="3114"/>
      <c r="U22" s="481" t="s">
        <v>1741</v>
      </c>
      <c r="V22" s="481">
        <v>5</v>
      </c>
      <c r="W22" s="481">
        <v>300</v>
      </c>
    </row>
    <row r="23" spans="1:23" ht="38.25" customHeight="1">
      <c r="A23" s="50"/>
      <c r="B23" s="170" t="s">
        <v>42</v>
      </c>
      <c r="C23" s="3196">
        <f>C20</f>
        <v>45.04</v>
      </c>
      <c r="D23" s="3196"/>
      <c r="E23" s="3196">
        <f>E20</f>
        <v>70.319999999999993</v>
      </c>
      <c r="F23" s="3196"/>
      <c r="G23" s="3196">
        <f>G20</f>
        <v>142</v>
      </c>
      <c r="H23" s="3196"/>
      <c r="I23" s="3196">
        <f>I20</f>
        <v>194.8</v>
      </c>
      <c r="J23" s="3196"/>
      <c r="K23" s="3196">
        <f>K20</f>
        <v>298</v>
      </c>
      <c r="L23" s="3196"/>
      <c r="M23" s="3196">
        <f>M20</f>
        <v>339.44</v>
      </c>
      <c r="N23" s="3196"/>
      <c r="O23" s="1788" t="s">
        <v>42</v>
      </c>
      <c r="P23" s="14"/>
      <c r="Q23" s="3114"/>
      <c r="R23" s="486" t="s">
        <v>84</v>
      </c>
      <c r="S23" s="482"/>
      <c r="U23" s="481" t="s">
        <v>1736</v>
      </c>
      <c r="V23" s="481">
        <v>5.7</v>
      </c>
      <c r="W23" s="481">
        <v>700</v>
      </c>
    </row>
    <row r="24" spans="1:23" ht="31.5" customHeight="1">
      <c r="B24" s="789" t="s">
        <v>722</v>
      </c>
      <c r="C24" s="3191"/>
      <c r="D24" s="3192"/>
      <c r="E24" s="3191"/>
      <c r="F24" s="3192"/>
      <c r="G24" s="3191"/>
      <c r="H24" s="3192"/>
      <c r="I24" s="3191"/>
      <c r="J24" s="3192"/>
      <c r="K24" s="3191"/>
      <c r="L24" s="3192"/>
      <c r="M24" s="3191"/>
      <c r="N24" s="3192"/>
      <c r="O24" s="1789" t="s">
        <v>722</v>
      </c>
      <c r="P24" s="14"/>
      <c r="Q24" s="3114"/>
      <c r="R24" s="512" t="s">
        <v>90</v>
      </c>
      <c r="S24" s="482">
        <v>0</v>
      </c>
      <c r="U24" s="481" t="s">
        <v>1737</v>
      </c>
      <c r="V24" s="481">
        <v>5.4</v>
      </c>
      <c r="W24" s="481">
        <v>600</v>
      </c>
    </row>
    <row r="25" spans="1:23" ht="23.25" customHeight="1">
      <c r="B25" s="790" t="s">
        <v>251</v>
      </c>
      <c r="C25" s="3189">
        <v>0</v>
      </c>
      <c r="D25" s="3190"/>
      <c r="E25" s="3189">
        <v>0</v>
      </c>
      <c r="F25" s="3190"/>
      <c r="G25" s="3189">
        <v>0</v>
      </c>
      <c r="H25" s="3190"/>
      <c r="I25" s="3189">
        <v>0</v>
      </c>
      <c r="J25" s="3190"/>
      <c r="K25" s="3189">
        <v>0</v>
      </c>
      <c r="L25" s="3190"/>
      <c r="M25" s="3189">
        <v>0</v>
      </c>
      <c r="N25" s="3190"/>
      <c r="O25" s="1790" t="s">
        <v>251</v>
      </c>
      <c r="P25" s="14"/>
      <c r="Q25" s="3114"/>
      <c r="R25" s="512" t="s">
        <v>88</v>
      </c>
      <c r="S25" s="482">
        <v>20</v>
      </c>
      <c r="U25" s="481" t="s">
        <v>1738</v>
      </c>
      <c r="V25" s="481">
        <v>5.0999999999999996</v>
      </c>
      <c r="W25" s="481">
        <v>400</v>
      </c>
    </row>
    <row r="26" spans="1:23" ht="15" customHeight="1">
      <c r="B26" s="171" t="s">
        <v>252</v>
      </c>
      <c r="C26" s="3189">
        <v>0</v>
      </c>
      <c r="D26" s="3190"/>
      <c r="E26" s="3189">
        <v>0</v>
      </c>
      <c r="F26" s="3190"/>
      <c r="G26" s="3189">
        <v>0</v>
      </c>
      <c r="H26" s="3190"/>
      <c r="I26" s="3189">
        <v>0</v>
      </c>
      <c r="J26" s="3190"/>
      <c r="K26" s="3189">
        <v>0</v>
      </c>
      <c r="L26" s="3190"/>
      <c r="M26" s="3189">
        <v>0</v>
      </c>
      <c r="N26" s="3190"/>
      <c r="O26" s="1791" t="s">
        <v>252</v>
      </c>
      <c r="P26" s="14"/>
      <c r="Q26" s="3114"/>
      <c r="R26" s="512" t="s">
        <v>89</v>
      </c>
      <c r="S26" s="482">
        <v>40</v>
      </c>
      <c r="U26" s="481" t="s">
        <v>1742</v>
      </c>
      <c r="V26" s="481">
        <v>5.9</v>
      </c>
      <c r="W26" s="481">
        <v>800</v>
      </c>
    </row>
    <row r="27" spans="1:23" ht="15.75" customHeight="1">
      <c r="B27" s="171" t="s">
        <v>253</v>
      </c>
      <c r="C27" s="3189">
        <v>0</v>
      </c>
      <c r="D27" s="3190"/>
      <c r="E27" s="3189">
        <v>0</v>
      </c>
      <c r="F27" s="3190"/>
      <c r="G27" s="3189">
        <v>0</v>
      </c>
      <c r="H27" s="3190"/>
      <c r="I27" s="3189">
        <v>0</v>
      </c>
      <c r="J27" s="3190"/>
      <c r="K27" s="3189">
        <v>0</v>
      </c>
      <c r="L27" s="3190"/>
      <c r="M27" s="3189">
        <v>0</v>
      </c>
      <c r="N27" s="3190"/>
      <c r="O27" s="1791" t="s">
        <v>253</v>
      </c>
      <c r="P27" s="14"/>
      <c r="Q27" s="3114"/>
      <c r="R27" s="512" t="s">
        <v>227</v>
      </c>
      <c r="S27" s="482">
        <v>60</v>
      </c>
      <c r="U27" s="481" t="s">
        <v>1743</v>
      </c>
      <c r="V27" s="481">
        <v>5.6</v>
      </c>
      <c r="W27" s="481">
        <v>700</v>
      </c>
    </row>
    <row r="28" spans="1:23" ht="15.75">
      <c r="B28" s="789" t="s">
        <v>721</v>
      </c>
      <c r="C28" s="3191"/>
      <c r="D28" s="3192"/>
      <c r="E28" s="3191"/>
      <c r="F28" s="3192"/>
      <c r="G28" s="3191"/>
      <c r="H28" s="3192"/>
      <c r="I28" s="3191"/>
      <c r="J28" s="3192"/>
      <c r="K28" s="3191"/>
      <c r="L28" s="3192"/>
      <c r="M28" s="3191"/>
      <c r="N28" s="3192"/>
      <c r="O28" s="1789" t="s">
        <v>721</v>
      </c>
      <c r="Q28" s="3114"/>
      <c r="U28" s="481" t="s">
        <v>1744</v>
      </c>
      <c r="V28" s="481">
        <v>5.3</v>
      </c>
      <c r="W28" s="481">
        <v>500</v>
      </c>
    </row>
    <row r="29" spans="1:23" ht="18" customHeight="1">
      <c r="B29" s="790" t="s">
        <v>251</v>
      </c>
      <c r="C29" s="3189">
        <v>0</v>
      </c>
      <c r="D29" s="3190"/>
      <c r="E29" s="3189">
        <v>0</v>
      </c>
      <c r="F29" s="3190"/>
      <c r="G29" s="3189">
        <v>0</v>
      </c>
      <c r="H29" s="3190"/>
      <c r="I29" s="3189">
        <v>0</v>
      </c>
      <c r="J29" s="3190"/>
      <c r="K29" s="3189">
        <v>0</v>
      </c>
      <c r="L29" s="3190"/>
      <c r="M29" s="3189">
        <v>0</v>
      </c>
      <c r="N29" s="3190"/>
      <c r="O29" s="1790" t="s">
        <v>251</v>
      </c>
      <c r="R29" s="7"/>
      <c r="U29" s="481" t="s">
        <v>1745</v>
      </c>
      <c r="V29" s="481">
        <v>6.1</v>
      </c>
      <c r="W29" s="481">
        <v>900</v>
      </c>
    </row>
    <row r="30" spans="1:23" ht="18" customHeight="1">
      <c r="B30" s="171" t="s">
        <v>252</v>
      </c>
      <c r="C30" s="3189">
        <v>0</v>
      </c>
      <c r="D30" s="3190"/>
      <c r="E30" s="3189">
        <v>0</v>
      </c>
      <c r="F30" s="3190"/>
      <c r="G30" s="3189">
        <v>0</v>
      </c>
      <c r="H30" s="3190"/>
      <c r="I30" s="3189">
        <v>0</v>
      </c>
      <c r="J30" s="3190"/>
      <c r="K30" s="3189">
        <v>0</v>
      </c>
      <c r="L30" s="3190"/>
      <c r="M30" s="3189">
        <v>0</v>
      </c>
      <c r="N30" s="3190"/>
      <c r="O30" s="1791" t="s">
        <v>252</v>
      </c>
      <c r="R30" s="7"/>
      <c r="U30" s="481" t="s">
        <v>1746</v>
      </c>
      <c r="V30" s="481">
        <v>5.8</v>
      </c>
      <c r="W30" s="481">
        <v>800</v>
      </c>
    </row>
    <row r="31" spans="1:23" ht="11.25" customHeight="1">
      <c r="B31" s="171" t="s">
        <v>253</v>
      </c>
      <c r="C31" s="3189">
        <v>0</v>
      </c>
      <c r="D31" s="3190"/>
      <c r="E31" s="3189">
        <v>0</v>
      </c>
      <c r="F31" s="3190"/>
      <c r="G31" s="3189">
        <v>0</v>
      </c>
      <c r="H31" s="3190"/>
      <c r="I31" s="3189">
        <v>0</v>
      </c>
      <c r="J31" s="3190"/>
      <c r="K31" s="3189">
        <v>0</v>
      </c>
      <c r="L31" s="3190"/>
      <c r="M31" s="3189">
        <v>0</v>
      </c>
      <c r="N31" s="3190"/>
      <c r="O31" s="1791" t="s">
        <v>253</v>
      </c>
      <c r="U31" s="481" t="s">
        <v>1747</v>
      </c>
      <c r="V31" s="481">
        <v>5.5</v>
      </c>
      <c r="W31" s="481">
        <v>600</v>
      </c>
    </row>
    <row r="32" spans="1:23" ht="30" customHeight="1">
      <c r="B32" s="171" t="s">
        <v>726</v>
      </c>
      <c r="C32" s="3188">
        <f>(C25*C26*C27/100)+(C29*C30*C31/100)</f>
        <v>0</v>
      </c>
      <c r="D32" s="3188"/>
      <c r="E32" s="3188">
        <f t="shared" ref="E32" si="0">(E25*E26*E27/100)+(E29*E30*E31/100)</f>
        <v>0</v>
      </c>
      <c r="F32" s="3188"/>
      <c r="G32" s="3188">
        <f t="shared" ref="G32" si="1">(G25*G26*G27/100)+(G29*G30*G31/100)</f>
        <v>0</v>
      </c>
      <c r="H32" s="3188"/>
      <c r="I32" s="3188">
        <f t="shared" ref="I32" si="2">(I25*I26*I27/100)+(I29*I30*I31/100)</f>
        <v>0</v>
      </c>
      <c r="J32" s="3188"/>
      <c r="K32" s="3188">
        <f t="shared" ref="K32" si="3">(K25*K26*K27/100)+(K29*K30*K31/100)</f>
        <v>0</v>
      </c>
      <c r="L32" s="3188"/>
      <c r="M32" s="3188">
        <f t="shared" ref="M32" si="4">(M25*M26*M27/100)+(M29*M30*M31/100)</f>
        <v>0</v>
      </c>
      <c r="N32" s="3188"/>
      <c r="O32" s="1791" t="s">
        <v>726</v>
      </c>
      <c r="P32" s="255"/>
      <c r="Q32" s="946" t="s">
        <v>183</v>
      </c>
      <c r="R32" s="959" t="s">
        <v>186</v>
      </c>
      <c r="S32" s="937"/>
      <c r="U32" s="481"/>
      <c r="V32" s="481"/>
      <c r="W32" s="481"/>
    </row>
    <row r="33" spans="1:19" ht="18.75" customHeight="1">
      <c r="A33" s="783"/>
      <c r="B33" s="791" t="s">
        <v>136</v>
      </c>
      <c r="C33" s="3183">
        <f>C23-C32</f>
        <v>45.04</v>
      </c>
      <c r="D33" s="3183"/>
      <c r="E33" s="3183">
        <f>E23-E32</f>
        <v>70.319999999999993</v>
      </c>
      <c r="F33" s="3183"/>
      <c r="G33" s="3183">
        <f>G23-G32</f>
        <v>142</v>
      </c>
      <c r="H33" s="3183"/>
      <c r="I33" s="3183">
        <f>I23-I32</f>
        <v>194.8</v>
      </c>
      <c r="J33" s="3183"/>
      <c r="K33" s="3183">
        <f>K23-K32</f>
        <v>298</v>
      </c>
      <c r="L33" s="3183"/>
      <c r="M33" s="3183">
        <f>M23-M32</f>
        <v>339.44</v>
      </c>
      <c r="N33" s="3183"/>
      <c r="O33" s="1792" t="s">
        <v>136</v>
      </c>
      <c r="P33" s="256"/>
      <c r="Q33" s="951" t="s">
        <v>179</v>
      </c>
      <c r="R33" s="951">
        <v>90</v>
      </c>
      <c r="S33" s="937"/>
    </row>
    <row r="34" spans="1:19" ht="41.25" customHeight="1">
      <c r="A34" s="933"/>
      <c r="B34" s="1786" t="s">
        <v>639</v>
      </c>
      <c r="C34" s="3184">
        <f>C14*(0.3494+0.4695*LOG(C15)/6.25*C15/6.25)</f>
        <v>17.839781782104222</v>
      </c>
      <c r="D34" s="3185"/>
      <c r="E34" s="3184">
        <f t="shared" ref="E34" si="5">E14*(0.3494+0.4695*LOG(E15)/6.25*E15/6.25)</f>
        <v>27.181875544817949</v>
      </c>
      <c r="F34" s="3185"/>
      <c r="G34" s="3184">
        <f t="shared" ref="G34" si="6">G14*(0.3494+0.4695*LOG(G15)/6.25*G15/6.25)</f>
        <v>44.914811273010457</v>
      </c>
      <c r="H34" s="3185"/>
      <c r="I34" s="3184">
        <f t="shared" ref="I34" si="7">I14*(0.3494+0.4695*LOG(I15)/6.25*I15/6.25)</f>
        <v>54.073187864019509</v>
      </c>
      <c r="J34" s="3185"/>
      <c r="K34" s="3184">
        <f t="shared" ref="K34" si="8">K14*(0.3494+0.4695*LOG(K15)/6.25*K15/6.25)</f>
        <v>67.194121610932839</v>
      </c>
      <c r="L34" s="3185"/>
      <c r="M34" s="3184">
        <f t="shared" ref="M34" si="9">M14*(0.3494+0.4695*LOG(M15)/6.25*M15/6.25)</f>
        <v>75.004789257810941</v>
      </c>
      <c r="N34" s="3185"/>
      <c r="O34" s="1793" t="s">
        <v>639</v>
      </c>
      <c r="P34" s="256"/>
      <c r="Q34" s="951" t="s">
        <v>809</v>
      </c>
      <c r="R34" s="946">
        <v>70</v>
      </c>
      <c r="S34" s="937" t="s">
        <v>1214</v>
      </c>
    </row>
    <row r="35" spans="1:19" ht="54.75" customHeight="1">
      <c r="A35" s="1185"/>
      <c r="B35" s="2264" t="s">
        <v>1749</v>
      </c>
      <c r="C35" s="3186" t="s">
        <v>1733</v>
      </c>
      <c r="D35" s="3187"/>
      <c r="E35" s="3186" t="s">
        <v>1740</v>
      </c>
      <c r="F35" s="3187"/>
      <c r="G35" s="3186" t="s">
        <v>1736</v>
      </c>
      <c r="H35" s="3187"/>
      <c r="I35" s="3186" t="s">
        <v>1742</v>
      </c>
      <c r="J35" s="3187"/>
      <c r="K35" s="3186" t="s">
        <v>1746</v>
      </c>
      <c r="L35" s="3187"/>
      <c r="M35" s="3186" t="s">
        <v>1744</v>
      </c>
      <c r="N35" s="3187"/>
      <c r="O35" s="2265" t="s">
        <v>1749</v>
      </c>
      <c r="P35" s="256"/>
      <c r="Q35" s="782" t="s">
        <v>810</v>
      </c>
      <c r="R35" s="946">
        <v>60</v>
      </c>
      <c r="S35" s="1453" t="s">
        <v>1215</v>
      </c>
    </row>
    <row r="36" spans="1:19" ht="41.25" customHeight="1">
      <c r="A36" s="1185"/>
      <c r="B36" s="2266" t="s">
        <v>1750</v>
      </c>
      <c r="C36" s="3123">
        <f>VLOOKUP(C35,$U$17:$W$31,2,FALSE)</f>
        <v>5</v>
      </c>
      <c r="D36" s="3172"/>
      <c r="E36" s="3123">
        <f t="shared" ref="E36" si="10">VLOOKUP(E35,$U$17:$W$31,2,FALSE)</f>
        <v>5.2</v>
      </c>
      <c r="F36" s="3172"/>
      <c r="G36" s="3123">
        <f t="shared" ref="G36" si="11">VLOOKUP(G35,$U$17:$W$31,2,FALSE)</f>
        <v>5.7</v>
      </c>
      <c r="H36" s="3172"/>
      <c r="I36" s="3123">
        <f t="shared" ref="I36" si="12">VLOOKUP(I35,$U$17:$W$31,2,FALSE)</f>
        <v>5.9</v>
      </c>
      <c r="J36" s="3172"/>
      <c r="K36" s="3123">
        <f t="shared" ref="K36" si="13">VLOOKUP(K35,$U$17:$W$31,2,FALSE)</f>
        <v>5.8</v>
      </c>
      <c r="L36" s="3172"/>
      <c r="M36" s="3123">
        <f t="shared" ref="M36" si="14">VLOOKUP(M35,$U$17:$W$31,2,FALSE)</f>
        <v>5.3</v>
      </c>
      <c r="N36" s="3172"/>
      <c r="O36" s="2267" t="s">
        <v>1750</v>
      </c>
      <c r="P36" s="256"/>
      <c r="Q36" s="951" t="s">
        <v>48</v>
      </c>
      <c r="R36" s="946">
        <v>60</v>
      </c>
      <c r="S36" s="937"/>
    </row>
    <row r="37" spans="1:19" ht="41.25" customHeight="1">
      <c r="A37" s="1185"/>
      <c r="B37" s="2268" t="s">
        <v>1753</v>
      </c>
      <c r="C37" s="3173">
        <f>VLOOKUP(C35,$U$17:$W$31,3,FALSE)</f>
        <v>500</v>
      </c>
      <c r="D37" s="3174"/>
      <c r="E37" s="3173">
        <f t="shared" ref="E37" si="15">VLOOKUP(E35,$U$17:$W$31,3,FALSE)</f>
        <v>500</v>
      </c>
      <c r="F37" s="3174"/>
      <c r="G37" s="3173">
        <f t="shared" ref="G37" si="16">VLOOKUP(G35,$U$17:$W$31,3,FALSE)</f>
        <v>700</v>
      </c>
      <c r="H37" s="3174"/>
      <c r="I37" s="3173">
        <f t="shared" ref="I37" si="17">VLOOKUP(I35,$U$17:$W$31,3,FALSE)</f>
        <v>800</v>
      </c>
      <c r="J37" s="3174"/>
      <c r="K37" s="3173">
        <f t="shared" ref="K37" si="18">VLOOKUP(K35,$U$17:$W$31,3,FALSE)</f>
        <v>800</v>
      </c>
      <c r="L37" s="3174"/>
      <c r="M37" s="3173">
        <f t="shared" ref="M37" si="19">VLOOKUP(M35,$U$17:$W$31,3,FALSE)</f>
        <v>500</v>
      </c>
      <c r="N37" s="3174"/>
      <c r="O37" s="2269" t="s">
        <v>1753</v>
      </c>
      <c r="P37" s="256"/>
      <c r="Q37" s="951" t="s">
        <v>811</v>
      </c>
      <c r="R37" s="951">
        <v>45</v>
      </c>
      <c r="S37" s="937"/>
    </row>
    <row r="38" spans="1:19" ht="41.25" customHeight="1">
      <c r="A38" s="1185"/>
      <c r="B38" s="2268" t="s">
        <v>1754</v>
      </c>
      <c r="C38" s="3207">
        <f>C37/0.56</f>
        <v>892.85714285714278</v>
      </c>
      <c r="D38" s="3208"/>
      <c r="E38" s="3207">
        <f t="shared" ref="E38" si="20">E37/0.56</f>
        <v>892.85714285714278</v>
      </c>
      <c r="F38" s="3208"/>
      <c r="G38" s="3207">
        <f t="shared" ref="G38" si="21">G37/0.56</f>
        <v>1249.9999999999998</v>
      </c>
      <c r="H38" s="3208"/>
      <c r="I38" s="3207">
        <f t="shared" ref="I38" si="22">I37/0.56</f>
        <v>1428.5714285714284</v>
      </c>
      <c r="J38" s="3208"/>
      <c r="K38" s="3207">
        <f t="shared" ref="K38" si="23">K37/0.56</f>
        <v>1428.5714285714284</v>
      </c>
      <c r="L38" s="3208"/>
      <c r="M38" s="3207">
        <f t="shared" ref="M38" si="24">M37/0.56</f>
        <v>892.85714285714278</v>
      </c>
      <c r="N38" s="3208"/>
      <c r="O38" s="2269" t="s">
        <v>1754</v>
      </c>
      <c r="P38" s="256"/>
      <c r="Q38" s="782" t="s">
        <v>806</v>
      </c>
      <c r="R38" s="946">
        <v>30</v>
      </c>
      <c r="S38" s="2240"/>
    </row>
    <row r="39" spans="1:19" ht="41.25" customHeight="1">
      <c r="A39" s="1185"/>
      <c r="B39" s="3209" t="s">
        <v>1755</v>
      </c>
      <c r="C39" s="3209"/>
      <c r="D39" s="3209"/>
      <c r="E39" s="3209"/>
      <c r="F39" s="3209"/>
      <c r="G39" s="3209"/>
      <c r="H39" s="3209"/>
      <c r="I39" s="3209"/>
      <c r="J39" s="3209"/>
      <c r="K39" s="3209"/>
      <c r="L39" s="3209"/>
      <c r="M39" s="3209"/>
      <c r="N39" s="3209"/>
      <c r="O39" s="3209"/>
      <c r="P39" s="256"/>
      <c r="Q39" s="2239"/>
      <c r="R39" s="2241"/>
      <c r="S39" s="2240"/>
    </row>
    <row r="40" spans="1:19" ht="15" customHeight="1">
      <c r="A40" s="933"/>
      <c r="B40"/>
      <c r="C40"/>
      <c r="D40" s="95"/>
      <c r="E40" s="95"/>
      <c r="F40" s="95"/>
      <c r="G40" s="95"/>
      <c r="H40" s="95"/>
      <c r="I40" s="95"/>
      <c r="J40" s="95"/>
      <c r="K40" s="95"/>
      <c r="L40" s="95"/>
      <c r="M40" s="95"/>
      <c r="N40" s="95"/>
      <c r="O40" s="32"/>
      <c r="P40" s="257"/>
      <c r="Q40" s="951" t="s">
        <v>1019</v>
      </c>
      <c r="R40" s="946">
        <v>30</v>
      </c>
      <c r="S40" s="937"/>
    </row>
    <row r="41" spans="1:19" ht="15" customHeight="1">
      <c r="A41" s="933"/>
      <c r="B41" s="1785"/>
      <c r="C41" s="204" t="s">
        <v>194</v>
      </c>
      <c r="D41" s="938"/>
      <c r="E41" s="130"/>
      <c r="F41" s="205"/>
      <c r="G41" s="206"/>
      <c r="H41" s="205"/>
      <c r="I41" s="206"/>
      <c r="J41" s="938"/>
      <c r="K41" s="130"/>
      <c r="L41" s="205"/>
      <c r="M41" s="206"/>
      <c r="N41" s="80"/>
      <c r="O41"/>
      <c r="P41" s="258"/>
      <c r="Q41" s="951" t="s">
        <v>815</v>
      </c>
      <c r="R41" s="946">
        <v>30</v>
      </c>
      <c r="S41" s="937"/>
    </row>
    <row r="42" spans="1:19" ht="15" customHeight="1">
      <c r="B42" s="1783"/>
      <c r="C42" s="48" t="s">
        <v>195</v>
      </c>
      <c r="D42" s="933">
        <v>1</v>
      </c>
      <c r="E42" s="131">
        <v>2</v>
      </c>
      <c r="F42" s="933">
        <v>3</v>
      </c>
      <c r="G42" s="131">
        <v>4</v>
      </c>
      <c r="H42" s="933">
        <v>5</v>
      </c>
      <c r="I42" s="131">
        <v>6</v>
      </c>
      <c r="J42" s="3178" t="s">
        <v>197</v>
      </c>
      <c r="K42" s="3178"/>
      <c r="L42" s="3178"/>
      <c r="M42" s="3178"/>
      <c r="N42" s="3179"/>
      <c r="O42"/>
      <c r="P42" s="258"/>
      <c r="Q42" s="951" t="s">
        <v>807</v>
      </c>
      <c r="R42" s="946">
        <v>25</v>
      </c>
      <c r="S42" s="937"/>
    </row>
    <row r="43" spans="1:19" ht="17.25" customHeight="1">
      <c r="A43" s="48"/>
      <c r="B43" s="1783"/>
      <c r="C43" s="48" t="s">
        <v>85</v>
      </c>
      <c r="D43" s="933">
        <v>40</v>
      </c>
      <c r="E43" s="131">
        <v>55</v>
      </c>
      <c r="F43" s="933">
        <v>80</v>
      </c>
      <c r="G43" s="131">
        <v>90</v>
      </c>
      <c r="H43" s="933">
        <v>110</v>
      </c>
      <c r="I43" s="131">
        <v>120</v>
      </c>
      <c r="J43" s="3178"/>
      <c r="K43" s="3178"/>
      <c r="L43" s="3178"/>
      <c r="M43" s="3178"/>
      <c r="N43" s="3179"/>
      <c r="O43"/>
      <c r="P43" s="258"/>
      <c r="Q43" s="782" t="s">
        <v>808</v>
      </c>
      <c r="R43" s="946">
        <v>25</v>
      </c>
      <c r="S43" s="937"/>
    </row>
    <row r="44" spans="1:19" ht="16.5" customHeight="1">
      <c r="A44" s="48"/>
      <c r="B44" s="1783"/>
      <c r="C44" s="48" t="s">
        <v>196</v>
      </c>
      <c r="D44" s="940">
        <v>8.6</v>
      </c>
      <c r="E44" s="92">
        <v>11.4</v>
      </c>
      <c r="F44" s="940">
        <v>15</v>
      </c>
      <c r="G44" s="92">
        <v>17</v>
      </c>
      <c r="H44" s="940">
        <v>17.5</v>
      </c>
      <c r="I44" s="92">
        <v>18.2</v>
      </c>
      <c r="J44" s="3178"/>
      <c r="K44" s="3178"/>
      <c r="L44" s="3178"/>
      <c r="M44" s="3178"/>
      <c r="N44" s="3179"/>
      <c r="O44"/>
      <c r="P44" s="258"/>
      <c r="Q44" s="782" t="s">
        <v>816</v>
      </c>
      <c r="R44" s="946">
        <v>10</v>
      </c>
      <c r="S44" s="937"/>
    </row>
    <row r="45" spans="1:19" ht="15" customHeight="1">
      <c r="A45" s="48"/>
      <c r="B45" s="1784"/>
      <c r="C45" s="97" t="s">
        <v>199</v>
      </c>
      <c r="D45" s="133">
        <f>D43*D44/6.25</f>
        <v>55.04</v>
      </c>
      <c r="E45" s="133">
        <f t="shared" ref="E45:I45" si="25">E43*E44/6.25</f>
        <v>100.32</v>
      </c>
      <c r="F45" s="133">
        <f t="shared" si="25"/>
        <v>192</v>
      </c>
      <c r="G45" s="133">
        <f t="shared" si="25"/>
        <v>244.8</v>
      </c>
      <c r="H45" s="133">
        <f t="shared" si="25"/>
        <v>308</v>
      </c>
      <c r="I45" s="133">
        <f t="shared" si="25"/>
        <v>349.44</v>
      </c>
      <c r="J45" s="954"/>
      <c r="K45" s="954"/>
      <c r="L45" s="954"/>
      <c r="M45" s="954"/>
      <c r="N45" s="942"/>
      <c r="O45"/>
      <c r="P45" s="258"/>
      <c r="Q45" s="782" t="s">
        <v>181</v>
      </c>
      <c r="R45" s="946">
        <v>10</v>
      </c>
      <c r="S45" s="937"/>
    </row>
    <row r="46" spans="1:19" ht="40.5" customHeight="1">
      <c r="A46" s="48"/>
      <c r="B46"/>
      <c r="F46" s="934"/>
      <c r="G46" s="111"/>
      <c r="H46" s="934"/>
      <c r="I46" s="111"/>
      <c r="O46"/>
      <c r="P46" s="258"/>
      <c r="S46" s="937"/>
    </row>
    <row r="47" spans="1:19" ht="18" customHeight="1">
      <c r="A47" s="48"/>
      <c r="B47" s="1785"/>
      <c r="C47" s="204" t="s">
        <v>207</v>
      </c>
      <c r="D47" s="938"/>
      <c r="E47" s="130"/>
      <c r="F47" s="938"/>
      <c r="G47" s="130"/>
      <c r="H47" s="938"/>
      <c r="I47" s="3180" t="s">
        <v>198</v>
      </c>
      <c r="J47" s="3180"/>
      <c r="K47" s="130"/>
      <c r="L47" s="130" t="s">
        <v>210</v>
      </c>
      <c r="M47" s="130" t="s">
        <v>209</v>
      </c>
      <c r="N47" s="939" t="s">
        <v>209</v>
      </c>
      <c r="O47"/>
      <c r="P47" s="162"/>
      <c r="Q47" s="2238" t="s">
        <v>1751</v>
      </c>
    </row>
    <row r="48" spans="1:19" ht="18" customHeight="1">
      <c r="A48" s="48"/>
      <c r="B48" s="1783"/>
      <c r="C48" s="48" t="s">
        <v>195</v>
      </c>
      <c r="D48" s="933">
        <v>1</v>
      </c>
      <c r="E48" s="131">
        <v>2</v>
      </c>
      <c r="F48" s="933">
        <v>3</v>
      </c>
      <c r="G48" s="131">
        <v>4</v>
      </c>
      <c r="H48" s="933">
        <v>5</v>
      </c>
      <c r="I48" s="3181"/>
      <c r="J48" s="3181"/>
      <c r="K48" s="92"/>
      <c r="L48" s="131">
        <v>2</v>
      </c>
      <c r="M48" s="131">
        <v>3</v>
      </c>
      <c r="N48" s="184">
        <v>4</v>
      </c>
      <c r="O48"/>
      <c r="P48" s="162"/>
      <c r="Q48" s="2238" t="s">
        <v>1752</v>
      </c>
    </row>
    <row r="49" spans="1:19" ht="18" customHeight="1">
      <c r="A49" s="48"/>
      <c r="B49" s="1783"/>
      <c r="C49" s="48" t="s">
        <v>85</v>
      </c>
      <c r="D49" s="933">
        <v>45</v>
      </c>
      <c r="E49" s="131">
        <v>60</v>
      </c>
      <c r="F49" s="933">
        <v>72.5</v>
      </c>
      <c r="G49" s="131">
        <v>82.5</v>
      </c>
      <c r="H49" s="933">
        <v>90</v>
      </c>
      <c r="I49" s="3181"/>
      <c r="J49" s="3181"/>
      <c r="K49" s="92"/>
      <c r="L49" s="783">
        <v>55</v>
      </c>
      <c r="M49" s="783">
        <v>75</v>
      </c>
      <c r="N49" s="975">
        <v>85</v>
      </c>
      <c r="O49"/>
      <c r="P49" s="162"/>
    </row>
    <row r="50" spans="1:19" ht="18" customHeight="1">
      <c r="A50" s="933"/>
      <c r="B50" s="1783"/>
      <c r="C50" s="48" t="s">
        <v>196</v>
      </c>
      <c r="D50" s="940">
        <v>9</v>
      </c>
      <c r="E50" s="92">
        <v>13</v>
      </c>
      <c r="F50" s="940">
        <v>16</v>
      </c>
      <c r="G50" s="92">
        <v>17</v>
      </c>
      <c r="H50" s="940">
        <v>18</v>
      </c>
      <c r="I50" s="3181"/>
      <c r="J50" s="3181"/>
      <c r="K50" s="92"/>
      <c r="L50" s="943">
        <v>12</v>
      </c>
      <c r="M50" s="943">
        <v>16</v>
      </c>
      <c r="N50" s="941">
        <v>17</v>
      </c>
      <c r="O50"/>
    </row>
    <row r="51" spans="1:19" ht="18" customHeight="1">
      <c r="A51" s="933"/>
      <c r="B51" s="1784"/>
      <c r="C51" s="97" t="s">
        <v>199</v>
      </c>
      <c r="D51" s="132">
        <f>D49*D50/6.25</f>
        <v>64.8</v>
      </c>
      <c r="E51" s="132">
        <f t="shared" ref="E51:H51" si="26">E49*E50/6.25</f>
        <v>124.8</v>
      </c>
      <c r="F51" s="132">
        <f t="shared" si="26"/>
        <v>185.6</v>
      </c>
      <c r="G51" s="132">
        <f t="shared" si="26"/>
        <v>224.4</v>
      </c>
      <c r="H51" s="132">
        <f t="shared" si="26"/>
        <v>259.2</v>
      </c>
      <c r="I51" s="3182"/>
      <c r="J51" s="3182"/>
      <c r="K51" s="954"/>
      <c r="L51" s="132">
        <f t="shared" ref="L51:N51" si="27">L49*L50/6.25</f>
        <v>105.6</v>
      </c>
      <c r="M51" s="132">
        <f t="shared" si="27"/>
        <v>192</v>
      </c>
      <c r="N51" s="976">
        <f t="shared" si="27"/>
        <v>231.2</v>
      </c>
      <c r="O51"/>
    </row>
    <row r="52" spans="1:19" ht="18" customHeight="1">
      <c r="B52"/>
      <c r="C52" s="3064" t="s">
        <v>200</v>
      </c>
      <c r="D52" s="3064"/>
      <c r="E52" s="3064"/>
      <c r="F52" s="3064"/>
      <c r="G52" s="3064"/>
      <c r="H52" s="3064"/>
      <c r="I52" s="3064"/>
    </row>
    <row r="53" spans="1:19" ht="18" customHeight="1">
      <c r="B53"/>
      <c r="C53" s="3064"/>
      <c r="D53" s="3064"/>
      <c r="E53" s="3064"/>
      <c r="F53" s="3064"/>
      <c r="G53" s="3064"/>
      <c r="H53" s="3064"/>
      <c r="I53" s="3064"/>
    </row>
    <row r="54" spans="1:19" ht="18" customHeight="1">
      <c r="B54"/>
      <c r="C54" s="3064"/>
      <c r="D54" s="3064"/>
      <c r="E54" s="3064"/>
      <c r="F54" s="3064"/>
      <c r="G54" s="3064"/>
      <c r="H54" s="3064"/>
      <c r="I54" s="3064"/>
      <c r="Q54" s="782"/>
      <c r="R54" s="946"/>
    </row>
    <row r="55" spans="1:19" ht="18" customHeight="1">
      <c r="Q55" s="782"/>
      <c r="R55" s="946"/>
    </row>
    <row r="56" spans="1:19" ht="15" customHeight="1"/>
    <row r="57" spans="1:19">
      <c r="N57" s="174"/>
    </row>
    <row r="58" spans="1:19">
      <c r="N58" s="174"/>
    </row>
    <row r="59" spans="1:19">
      <c r="N59" s="174"/>
    </row>
    <row r="60" spans="1:19" ht="37.5" customHeight="1">
      <c r="N60" s="174"/>
    </row>
    <row r="61" spans="1:19">
      <c r="N61" s="174"/>
    </row>
    <row r="62" spans="1:19">
      <c r="N62" s="174"/>
    </row>
    <row r="63" spans="1:19">
      <c r="N63" s="174"/>
      <c r="S63" s="930"/>
    </row>
    <row r="64" spans="1:19">
      <c r="N64" s="174"/>
    </row>
    <row r="65" spans="15:22">
      <c r="T65" s="930"/>
      <c r="U65" s="930"/>
    </row>
    <row r="66" spans="15:22" ht="15.75" customHeight="1">
      <c r="T66" s="930"/>
      <c r="U66" s="930"/>
      <c r="V66" s="934"/>
    </row>
    <row r="67" spans="15:22">
      <c r="T67" s="930"/>
      <c r="U67" s="930"/>
      <c r="V67" s="934"/>
    </row>
    <row r="68" spans="15:22">
      <c r="T68" s="930"/>
      <c r="U68" s="930"/>
      <c r="V68" s="934"/>
    </row>
    <row r="69" spans="15:22">
      <c r="T69" s="930"/>
      <c r="U69" s="930"/>
      <c r="V69" s="934"/>
    </row>
    <row r="70" spans="15:22">
      <c r="T70" s="930"/>
      <c r="U70" s="930"/>
      <c r="V70" s="934"/>
    </row>
    <row r="71" spans="15:22" ht="19.5" customHeight="1">
      <c r="T71" s="930"/>
      <c r="U71" s="930"/>
      <c r="V71" s="934"/>
    </row>
    <row r="72" spans="15:22">
      <c r="T72" s="930"/>
      <c r="U72" s="930"/>
      <c r="V72" s="934"/>
    </row>
    <row r="73" spans="15:22">
      <c r="V73" s="934"/>
    </row>
    <row r="74" spans="15:22">
      <c r="V74" s="934"/>
    </row>
    <row r="75" spans="15:22">
      <c r="V75" s="934"/>
    </row>
    <row r="76" spans="15:22">
      <c r="V76" s="934"/>
    </row>
    <row r="77" spans="15:22">
      <c r="V77" s="934"/>
    </row>
    <row r="78" spans="15:22">
      <c r="O78"/>
      <c r="V78" s="934"/>
    </row>
    <row r="79" spans="15:22">
      <c r="O79"/>
      <c r="R79" s="969"/>
      <c r="S79"/>
      <c r="V79" s="934"/>
    </row>
    <row r="80" spans="15:22">
      <c r="O80"/>
      <c r="R80" s="969"/>
      <c r="S80"/>
      <c r="V80" s="934"/>
    </row>
    <row r="81" spans="15:19">
      <c r="O81"/>
      <c r="R81" s="969"/>
      <c r="S81"/>
    </row>
    <row r="82" spans="15:19">
      <c r="O82"/>
      <c r="R82" s="969"/>
      <c r="S82"/>
    </row>
    <row r="83" spans="15:19">
      <c r="O83"/>
      <c r="P83"/>
      <c r="R83" s="969"/>
      <c r="S83"/>
    </row>
    <row r="84" spans="15:19">
      <c r="O84"/>
      <c r="P84"/>
      <c r="R84" s="969"/>
      <c r="S84"/>
    </row>
    <row r="85" spans="15:19">
      <c r="O85"/>
      <c r="P85"/>
      <c r="R85" s="969"/>
      <c r="S85"/>
    </row>
    <row r="86" spans="15:19">
      <c r="O86"/>
      <c r="P86"/>
      <c r="R86" s="969"/>
      <c r="S86"/>
    </row>
    <row r="87" spans="15:19">
      <c r="O87"/>
      <c r="P87"/>
      <c r="R87" s="969"/>
      <c r="S87"/>
    </row>
    <row r="88" spans="15:19">
      <c r="O88"/>
      <c r="P88"/>
      <c r="R88" s="969"/>
      <c r="S88"/>
    </row>
    <row r="89" spans="15:19">
      <c r="O89"/>
      <c r="P89"/>
      <c r="R89" s="969"/>
      <c r="S89"/>
    </row>
    <row r="90" spans="15:19">
      <c r="O90"/>
      <c r="P90"/>
      <c r="R90" s="969"/>
      <c r="S90"/>
    </row>
    <row r="91" spans="15:19">
      <c r="O91"/>
      <c r="P91"/>
      <c r="R91" s="969"/>
      <c r="S91"/>
    </row>
    <row r="92" spans="15:19">
      <c r="O92"/>
      <c r="P92"/>
      <c r="R92" s="969"/>
      <c r="S92"/>
    </row>
    <row r="93" spans="15:19">
      <c r="O93"/>
      <c r="P93"/>
      <c r="R93" s="969"/>
      <c r="S93"/>
    </row>
    <row r="94" spans="15:19">
      <c r="P94"/>
      <c r="R94" s="969"/>
      <c r="S94"/>
    </row>
    <row r="95" spans="15:19">
      <c r="P95"/>
    </row>
    <row r="96" spans="15:19">
      <c r="P96"/>
    </row>
    <row r="97" spans="1:22">
      <c r="P97"/>
    </row>
    <row r="98" spans="1:22">
      <c r="P98"/>
    </row>
    <row r="99" spans="1:22" s="930" customFormat="1">
      <c r="A99" s="35"/>
      <c r="B99" s="175"/>
      <c r="C99" s="175"/>
      <c r="D99" s="934"/>
      <c r="E99" s="111"/>
      <c r="G99" s="127"/>
      <c r="I99" s="127"/>
      <c r="J99" s="934"/>
      <c r="K99" s="111"/>
      <c r="M99" s="127"/>
      <c r="Q99"/>
      <c r="R99"/>
      <c r="S99" s="969"/>
      <c r="T99"/>
      <c r="U99"/>
      <c r="V99"/>
    </row>
  </sheetData>
  <sheetProtection formatCells="0" formatColumns="0" formatRows="0" selectLockedCells="1"/>
  <mergeCells count="172">
    <mergeCell ref="C38:D38"/>
    <mergeCell ref="E38:F38"/>
    <mergeCell ref="G38:H38"/>
    <mergeCell ref="I38:J38"/>
    <mergeCell ref="K38:L38"/>
    <mergeCell ref="M38:N38"/>
    <mergeCell ref="B39:O39"/>
    <mergeCell ref="Q17:Q28"/>
    <mergeCell ref="C15:D15"/>
    <mergeCell ref="E15:F15"/>
    <mergeCell ref="G15:H15"/>
    <mergeCell ref="I15:J15"/>
    <mergeCell ref="K15:L15"/>
    <mergeCell ref="M15:N15"/>
    <mergeCell ref="C16:D16"/>
    <mergeCell ref="E16:F16"/>
    <mergeCell ref="G16:H16"/>
    <mergeCell ref="I16:J16"/>
    <mergeCell ref="K16:L16"/>
    <mergeCell ref="M16:N16"/>
    <mergeCell ref="C20:D20"/>
    <mergeCell ref="E20:F20"/>
    <mergeCell ref="G20:H20"/>
    <mergeCell ref="I20:J20"/>
    <mergeCell ref="B5:N5"/>
    <mergeCell ref="C7:N7"/>
    <mergeCell ref="C13:D13"/>
    <mergeCell ref="E13:F13"/>
    <mergeCell ref="G13:H13"/>
    <mergeCell ref="I13:J13"/>
    <mergeCell ref="K13:L13"/>
    <mergeCell ref="M13:N13"/>
    <mergeCell ref="C14:D14"/>
    <mergeCell ref="E14:F14"/>
    <mergeCell ref="G14:H14"/>
    <mergeCell ref="I14:J14"/>
    <mergeCell ref="K14:L14"/>
    <mergeCell ref="M14:N14"/>
    <mergeCell ref="K11:L11"/>
    <mergeCell ref="M11:N11"/>
    <mergeCell ref="C9:D9"/>
    <mergeCell ref="C8:D8"/>
    <mergeCell ref="E8:F8"/>
    <mergeCell ref="G8:H8"/>
    <mergeCell ref="I8:J8"/>
    <mergeCell ref="M8:N8"/>
    <mergeCell ref="B8:B12"/>
    <mergeCell ref="K24:L24"/>
    <mergeCell ref="M24:N24"/>
    <mergeCell ref="C22:N22"/>
    <mergeCell ref="C23:D23"/>
    <mergeCell ref="E23:F23"/>
    <mergeCell ref="G23:H23"/>
    <mergeCell ref="I23:J23"/>
    <mergeCell ref="K23:L23"/>
    <mergeCell ref="M23:N23"/>
    <mergeCell ref="I19:J19"/>
    <mergeCell ref="K19:L19"/>
    <mergeCell ref="M19:N19"/>
    <mergeCell ref="K20:L20"/>
    <mergeCell ref="M20:N20"/>
    <mergeCell ref="C19:D19"/>
    <mergeCell ref="E19:F19"/>
    <mergeCell ref="G19:H19"/>
    <mergeCell ref="C26:D26"/>
    <mergeCell ref="E26:F26"/>
    <mergeCell ref="G26:H26"/>
    <mergeCell ref="I26:J26"/>
    <mergeCell ref="K26:L26"/>
    <mergeCell ref="M26:N26"/>
    <mergeCell ref="C25:D25"/>
    <mergeCell ref="E25:F25"/>
    <mergeCell ref="G25:H25"/>
    <mergeCell ref="I25:J25"/>
    <mergeCell ref="K25:L25"/>
    <mergeCell ref="M25:N25"/>
    <mergeCell ref="C24:D24"/>
    <mergeCell ref="E24:F24"/>
    <mergeCell ref="G24:H24"/>
    <mergeCell ref="I24:J24"/>
    <mergeCell ref="C28:D28"/>
    <mergeCell ref="E28:F28"/>
    <mergeCell ref="G28:H28"/>
    <mergeCell ref="I28:J28"/>
    <mergeCell ref="K28:L28"/>
    <mergeCell ref="M28:N28"/>
    <mergeCell ref="C27:D27"/>
    <mergeCell ref="E27:F27"/>
    <mergeCell ref="G27:H27"/>
    <mergeCell ref="I27:J27"/>
    <mergeCell ref="K27:L27"/>
    <mergeCell ref="M27:N27"/>
    <mergeCell ref="C30:D30"/>
    <mergeCell ref="E30:F30"/>
    <mergeCell ref="G30:H30"/>
    <mergeCell ref="I30:J30"/>
    <mergeCell ref="K30:L30"/>
    <mergeCell ref="M30:N30"/>
    <mergeCell ref="C29:D29"/>
    <mergeCell ref="E29:F29"/>
    <mergeCell ref="G29:H29"/>
    <mergeCell ref="I29:J29"/>
    <mergeCell ref="K29:L29"/>
    <mergeCell ref="M29:N29"/>
    <mergeCell ref="C32:D32"/>
    <mergeCell ref="E32:F32"/>
    <mergeCell ref="G32:H32"/>
    <mergeCell ref="I32:J32"/>
    <mergeCell ref="K32:L32"/>
    <mergeCell ref="M32:N32"/>
    <mergeCell ref="C31:D31"/>
    <mergeCell ref="E31:F31"/>
    <mergeCell ref="G31:H31"/>
    <mergeCell ref="I31:J31"/>
    <mergeCell ref="K31:L31"/>
    <mergeCell ref="M31:N31"/>
    <mergeCell ref="J42:N44"/>
    <mergeCell ref="I47:J51"/>
    <mergeCell ref="C52:I54"/>
    <mergeCell ref="C33:D33"/>
    <mergeCell ref="E33:F33"/>
    <mergeCell ref="G33:H33"/>
    <mergeCell ref="I33:J33"/>
    <mergeCell ref="K33:L33"/>
    <mergeCell ref="M33:N33"/>
    <mergeCell ref="C34:D34"/>
    <mergeCell ref="E34:F34"/>
    <mergeCell ref="G34:H34"/>
    <mergeCell ref="I34:J34"/>
    <mergeCell ref="K34:L34"/>
    <mergeCell ref="M34:N34"/>
    <mergeCell ref="C35:D35"/>
    <mergeCell ref="E35:F35"/>
    <mergeCell ref="G35:H35"/>
    <mergeCell ref="I35:J35"/>
    <mergeCell ref="K35:L35"/>
    <mergeCell ref="M35:N35"/>
    <mergeCell ref="C36:D36"/>
    <mergeCell ref="C37:D37"/>
    <mergeCell ref="E36:F36"/>
    <mergeCell ref="O8:O12"/>
    <mergeCell ref="C12:D12"/>
    <mergeCell ref="E12:F12"/>
    <mergeCell ref="G12:H12"/>
    <mergeCell ref="I12:J12"/>
    <mergeCell ref="K12:L12"/>
    <mergeCell ref="M12:N12"/>
    <mergeCell ref="C10:D10"/>
    <mergeCell ref="E10:F10"/>
    <mergeCell ref="G10:H10"/>
    <mergeCell ref="I10:J10"/>
    <mergeCell ref="K10:L10"/>
    <mergeCell ref="M10:N10"/>
    <mergeCell ref="C11:D11"/>
    <mergeCell ref="E11:F11"/>
    <mergeCell ref="G11:H11"/>
    <mergeCell ref="I11:J11"/>
    <mergeCell ref="E9:F9"/>
    <mergeCell ref="G9:H9"/>
    <mergeCell ref="I9:J9"/>
    <mergeCell ref="K9:L9"/>
    <mergeCell ref="M9:N9"/>
    <mergeCell ref="K8:L8"/>
    <mergeCell ref="G36:H36"/>
    <mergeCell ref="I36:J36"/>
    <mergeCell ref="K36:L36"/>
    <mergeCell ref="M36:N36"/>
    <mergeCell ref="E37:F37"/>
    <mergeCell ref="G37:H37"/>
    <mergeCell ref="I37:J37"/>
    <mergeCell ref="K37:L37"/>
    <mergeCell ref="M37:N37"/>
  </mergeCells>
  <dataValidations count="4">
    <dataValidation type="list" allowBlank="1" sqref="M18 C18 E18 G18 I18 K18">
      <formula1>$R$24:$R$27</formula1>
    </dataValidation>
    <dataValidation type="list" allowBlank="1" sqref="M17 E17 G17 I17 K17 C17">
      <formula1>Vorfrucht</formula1>
    </dataValidation>
    <dataValidation type="list" allowBlank="1" showInputMessage="1" showErrorMessage="1" sqref="E35:N35">
      <formula1>$U$17:$U$32</formula1>
    </dataValidation>
    <dataValidation type="list" allowBlank="1" showInputMessage="1" showErrorMessage="1" sqref="C35:D35">
      <formula1>$U$17:$U$31</formula1>
    </dataValidation>
  </dataValidations>
  <pageMargins left="0.25" right="0.25" top="0.75" bottom="0.75" header="0.3" footer="0.3"/>
  <pageSetup paperSize="9" scale="54"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B372"/>
  <sheetViews>
    <sheetView topLeftCell="A4" zoomScale="80" zoomScaleNormal="80" zoomScaleSheetLayoutView="40" zoomScalePageLayoutView="60" workbookViewId="0">
      <selection activeCell="C9" sqref="C9"/>
    </sheetView>
  </sheetViews>
  <sheetFormatPr baseColWidth="10" defaultRowHeight="15"/>
  <cols>
    <col min="1" max="1" width="19.5703125" style="546" customWidth="1"/>
    <col min="2" max="2" width="12.5703125" style="357" customWidth="1"/>
    <col min="3" max="3" width="36.28515625" style="357" customWidth="1"/>
    <col min="4" max="4" width="10.42578125" style="546" customWidth="1"/>
    <col min="5" max="5" width="9" style="357" customWidth="1"/>
    <col min="6" max="6" width="9.7109375" style="357" customWidth="1"/>
    <col min="7" max="12" width="9.7109375" style="357" hidden="1" customWidth="1"/>
    <col min="13" max="13" width="8.7109375" style="357" customWidth="1"/>
    <col min="14" max="14" width="10.140625" style="357" customWidth="1"/>
    <col min="15" max="15" width="13.42578125" style="357" customWidth="1"/>
    <col min="16" max="16" width="17.42578125" style="357" customWidth="1"/>
    <col min="17" max="17" width="7.5703125" style="357" customWidth="1"/>
    <col min="18" max="18" width="16.140625" style="357" customWidth="1"/>
    <col min="19" max="19" width="10.85546875" style="546" customWidth="1"/>
    <col min="20" max="20" width="12.7109375" style="1395" customWidth="1"/>
    <col min="21" max="21" width="10.85546875" style="357" customWidth="1"/>
    <col min="22" max="22" width="11.7109375" style="357" customWidth="1"/>
    <col min="23" max="23" width="2.5703125" style="357" customWidth="1"/>
    <col min="24" max="24" width="15" style="357" customWidth="1"/>
    <col min="25" max="25" width="13.28515625" style="357" customWidth="1"/>
    <col min="26" max="26" width="9.5703125" style="357" customWidth="1"/>
    <col min="27" max="27" width="13.140625" style="357" customWidth="1"/>
    <col min="28" max="28" width="7.28515625" style="357" customWidth="1"/>
    <col min="29" max="31" width="7.140625" style="357" customWidth="1"/>
    <col min="32" max="32" width="1.28515625" style="357" customWidth="1"/>
    <col min="33" max="33" width="9.42578125" style="357" customWidth="1"/>
    <col min="34" max="34" width="13.140625" style="357" customWidth="1"/>
    <col min="35" max="38" width="7.28515625" style="357" customWidth="1"/>
    <col min="39" max="39" width="1.5703125" style="357" customWidth="1"/>
    <col min="40" max="40" width="9.5703125" style="357" customWidth="1"/>
    <col min="41" max="41" width="13.140625" style="357" customWidth="1"/>
    <col min="42" max="42" width="7.28515625" style="357" customWidth="1"/>
    <col min="43" max="45" width="7.140625" style="357" customWidth="1"/>
    <col min="46" max="46" width="1.85546875" style="357" customWidth="1"/>
    <col min="47" max="47" width="2.5703125" style="357" customWidth="1"/>
    <col min="48" max="48" width="8" style="357" customWidth="1"/>
    <col min="49" max="49" width="8.85546875" style="357" customWidth="1"/>
    <col min="50" max="50" width="8.7109375" style="357" customWidth="1"/>
    <col min="51" max="51" width="9.140625" style="357" customWidth="1"/>
    <col min="52" max="52" width="8.7109375" style="357" customWidth="1"/>
    <col min="53" max="53" width="2.140625" style="357" customWidth="1"/>
    <col min="54" max="54" width="8.42578125" style="357" customWidth="1"/>
    <col min="55" max="55" width="8.28515625" style="357" customWidth="1"/>
    <col min="56" max="56" width="8.140625" style="357" customWidth="1"/>
    <col min="57" max="57" width="8.85546875" style="357" customWidth="1"/>
    <col min="58" max="58" width="8" style="357" customWidth="1"/>
    <col min="59" max="59" width="5.7109375" style="357" customWidth="1"/>
    <col min="60" max="60" width="50.7109375" style="357" customWidth="1"/>
    <col min="61" max="61" width="10" style="357" customWidth="1"/>
    <col min="62" max="62" width="11.7109375" style="357" customWidth="1"/>
    <col min="63" max="63" width="12" style="357" customWidth="1"/>
    <col min="64" max="64" width="14.85546875" style="357" customWidth="1"/>
    <col min="65" max="16384" width="11.42578125" style="357"/>
  </cols>
  <sheetData>
    <row r="1" spans="1:80" ht="15.75" customHeight="1">
      <c r="A1" s="532"/>
      <c r="B1" s="1341"/>
      <c r="C1" s="534" t="str">
        <f>'DüV-N-Ackerbau'!C1</f>
        <v>Karl vom Land</v>
      </c>
      <c r="D1" s="534"/>
      <c r="E1" s="534" t="str">
        <f>'DüV-N-Ackerbau'!F1</f>
        <v>Erntejahr</v>
      </c>
      <c r="F1" s="1342"/>
      <c r="G1" s="1342"/>
      <c r="H1" s="1342"/>
      <c r="I1" s="1342"/>
      <c r="J1" s="1342"/>
      <c r="K1" s="1342"/>
      <c r="L1" s="1342"/>
      <c r="M1" s="607"/>
      <c r="N1" s="2584" t="s">
        <v>34</v>
      </c>
      <c r="O1" s="2585"/>
      <c r="P1" s="607"/>
      <c r="Q1" s="607"/>
      <c r="R1" s="607"/>
      <c r="S1" s="607"/>
      <c r="T1" s="1343"/>
      <c r="U1" s="607"/>
      <c r="V1" s="1450"/>
      <c r="W1" s="1448"/>
      <c r="X1" s="1327"/>
      <c r="Y1" s="1327"/>
      <c r="Z1" s="1327"/>
      <c r="AA1" s="1327"/>
      <c r="AB1" s="1327"/>
      <c r="AC1" s="1327"/>
      <c r="AD1" s="1327"/>
      <c r="AE1" s="1327"/>
      <c r="AF1" s="1327"/>
      <c r="AG1" s="1327"/>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c r="BG1" s="1327"/>
    </row>
    <row r="2" spans="1:80" ht="20.25" customHeight="1">
      <c r="A2" s="535"/>
      <c r="B2" s="1344"/>
      <c r="C2" s="412" t="str">
        <f>'DüV-N-Ackerbau'!C2</f>
        <v>Höfen 1</v>
      </c>
      <c r="D2" s="1344"/>
      <c r="E2" s="412">
        <f>'DüV-N-Ackerbau'!G1</f>
        <v>2022</v>
      </c>
      <c r="F2" s="1344"/>
      <c r="G2" s="1344"/>
      <c r="H2" s="1344"/>
      <c r="I2" s="1344"/>
      <c r="J2" s="1344"/>
      <c r="K2" s="1344"/>
      <c r="L2" s="1344"/>
      <c r="M2" s="1345"/>
      <c r="N2" s="2586" t="s">
        <v>36</v>
      </c>
      <c r="O2" s="2587"/>
      <c r="P2" s="1327"/>
      <c r="Q2" s="2226"/>
      <c r="R2" s="2281"/>
      <c r="S2" s="2281"/>
      <c r="T2" s="2281"/>
      <c r="U2" s="1327"/>
      <c r="V2" s="1448"/>
      <c r="W2" s="1448"/>
      <c r="X2" s="1327"/>
      <c r="Y2" s="1327"/>
      <c r="Z2" s="1327"/>
      <c r="AA2" s="1327"/>
      <c r="AB2" s="1327"/>
      <c r="AC2" s="1327"/>
      <c r="AD2" s="1327"/>
      <c r="AE2" s="1327"/>
      <c r="AF2" s="1327"/>
      <c r="AG2" s="1327"/>
      <c r="AH2" s="1327"/>
      <c r="AI2" s="1327"/>
      <c r="AJ2" s="1327"/>
      <c r="AK2" s="1327"/>
      <c r="AL2" s="1327"/>
      <c r="AM2" s="1327"/>
      <c r="AN2" s="1327"/>
      <c r="AO2" s="1327"/>
      <c r="AP2" s="1327"/>
      <c r="AQ2" s="1327"/>
      <c r="AR2" s="1327"/>
      <c r="AS2" s="1327"/>
      <c r="AT2" s="1327"/>
      <c r="AU2" s="1327"/>
      <c r="AV2" s="2588" t="s">
        <v>1154</v>
      </c>
      <c r="AW2" s="2588"/>
      <c r="AX2" s="2588"/>
      <c r="AY2" s="2588"/>
      <c r="AZ2" s="2588"/>
      <c r="BA2" s="2588"/>
      <c r="BB2" s="2588"/>
      <c r="BC2" s="2588"/>
      <c r="BD2" s="2588"/>
      <c r="BE2" s="2588"/>
      <c r="BF2" s="2588"/>
      <c r="BG2" s="1327"/>
    </row>
    <row r="3" spans="1:80" ht="17.25" customHeight="1" thickBot="1">
      <c r="A3" s="1347"/>
      <c r="B3" s="1348"/>
      <c r="C3" s="1178" t="str">
        <f>'DüV-N-Ackerbau'!C3</f>
        <v>12345 Auf dem Feld</v>
      </c>
      <c r="D3" s="1348"/>
      <c r="E3" s="1348"/>
      <c r="F3" s="1348"/>
      <c r="G3" s="1348"/>
      <c r="H3" s="1348"/>
      <c r="I3" s="1348"/>
      <c r="J3" s="1348"/>
      <c r="K3" s="1348"/>
      <c r="L3" s="1348"/>
      <c r="M3" s="594"/>
      <c r="N3" s="594"/>
      <c r="O3" s="594"/>
      <c r="P3" s="594"/>
      <c r="Q3" s="594"/>
      <c r="R3" s="2282"/>
      <c r="S3" s="2282"/>
      <c r="T3" s="2282"/>
      <c r="U3" s="1349"/>
      <c r="V3" s="1349"/>
      <c r="W3" s="1449"/>
      <c r="X3" s="816"/>
      <c r="Y3" s="816"/>
      <c r="Z3" s="816"/>
      <c r="AA3" s="816"/>
      <c r="AB3" s="816"/>
      <c r="AC3" s="816"/>
      <c r="AD3" s="816"/>
      <c r="AE3" s="816"/>
      <c r="AF3" s="816"/>
      <c r="AG3" s="816"/>
      <c r="AH3" s="816"/>
      <c r="AI3" s="816"/>
      <c r="AJ3" s="816"/>
      <c r="AK3" s="816"/>
      <c r="AL3" s="1327"/>
      <c r="AM3" s="1327"/>
      <c r="AN3" s="1327"/>
      <c r="AO3" s="1327"/>
      <c r="AP3" s="1327"/>
      <c r="AQ3" s="1327"/>
      <c r="AR3" s="1327"/>
      <c r="AS3" s="1327"/>
      <c r="AT3" s="1327"/>
      <c r="AU3" s="1327"/>
      <c r="AV3" s="2588"/>
      <c r="AW3" s="2588"/>
      <c r="AX3" s="2588"/>
      <c r="AY3" s="2588"/>
      <c r="AZ3" s="2588"/>
      <c r="BA3" s="2588"/>
      <c r="BB3" s="2588"/>
      <c r="BC3" s="2588"/>
      <c r="BD3" s="2588"/>
      <c r="BE3" s="2588"/>
      <c r="BF3" s="2588"/>
      <c r="BG3" s="1327"/>
    </row>
    <row r="4" spans="1:80" ht="34.5" customHeight="1" thickBot="1">
      <c r="A4" s="2589" t="s">
        <v>1713</v>
      </c>
      <c r="B4" s="2590"/>
      <c r="C4" s="2590"/>
      <c r="D4" s="2590"/>
      <c r="E4" s="2590"/>
      <c r="F4" s="2590"/>
      <c r="G4" s="2590"/>
      <c r="H4" s="2590"/>
      <c r="I4" s="2590"/>
      <c r="J4" s="2590"/>
      <c r="K4" s="2590"/>
      <c r="L4" s="2590"/>
      <c r="M4" s="2590"/>
      <c r="N4" s="2590"/>
      <c r="O4" s="2590"/>
      <c r="P4" s="2590"/>
      <c r="Q4" s="2590"/>
      <c r="R4" s="2590"/>
      <c r="S4" s="2590"/>
      <c r="T4" s="2590"/>
      <c r="U4" s="2591"/>
      <c r="V4" s="2592"/>
      <c r="W4" s="1327"/>
      <c r="X4" s="2604" t="s">
        <v>1167</v>
      </c>
      <c r="Y4" s="2588"/>
      <c r="Z4" s="2588"/>
      <c r="AA4" s="2588"/>
      <c r="AB4" s="2588"/>
      <c r="AC4" s="2588"/>
      <c r="AD4" s="2588"/>
      <c r="AE4" s="2588"/>
      <c r="AF4" s="2588"/>
      <c r="AG4" s="2588"/>
      <c r="AH4" s="2588"/>
      <c r="AI4" s="2588"/>
      <c r="AJ4" s="2588"/>
      <c r="AK4" s="2588"/>
      <c r="AL4" s="2588"/>
      <c r="AM4" s="2588"/>
      <c r="AN4" s="2588"/>
      <c r="AO4" s="2588"/>
      <c r="AP4" s="2588"/>
      <c r="AQ4" s="2588"/>
      <c r="AR4" s="2588"/>
      <c r="AS4" s="2588"/>
      <c r="AT4" s="1350"/>
      <c r="AU4" s="1327"/>
      <c r="AV4" s="2588"/>
      <c r="AW4" s="2588"/>
      <c r="AX4" s="2588"/>
      <c r="AY4" s="2588"/>
      <c r="AZ4" s="2588"/>
      <c r="BA4" s="2588"/>
      <c r="BB4" s="2588"/>
      <c r="BC4" s="2588"/>
      <c r="BD4" s="2588"/>
      <c r="BE4" s="2588"/>
      <c r="BF4" s="2588"/>
      <c r="BG4" s="1327"/>
      <c r="BI4" s="2577" t="s">
        <v>33</v>
      </c>
      <c r="BJ4" s="2652" t="s">
        <v>1275</v>
      </c>
      <c r="BK4" s="2578" t="s">
        <v>1322</v>
      </c>
      <c r="BL4" s="2578" t="s">
        <v>1323</v>
      </c>
      <c r="BM4" s="2578" t="s">
        <v>1324</v>
      </c>
      <c r="BN4" s="2579" t="s">
        <v>1325</v>
      </c>
      <c r="BO4" s="2579" t="s">
        <v>1333</v>
      </c>
      <c r="BP4" s="2580" t="s">
        <v>323</v>
      </c>
      <c r="BQ4" s="2644" t="s">
        <v>1276</v>
      </c>
      <c r="BR4" s="2645" t="s">
        <v>11</v>
      </c>
      <c r="BT4" s="2577"/>
      <c r="BU4" s="2577"/>
      <c r="BV4" s="2578"/>
      <c r="BW4" s="2578"/>
      <c r="BX4" s="2578"/>
      <c r="BY4" s="2579"/>
      <c r="BZ4" s="2579"/>
      <c r="CA4" s="2580"/>
      <c r="CB4" s="2582"/>
    </row>
    <row r="5" spans="1:80" ht="35.25" customHeight="1" thickBot="1">
      <c r="A5" s="2593" t="s">
        <v>1170</v>
      </c>
      <c r="B5" s="2594"/>
      <c r="C5" s="2594"/>
      <c r="D5" s="2594"/>
      <c r="E5" s="2594"/>
      <c r="F5" s="2594"/>
      <c r="G5" s="2594"/>
      <c r="H5" s="2594"/>
      <c r="I5" s="2594"/>
      <c r="J5" s="2594"/>
      <c r="K5" s="2594"/>
      <c r="L5" s="2594"/>
      <c r="M5" s="2594"/>
      <c r="N5" s="2594"/>
      <c r="O5" s="2594"/>
      <c r="P5" s="2594"/>
      <c r="Q5" s="2594"/>
      <c r="R5" s="2594"/>
      <c r="S5" s="2594"/>
      <c r="T5" s="2594"/>
      <c r="U5" s="2594"/>
      <c r="V5" s="2595"/>
      <c r="W5" s="1116"/>
      <c r="X5" s="2605" t="s">
        <v>1168</v>
      </c>
      <c r="Y5" s="2588"/>
      <c r="Z5" s="2588"/>
      <c r="AA5" s="2588"/>
      <c r="AB5" s="2588"/>
      <c r="AC5" s="2588"/>
      <c r="AD5" s="2588"/>
      <c r="AE5" s="2588"/>
      <c r="AF5" s="2588"/>
      <c r="AG5" s="2588"/>
      <c r="AH5" s="2588"/>
      <c r="AI5" s="2588"/>
      <c r="AJ5" s="2588"/>
      <c r="AK5" s="2588"/>
      <c r="AL5" s="2588"/>
      <c r="AM5" s="2588"/>
      <c r="AN5" s="2588"/>
      <c r="AO5" s="2588"/>
      <c r="AP5" s="2588"/>
      <c r="AQ5" s="2588"/>
      <c r="AR5" s="2588"/>
      <c r="AS5" s="2588"/>
      <c r="AT5" s="1351"/>
      <c r="AU5" s="1352"/>
      <c r="AV5" s="2596" t="s">
        <v>1065</v>
      </c>
      <c r="AW5" s="2597"/>
      <c r="AX5" s="2597"/>
      <c r="AY5" s="2597"/>
      <c r="AZ5" s="2597"/>
      <c r="BA5" s="1352"/>
      <c r="BB5" s="2598" t="s">
        <v>1076</v>
      </c>
      <c r="BC5" s="2599"/>
      <c r="BD5" s="2599"/>
      <c r="BE5" s="2599"/>
      <c r="BF5" s="2600"/>
      <c r="BG5" s="1350"/>
      <c r="BH5" s="1353"/>
      <c r="BI5" s="2577"/>
      <c r="BJ5" s="2652"/>
      <c r="BK5" s="2578"/>
      <c r="BL5" s="2578"/>
      <c r="BM5" s="2578"/>
      <c r="BN5" s="2579"/>
      <c r="BO5" s="2579"/>
      <c r="BP5" s="2580"/>
      <c r="BQ5" s="2644"/>
      <c r="BR5" s="2645"/>
      <c r="BT5" s="2577"/>
      <c r="BU5" s="2577"/>
      <c r="BV5" s="2578"/>
      <c r="BW5" s="2578"/>
      <c r="BX5" s="2578"/>
      <c r="BY5" s="2579"/>
      <c r="BZ5" s="2579"/>
      <c r="CA5" s="2580"/>
      <c r="CB5" s="2582"/>
    </row>
    <row r="6" spans="1:80" ht="43.5" customHeight="1">
      <c r="A6" s="2433" t="s">
        <v>1075</v>
      </c>
      <c r="B6" s="2608" t="s">
        <v>562</v>
      </c>
      <c r="C6" s="2610" t="s">
        <v>1206</v>
      </c>
      <c r="D6" s="2619" t="s">
        <v>295</v>
      </c>
      <c r="E6" s="2620"/>
      <c r="F6" s="2621"/>
      <c r="G6" s="2646" t="s">
        <v>1315</v>
      </c>
      <c r="H6" s="2648" t="s">
        <v>1316</v>
      </c>
      <c r="I6" s="2648" t="s">
        <v>1317</v>
      </c>
      <c r="J6" s="2648" t="s">
        <v>1318</v>
      </c>
      <c r="K6" s="2648" t="s">
        <v>1319</v>
      </c>
      <c r="L6" s="2642" t="s">
        <v>1320</v>
      </c>
      <c r="M6" s="2619" t="s">
        <v>296</v>
      </c>
      <c r="N6" s="2620"/>
      <c r="O6" s="2621"/>
      <c r="P6" s="2551" t="s">
        <v>1708</v>
      </c>
      <c r="Q6" s="2622" t="s">
        <v>163</v>
      </c>
      <c r="R6" s="2606" t="s">
        <v>1178</v>
      </c>
      <c r="S6" s="2640" t="s">
        <v>1013</v>
      </c>
      <c r="T6" s="2641"/>
      <c r="U6" s="2650" t="s">
        <v>1133</v>
      </c>
      <c r="V6" s="2651"/>
      <c r="W6" s="1355"/>
      <c r="X6" s="2501" t="s">
        <v>1134</v>
      </c>
      <c r="Y6" s="2515" t="s">
        <v>623</v>
      </c>
      <c r="Z6" s="2612" t="s">
        <v>1425</v>
      </c>
      <c r="AA6" s="2504"/>
      <c r="AB6" s="2504"/>
      <c r="AC6" s="2504"/>
      <c r="AD6" s="2504"/>
      <c r="AE6" s="2504"/>
      <c r="AF6" s="525"/>
      <c r="AG6" s="2612" t="s">
        <v>1426</v>
      </c>
      <c r="AH6" s="2504"/>
      <c r="AI6" s="2504"/>
      <c r="AJ6" s="2504"/>
      <c r="AK6" s="2504"/>
      <c r="AL6" s="2504"/>
      <c r="AM6" s="2099"/>
      <c r="AN6" s="2612" t="s">
        <v>1427</v>
      </c>
      <c r="AO6" s="2504"/>
      <c r="AP6" s="2504"/>
      <c r="AQ6" s="2504"/>
      <c r="AR6" s="2504"/>
      <c r="AS6" s="2504"/>
      <c r="AT6" s="1116"/>
      <c r="AU6" s="1116"/>
      <c r="AV6" s="2588"/>
      <c r="AW6" s="2588"/>
      <c r="AX6" s="2588"/>
      <c r="AY6" s="2588"/>
      <c r="AZ6" s="2588"/>
      <c r="BA6" s="1116"/>
      <c r="BB6" s="2601"/>
      <c r="BC6" s="2602"/>
      <c r="BD6" s="2602"/>
      <c r="BE6" s="2602"/>
      <c r="BF6" s="2603"/>
      <c r="BG6" s="1350"/>
      <c r="BH6" s="1356" t="s">
        <v>1169</v>
      </c>
      <c r="BI6" s="2577"/>
      <c r="BJ6" s="2652"/>
      <c r="BK6" s="2578"/>
      <c r="BL6" s="2578"/>
      <c r="BM6" s="2578"/>
      <c r="BN6" s="2579"/>
      <c r="BO6" s="2579"/>
      <c r="BP6" s="2580"/>
      <c r="BQ6" s="2644"/>
      <c r="BR6" s="2645"/>
      <c r="BT6" s="2577"/>
      <c r="BU6" s="2577"/>
      <c r="BV6" s="2578"/>
      <c r="BW6" s="2578"/>
      <c r="BX6" s="2578"/>
      <c r="BY6" s="2579"/>
      <c r="BZ6" s="2579"/>
      <c r="CA6" s="2581"/>
      <c r="CB6" s="2583"/>
    </row>
    <row r="7" spans="1:80" s="543" customFormat="1" ht="49.5" customHeight="1" thickBot="1">
      <c r="A7" s="2434"/>
      <c r="B7" s="2609"/>
      <c r="C7" s="2611"/>
      <c r="D7" s="1522" t="s">
        <v>33</v>
      </c>
      <c r="E7" s="1523" t="s">
        <v>11</v>
      </c>
      <c r="F7" s="1521" t="s">
        <v>297</v>
      </c>
      <c r="G7" s="2647"/>
      <c r="H7" s="2649"/>
      <c r="I7" s="2649"/>
      <c r="J7" s="2649"/>
      <c r="K7" s="2649"/>
      <c r="L7" s="2643"/>
      <c r="M7" s="2351" t="s">
        <v>33</v>
      </c>
      <c r="N7" s="1360" t="s">
        <v>301</v>
      </c>
      <c r="O7" s="1361" t="s">
        <v>299</v>
      </c>
      <c r="P7" s="2552"/>
      <c r="Q7" s="2623"/>
      <c r="R7" s="2607"/>
      <c r="S7" s="1520" t="s">
        <v>322</v>
      </c>
      <c r="T7" s="2209" t="s">
        <v>604</v>
      </c>
      <c r="U7" s="2208" t="s">
        <v>599</v>
      </c>
      <c r="V7" s="2209" t="s">
        <v>604</v>
      </c>
      <c r="W7" s="1362"/>
      <c r="X7" s="2502"/>
      <c r="Y7" s="2490"/>
      <c r="Z7" s="2092" t="s">
        <v>839</v>
      </c>
      <c r="AA7" s="2090" t="s">
        <v>819</v>
      </c>
      <c r="AB7" s="2095" t="s">
        <v>33</v>
      </c>
      <c r="AC7" s="2091" t="s">
        <v>1062</v>
      </c>
      <c r="AD7" s="2095" t="s">
        <v>1063</v>
      </c>
      <c r="AE7" s="2091" t="s">
        <v>1064</v>
      </c>
      <c r="AF7" s="1421"/>
      <c r="AG7" s="2092" t="s">
        <v>839</v>
      </c>
      <c r="AH7" s="2090" t="s">
        <v>819</v>
      </c>
      <c r="AI7" s="2095" t="s">
        <v>33</v>
      </c>
      <c r="AJ7" s="2091" t="s">
        <v>1062</v>
      </c>
      <c r="AK7" s="2095" t="s">
        <v>1063</v>
      </c>
      <c r="AL7" s="2091" t="s">
        <v>1064</v>
      </c>
      <c r="AM7" s="279"/>
      <c r="AN7" s="2092" t="s">
        <v>839</v>
      </c>
      <c r="AO7" s="2090" t="s">
        <v>819</v>
      </c>
      <c r="AP7" s="2095" t="s">
        <v>33</v>
      </c>
      <c r="AQ7" s="2091" t="s">
        <v>1062</v>
      </c>
      <c r="AR7" s="2095" t="s">
        <v>1063</v>
      </c>
      <c r="AS7" s="2091" t="s">
        <v>1064</v>
      </c>
      <c r="AT7" s="1355"/>
      <c r="AU7" s="1355"/>
      <c r="AV7" s="1363" t="s">
        <v>1080</v>
      </c>
      <c r="AW7" s="427" t="s">
        <v>1066</v>
      </c>
      <c r="AX7" s="427" t="s">
        <v>1067</v>
      </c>
      <c r="AY7" s="1364" t="s">
        <v>1241</v>
      </c>
      <c r="AZ7" s="427" t="s">
        <v>284</v>
      </c>
      <c r="BA7" s="1355"/>
      <c r="BB7" s="1821" t="s">
        <v>1080</v>
      </c>
      <c r="BC7" s="1822" t="s">
        <v>1307</v>
      </c>
      <c r="BD7" s="1822" t="s">
        <v>1308</v>
      </c>
      <c r="BE7" s="1364" t="s">
        <v>1241</v>
      </c>
      <c r="BF7" s="427" t="s">
        <v>284</v>
      </c>
      <c r="BG7" s="1355"/>
      <c r="BH7" s="1365" t="s">
        <v>31</v>
      </c>
      <c r="BI7" s="1365">
        <v>0</v>
      </c>
      <c r="BJ7" s="1421">
        <v>0</v>
      </c>
      <c r="BM7" s="1359"/>
      <c r="BN7" s="1366"/>
      <c r="BO7" s="1354"/>
      <c r="BP7" s="1367"/>
      <c r="BQ7" s="1357">
        <v>0</v>
      </c>
      <c r="BR7" s="1365">
        <v>0</v>
      </c>
    </row>
    <row r="8" spans="1:80" ht="23.25" customHeight="1">
      <c r="A8" s="513" t="s">
        <v>1140</v>
      </c>
      <c r="B8" s="1698">
        <v>0</v>
      </c>
      <c r="C8" s="1526" t="s">
        <v>31</v>
      </c>
      <c r="D8" s="1368">
        <f t="shared" ref="D8:D52" si="0">VLOOKUP(C8,BH$7:BR$217,2,FALSE)</f>
        <v>0</v>
      </c>
      <c r="E8" s="2299">
        <f t="shared" ref="E8:E52" si="1">VLOOKUP(C8,BH$7:BR$217,11,FALSE)</f>
        <v>0</v>
      </c>
      <c r="F8" s="1369">
        <f t="shared" ref="F8:F52" si="2">IF(B8=0,0,IF(OR(C8="Zweitfrucht-Ackergras",C8="Zweitfrucht-Kleegras",C8="Zweitfrucht-Klee",C8="Zweitfrucht-Mais",C8="Zweitfrucht-Hirse",C8="Zweitfrucht-Grassamen (Einj. W-gras)"),D8*E8/6.25,VLOOKUP(C8,$BH$7:$BR$217,3,FALSE)))</f>
        <v>0</v>
      </c>
      <c r="G8" s="2345">
        <f>M8-D8</f>
        <v>0</v>
      </c>
      <c r="H8" s="2333">
        <f>IF(G8=0,0,G8*100/D8)</f>
        <v>0</v>
      </c>
      <c r="I8" s="2333">
        <f t="shared" ref="I8:I52" si="3">VLOOKUP(C8,BH$4:BR$217,4,FALSE)</f>
        <v>0</v>
      </c>
      <c r="J8" s="2333">
        <f t="shared" ref="J8:J52" si="4">VLOOKUP(C8,BH$4:BR$217,5,FALSE)</f>
        <v>0</v>
      </c>
      <c r="K8" s="2333">
        <f t="shared" ref="K8:K52" si="5">VLOOKUP(C8,BH$4:BR$217,6,FALSE)</f>
        <v>0</v>
      </c>
      <c r="L8" s="2333">
        <f>IF(I8=0,0,IF(H8&gt;0,ROUNDDOWN(H8/I8,0)*J8,IF(H8&lt;=0,ROUNDDOWN(H8/I8,0)*K8,IF(G8&gt;0,G8*J8/F8,K8*G8/0))))</f>
        <v>0</v>
      </c>
      <c r="M8" s="1701">
        <v>0</v>
      </c>
      <c r="N8" s="1499">
        <v>0</v>
      </c>
      <c r="O8" s="1370">
        <f>IF(OR(C8="Zweitfrucht-Ackergras",C8="Zweitfrucht-Kleegras",C8="Zweitfrucht-Klee",C8="Zweitfrucht-Mais",C8="Zweitfrucht-Hirse",C8="Zweitfrucht-Grassamen (Einj. W-gras)"),M8*N8/6.25,VLOOKUP(C8,$BH$7:$BR$217,3,FALSE))</f>
        <v>0</v>
      </c>
      <c r="P8" s="1309">
        <v>0</v>
      </c>
      <c r="Q8" s="2346">
        <f>P8*O8/100</f>
        <v>0</v>
      </c>
      <c r="R8" s="2206">
        <v>0</v>
      </c>
      <c r="S8" s="2230">
        <f>IF(O8+L8-Q8-R8&lt;0,0,O8+L8-Q8-R8)</f>
        <v>0</v>
      </c>
      <c r="T8" s="2212">
        <f t="shared" ref="T8:T52" si="6">IF(S8&lt;0,0,S8*B8)</f>
        <v>0</v>
      </c>
      <c r="U8" s="2215">
        <f t="shared" ref="U8:U52" si="7">M8*VLOOKUP(C8,BH$7:BR$217,10,FALSE)</f>
        <v>0</v>
      </c>
      <c r="V8" s="2212">
        <f t="shared" ref="V8:V52" si="8">B8*U8</f>
        <v>0</v>
      </c>
      <c r="W8" s="1346"/>
      <c r="X8" s="1281" t="str">
        <f t="shared" ref="X8:X52" si="9">A8</f>
        <v>Fläche eins</v>
      </c>
      <c r="Y8" s="2087" t="str">
        <f t="shared" ref="Y8:Y52" si="10">C8</f>
        <v>keine</v>
      </c>
      <c r="Z8" s="1329"/>
      <c r="AA8" s="1330" t="s">
        <v>795</v>
      </c>
      <c r="AB8" s="1424">
        <v>0</v>
      </c>
      <c r="AC8" s="1033">
        <f>VLOOKUP(AA8,Düngemittel!$B$6:$E$64,2,FALSE)*(VLOOKUP(AA8,Düngemittel!$B$6:$E$64,3,FALSE))/100*AB8</f>
        <v>0</v>
      </c>
      <c r="AD8" s="1033">
        <f>VLOOKUP(AA8,Düngemittel!$B$6:$E$64,2,FALSE)*AB8</f>
        <v>0</v>
      </c>
      <c r="AE8" s="1033">
        <f>VLOOKUP(AA8,Düngemittel!$B$6:$E$64,4,FALSE)*AB8</f>
        <v>0</v>
      </c>
      <c r="AF8" s="92"/>
      <c r="AG8" s="1329"/>
      <c r="AH8" s="1330" t="s">
        <v>795</v>
      </c>
      <c r="AI8" s="1424">
        <v>0</v>
      </c>
      <c r="AJ8" s="1033">
        <f>VLOOKUP(AH8,Düngemittel!$B$6:$E$64,2,FALSE)*(VLOOKUP(AH8,Düngemittel!$B$6:$E$64,3,FALSE))/100*AI8</f>
        <v>0</v>
      </c>
      <c r="AK8" s="1033">
        <f>VLOOKUP(AH8,Düngemittel!$B$6:$E$64,2,FALSE)*AI8</f>
        <v>0</v>
      </c>
      <c r="AL8" s="1033">
        <f>VLOOKUP(AH8,Düngemittel!$B$6:$E$64,4,FALSE)*AI8</f>
        <v>0</v>
      </c>
      <c r="AM8" s="92"/>
      <c r="AN8" s="1329"/>
      <c r="AO8" s="1330" t="s">
        <v>795</v>
      </c>
      <c r="AP8" s="1424">
        <v>0</v>
      </c>
      <c r="AQ8" s="1033">
        <f>VLOOKUP(AO8,Düngemittel!$B$6:$E$64,2,FALSE)*(VLOOKUP(AO8,Düngemittel!$B$6:$E$64,3,FALSE))/100*AP8</f>
        <v>0</v>
      </c>
      <c r="AR8" s="1033">
        <f>VLOOKUP(AO8,Düngemittel!$B$6:$E$64,2,FALSE)*AP8</f>
        <v>0</v>
      </c>
      <c r="AS8" s="1033">
        <f>VLOOKUP(AO8,Düngemittel!$B$6:$E$64,4,FALSE)*AP8</f>
        <v>0</v>
      </c>
      <c r="AT8" s="1371"/>
      <c r="AU8" s="1371"/>
      <c r="AV8" s="1372">
        <f>IF(AC8&lt;AD8,0,AC8)+IF(AJ8&lt;AK8,0,AJ8)+IF(AQ8&lt;AR8,0,AQ8)</f>
        <v>0</v>
      </c>
      <c r="AW8" s="1373">
        <f>SUM(AC8+AJ8+AQ8)</f>
        <v>0</v>
      </c>
      <c r="AX8" s="1374">
        <f>SUM(AD8+AK8+AR8)</f>
        <v>0</v>
      </c>
      <c r="AY8" s="1375">
        <f>IF(AC8&lt;AD8,AD8,0)+IF(AJ8&lt;AK8,AK8,0)+IF(AQ8&lt;AR8,AR8,0)</f>
        <v>0</v>
      </c>
      <c r="AZ8" s="1373">
        <f>SUM(AE8+AL8+AS8)</f>
        <v>0</v>
      </c>
      <c r="BA8" s="1376"/>
      <c r="BB8" s="1372">
        <f>AV8*$B8</f>
        <v>0</v>
      </c>
      <c r="BC8" s="1372">
        <f t="shared" ref="BC8:BF8" si="11">AW8*$B8</f>
        <v>0</v>
      </c>
      <c r="BD8" s="1372">
        <f t="shared" si="11"/>
        <v>0</v>
      </c>
      <c r="BE8" s="1816">
        <f t="shared" si="11"/>
        <v>0</v>
      </c>
      <c r="BF8" s="1372">
        <f t="shared" si="11"/>
        <v>0</v>
      </c>
      <c r="BG8" s="1377"/>
      <c r="BH8" s="1378" t="s">
        <v>1174</v>
      </c>
      <c r="BI8" s="1357">
        <v>40</v>
      </c>
      <c r="BJ8" s="1421">
        <v>0</v>
      </c>
      <c r="BN8" s="1357"/>
      <c r="BP8" s="1354"/>
      <c r="BQ8" s="1379">
        <v>0.8</v>
      </c>
      <c r="BR8" s="1357">
        <v>16.600000000000001</v>
      </c>
      <c r="BT8" s="1354"/>
      <c r="BU8" s="1359" t="s">
        <v>84</v>
      </c>
      <c r="BV8" s="1366"/>
    </row>
    <row r="9" spans="1:80" ht="23.25" customHeight="1">
      <c r="A9" s="468" t="s">
        <v>567</v>
      </c>
      <c r="B9" s="1699">
        <v>0</v>
      </c>
      <c r="C9" s="1527" t="s">
        <v>31</v>
      </c>
      <c r="D9" s="1380">
        <f t="shared" si="0"/>
        <v>0</v>
      </c>
      <c r="E9" s="2342">
        <f t="shared" si="1"/>
        <v>0</v>
      </c>
      <c r="F9" s="1381">
        <f t="shared" si="2"/>
        <v>0</v>
      </c>
      <c r="G9" s="2347">
        <f t="shared" ref="G9:G52" si="12">M9-D9</f>
        <v>0</v>
      </c>
      <c r="H9" s="1928">
        <f t="shared" ref="H9:H52" si="13">IF(G9=0,0,G9*100/D9)</f>
        <v>0</v>
      </c>
      <c r="I9" s="1928">
        <f t="shared" si="3"/>
        <v>0</v>
      </c>
      <c r="J9" s="1928">
        <f t="shared" si="4"/>
        <v>0</v>
      </c>
      <c r="K9" s="1928">
        <f t="shared" si="5"/>
        <v>0</v>
      </c>
      <c r="L9" s="1928">
        <f t="shared" ref="L9:L52" si="14">IF(I9=0,0,IF(H9&gt;0,ROUNDDOWN(H9/I9,0)*J9,IF(H9&lt;=0,ROUNDDOWN(H9/I9,0)*K9,IF(G9&gt;0,G9*J9/F9,K9*G9/0))))</f>
        <v>0</v>
      </c>
      <c r="M9" s="1702">
        <v>0</v>
      </c>
      <c r="N9" s="1424">
        <v>0</v>
      </c>
      <c r="O9" s="1370">
        <f t="shared" ref="O9:O52" si="15">IF(B9=0,0,IF(OR(C9="Zweitfrucht-Ackergras",C9="Zweitfrucht-Kleegras",C9="Zweitfrucht-Klee",C9="Zweitfrucht-Mais",C9="Zweitfrucht-Hirse",C9="Zweitfrucht-Grassamen (Einj. W-gras)"),D9*E9/6.25,VLOOKUP(C9,$BH$7:$BR$217,3,FALSE)))</f>
        <v>0</v>
      </c>
      <c r="P9" s="590">
        <v>0</v>
      </c>
      <c r="Q9" s="2300">
        <f t="shared" ref="Q9:Q52" si="16">P9*O9/100</f>
        <v>0</v>
      </c>
      <c r="R9" s="2207">
        <v>0</v>
      </c>
      <c r="S9" s="2231">
        <f t="shared" ref="S9:S52" si="17">IF(O9+L9-Q9-R9&lt;0,0,O9+L9-Q9-R9)</f>
        <v>0</v>
      </c>
      <c r="T9" s="2213">
        <f t="shared" si="6"/>
        <v>0</v>
      </c>
      <c r="U9" s="2216">
        <f t="shared" si="7"/>
        <v>0</v>
      </c>
      <c r="V9" s="2213">
        <f t="shared" si="8"/>
        <v>0</v>
      </c>
      <c r="W9" s="1346"/>
      <c r="X9" s="1281" t="str">
        <f t="shared" si="9"/>
        <v>Schlag 2</v>
      </c>
      <c r="Y9" s="2087" t="str">
        <f t="shared" si="10"/>
        <v>keine</v>
      </c>
      <c r="Z9" s="1329"/>
      <c r="AA9" s="1330" t="s">
        <v>795</v>
      </c>
      <c r="AB9" s="1424">
        <v>0</v>
      </c>
      <c r="AC9" s="1033">
        <f>VLOOKUP(AA9,Düngemittel!$B$6:$E$64,2,FALSE)*(VLOOKUP(AA9,Düngemittel!$B$6:$E$64,3,FALSE))/100*AB9</f>
        <v>0</v>
      </c>
      <c r="AD9" s="1033">
        <f>VLOOKUP(AA9,Düngemittel!$B$6:$E$64,2,FALSE)*AB9</f>
        <v>0</v>
      </c>
      <c r="AE9" s="1033">
        <f>VLOOKUP(AA9,Düngemittel!$B$6:$E$64,4,FALSE)*AB9</f>
        <v>0</v>
      </c>
      <c r="AF9" s="2089"/>
      <c r="AG9" s="1329"/>
      <c r="AH9" s="1330" t="s">
        <v>795</v>
      </c>
      <c r="AI9" s="1424">
        <v>0</v>
      </c>
      <c r="AJ9" s="1033">
        <f>VLOOKUP(AH9,Düngemittel!$B$6:$E$64,2,FALSE)*(VLOOKUP(AH9,Düngemittel!$B$6:$E$64,3,FALSE))/100*AI9</f>
        <v>0</v>
      </c>
      <c r="AK9" s="1033">
        <f>VLOOKUP(AH9,Düngemittel!$B$6:$E$64,2,FALSE)*AI9</f>
        <v>0</v>
      </c>
      <c r="AL9" s="1033">
        <f>VLOOKUP(AH9,Düngemittel!$B$6:$E$64,4,FALSE)*AI9</f>
        <v>0</v>
      </c>
      <c r="AM9" s="2089"/>
      <c r="AN9" s="1329"/>
      <c r="AO9" s="1330" t="s">
        <v>795</v>
      </c>
      <c r="AP9" s="1424">
        <v>0</v>
      </c>
      <c r="AQ9" s="1033">
        <f>VLOOKUP(AO9,Düngemittel!$B$6:$E$64,2,FALSE)*(VLOOKUP(AO9,Düngemittel!$B$6:$E$64,3,FALSE))/100*AP9</f>
        <v>0</v>
      </c>
      <c r="AR9" s="1033">
        <f>VLOOKUP(AO9,Düngemittel!$B$6:$E$64,2,FALSE)*AP9</f>
        <v>0</v>
      </c>
      <c r="AS9" s="1033">
        <f>VLOOKUP(AO9,Düngemittel!$B$6:$E$64,4,FALSE)*AP9</f>
        <v>0</v>
      </c>
      <c r="AT9" s="1371"/>
      <c r="AU9" s="1371"/>
      <c r="AV9" s="1372">
        <f t="shared" ref="AV9:AV52" si="18">IF(AC9&lt;AD9,0,AC9)+IF(AJ9&lt;AK9,0,AJ9)+IF(AQ9&lt;AR9,0,AQ9)</f>
        <v>0</v>
      </c>
      <c r="AW9" s="1373">
        <f t="shared" ref="AW9:AW52" si="19">SUM(AC9+AJ9+AQ9)</f>
        <v>0</v>
      </c>
      <c r="AX9" s="1374">
        <f t="shared" ref="AX9:AX52" si="20">SUM(AD9+AK9+AR9)</f>
        <v>0</v>
      </c>
      <c r="AY9" s="1375">
        <f t="shared" ref="AY9:AY52" si="21">IF(AC9&lt;AD9,AD9,0)+IF(AJ9&lt;AK9,AK9,0)+IF(AQ9&lt;AR9,AR9,0)</f>
        <v>0</v>
      </c>
      <c r="AZ9" s="1373">
        <f t="shared" ref="AZ9:AZ52" si="22">SUM(AE9+AL9+AS9)</f>
        <v>0</v>
      </c>
      <c r="BA9" s="1376"/>
      <c r="BB9" s="1372">
        <f t="shared" ref="BB9:BB52" si="23">AV9*$B9</f>
        <v>0</v>
      </c>
      <c r="BC9" s="1372">
        <f t="shared" ref="BC9:BC52" si="24">AW9*$B9</f>
        <v>0</v>
      </c>
      <c r="BD9" s="1372">
        <f t="shared" ref="BD9:BD52" si="25">AX9*$B9</f>
        <v>0</v>
      </c>
      <c r="BE9" s="1816">
        <f t="shared" ref="BE9:BE52" si="26">AY9*$B9</f>
        <v>0</v>
      </c>
      <c r="BF9" s="1372">
        <f t="shared" ref="BF9:BF52" si="27">AZ9*$B9</f>
        <v>0</v>
      </c>
      <c r="BG9" s="1377"/>
      <c r="BH9" s="1378" t="s">
        <v>1175</v>
      </c>
      <c r="BI9" s="1357">
        <v>40</v>
      </c>
      <c r="BJ9" s="1421">
        <v>0</v>
      </c>
      <c r="BP9" s="1354"/>
      <c r="BQ9" s="1357">
        <v>0.75</v>
      </c>
      <c r="BR9" s="1357">
        <v>18.2</v>
      </c>
      <c r="BT9" s="1354"/>
      <c r="BU9" s="1358" t="s">
        <v>90</v>
      </c>
      <c r="BV9" s="1366">
        <v>0</v>
      </c>
    </row>
    <row r="10" spans="1:80" ht="23.25" customHeight="1">
      <c r="A10" s="468" t="s">
        <v>564</v>
      </c>
      <c r="B10" s="1699">
        <v>0</v>
      </c>
      <c r="C10" s="1527" t="s">
        <v>31</v>
      </c>
      <c r="D10" s="1380">
        <f t="shared" si="0"/>
        <v>0</v>
      </c>
      <c r="E10" s="2342">
        <f t="shared" si="1"/>
        <v>0</v>
      </c>
      <c r="F10" s="1381">
        <f t="shared" si="2"/>
        <v>0</v>
      </c>
      <c r="G10" s="2347">
        <f t="shared" si="12"/>
        <v>0</v>
      </c>
      <c r="H10" s="1928">
        <f t="shared" si="13"/>
        <v>0</v>
      </c>
      <c r="I10" s="1928">
        <f t="shared" si="3"/>
        <v>0</v>
      </c>
      <c r="J10" s="1928">
        <f t="shared" si="4"/>
        <v>0</v>
      </c>
      <c r="K10" s="1928">
        <f t="shared" si="5"/>
        <v>0</v>
      </c>
      <c r="L10" s="1928">
        <f t="shared" si="14"/>
        <v>0</v>
      </c>
      <c r="M10" s="1702">
        <v>0</v>
      </c>
      <c r="N10" s="1424">
        <v>0</v>
      </c>
      <c r="O10" s="1370">
        <f t="shared" si="15"/>
        <v>0</v>
      </c>
      <c r="P10" s="590">
        <v>0</v>
      </c>
      <c r="Q10" s="2300">
        <f t="shared" si="16"/>
        <v>0</v>
      </c>
      <c r="R10" s="2207">
        <v>0</v>
      </c>
      <c r="S10" s="2231">
        <f t="shared" si="17"/>
        <v>0</v>
      </c>
      <c r="T10" s="2213">
        <f t="shared" si="6"/>
        <v>0</v>
      </c>
      <c r="U10" s="2216">
        <f t="shared" si="7"/>
        <v>0</v>
      </c>
      <c r="V10" s="2213">
        <f t="shared" si="8"/>
        <v>0</v>
      </c>
      <c r="W10" s="1346"/>
      <c r="X10" s="1281" t="str">
        <f t="shared" si="9"/>
        <v>Fläche 3</v>
      </c>
      <c r="Y10" s="2087" t="str">
        <f t="shared" si="10"/>
        <v>keine</v>
      </c>
      <c r="Z10" s="1329"/>
      <c r="AA10" s="1330" t="s">
        <v>795</v>
      </c>
      <c r="AB10" s="1424">
        <v>0</v>
      </c>
      <c r="AC10" s="1033">
        <f>VLOOKUP(AA10,Düngemittel!$B$6:$E$64,2,FALSE)*(VLOOKUP(AA10,Düngemittel!$B$6:$E$64,3,FALSE))/100*AB10</f>
        <v>0</v>
      </c>
      <c r="AD10" s="1033">
        <f>VLOOKUP(AA10,Düngemittel!$B$6:$E$64,2,FALSE)*AB10</f>
        <v>0</v>
      </c>
      <c r="AE10" s="1033">
        <f>VLOOKUP(AA10,Düngemittel!$B$6:$E$64,4,FALSE)*AB10</f>
        <v>0</v>
      </c>
      <c r="AF10" s="2089"/>
      <c r="AG10" s="1329"/>
      <c r="AH10" s="1330" t="s">
        <v>795</v>
      </c>
      <c r="AI10" s="1424">
        <v>0</v>
      </c>
      <c r="AJ10" s="1033">
        <f>VLOOKUP(AH10,Düngemittel!$B$6:$E$64,2,FALSE)*(VLOOKUP(AH10,Düngemittel!$B$6:$E$64,3,FALSE))/100*AI10</f>
        <v>0</v>
      </c>
      <c r="AK10" s="1033">
        <f>VLOOKUP(AH10,Düngemittel!$B$6:$E$64,2,FALSE)*AI10</f>
        <v>0</v>
      </c>
      <c r="AL10" s="1033">
        <f>VLOOKUP(AH10,Düngemittel!$B$6:$E$64,4,FALSE)*AI10</f>
        <v>0</v>
      </c>
      <c r="AM10" s="2089"/>
      <c r="AN10" s="1329"/>
      <c r="AO10" s="1330" t="s">
        <v>795</v>
      </c>
      <c r="AP10" s="1424">
        <v>0</v>
      </c>
      <c r="AQ10" s="1033">
        <f>VLOOKUP(AO10,Düngemittel!$B$6:$E$64,2,FALSE)*(VLOOKUP(AO10,Düngemittel!$B$6:$E$64,3,FALSE))/100*AP10</f>
        <v>0</v>
      </c>
      <c r="AR10" s="1033">
        <f>VLOOKUP(AO10,Düngemittel!$B$6:$E$64,2,FALSE)*AP10</f>
        <v>0</v>
      </c>
      <c r="AS10" s="1033">
        <f>VLOOKUP(AO10,Düngemittel!$B$6:$E$64,4,FALSE)*AP10</f>
        <v>0</v>
      </c>
      <c r="AT10" s="1371"/>
      <c r="AU10" s="1371"/>
      <c r="AV10" s="1372">
        <f t="shared" si="18"/>
        <v>0</v>
      </c>
      <c r="AW10" s="1373">
        <f t="shared" si="19"/>
        <v>0</v>
      </c>
      <c r="AX10" s="1374">
        <f t="shared" si="20"/>
        <v>0</v>
      </c>
      <c r="AY10" s="1375">
        <f t="shared" si="21"/>
        <v>0</v>
      </c>
      <c r="AZ10" s="1373">
        <f t="shared" si="22"/>
        <v>0</v>
      </c>
      <c r="BA10" s="1376"/>
      <c r="BB10" s="1372">
        <f t="shared" si="23"/>
        <v>0</v>
      </c>
      <c r="BC10" s="1372">
        <f t="shared" si="24"/>
        <v>0</v>
      </c>
      <c r="BD10" s="1372">
        <f t="shared" si="25"/>
        <v>0</v>
      </c>
      <c r="BE10" s="1816">
        <f t="shared" si="26"/>
        <v>0</v>
      </c>
      <c r="BF10" s="1372">
        <f t="shared" si="27"/>
        <v>0</v>
      </c>
      <c r="BG10" s="1377"/>
      <c r="BH10" s="1378" t="s">
        <v>1176</v>
      </c>
      <c r="BI10" s="1357">
        <v>40</v>
      </c>
      <c r="BJ10" s="1421">
        <v>0</v>
      </c>
      <c r="BP10" s="1354"/>
      <c r="BQ10" s="1357">
        <v>0.7</v>
      </c>
      <c r="BR10" s="1357">
        <v>20.5</v>
      </c>
      <c r="BT10" s="1354"/>
      <c r="BU10" s="1358" t="s">
        <v>88</v>
      </c>
      <c r="BV10" s="1366">
        <v>20</v>
      </c>
    </row>
    <row r="11" spans="1:80" ht="23.25" customHeight="1">
      <c r="A11" s="468">
        <v>4</v>
      </c>
      <c r="B11" s="1699">
        <v>0</v>
      </c>
      <c r="C11" s="1527" t="s">
        <v>31</v>
      </c>
      <c r="D11" s="1380">
        <f t="shared" si="0"/>
        <v>0</v>
      </c>
      <c r="E11" s="2342">
        <f t="shared" si="1"/>
        <v>0</v>
      </c>
      <c r="F11" s="1381">
        <f t="shared" si="2"/>
        <v>0</v>
      </c>
      <c r="G11" s="2347">
        <f t="shared" si="12"/>
        <v>0</v>
      </c>
      <c r="H11" s="1928">
        <f t="shared" si="13"/>
        <v>0</v>
      </c>
      <c r="I11" s="1928">
        <f t="shared" si="3"/>
        <v>0</v>
      </c>
      <c r="J11" s="1928">
        <f t="shared" si="4"/>
        <v>0</v>
      </c>
      <c r="K11" s="1928">
        <f t="shared" si="5"/>
        <v>0</v>
      </c>
      <c r="L11" s="1928">
        <f t="shared" si="14"/>
        <v>0</v>
      </c>
      <c r="M11" s="1702">
        <v>0</v>
      </c>
      <c r="N11" s="1424">
        <v>0</v>
      </c>
      <c r="O11" s="1370">
        <f t="shared" si="15"/>
        <v>0</v>
      </c>
      <c r="P11" s="590">
        <v>0</v>
      </c>
      <c r="Q11" s="2300">
        <f t="shared" si="16"/>
        <v>0</v>
      </c>
      <c r="R11" s="2207">
        <v>0</v>
      </c>
      <c r="S11" s="2231">
        <f t="shared" si="17"/>
        <v>0</v>
      </c>
      <c r="T11" s="2213">
        <f t="shared" si="6"/>
        <v>0</v>
      </c>
      <c r="U11" s="2216">
        <f t="shared" si="7"/>
        <v>0</v>
      </c>
      <c r="V11" s="2213">
        <f t="shared" si="8"/>
        <v>0</v>
      </c>
      <c r="W11" s="1346"/>
      <c r="X11" s="1281">
        <f t="shared" si="9"/>
        <v>4</v>
      </c>
      <c r="Y11" s="2087" t="str">
        <f t="shared" si="10"/>
        <v>keine</v>
      </c>
      <c r="Z11" s="1329"/>
      <c r="AA11" s="1330" t="s">
        <v>795</v>
      </c>
      <c r="AB11" s="1424">
        <v>0</v>
      </c>
      <c r="AC11" s="1033">
        <f>VLOOKUP(AA11,Düngemittel!$B$6:$E$64,2,FALSE)*(VLOOKUP(AA11,Düngemittel!$B$6:$E$64,3,FALSE))/100*AB11</f>
        <v>0</v>
      </c>
      <c r="AD11" s="1033">
        <f>VLOOKUP(AA11,Düngemittel!$B$6:$E$64,2,FALSE)*AB11</f>
        <v>0</v>
      </c>
      <c r="AE11" s="1033">
        <f>VLOOKUP(AA11,Düngemittel!$B$6:$E$64,4,FALSE)*AB11</f>
        <v>0</v>
      </c>
      <c r="AF11" s="2089"/>
      <c r="AG11" s="1329"/>
      <c r="AH11" s="1330" t="s">
        <v>795</v>
      </c>
      <c r="AI11" s="1424">
        <v>0</v>
      </c>
      <c r="AJ11" s="1033">
        <f>VLOOKUP(AH11,Düngemittel!$B$6:$E$64,2,FALSE)*(VLOOKUP(AH11,Düngemittel!$B$6:$E$64,3,FALSE))/100*AI11</f>
        <v>0</v>
      </c>
      <c r="AK11" s="1033">
        <f>VLOOKUP(AH11,Düngemittel!$B$6:$E$64,2,FALSE)*AI11</f>
        <v>0</v>
      </c>
      <c r="AL11" s="1033">
        <f>VLOOKUP(AH11,Düngemittel!$B$6:$E$64,4,FALSE)*AI11</f>
        <v>0</v>
      </c>
      <c r="AM11" s="2089"/>
      <c r="AN11" s="1329"/>
      <c r="AO11" s="1330" t="s">
        <v>795</v>
      </c>
      <c r="AP11" s="1424">
        <v>0</v>
      </c>
      <c r="AQ11" s="1033">
        <f>VLOOKUP(AO11,Düngemittel!$B$6:$E$64,2,FALSE)*(VLOOKUP(AO11,Düngemittel!$B$6:$E$64,3,FALSE))/100*AP11</f>
        <v>0</v>
      </c>
      <c r="AR11" s="1033">
        <f>VLOOKUP(AO11,Düngemittel!$B$6:$E$64,2,FALSE)*AP11</f>
        <v>0</v>
      </c>
      <c r="AS11" s="1033">
        <f>VLOOKUP(AO11,Düngemittel!$B$6:$E$64,4,FALSE)*AP11</f>
        <v>0</v>
      </c>
      <c r="AT11" s="1371"/>
      <c r="AU11" s="1371"/>
      <c r="AV11" s="1372">
        <f t="shared" si="18"/>
        <v>0</v>
      </c>
      <c r="AW11" s="1373">
        <f t="shared" si="19"/>
        <v>0</v>
      </c>
      <c r="AX11" s="1374">
        <f t="shared" si="20"/>
        <v>0</v>
      </c>
      <c r="AY11" s="1375">
        <f t="shared" si="21"/>
        <v>0</v>
      </c>
      <c r="AZ11" s="1373">
        <f t="shared" si="22"/>
        <v>0</v>
      </c>
      <c r="BA11" s="1376"/>
      <c r="BB11" s="1372">
        <f t="shared" si="23"/>
        <v>0</v>
      </c>
      <c r="BC11" s="1372">
        <f t="shared" si="24"/>
        <v>0</v>
      </c>
      <c r="BD11" s="1372">
        <f t="shared" si="25"/>
        <v>0</v>
      </c>
      <c r="BE11" s="1816">
        <f t="shared" si="26"/>
        <v>0</v>
      </c>
      <c r="BF11" s="1372">
        <f t="shared" si="27"/>
        <v>0</v>
      </c>
      <c r="BG11" s="1377"/>
      <c r="BH11" s="1378" t="s">
        <v>1172</v>
      </c>
      <c r="BI11" s="1357">
        <v>90</v>
      </c>
      <c r="BJ11" s="1421">
        <v>0</v>
      </c>
      <c r="BP11" s="1354"/>
      <c r="BQ11" s="1357">
        <v>0.51</v>
      </c>
      <c r="BR11" s="1357">
        <v>7</v>
      </c>
      <c r="BT11" s="1354"/>
      <c r="BU11" s="1358" t="s">
        <v>89</v>
      </c>
      <c r="BV11" s="1366">
        <v>40</v>
      </c>
    </row>
    <row r="12" spans="1:80" ht="23.25" customHeight="1">
      <c r="A12" s="468">
        <v>5</v>
      </c>
      <c r="B12" s="1699">
        <v>0</v>
      </c>
      <c r="C12" s="1527" t="s">
        <v>31</v>
      </c>
      <c r="D12" s="1380">
        <f t="shared" si="0"/>
        <v>0</v>
      </c>
      <c r="E12" s="2342">
        <f t="shared" si="1"/>
        <v>0</v>
      </c>
      <c r="F12" s="1381">
        <f t="shared" si="2"/>
        <v>0</v>
      </c>
      <c r="G12" s="2347">
        <f t="shared" si="12"/>
        <v>0</v>
      </c>
      <c r="H12" s="1928">
        <f t="shared" si="13"/>
        <v>0</v>
      </c>
      <c r="I12" s="1928">
        <f t="shared" si="3"/>
        <v>0</v>
      </c>
      <c r="J12" s="1928">
        <f t="shared" si="4"/>
        <v>0</v>
      </c>
      <c r="K12" s="1928">
        <f t="shared" si="5"/>
        <v>0</v>
      </c>
      <c r="L12" s="1928">
        <f t="shared" si="14"/>
        <v>0</v>
      </c>
      <c r="M12" s="1702">
        <v>0</v>
      </c>
      <c r="N12" s="1424">
        <v>0</v>
      </c>
      <c r="O12" s="1370">
        <f t="shared" si="15"/>
        <v>0</v>
      </c>
      <c r="P12" s="590">
        <v>0</v>
      </c>
      <c r="Q12" s="2300">
        <f t="shared" si="16"/>
        <v>0</v>
      </c>
      <c r="R12" s="2207">
        <v>0</v>
      </c>
      <c r="S12" s="2231">
        <f t="shared" si="17"/>
        <v>0</v>
      </c>
      <c r="T12" s="2213">
        <f t="shared" si="6"/>
        <v>0</v>
      </c>
      <c r="U12" s="2216">
        <f t="shared" si="7"/>
        <v>0</v>
      </c>
      <c r="V12" s="2213">
        <f t="shared" si="8"/>
        <v>0</v>
      </c>
      <c r="W12" s="1346"/>
      <c r="X12" s="1281">
        <f t="shared" si="9"/>
        <v>5</v>
      </c>
      <c r="Y12" s="2087" t="str">
        <f t="shared" si="10"/>
        <v>keine</v>
      </c>
      <c r="Z12" s="1329"/>
      <c r="AA12" s="1330" t="s">
        <v>795</v>
      </c>
      <c r="AB12" s="1424">
        <v>0</v>
      </c>
      <c r="AC12" s="1033">
        <f>VLOOKUP(AA12,Düngemittel!$B$6:$E$64,2,FALSE)*(VLOOKUP(AA12,Düngemittel!$B$6:$E$64,3,FALSE))/100*AB12</f>
        <v>0</v>
      </c>
      <c r="AD12" s="1033">
        <f>VLOOKUP(AA12,Düngemittel!$B$6:$E$64,2,FALSE)*AB12</f>
        <v>0</v>
      </c>
      <c r="AE12" s="1033">
        <f>VLOOKUP(AA12,Düngemittel!$B$6:$E$64,4,FALSE)*AB12</f>
        <v>0</v>
      </c>
      <c r="AF12" s="2089"/>
      <c r="AG12" s="1329"/>
      <c r="AH12" s="1330" t="s">
        <v>795</v>
      </c>
      <c r="AI12" s="1424">
        <v>0</v>
      </c>
      <c r="AJ12" s="1033">
        <f>VLOOKUP(AH12,Düngemittel!$B$6:$E$64,2,FALSE)*(VLOOKUP(AH12,Düngemittel!$B$6:$E$64,3,FALSE))/100*AI12</f>
        <v>0</v>
      </c>
      <c r="AK12" s="1033">
        <f>VLOOKUP(AH12,Düngemittel!$B$6:$E$64,2,FALSE)*AI12</f>
        <v>0</v>
      </c>
      <c r="AL12" s="1033">
        <f>VLOOKUP(AH12,Düngemittel!$B$6:$E$64,4,FALSE)*AI12</f>
        <v>0</v>
      </c>
      <c r="AM12" s="2089"/>
      <c r="AN12" s="1329"/>
      <c r="AO12" s="1330" t="s">
        <v>795</v>
      </c>
      <c r="AP12" s="1424">
        <v>0</v>
      </c>
      <c r="AQ12" s="1033">
        <f>VLOOKUP(AO12,Düngemittel!$B$6:$E$64,2,FALSE)*(VLOOKUP(AO12,Düngemittel!$B$6:$E$64,3,FALSE))/100*AP12</f>
        <v>0</v>
      </c>
      <c r="AR12" s="1033">
        <f>VLOOKUP(AO12,Düngemittel!$B$6:$E$64,2,FALSE)*AP12</f>
        <v>0</v>
      </c>
      <c r="AS12" s="1033">
        <f>VLOOKUP(AO12,Düngemittel!$B$6:$E$64,4,FALSE)*AP12</f>
        <v>0</v>
      </c>
      <c r="AT12" s="1371"/>
      <c r="AU12" s="1371"/>
      <c r="AV12" s="1372">
        <f t="shared" si="18"/>
        <v>0</v>
      </c>
      <c r="AW12" s="1373">
        <f t="shared" si="19"/>
        <v>0</v>
      </c>
      <c r="AX12" s="1374">
        <f t="shared" si="20"/>
        <v>0</v>
      </c>
      <c r="AY12" s="1375">
        <f t="shared" si="21"/>
        <v>0</v>
      </c>
      <c r="AZ12" s="1373">
        <f t="shared" si="22"/>
        <v>0</v>
      </c>
      <c r="BA12" s="1376"/>
      <c r="BB12" s="1372">
        <f t="shared" si="23"/>
        <v>0</v>
      </c>
      <c r="BC12" s="1372">
        <f t="shared" si="24"/>
        <v>0</v>
      </c>
      <c r="BD12" s="1372">
        <f t="shared" si="25"/>
        <v>0</v>
      </c>
      <c r="BE12" s="1816">
        <f t="shared" si="26"/>
        <v>0</v>
      </c>
      <c r="BF12" s="1372">
        <f t="shared" si="27"/>
        <v>0</v>
      </c>
      <c r="BG12" s="1377"/>
      <c r="BH12" s="357" t="s">
        <v>1173</v>
      </c>
      <c r="BI12" s="357">
        <v>90</v>
      </c>
      <c r="BJ12" s="1421">
        <v>0</v>
      </c>
      <c r="BP12" s="1354"/>
      <c r="BQ12" s="357">
        <v>0.51</v>
      </c>
      <c r="BR12" s="357">
        <v>7</v>
      </c>
      <c r="BT12" s="1354"/>
      <c r="BU12" s="1358" t="s">
        <v>227</v>
      </c>
      <c r="BV12" s="1366">
        <v>60</v>
      </c>
    </row>
    <row r="13" spans="1:80" ht="23.25" customHeight="1">
      <c r="A13" s="468">
        <v>6</v>
      </c>
      <c r="B13" s="1699">
        <v>0</v>
      </c>
      <c r="C13" s="1527" t="s">
        <v>31</v>
      </c>
      <c r="D13" s="1380">
        <f t="shared" si="0"/>
        <v>0</v>
      </c>
      <c r="E13" s="2342">
        <f t="shared" si="1"/>
        <v>0</v>
      </c>
      <c r="F13" s="1381">
        <f t="shared" si="2"/>
        <v>0</v>
      </c>
      <c r="G13" s="2347">
        <f t="shared" si="12"/>
        <v>0</v>
      </c>
      <c r="H13" s="1928">
        <f t="shared" si="13"/>
        <v>0</v>
      </c>
      <c r="I13" s="1928">
        <f t="shared" si="3"/>
        <v>0</v>
      </c>
      <c r="J13" s="1928">
        <f t="shared" si="4"/>
        <v>0</v>
      </c>
      <c r="K13" s="1928">
        <f t="shared" si="5"/>
        <v>0</v>
      </c>
      <c r="L13" s="1928">
        <f t="shared" si="14"/>
        <v>0</v>
      </c>
      <c r="M13" s="1702">
        <v>0</v>
      </c>
      <c r="N13" s="1424">
        <v>0</v>
      </c>
      <c r="O13" s="1370">
        <f t="shared" si="15"/>
        <v>0</v>
      </c>
      <c r="P13" s="590">
        <v>0</v>
      </c>
      <c r="Q13" s="2300">
        <f t="shared" si="16"/>
        <v>0</v>
      </c>
      <c r="R13" s="2207">
        <v>0</v>
      </c>
      <c r="S13" s="2231">
        <f t="shared" si="17"/>
        <v>0</v>
      </c>
      <c r="T13" s="2213">
        <f t="shared" si="6"/>
        <v>0</v>
      </c>
      <c r="U13" s="2216">
        <f t="shared" si="7"/>
        <v>0</v>
      </c>
      <c r="V13" s="2213">
        <f t="shared" si="8"/>
        <v>0</v>
      </c>
      <c r="W13" s="1346"/>
      <c r="X13" s="1281">
        <f t="shared" si="9"/>
        <v>6</v>
      </c>
      <c r="Y13" s="2087" t="str">
        <f t="shared" si="10"/>
        <v>keine</v>
      </c>
      <c r="Z13" s="1329"/>
      <c r="AA13" s="1330" t="s">
        <v>795</v>
      </c>
      <c r="AB13" s="1424">
        <v>0</v>
      </c>
      <c r="AC13" s="1033">
        <f>VLOOKUP(AA13,Düngemittel!$B$6:$E$64,2,FALSE)*(VLOOKUP(AA13,Düngemittel!$B$6:$E$64,3,FALSE))/100*AB13</f>
        <v>0</v>
      </c>
      <c r="AD13" s="1033">
        <f>VLOOKUP(AA13,Düngemittel!$B$6:$E$64,2,FALSE)*AB13</f>
        <v>0</v>
      </c>
      <c r="AE13" s="1033">
        <f>VLOOKUP(AA13,Düngemittel!$B$6:$E$64,4,FALSE)*AB13</f>
        <v>0</v>
      </c>
      <c r="AF13" s="2089"/>
      <c r="AG13" s="1329"/>
      <c r="AH13" s="1330" t="s">
        <v>795</v>
      </c>
      <c r="AI13" s="1424">
        <v>0</v>
      </c>
      <c r="AJ13" s="1033">
        <f>VLOOKUP(AH13,Düngemittel!$B$6:$E$64,2,FALSE)*(VLOOKUP(AH13,Düngemittel!$B$6:$E$64,3,FALSE))/100*AI13</f>
        <v>0</v>
      </c>
      <c r="AK13" s="1033">
        <f>VLOOKUP(AH13,Düngemittel!$B$6:$E$64,2,FALSE)*AI13</f>
        <v>0</v>
      </c>
      <c r="AL13" s="1033">
        <f>VLOOKUP(AH13,Düngemittel!$B$6:$E$64,4,FALSE)*AI13</f>
        <v>0</v>
      </c>
      <c r="AM13" s="2089"/>
      <c r="AN13" s="1329"/>
      <c r="AO13" s="1330" t="s">
        <v>795</v>
      </c>
      <c r="AP13" s="1424">
        <v>0</v>
      </c>
      <c r="AQ13" s="1033">
        <f>VLOOKUP(AO13,Düngemittel!$B$6:$E$64,2,FALSE)*(VLOOKUP(AO13,Düngemittel!$B$6:$E$64,3,FALSE))/100*AP13</f>
        <v>0</v>
      </c>
      <c r="AR13" s="1033">
        <f>VLOOKUP(AO13,Düngemittel!$B$6:$E$64,2,FALSE)*AP13</f>
        <v>0</v>
      </c>
      <c r="AS13" s="1033">
        <f>VLOOKUP(AO13,Düngemittel!$B$6:$E$64,4,FALSE)*AP13</f>
        <v>0</v>
      </c>
      <c r="AT13" s="1371"/>
      <c r="AU13" s="1371"/>
      <c r="AV13" s="1372">
        <f t="shared" si="18"/>
        <v>0</v>
      </c>
      <c r="AW13" s="1373">
        <f t="shared" si="19"/>
        <v>0</v>
      </c>
      <c r="AX13" s="1374">
        <f t="shared" si="20"/>
        <v>0</v>
      </c>
      <c r="AY13" s="1375">
        <f t="shared" si="21"/>
        <v>0</v>
      </c>
      <c r="AZ13" s="1373">
        <f t="shared" si="22"/>
        <v>0</v>
      </c>
      <c r="BA13" s="1376"/>
      <c r="BB13" s="1372">
        <f t="shared" si="23"/>
        <v>0</v>
      </c>
      <c r="BC13" s="1372">
        <f t="shared" si="24"/>
        <v>0</v>
      </c>
      <c r="BD13" s="1372">
        <f t="shared" si="25"/>
        <v>0</v>
      </c>
      <c r="BE13" s="1816">
        <f t="shared" si="26"/>
        <v>0</v>
      </c>
      <c r="BF13" s="1372">
        <f t="shared" si="27"/>
        <v>0</v>
      </c>
      <c r="BG13" s="1377"/>
      <c r="BH13" s="1357" t="s">
        <v>1177</v>
      </c>
      <c r="BI13" s="1357">
        <v>45</v>
      </c>
      <c r="BJ13" s="1421">
        <v>0</v>
      </c>
      <c r="BM13" s="1358"/>
      <c r="BN13" s="1382"/>
      <c r="BO13" s="1354"/>
      <c r="BP13" s="1354"/>
      <c r="BQ13" s="1357">
        <v>0.8</v>
      </c>
      <c r="BR13" s="1357">
        <v>15</v>
      </c>
    </row>
    <row r="14" spans="1:80" ht="23.25" customHeight="1">
      <c r="A14" s="468">
        <v>7</v>
      </c>
      <c r="B14" s="1699">
        <v>0</v>
      </c>
      <c r="C14" s="1527" t="s">
        <v>31</v>
      </c>
      <c r="D14" s="1380">
        <f t="shared" si="0"/>
        <v>0</v>
      </c>
      <c r="E14" s="2342">
        <f t="shared" si="1"/>
        <v>0</v>
      </c>
      <c r="F14" s="1381">
        <f t="shared" si="2"/>
        <v>0</v>
      </c>
      <c r="G14" s="2347">
        <f t="shared" si="12"/>
        <v>0</v>
      </c>
      <c r="H14" s="1928">
        <f t="shared" si="13"/>
        <v>0</v>
      </c>
      <c r="I14" s="1928">
        <f t="shared" si="3"/>
        <v>0</v>
      </c>
      <c r="J14" s="1928">
        <f t="shared" si="4"/>
        <v>0</v>
      </c>
      <c r="K14" s="1928">
        <f t="shared" si="5"/>
        <v>0</v>
      </c>
      <c r="L14" s="1928">
        <f t="shared" si="14"/>
        <v>0</v>
      </c>
      <c r="M14" s="1702">
        <v>0</v>
      </c>
      <c r="N14" s="1424">
        <v>0</v>
      </c>
      <c r="O14" s="1370">
        <f t="shared" si="15"/>
        <v>0</v>
      </c>
      <c r="P14" s="590">
        <v>0</v>
      </c>
      <c r="Q14" s="2300">
        <f t="shared" si="16"/>
        <v>0</v>
      </c>
      <c r="R14" s="2207">
        <v>0</v>
      </c>
      <c r="S14" s="2231">
        <f t="shared" si="17"/>
        <v>0</v>
      </c>
      <c r="T14" s="2213">
        <f t="shared" si="6"/>
        <v>0</v>
      </c>
      <c r="U14" s="2216">
        <f t="shared" si="7"/>
        <v>0</v>
      </c>
      <c r="V14" s="2213">
        <f t="shared" si="8"/>
        <v>0</v>
      </c>
      <c r="W14" s="1346"/>
      <c r="X14" s="1281">
        <f t="shared" si="9"/>
        <v>7</v>
      </c>
      <c r="Y14" s="2087" t="str">
        <f t="shared" si="10"/>
        <v>keine</v>
      </c>
      <c r="Z14" s="1329"/>
      <c r="AA14" s="1330" t="s">
        <v>795</v>
      </c>
      <c r="AB14" s="1424">
        <v>0</v>
      </c>
      <c r="AC14" s="1033">
        <f>VLOOKUP(AA14,Düngemittel!$B$6:$E$64,2,FALSE)*(VLOOKUP(AA14,Düngemittel!$B$6:$E$64,3,FALSE))/100*AB14</f>
        <v>0</v>
      </c>
      <c r="AD14" s="1033">
        <f>VLOOKUP(AA14,Düngemittel!$B$6:$E$64,2,FALSE)*AB14</f>
        <v>0</v>
      </c>
      <c r="AE14" s="1033">
        <f>VLOOKUP(AA14,Düngemittel!$B$6:$E$64,4,FALSE)*AB14</f>
        <v>0</v>
      </c>
      <c r="AF14" s="2089"/>
      <c r="AG14" s="1329"/>
      <c r="AH14" s="1330" t="s">
        <v>795</v>
      </c>
      <c r="AI14" s="1424">
        <v>0</v>
      </c>
      <c r="AJ14" s="1033">
        <f>VLOOKUP(AH14,Düngemittel!$B$6:$E$64,2,FALSE)*(VLOOKUP(AH14,Düngemittel!$B$6:$E$64,3,FALSE))/100*AI14</f>
        <v>0</v>
      </c>
      <c r="AK14" s="1033">
        <f>VLOOKUP(AH14,Düngemittel!$B$6:$E$64,2,FALSE)*AI14</f>
        <v>0</v>
      </c>
      <c r="AL14" s="1033">
        <f>VLOOKUP(AH14,Düngemittel!$B$6:$E$64,4,FALSE)*AI14</f>
        <v>0</v>
      </c>
      <c r="AM14" s="2089"/>
      <c r="AN14" s="1329"/>
      <c r="AO14" s="1330" t="s">
        <v>795</v>
      </c>
      <c r="AP14" s="1424">
        <v>0</v>
      </c>
      <c r="AQ14" s="1033">
        <f>VLOOKUP(AO14,Düngemittel!$B$6:$E$64,2,FALSE)*(VLOOKUP(AO14,Düngemittel!$B$6:$E$64,3,FALSE))/100*AP14</f>
        <v>0</v>
      </c>
      <c r="AR14" s="1033">
        <f>VLOOKUP(AO14,Düngemittel!$B$6:$E$64,2,FALSE)*AP14</f>
        <v>0</v>
      </c>
      <c r="AS14" s="1033">
        <f>VLOOKUP(AO14,Düngemittel!$B$6:$E$64,4,FALSE)*AP14</f>
        <v>0</v>
      </c>
      <c r="AT14" s="1371"/>
      <c r="AU14" s="1371"/>
      <c r="AV14" s="1372">
        <f t="shared" si="18"/>
        <v>0</v>
      </c>
      <c r="AW14" s="1373">
        <f t="shared" si="19"/>
        <v>0</v>
      </c>
      <c r="AX14" s="1374">
        <f t="shared" si="20"/>
        <v>0</v>
      </c>
      <c r="AY14" s="1375">
        <f t="shared" si="21"/>
        <v>0</v>
      </c>
      <c r="AZ14" s="1373">
        <f t="shared" si="22"/>
        <v>0</v>
      </c>
      <c r="BA14" s="1376"/>
      <c r="BB14" s="1372">
        <f t="shared" si="23"/>
        <v>0</v>
      </c>
      <c r="BC14" s="1372">
        <f t="shared" si="24"/>
        <v>0</v>
      </c>
      <c r="BD14" s="1372">
        <f t="shared" si="25"/>
        <v>0</v>
      </c>
      <c r="BE14" s="1816">
        <f t="shared" si="26"/>
        <v>0</v>
      </c>
      <c r="BF14" s="1372">
        <f t="shared" si="27"/>
        <v>0</v>
      </c>
      <c r="BG14" s="1377"/>
      <c r="BH14" s="1378" t="s">
        <v>1207</v>
      </c>
      <c r="BI14" s="1357">
        <v>30</v>
      </c>
      <c r="BJ14" s="1421">
        <v>30</v>
      </c>
      <c r="BM14" s="1354"/>
      <c r="BN14" s="1354"/>
      <c r="BO14" s="1354"/>
      <c r="BP14" s="1354"/>
      <c r="BQ14" s="1357">
        <v>0</v>
      </c>
      <c r="BR14" s="1357">
        <v>16</v>
      </c>
    </row>
    <row r="15" spans="1:80" ht="23.25" customHeight="1">
      <c r="A15" s="468">
        <v>8</v>
      </c>
      <c r="B15" s="1699">
        <v>0</v>
      </c>
      <c r="C15" s="1527" t="s">
        <v>31</v>
      </c>
      <c r="D15" s="1380">
        <f t="shared" si="0"/>
        <v>0</v>
      </c>
      <c r="E15" s="2342">
        <f t="shared" si="1"/>
        <v>0</v>
      </c>
      <c r="F15" s="1381">
        <f t="shared" si="2"/>
        <v>0</v>
      </c>
      <c r="G15" s="2347">
        <f t="shared" si="12"/>
        <v>0</v>
      </c>
      <c r="H15" s="1928">
        <f t="shared" si="13"/>
        <v>0</v>
      </c>
      <c r="I15" s="1928">
        <f t="shared" si="3"/>
        <v>0</v>
      </c>
      <c r="J15" s="1928">
        <f t="shared" si="4"/>
        <v>0</v>
      </c>
      <c r="K15" s="1928">
        <f t="shared" si="5"/>
        <v>0</v>
      </c>
      <c r="L15" s="1928">
        <f t="shared" si="14"/>
        <v>0</v>
      </c>
      <c r="M15" s="1702">
        <v>0</v>
      </c>
      <c r="N15" s="1424">
        <v>0</v>
      </c>
      <c r="O15" s="1370">
        <f t="shared" si="15"/>
        <v>0</v>
      </c>
      <c r="P15" s="590">
        <v>0</v>
      </c>
      <c r="Q15" s="2300">
        <f t="shared" si="16"/>
        <v>0</v>
      </c>
      <c r="R15" s="2207">
        <v>0</v>
      </c>
      <c r="S15" s="2231">
        <f t="shared" si="17"/>
        <v>0</v>
      </c>
      <c r="T15" s="2213">
        <f t="shared" si="6"/>
        <v>0</v>
      </c>
      <c r="U15" s="2216">
        <f t="shared" si="7"/>
        <v>0</v>
      </c>
      <c r="V15" s="2213">
        <f t="shared" si="8"/>
        <v>0</v>
      </c>
      <c r="W15" s="1346"/>
      <c r="X15" s="1281">
        <f t="shared" si="9"/>
        <v>8</v>
      </c>
      <c r="Y15" s="2087" t="str">
        <f t="shared" si="10"/>
        <v>keine</v>
      </c>
      <c r="Z15" s="1329"/>
      <c r="AA15" s="1330" t="s">
        <v>795</v>
      </c>
      <c r="AB15" s="1424">
        <v>0</v>
      </c>
      <c r="AC15" s="1033">
        <f>VLOOKUP(AA15,Düngemittel!$B$6:$E$64,2,FALSE)*(VLOOKUP(AA15,Düngemittel!$B$6:$E$64,3,FALSE))/100*AB15</f>
        <v>0</v>
      </c>
      <c r="AD15" s="1033">
        <f>VLOOKUP(AA15,Düngemittel!$B$6:$E$64,2,FALSE)*AB15</f>
        <v>0</v>
      </c>
      <c r="AE15" s="1033">
        <f>VLOOKUP(AA15,Düngemittel!$B$6:$E$64,4,FALSE)*AB15</f>
        <v>0</v>
      </c>
      <c r="AF15" s="2089"/>
      <c r="AG15" s="1329"/>
      <c r="AH15" s="1330" t="s">
        <v>795</v>
      </c>
      <c r="AI15" s="1424">
        <v>0</v>
      </c>
      <c r="AJ15" s="1033">
        <f>VLOOKUP(AH15,Düngemittel!$B$6:$E$64,2,FALSE)*(VLOOKUP(AH15,Düngemittel!$B$6:$E$64,3,FALSE))/100*AI15</f>
        <v>0</v>
      </c>
      <c r="AK15" s="1033">
        <f>VLOOKUP(AH15,Düngemittel!$B$6:$E$64,2,FALSE)*AI15</f>
        <v>0</v>
      </c>
      <c r="AL15" s="1033">
        <f>VLOOKUP(AH15,Düngemittel!$B$6:$E$64,4,FALSE)*AI15</f>
        <v>0</v>
      </c>
      <c r="AM15" s="2089"/>
      <c r="AN15" s="1329"/>
      <c r="AO15" s="1330" t="s">
        <v>795</v>
      </c>
      <c r="AP15" s="1424">
        <v>0</v>
      </c>
      <c r="AQ15" s="1033">
        <f>VLOOKUP(AO15,Düngemittel!$B$6:$E$64,2,FALSE)*(VLOOKUP(AO15,Düngemittel!$B$6:$E$64,3,FALSE))/100*AP15</f>
        <v>0</v>
      </c>
      <c r="AR15" s="1033">
        <f>VLOOKUP(AO15,Düngemittel!$B$6:$E$64,2,FALSE)*AP15</f>
        <v>0</v>
      </c>
      <c r="AS15" s="1033">
        <f>VLOOKUP(AO15,Düngemittel!$B$6:$E$64,4,FALSE)*AP15</f>
        <v>0</v>
      </c>
      <c r="AT15" s="1371"/>
      <c r="AU15" s="1371"/>
      <c r="AV15" s="1372">
        <f t="shared" si="18"/>
        <v>0</v>
      </c>
      <c r="AW15" s="1373">
        <f t="shared" si="19"/>
        <v>0</v>
      </c>
      <c r="AX15" s="1374">
        <f t="shared" si="20"/>
        <v>0</v>
      </c>
      <c r="AY15" s="1375">
        <f t="shared" si="21"/>
        <v>0</v>
      </c>
      <c r="AZ15" s="1373">
        <f t="shared" si="22"/>
        <v>0</v>
      </c>
      <c r="BA15" s="1376"/>
      <c r="BB15" s="1372">
        <f t="shared" si="23"/>
        <v>0</v>
      </c>
      <c r="BC15" s="1372">
        <f t="shared" si="24"/>
        <v>0</v>
      </c>
      <c r="BD15" s="1372">
        <f t="shared" si="25"/>
        <v>0</v>
      </c>
      <c r="BE15" s="1816">
        <f t="shared" si="26"/>
        <v>0</v>
      </c>
      <c r="BF15" s="1372">
        <f t="shared" si="27"/>
        <v>0</v>
      </c>
      <c r="BG15" s="1377"/>
      <c r="BH15" s="1357" t="s">
        <v>1208</v>
      </c>
      <c r="BI15" s="1357">
        <v>30</v>
      </c>
      <c r="BJ15" s="1421">
        <v>30</v>
      </c>
      <c r="BM15" s="1354"/>
      <c r="BN15" s="1354"/>
      <c r="BO15" s="1354"/>
      <c r="BP15" s="1354"/>
      <c r="BQ15" s="1357">
        <v>0.75</v>
      </c>
      <c r="BR15" s="1357">
        <v>16</v>
      </c>
    </row>
    <row r="16" spans="1:80" ht="23.25" customHeight="1">
      <c r="A16" s="468">
        <v>9</v>
      </c>
      <c r="B16" s="1699">
        <v>0</v>
      </c>
      <c r="C16" s="1527" t="s">
        <v>31</v>
      </c>
      <c r="D16" s="1380">
        <f t="shared" si="0"/>
        <v>0</v>
      </c>
      <c r="E16" s="2342">
        <f t="shared" si="1"/>
        <v>0</v>
      </c>
      <c r="F16" s="1381">
        <f t="shared" si="2"/>
        <v>0</v>
      </c>
      <c r="G16" s="2347">
        <f t="shared" si="12"/>
        <v>0</v>
      </c>
      <c r="H16" s="1928">
        <f t="shared" si="13"/>
        <v>0</v>
      </c>
      <c r="I16" s="1928">
        <f t="shared" si="3"/>
        <v>0</v>
      </c>
      <c r="J16" s="1928">
        <f t="shared" si="4"/>
        <v>0</v>
      </c>
      <c r="K16" s="1928">
        <f t="shared" si="5"/>
        <v>0</v>
      </c>
      <c r="L16" s="1928">
        <f t="shared" si="14"/>
        <v>0</v>
      </c>
      <c r="M16" s="1702">
        <v>0</v>
      </c>
      <c r="N16" s="1424">
        <v>0</v>
      </c>
      <c r="O16" s="1370">
        <f t="shared" si="15"/>
        <v>0</v>
      </c>
      <c r="P16" s="590">
        <v>0</v>
      </c>
      <c r="Q16" s="2300">
        <f t="shared" si="16"/>
        <v>0</v>
      </c>
      <c r="R16" s="2207">
        <v>0</v>
      </c>
      <c r="S16" s="2231">
        <f t="shared" si="17"/>
        <v>0</v>
      </c>
      <c r="T16" s="2213">
        <f t="shared" si="6"/>
        <v>0</v>
      </c>
      <c r="U16" s="2216">
        <f t="shared" si="7"/>
        <v>0</v>
      </c>
      <c r="V16" s="2213">
        <f t="shared" si="8"/>
        <v>0</v>
      </c>
      <c r="W16" s="1346"/>
      <c r="X16" s="1281">
        <f t="shared" si="9"/>
        <v>9</v>
      </c>
      <c r="Y16" s="2087" t="str">
        <f t="shared" si="10"/>
        <v>keine</v>
      </c>
      <c r="Z16" s="1329"/>
      <c r="AA16" s="1330" t="s">
        <v>795</v>
      </c>
      <c r="AB16" s="1424">
        <v>0</v>
      </c>
      <c r="AC16" s="1033">
        <f>VLOOKUP(AA16,Düngemittel!$B$6:$E$64,2,FALSE)*(VLOOKUP(AA16,Düngemittel!$B$6:$E$64,3,FALSE))/100*AB16</f>
        <v>0</v>
      </c>
      <c r="AD16" s="1033">
        <f>VLOOKUP(AA16,Düngemittel!$B$6:$E$64,2,FALSE)*AB16</f>
        <v>0</v>
      </c>
      <c r="AE16" s="1033">
        <f>VLOOKUP(AA16,Düngemittel!$B$6:$E$64,4,FALSE)*AB16</f>
        <v>0</v>
      </c>
      <c r="AF16" s="2089"/>
      <c r="AG16" s="1329"/>
      <c r="AH16" s="1330" t="s">
        <v>795</v>
      </c>
      <c r="AI16" s="1424">
        <v>0</v>
      </c>
      <c r="AJ16" s="1033">
        <f>VLOOKUP(AH16,Düngemittel!$B$6:$E$64,2,FALSE)*(VLOOKUP(AH16,Düngemittel!$B$6:$E$64,3,FALSE))/100*AI16</f>
        <v>0</v>
      </c>
      <c r="AK16" s="1033">
        <f>VLOOKUP(AH16,Düngemittel!$B$6:$E$64,2,FALSE)*AI16</f>
        <v>0</v>
      </c>
      <c r="AL16" s="1033">
        <f>VLOOKUP(AH16,Düngemittel!$B$6:$E$64,4,FALSE)*AI16</f>
        <v>0</v>
      </c>
      <c r="AM16" s="2089"/>
      <c r="AN16" s="1329"/>
      <c r="AO16" s="1330" t="s">
        <v>795</v>
      </c>
      <c r="AP16" s="1424">
        <v>0</v>
      </c>
      <c r="AQ16" s="1033">
        <f>VLOOKUP(AO16,Düngemittel!$B$6:$E$64,2,FALSE)*(VLOOKUP(AO16,Düngemittel!$B$6:$E$64,3,FALSE))/100*AP16</f>
        <v>0</v>
      </c>
      <c r="AR16" s="1033">
        <f>VLOOKUP(AO16,Düngemittel!$B$6:$E$64,2,FALSE)*AP16</f>
        <v>0</v>
      </c>
      <c r="AS16" s="1033">
        <f>VLOOKUP(AO16,Düngemittel!$B$6:$E$64,4,FALSE)*AP16</f>
        <v>0</v>
      </c>
      <c r="AT16" s="1371"/>
      <c r="AU16" s="1371"/>
      <c r="AV16" s="1372">
        <f t="shared" si="18"/>
        <v>0</v>
      </c>
      <c r="AW16" s="1373">
        <f t="shared" si="19"/>
        <v>0</v>
      </c>
      <c r="AX16" s="1374">
        <f t="shared" si="20"/>
        <v>0</v>
      </c>
      <c r="AY16" s="1375">
        <f t="shared" si="21"/>
        <v>0</v>
      </c>
      <c r="AZ16" s="1373">
        <f t="shared" si="22"/>
        <v>0</v>
      </c>
      <c r="BA16" s="1376"/>
      <c r="BB16" s="1372">
        <f t="shared" si="23"/>
        <v>0</v>
      </c>
      <c r="BC16" s="1372">
        <f t="shared" si="24"/>
        <v>0</v>
      </c>
      <c r="BD16" s="1372">
        <f t="shared" si="25"/>
        <v>0</v>
      </c>
      <c r="BE16" s="1816">
        <f t="shared" si="26"/>
        <v>0</v>
      </c>
      <c r="BF16" s="1372">
        <f t="shared" si="27"/>
        <v>0</v>
      </c>
      <c r="BG16" s="1377"/>
      <c r="BH16" s="1968" t="s">
        <v>795</v>
      </c>
      <c r="BI16" s="1421">
        <v>0</v>
      </c>
      <c r="BJ16" s="1421">
        <v>0</v>
      </c>
      <c r="BK16" s="1421">
        <v>0</v>
      </c>
      <c r="BL16" s="1421">
        <v>0</v>
      </c>
      <c r="BM16" s="1421">
        <v>0</v>
      </c>
      <c r="BN16" s="1421">
        <v>0</v>
      </c>
      <c r="BO16" s="1421">
        <v>0</v>
      </c>
      <c r="BP16" s="1421">
        <v>0</v>
      </c>
      <c r="BQ16" s="1421">
        <v>0</v>
      </c>
      <c r="BR16" s="357">
        <v>0</v>
      </c>
    </row>
    <row r="17" spans="1:70" ht="23.25" customHeight="1">
      <c r="A17" s="468">
        <v>10</v>
      </c>
      <c r="B17" s="1699">
        <v>0</v>
      </c>
      <c r="C17" s="1527" t="s">
        <v>31</v>
      </c>
      <c r="D17" s="1380">
        <f t="shared" si="0"/>
        <v>0</v>
      </c>
      <c r="E17" s="2342">
        <f t="shared" si="1"/>
        <v>0</v>
      </c>
      <c r="F17" s="1381">
        <f t="shared" si="2"/>
        <v>0</v>
      </c>
      <c r="G17" s="2347">
        <f t="shared" si="12"/>
        <v>0</v>
      </c>
      <c r="H17" s="1928">
        <f t="shared" si="13"/>
        <v>0</v>
      </c>
      <c r="I17" s="1928">
        <f t="shared" si="3"/>
        <v>0</v>
      </c>
      <c r="J17" s="1928">
        <f t="shared" si="4"/>
        <v>0</v>
      </c>
      <c r="K17" s="1928">
        <f t="shared" si="5"/>
        <v>0</v>
      </c>
      <c r="L17" s="1928">
        <f t="shared" si="14"/>
        <v>0</v>
      </c>
      <c r="M17" s="1702">
        <v>0</v>
      </c>
      <c r="N17" s="1424">
        <v>0</v>
      </c>
      <c r="O17" s="1370">
        <f t="shared" si="15"/>
        <v>0</v>
      </c>
      <c r="P17" s="590">
        <v>0</v>
      </c>
      <c r="Q17" s="2300">
        <f t="shared" si="16"/>
        <v>0</v>
      </c>
      <c r="R17" s="2207">
        <v>0</v>
      </c>
      <c r="S17" s="2231">
        <f t="shared" si="17"/>
        <v>0</v>
      </c>
      <c r="T17" s="2213">
        <f t="shared" si="6"/>
        <v>0</v>
      </c>
      <c r="U17" s="2216">
        <f t="shared" si="7"/>
        <v>0</v>
      </c>
      <c r="V17" s="2213">
        <f t="shared" si="8"/>
        <v>0</v>
      </c>
      <c r="W17" s="1346"/>
      <c r="X17" s="1281">
        <f t="shared" si="9"/>
        <v>10</v>
      </c>
      <c r="Y17" s="2087" t="str">
        <f t="shared" si="10"/>
        <v>keine</v>
      </c>
      <c r="Z17" s="1329"/>
      <c r="AA17" s="1330" t="s">
        <v>795</v>
      </c>
      <c r="AB17" s="1424">
        <v>0</v>
      </c>
      <c r="AC17" s="1033">
        <f>VLOOKUP(AA17,Düngemittel!$B$6:$E$64,2,FALSE)*(VLOOKUP(AA17,Düngemittel!$B$6:$E$64,3,FALSE))/100*AB17</f>
        <v>0</v>
      </c>
      <c r="AD17" s="1033">
        <f>VLOOKUP(AA17,Düngemittel!$B$6:$E$64,2,FALSE)*AB17</f>
        <v>0</v>
      </c>
      <c r="AE17" s="1033">
        <f>VLOOKUP(AA17,Düngemittel!$B$6:$E$64,4,FALSE)*AB17</f>
        <v>0</v>
      </c>
      <c r="AF17" s="2089"/>
      <c r="AG17" s="1329"/>
      <c r="AH17" s="1330" t="s">
        <v>795</v>
      </c>
      <c r="AI17" s="1424">
        <v>0</v>
      </c>
      <c r="AJ17" s="1033">
        <f>VLOOKUP(AH17,Düngemittel!$B$6:$E$64,2,FALSE)*(VLOOKUP(AH17,Düngemittel!$B$6:$E$64,3,FALSE))/100*AI17</f>
        <v>0</v>
      </c>
      <c r="AK17" s="1033">
        <f>VLOOKUP(AH17,Düngemittel!$B$6:$E$64,2,FALSE)*AI17</f>
        <v>0</v>
      </c>
      <c r="AL17" s="1033">
        <f>VLOOKUP(AH17,Düngemittel!$B$6:$E$64,4,FALSE)*AI17</f>
        <v>0</v>
      </c>
      <c r="AM17" s="2089"/>
      <c r="AN17" s="1329"/>
      <c r="AO17" s="1330" t="s">
        <v>795</v>
      </c>
      <c r="AP17" s="1424">
        <v>0</v>
      </c>
      <c r="AQ17" s="1033">
        <f>VLOOKUP(AO17,Düngemittel!$B$6:$E$64,2,FALSE)*(VLOOKUP(AO17,Düngemittel!$B$6:$E$64,3,FALSE))/100*AP17</f>
        <v>0</v>
      </c>
      <c r="AR17" s="1033">
        <f>VLOOKUP(AO17,Düngemittel!$B$6:$E$64,2,FALSE)*AP17</f>
        <v>0</v>
      </c>
      <c r="AS17" s="1033">
        <f>VLOOKUP(AO17,Düngemittel!$B$6:$E$64,4,FALSE)*AP17</f>
        <v>0</v>
      </c>
      <c r="AT17" s="1371"/>
      <c r="AU17" s="1371"/>
      <c r="AV17" s="1372">
        <f t="shared" si="18"/>
        <v>0</v>
      </c>
      <c r="AW17" s="1373">
        <f t="shared" si="19"/>
        <v>0</v>
      </c>
      <c r="AX17" s="1374">
        <f t="shared" si="20"/>
        <v>0</v>
      </c>
      <c r="AY17" s="1375">
        <f t="shared" si="21"/>
        <v>0</v>
      </c>
      <c r="AZ17" s="1373">
        <f t="shared" si="22"/>
        <v>0</v>
      </c>
      <c r="BA17" s="1376"/>
      <c r="BB17" s="1372">
        <f t="shared" si="23"/>
        <v>0</v>
      </c>
      <c r="BC17" s="1372">
        <f t="shared" si="24"/>
        <v>0</v>
      </c>
      <c r="BD17" s="1372">
        <f t="shared" si="25"/>
        <v>0</v>
      </c>
      <c r="BE17" s="1816">
        <f t="shared" si="26"/>
        <v>0</v>
      </c>
      <c r="BF17" s="1372">
        <f t="shared" si="27"/>
        <v>0</v>
      </c>
      <c r="BG17" s="1377"/>
      <c r="BH17" s="1968" t="s">
        <v>1440</v>
      </c>
      <c r="BI17" s="1421">
        <v>50</v>
      </c>
      <c r="BJ17" s="1421">
        <v>45</v>
      </c>
      <c r="BK17" s="1421">
        <v>10</v>
      </c>
      <c r="BL17" s="1421">
        <v>2</v>
      </c>
      <c r="BM17" s="1421">
        <v>2</v>
      </c>
      <c r="BN17" s="1421">
        <v>0</v>
      </c>
      <c r="BO17" s="1421">
        <v>0</v>
      </c>
      <c r="BP17" s="2131">
        <v>30</v>
      </c>
      <c r="BQ17" s="2132">
        <v>0.23</v>
      </c>
      <c r="BR17" s="357">
        <v>0</v>
      </c>
    </row>
    <row r="18" spans="1:70" ht="23.25" customHeight="1">
      <c r="A18" s="468">
        <v>11</v>
      </c>
      <c r="B18" s="1699">
        <v>0</v>
      </c>
      <c r="C18" s="1527" t="s">
        <v>31</v>
      </c>
      <c r="D18" s="1380">
        <f t="shared" si="0"/>
        <v>0</v>
      </c>
      <c r="E18" s="2342">
        <f t="shared" si="1"/>
        <v>0</v>
      </c>
      <c r="F18" s="1381">
        <f t="shared" si="2"/>
        <v>0</v>
      </c>
      <c r="G18" s="2347">
        <f t="shared" si="12"/>
        <v>0</v>
      </c>
      <c r="H18" s="1928">
        <f t="shared" si="13"/>
        <v>0</v>
      </c>
      <c r="I18" s="1928">
        <f t="shared" si="3"/>
        <v>0</v>
      </c>
      <c r="J18" s="1928">
        <f t="shared" si="4"/>
        <v>0</v>
      </c>
      <c r="K18" s="1928">
        <f t="shared" si="5"/>
        <v>0</v>
      </c>
      <c r="L18" s="1928">
        <f t="shared" si="14"/>
        <v>0</v>
      </c>
      <c r="M18" s="1702">
        <v>0</v>
      </c>
      <c r="N18" s="1424">
        <v>0</v>
      </c>
      <c r="O18" s="1370">
        <f t="shared" si="15"/>
        <v>0</v>
      </c>
      <c r="P18" s="590">
        <v>0</v>
      </c>
      <c r="Q18" s="2300">
        <f t="shared" si="16"/>
        <v>0</v>
      </c>
      <c r="R18" s="2207">
        <v>0</v>
      </c>
      <c r="S18" s="2231">
        <f t="shared" si="17"/>
        <v>0</v>
      </c>
      <c r="T18" s="2213">
        <f t="shared" si="6"/>
        <v>0</v>
      </c>
      <c r="U18" s="2216">
        <f t="shared" si="7"/>
        <v>0</v>
      </c>
      <c r="V18" s="2213">
        <f t="shared" si="8"/>
        <v>0</v>
      </c>
      <c r="W18" s="1346"/>
      <c r="X18" s="1281">
        <f t="shared" si="9"/>
        <v>11</v>
      </c>
      <c r="Y18" s="2087" t="str">
        <f t="shared" si="10"/>
        <v>keine</v>
      </c>
      <c r="Z18" s="1329"/>
      <c r="AA18" s="1330" t="s">
        <v>795</v>
      </c>
      <c r="AB18" s="1424">
        <v>0</v>
      </c>
      <c r="AC18" s="1033">
        <f>VLOOKUP(AA18,Düngemittel!$B$6:$E$64,2,FALSE)*(VLOOKUP(AA18,Düngemittel!$B$6:$E$64,3,FALSE))/100*AB18</f>
        <v>0</v>
      </c>
      <c r="AD18" s="1033">
        <f>VLOOKUP(AA18,Düngemittel!$B$6:$E$64,2,FALSE)*AB18</f>
        <v>0</v>
      </c>
      <c r="AE18" s="1033">
        <f>VLOOKUP(AA18,Düngemittel!$B$6:$E$64,4,FALSE)*AB18</f>
        <v>0</v>
      </c>
      <c r="AF18" s="2089"/>
      <c r="AG18" s="1329"/>
      <c r="AH18" s="1330" t="s">
        <v>795</v>
      </c>
      <c r="AI18" s="1424">
        <v>0</v>
      </c>
      <c r="AJ18" s="1033">
        <f>VLOOKUP(AH18,Düngemittel!$B$6:$E$64,2,FALSE)*(VLOOKUP(AH18,Düngemittel!$B$6:$E$64,3,FALSE))/100*AI18</f>
        <v>0</v>
      </c>
      <c r="AK18" s="1033">
        <f>VLOOKUP(AH18,Düngemittel!$B$6:$E$64,2,FALSE)*AI18</f>
        <v>0</v>
      </c>
      <c r="AL18" s="1033">
        <f>VLOOKUP(AH18,Düngemittel!$B$6:$E$64,4,FALSE)*AI18</f>
        <v>0</v>
      </c>
      <c r="AM18" s="2089"/>
      <c r="AN18" s="1329"/>
      <c r="AO18" s="1330" t="s">
        <v>795</v>
      </c>
      <c r="AP18" s="1424">
        <v>0</v>
      </c>
      <c r="AQ18" s="1033">
        <f>VLOOKUP(AO18,Düngemittel!$B$6:$E$64,2,FALSE)*(VLOOKUP(AO18,Düngemittel!$B$6:$E$64,3,FALSE))/100*AP18</f>
        <v>0</v>
      </c>
      <c r="AR18" s="1033">
        <f>VLOOKUP(AO18,Düngemittel!$B$6:$E$64,2,FALSE)*AP18</f>
        <v>0</v>
      </c>
      <c r="AS18" s="1033">
        <f>VLOOKUP(AO18,Düngemittel!$B$6:$E$64,4,FALSE)*AP18</f>
        <v>0</v>
      </c>
      <c r="AT18" s="1371"/>
      <c r="AU18" s="1371"/>
      <c r="AV18" s="1372">
        <f t="shared" si="18"/>
        <v>0</v>
      </c>
      <c r="AW18" s="1373">
        <f t="shared" si="19"/>
        <v>0</v>
      </c>
      <c r="AX18" s="1374">
        <f t="shared" si="20"/>
        <v>0</v>
      </c>
      <c r="AY18" s="1375">
        <f t="shared" si="21"/>
        <v>0</v>
      </c>
      <c r="AZ18" s="1373">
        <f t="shared" si="22"/>
        <v>0</v>
      </c>
      <c r="BA18" s="1376"/>
      <c r="BB18" s="1372">
        <f t="shared" si="23"/>
        <v>0</v>
      </c>
      <c r="BC18" s="1372">
        <f t="shared" si="24"/>
        <v>0</v>
      </c>
      <c r="BD18" s="1372">
        <f t="shared" si="25"/>
        <v>0</v>
      </c>
      <c r="BE18" s="1816">
        <f t="shared" si="26"/>
        <v>0</v>
      </c>
      <c r="BF18" s="1372">
        <f t="shared" si="27"/>
        <v>0</v>
      </c>
      <c r="BG18" s="1377"/>
      <c r="BH18" s="1968" t="s">
        <v>1441</v>
      </c>
      <c r="BI18" s="1421">
        <v>50</v>
      </c>
      <c r="BJ18" s="1421">
        <v>45</v>
      </c>
      <c r="BK18" s="1421">
        <v>10</v>
      </c>
      <c r="BL18" s="1421">
        <v>2</v>
      </c>
      <c r="BM18" s="1421">
        <v>2</v>
      </c>
      <c r="BN18" s="1421">
        <v>0</v>
      </c>
      <c r="BO18" s="1421">
        <v>0</v>
      </c>
      <c r="BP18" s="2133">
        <v>30</v>
      </c>
      <c r="BQ18" s="2134">
        <v>0.2</v>
      </c>
      <c r="BR18" s="357">
        <v>0</v>
      </c>
    </row>
    <row r="19" spans="1:70" ht="23.25" customHeight="1">
      <c r="A19" s="468">
        <v>12</v>
      </c>
      <c r="B19" s="1699">
        <v>0</v>
      </c>
      <c r="C19" s="1527" t="s">
        <v>31</v>
      </c>
      <c r="D19" s="1380">
        <f t="shared" si="0"/>
        <v>0</v>
      </c>
      <c r="E19" s="2342">
        <f t="shared" si="1"/>
        <v>0</v>
      </c>
      <c r="F19" s="1381">
        <f t="shared" si="2"/>
        <v>0</v>
      </c>
      <c r="G19" s="2347">
        <f t="shared" si="12"/>
        <v>0</v>
      </c>
      <c r="H19" s="1928">
        <f t="shared" si="13"/>
        <v>0</v>
      </c>
      <c r="I19" s="1928">
        <f t="shared" si="3"/>
        <v>0</v>
      </c>
      <c r="J19" s="1928">
        <f t="shared" si="4"/>
        <v>0</v>
      </c>
      <c r="K19" s="1928">
        <f t="shared" si="5"/>
        <v>0</v>
      </c>
      <c r="L19" s="1928">
        <f t="shared" si="14"/>
        <v>0</v>
      </c>
      <c r="M19" s="1702">
        <v>0</v>
      </c>
      <c r="N19" s="1424">
        <v>0</v>
      </c>
      <c r="O19" s="1370">
        <f t="shared" si="15"/>
        <v>0</v>
      </c>
      <c r="P19" s="590">
        <v>0</v>
      </c>
      <c r="Q19" s="2300">
        <f t="shared" si="16"/>
        <v>0</v>
      </c>
      <c r="R19" s="2207">
        <v>0</v>
      </c>
      <c r="S19" s="2231">
        <f t="shared" si="17"/>
        <v>0</v>
      </c>
      <c r="T19" s="2213">
        <f t="shared" si="6"/>
        <v>0</v>
      </c>
      <c r="U19" s="2216">
        <f t="shared" si="7"/>
        <v>0</v>
      </c>
      <c r="V19" s="2213">
        <f t="shared" si="8"/>
        <v>0</v>
      </c>
      <c r="W19" s="1346"/>
      <c r="X19" s="1281">
        <f t="shared" si="9"/>
        <v>12</v>
      </c>
      <c r="Y19" s="2087" t="str">
        <f t="shared" si="10"/>
        <v>keine</v>
      </c>
      <c r="Z19" s="1329"/>
      <c r="AA19" s="1330" t="s">
        <v>795</v>
      </c>
      <c r="AB19" s="1424">
        <v>0</v>
      </c>
      <c r="AC19" s="1033">
        <f>VLOOKUP(AA19,Düngemittel!$B$6:$E$64,2,FALSE)*(VLOOKUP(AA19,Düngemittel!$B$6:$E$64,3,FALSE))/100*AB19</f>
        <v>0</v>
      </c>
      <c r="AD19" s="1033">
        <f>VLOOKUP(AA19,Düngemittel!$B$6:$E$64,2,FALSE)*AB19</f>
        <v>0</v>
      </c>
      <c r="AE19" s="1033">
        <f>VLOOKUP(AA19,Düngemittel!$B$6:$E$64,4,FALSE)*AB19</f>
        <v>0</v>
      </c>
      <c r="AF19" s="2089"/>
      <c r="AG19" s="1329"/>
      <c r="AH19" s="1330" t="s">
        <v>795</v>
      </c>
      <c r="AI19" s="1424">
        <v>0</v>
      </c>
      <c r="AJ19" s="1033">
        <f>VLOOKUP(AH19,Düngemittel!$B$6:$E$64,2,FALSE)*(VLOOKUP(AH19,Düngemittel!$B$6:$E$64,3,FALSE))/100*AI19</f>
        <v>0</v>
      </c>
      <c r="AK19" s="1033">
        <f>VLOOKUP(AH19,Düngemittel!$B$6:$E$64,2,FALSE)*AI19</f>
        <v>0</v>
      </c>
      <c r="AL19" s="1033">
        <f>VLOOKUP(AH19,Düngemittel!$B$6:$E$64,4,FALSE)*AI19</f>
        <v>0</v>
      </c>
      <c r="AM19" s="2089"/>
      <c r="AN19" s="1329"/>
      <c r="AO19" s="1330" t="s">
        <v>795</v>
      </c>
      <c r="AP19" s="1424">
        <v>0</v>
      </c>
      <c r="AQ19" s="1033">
        <f>VLOOKUP(AO19,Düngemittel!$B$6:$E$64,2,FALSE)*(VLOOKUP(AO19,Düngemittel!$B$6:$E$64,3,FALSE))/100*AP19</f>
        <v>0</v>
      </c>
      <c r="AR19" s="1033">
        <f>VLOOKUP(AO19,Düngemittel!$B$6:$E$64,2,FALSE)*AP19</f>
        <v>0</v>
      </c>
      <c r="AS19" s="1033">
        <f>VLOOKUP(AO19,Düngemittel!$B$6:$E$64,4,FALSE)*AP19</f>
        <v>0</v>
      </c>
      <c r="AT19" s="1371"/>
      <c r="AU19" s="1371"/>
      <c r="AV19" s="1372">
        <f t="shared" si="18"/>
        <v>0</v>
      </c>
      <c r="AW19" s="1373">
        <f t="shared" si="19"/>
        <v>0</v>
      </c>
      <c r="AX19" s="1374">
        <f t="shared" si="20"/>
        <v>0</v>
      </c>
      <c r="AY19" s="1375">
        <f t="shared" si="21"/>
        <v>0</v>
      </c>
      <c r="AZ19" s="1373">
        <f t="shared" si="22"/>
        <v>0</v>
      </c>
      <c r="BA19" s="1376"/>
      <c r="BB19" s="1372">
        <f t="shared" si="23"/>
        <v>0</v>
      </c>
      <c r="BC19" s="1372">
        <f t="shared" si="24"/>
        <v>0</v>
      </c>
      <c r="BD19" s="1372">
        <f t="shared" si="25"/>
        <v>0</v>
      </c>
      <c r="BE19" s="1816">
        <f t="shared" si="26"/>
        <v>0</v>
      </c>
      <c r="BF19" s="1372">
        <f t="shared" si="27"/>
        <v>0</v>
      </c>
      <c r="BG19" s="1377"/>
      <c r="BH19" s="1968" t="s">
        <v>1442</v>
      </c>
      <c r="BI19" s="1421">
        <v>80</v>
      </c>
      <c r="BJ19" s="1421">
        <v>85</v>
      </c>
      <c r="BK19" s="1421">
        <v>10</v>
      </c>
      <c r="BL19" s="1421">
        <v>4</v>
      </c>
      <c r="BM19" s="1421">
        <v>4</v>
      </c>
      <c r="BN19" s="1421">
        <v>0</v>
      </c>
      <c r="BO19" s="1421">
        <v>0</v>
      </c>
      <c r="BP19" s="2135">
        <v>60</v>
      </c>
      <c r="BQ19" s="2134">
        <v>0.18</v>
      </c>
      <c r="BR19" s="357">
        <v>0</v>
      </c>
    </row>
    <row r="20" spans="1:70" ht="23.25" customHeight="1">
      <c r="A20" s="468">
        <v>13</v>
      </c>
      <c r="B20" s="1699">
        <v>0</v>
      </c>
      <c r="C20" s="1527" t="s">
        <v>31</v>
      </c>
      <c r="D20" s="1380">
        <f t="shared" si="0"/>
        <v>0</v>
      </c>
      <c r="E20" s="2342">
        <f t="shared" si="1"/>
        <v>0</v>
      </c>
      <c r="F20" s="1381">
        <f t="shared" si="2"/>
        <v>0</v>
      </c>
      <c r="G20" s="2347">
        <f t="shared" si="12"/>
        <v>0</v>
      </c>
      <c r="H20" s="1928">
        <f t="shared" si="13"/>
        <v>0</v>
      </c>
      <c r="I20" s="1928">
        <f t="shared" si="3"/>
        <v>0</v>
      </c>
      <c r="J20" s="1928">
        <f t="shared" si="4"/>
        <v>0</v>
      </c>
      <c r="K20" s="1928">
        <f t="shared" si="5"/>
        <v>0</v>
      </c>
      <c r="L20" s="1928">
        <f t="shared" si="14"/>
        <v>0</v>
      </c>
      <c r="M20" s="1702">
        <v>0</v>
      </c>
      <c r="N20" s="1424">
        <v>0</v>
      </c>
      <c r="O20" s="1370">
        <f t="shared" si="15"/>
        <v>0</v>
      </c>
      <c r="P20" s="590">
        <v>0</v>
      </c>
      <c r="Q20" s="2300">
        <f t="shared" si="16"/>
        <v>0</v>
      </c>
      <c r="R20" s="2207">
        <v>0</v>
      </c>
      <c r="S20" s="2231">
        <f t="shared" si="17"/>
        <v>0</v>
      </c>
      <c r="T20" s="2213">
        <f t="shared" si="6"/>
        <v>0</v>
      </c>
      <c r="U20" s="2216">
        <f t="shared" si="7"/>
        <v>0</v>
      </c>
      <c r="V20" s="2213">
        <f t="shared" si="8"/>
        <v>0</v>
      </c>
      <c r="W20" s="1346"/>
      <c r="X20" s="1281">
        <f t="shared" si="9"/>
        <v>13</v>
      </c>
      <c r="Y20" s="2087" t="str">
        <f t="shared" si="10"/>
        <v>keine</v>
      </c>
      <c r="Z20" s="1329"/>
      <c r="AA20" s="1330" t="s">
        <v>795</v>
      </c>
      <c r="AB20" s="1424">
        <v>0</v>
      </c>
      <c r="AC20" s="1033">
        <f>VLOOKUP(AA20,Düngemittel!$B$6:$E$64,2,FALSE)*(VLOOKUP(AA20,Düngemittel!$B$6:$E$64,3,FALSE))/100*AB20</f>
        <v>0</v>
      </c>
      <c r="AD20" s="1033">
        <f>VLOOKUP(AA20,Düngemittel!$B$6:$E$64,2,FALSE)*AB20</f>
        <v>0</v>
      </c>
      <c r="AE20" s="1033">
        <f>VLOOKUP(AA20,Düngemittel!$B$6:$E$64,4,FALSE)*AB20</f>
        <v>0</v>
      </c>
      <c r="AF20" s="2089"/>
      <c r="AG20" s="1329"/>
      <c r="AH20" s="1330" t="s">
        <v>795</v>
      </c>
      <c r="AI20" s="1424">
        <v>0</v>
      </c>
      <c r="AJ20" s="1033">
        <f>VLOOKUP(AH20,Düngemittel!$B$6:$E$64,2,FALSE)*(VLOOKUP(AH20,Düngemittel!$B$6:$E$64,3,FALSE))/100*AI20</f>
        <v>0</v>
      </c>
      <c r="AK20" s="1033">
        <f>VLOOKUP(AH20,Düngemittel!$B$6:$E$64,2,FALSE)*AI20</f>
        <v>0</v>
      </c>
      <c r="AL20" s="1033">
        <f>VLOOKUP(AH20,Düngemittel!$B$6:$E$64,4,FALSE)*AI20</f>
        <v>0</v>
      </c>
      <c r="AM20" s="2089"/>
      <c r="AN20" s="1329"/>
      <c r="AO20" s="1330" t="s">
        <v>795</v>
      </c>
      <c r="AP20" s="1424">
        <v>0</v>
      </c>
      <c r="AQ20" s="1033">
        <f>VLOOKUP(AO20,Düngemittel!$B$6:$E$64,2,FALSE)*(VLOOKUP(AO20,Düngemittel!$B$6:$E$64,3,FALSE))/100*AP20</f>
        <v>0</v>
      </c>
      <c r="AR20" s="1033">
        <f>VLOOKUP(AO20,Düngemittel!$B$6:$E$64,2,FALSE)*AP20</f>
        <v>0</v>
      </c>
      <c r="AS20" s="1033">
        <f>VLOOKUP(AO20,Düngemittel!$B$6:$E$64,4,FALSE)*AP20</f>
        <v>0</v>
      </c>
      <c r="AT20" s="1371"/>
      <c r="AU20" s="1371"/>
      <c r="AV20" s="1372">
        <f t="shared" si="18"/>
        <v>0</v>
      </c>
      <c r="AW20" s="1373">
        <f t="shared" si="19"/>
        <v>0</v>
      </c>
      <c r="AX20" s="1374">
        <f t="shared" si="20"/>
        <v>0</v>
      </c>
      <c r="AY20" s="1375">
        <f t="shared" si="21"/>
        <v>0</v>
      </c>
      <c r="AZ20" s="1373">
        <f t="shared" si="22"/>
        <v>0</v>
      </c>
      <c r="BA20" s="1376"/>
      <c r="BB20" s="1372">
        <f t="shared" si="23"/>
        <v>0</v>
      </c>
      <c r="BC20" s="1372">
        <f t="shared" si="24"/>
        <v>0</v>
      </c>
      <c r="BD20" s="1372">
        <f t="shared" si="25"/>
        <v>0</v>
      </c>
      <c r="BE20" s="1816">
        <f t="shared" si="26"/>
        <v>0</v>
      </c>
      <c r="BF20" s="1372">
        <f t="shared" si="27"/>
        <v>0</v>
      </c>
      <c r="BG20" s="1377"/>
      <c r="BH20" s="1968" t="s">
        <v>1443</v>
      </c>
      <c r="BI20" s="1421">
        <v>300</v>
      </c>
      <c r="BJ20" s="1421">
        <v>205</v>
      </c>
      <c r="BK20" s="1421">
        <v>10</v>
      </c>
      <c r="BL20" s="1421">
        <v>21</v>
      </c>
      <c r="BM20" s="1421">
        <v>21</v>
      </c>
      <c r="BN20" s="1421">
        <v>0</v>
      </c>
      <c r="BO20" s="1421">
        <v>0</v>
      </c>
      <c r="BP20" s="2131">
        <v>60</v>
      </c>
      <c r="BQ20" s="2132">
        <v>0.24009999999999998</v>
      </c>
      <c r="BR20" s="357">
        <v>0</v>
      </c>
    </row>
    <row r="21" spans="1:70" ht="23.25" customHeight="1">
      <c r="A21" s="468">
        <v>14</v>
      </c>
      <c r="B21" s="1699">
        <v>0</v>
      </c>
      <c r="C21" s="1527" t="s">
        <v>31</v>
      </c>
      <c r="D21" s="1380">
        <f t="shared" si="0"/>
        <v>0</v>
      </c>
      <c r="E21" s="2342">
        <f t="shared" si="1"/>
        <v>0</v>
      </c>
      <c r="F21" s="1381">
        <f t="shared" si="2"/>
        <v>0</v>
      </c>
      <c r="G21" s="2347">
        <f t="shared" si="12"/>
        <v>0</v>
      </c>
      <c r="H21" s="1928">
        <f t="shared" si="13"/>
        <v>0</v>
      </c>
      <c r="I21" s="1928">
        <f t="shared" si="3"/>
        <v>0</v>
      </c>
      <c r="J21" s="1928">
        <f t="shared" si="4"/>
        <v>0</v>
      </c>
      <c r="K21" s="1928">
        <f t="shared" si="5"/>
        <v>0</v>
      </c>
      <c r="L21" s="1928">
        <f t="shared" si="14"/>
        <v>0</v>
      </c>
      <c r="M21" s="1702">
        <v>0</v>
      </c>
      <c r="N21" s="1424">
        <v>0</v>
      </c>
      <c r="O21" s="1370">
        <f t="shared" si="15"/>
        <v>0</v>
      </c>
      <c r="P21" s="590">
        <v>0</v>
      </c>
      <c r="Q21" s="2300">
        <f t="shared" si="16"/>
        <v>0</v>
      </c>
      <c r="R21" s="2207">
        <v>0</v>
      </c>
      <c r="S21" s="2231">
        <f t="shared" si="17"/>
        <v>0</v>
      </c>
      <c r="T21" s="2213">
        <f t="shared" si="6"/>
        <v>0</v>
      </c>
      <c r="U21" s="2216">
        <f t="shared" si="7"/>
        <v>0</v>
      </c>
      <c r="V21" s="2213">
        <f t="shared" si="8"/>
        <v>0</v>
      </c>
      <c r="W21" s="1346"/>
      <c r="X21" s="1281">
        <f t="shared" si="9"/>
        <v>14</v>
      </c>
      <c r="Y21" s="2087" t="str">
        <f t="shared" si="10"/>
        <v>keine</v>
      </c>
      <c r="Z21" s="1329"/>
      <c r="AA21" s="1330" t="s">
        <v>795</v>
      </c>
      <c r="AB21" s="1424">
        <v>0</v>
      </c>
      <c r="AC21" s="1033">
        <f>VLOOKUP(AA21,Düngemittel!$B$6:$E$64,2,FALSE)*(VLOOKUP(AA21,Düngemittel!$B$6:$E$64,3,FALSE))/100*AB21</f>
        <v>0</v>
      </c>
      <c r="AD21" s="1033">
        <f>VLOOKUP(AA21,Düngemittel!$B$6:$E$64,2,FALSE)*AB21</f>
        <v>0</v>
      </c>
      <c r="AE21" s="1033">
        <f>VLOOKUP(AA21,Düngemittel!$B$6:$E$64,4,FALSE)*AB21</f>
        <v>0</v>
      </c>
      <c r="AF21" s="2089"/>
      <c r="AG21" s="1329"/>
      <c r="AH21" s="1330" t="s">
        <v>795</v>
      </c>
      <c r="AI21" s="1424">
        <v>0</v>
      </c>
      <c r="AJ21" s="1033">
        <f>VLOOKUP(AH21,Düngemittel!$B$6:$E$64,2,FALSE)*(VLOOKUP(AH21,Düngemittel!$B$6:$E$64,3,FALSE))/100*AI21</f>
        <v>0</v>
      </c>
      <c r="AK21" s="1033">
        <f>VLOOKUP(AH21,Düngemittel!$B$6:$E$64,2,FALSE)*AI21</f>
        <v>0</v>
      </c>
      <c r="AL21" s="1033">
        <f>VLOOKUP(AH21,Düngemittel!$B$6:$E$64,4,FALSE)*AI21</f>
        <v>0</v>
      </c>
      <c r="AM21" s="2089"/>
      <c r="AN21" s="1329"/>
      <c r="AO21" s="1330" t="s">
        <v>795</v>
      </c>
      <c r="AP21" s="1424">
        <v>0</v>
      </c>
      <c r="AQ21" s="1033">
        <f>VLOOKUP(AO21,Düngemittel!$B$6:$E$64,2,FALSE)*(VLOOKUP(AO21,Düngemittel!$B$6:$E$64,3,FALSE))/100*AP21</f>
        <v>0</v>
      </c>
      <c r="AR21" s="1033">
        <f>VLOOKUP(AO21,Düngemittel!$B$6:$E$64,2,FALSE)*AP21</f>
        <v>0</v>
      </c>
      <c r="AS21" s="1033">
        <f>VLOOKUP(AO21,Düngemittel!$B$6:$E$64,4,FALSE)*AP21</f>
        <v>0</v>
      </c>
      <c r="AT21" s="1371"/>
      <c r="AU21" s="1371"/>
      <c r="AV21" s="1372">
        <f t="shared" si="18"/>
        <v>0</v>
      </c>
      <c r="AW21" s="1373">
        <f t="shared" si="19"/>
        <v>0</v>
      </c>
      <c r="AX21" s="1374">
        <f t="shared" si="20"/>
        <v>0</v>
      </c>
      <c r="AY21" s="1375">
        <f t="shared" si="21"/>
        <v>0</v>
      </c>
      <c r="AZ21" s="1373">
        <f t="shared" si="22"/>
        <v>0</v>
      </c>
      <c r="BA21" s="1376"/>
      <c r="BB21" s="1372">
        <f t="shared" si="23"/>
        <v>0</v>
      </c>
      <c r="BC21" s="1372">
        <f t="shared" si="24"/>
        <v>0</v>
      </c>
      <c r="BD21" s="1372">
        <f t="shared" si="25"/>
        <v>0</v>
      </c>
      <c r="BE21" s="1816">
        <f t="shared" si="26"/>
        <v>0</v>
      </c>
      <c r="BF21" s="1372">
        <f t="shared" si="27"/>
        <v>0</v>
      </c>
      <c r="BG21" s="1377"/>
      <c r="BH21" s="1968" t="s">
        <v>1444</v>
      </c>
      <c r="BI21" s="1421">
        <v>300</v>
      </c>
      <c r="BJ21" s="1421">
        <v>205</v>
      </c>
      <c r="BK21" s="1421">
        <v>10</v>
      </c>
      <c r="BL21" s="1421">
        <v>21</v>
      </c>
      <c r="BM21" s="1421">
        <v>21</v>
      </c>
      <c r="BN21" s="1421">
        <v>0</v>
      </c>
      <c r="BO21" s="1421">
        <v>0</v>
      </c>
      <c r="BP21" s="2135">
        <v>60</v>
      </c>
      <c r="BQ21" s="2132">
        <v>0.21</v>
      </c>
      <c r="BR21" s="357">
        <v>0</v>
      </c>
    </row>
    <row r="22" spans="1:70" ht="23.25" customHeight="1">
      <c r="A22" s="468">
        <v>15</v>
      </c>
      <c r="B22" s="1699">
        <v>0</v>
      </c>
      <c r="C22" s="1527" t="s">
        <v>31</v>
      </c>
      <c r="D22" s="1380">
        <f t="shared" si="0"/>
        <v>0</v>
      </c>
      <c r="E22" s="2342">
        <f t="shared" si="1"/>
        <v>0</v>
      </c>
      <c r="F22" s="1381">
        <f t="shared" si="2"/>
        <v>0</v>
      </c>
      <c r="G22" s="2347">
        <f t="shared" si="12"/>
        <v>0</v>
      </c>
      <c r="H22" s="1928">
        <f t="shared" si="13"/>
        <v>0</v>
      </c>
      <c r="I22" s="1928">
        <f t="shared" si="3"/>
        <v>0</v>
      </c>
      <c r="J22" s="1928">
        <f t="shared" si="4"/>
        <v>0</v>
      </c>
      <c r="K22" s="1928">
        <f t="shared" si="5"/>
        <v>0</v>
      </c>
      <c r="L22" s="1928">
        <f t="shared" si="14"/>
        <v>0</v>
      </c>
      <c r="M22" s="1702">
        <v>0</v>
      </c>
      <c r="N22" s="1424">
        <v>0</v>
      </c>
      <c r="O22" s="1370">
        <f t="shared" si="15"/>
        <v>0</v>
      </c>
      <c r="P22" s="590">
        <v>0</v>
      </c>
      <c r="Q22" s="2300">
        <f t="shared" si="16"/>
        <v>0</v>
      </c>
      <c r="R22" s="2207">
        <v>0</v>
      </c>
      <c r="S22" s="2231">
        <f t="shared" si="17"/>
        <v>0</v>
      </c>
      <c r="T22" s="2213">
        <f t="shared" si="6"/>
        <v>0</v>
      </c>
      <c r="U22" s="2216">
        <f t="shared" si="7"/>
        <v>0</v>
      </c>
      <c r="V22" s="2213">
        <f t="shared" si="8"/>
        <v>0</v>
      </c>
      <c r="W22" s="1346"/>
      <c r="X22" s="1281">
        <f t="shared" si="9"/>
        <v>15</v>
      </c>
      <c r="Y22" s="2087" t="str">
        <f t="shared" si="10"/>
        <v>keine</v>
      </c>
      <c r="Z22" s="1329"/>
      <c r="AA22" s="1330" t="s">
        <v>795</v>
      </c>
      <c r="AB22" s="1424">
        <v>0</v>
      </c>
      <c r="AC22" s="1033">
        <f>VLOOKUP(AA22,Düngemittel!$B$6:$E$64,2,FALSE)*(VLOOKUP(AA22,Düngemittel!$B$6:$E$64,3,FALSE))/100*AB22</f>
        <v>0</v>
      </c>
      <c r="AD22" s="1033">
        <f>VLOOKUP(AA22,Düngemittel!$B$6:$E$64,2,FALSE)*AB22</f>
        <v>0</v>
      </c>
      <c r="AE22" s="1033">
        <f>VLOOKUP(AA22,Düngemittel!$B$6:$E$64,4,FALSE)*AB22</f>
        <v>0</v>
      </c>
      <c r="AF22" s="2089"/>
      <c r="AG22" s="1329"/>
      <c r="AH22" s="1330" t="s">
        <v>795</v>
      </c>
      <c r="AI22" s="1424">
        <v>0</v>
      </c>
      <c r="AJ22" s="1033">
        <f>VLOOKUP(AH22,Düngemittel!$B$6:$E$64,2,FALSE)*(VLOOKUP(AH22,Düngemittel!$B$6:$E$64,3,FALSE))/100*AI22</f>
        <v>0</v>
      </c>
      <c r="AK22" s="1033">
        <f>VLOOKUP(AH22,Düngemittel!$B$6:$E$64,2,FALSE)*AI22</f>
        <v>0</v>
      </c>
      <c r="AL22" s="1033">
        <f>VLOOKUP(AH22,Düngemittel!$B$6:$E$64,4,FALSE)*AI22</f>
        <v>0</v>
      </c>
      <c r="AM22" s="2089"/>
      <c r="AN22" s="1329"/>
      <c r="AO22" s="1330" t="s">
        <v>795</v>
      </c>
      <c r="AP22" s="1424">
        <v>0</v>
      </c>
      <c r="AQ22" s="1033">
        <f>VLOOKUP(AO22,Düngemittel!$B$6:$E$64,2,FALSE)*(VLOOKUP(AO22,Düngemittel!$B$6:$E$64,3,FALSE))/100*AP22</f>
        <v>0</v>
      </c>
      <c r="AR22" s="1033">
        <f>VLOOKUP(AO22,Düngemittel!$B$6:$E$64,2,FALSE)*AP22</f>
        <v>0</v>
      </c>
      <c r="AS22" s="1033">
        <f>VLOOKUP(AO22,Düngemittel!$B$6:$E$64,4,FALSE)*AP22</f>
        <v>0</v>
      </c>
      <c r="AT22" s="1371"/>
      <c r="AU22" s="1371"/>
      <c r="AV22" s="1372">
        <f t="shared" si="18"/>
        <v>0</v>
      </c>
      <c r="AW22" s="1373">
        <f t="shared" si="19"/>
        <v>0</v>
      </c>
      <c r="AX22" s="1374">
        <f t="shared" si="20"/>
        <v>0</v>
      </c>
      <c r="AY22" s="1375">
        <f t="shared" si="21"/>
        <v>0</v>
      </c>
      <c r="AZ22" s="1373">
        <f t="shared" si="22"/>
        <v>0</v>
      </c>
      <c r="BA22" s="1376"/>
      <c r="BB22" s="1372">
        <f t="shared" si="23"/>
        <v>0</v>
      </c>
      <c r="BC22" s="1372">
        <f t="shared" si="24"/>
        <v>0</v>
      </c>
      <c r="BD22" s="1372">
        <f t="shared" si="25"/>
        <v>0</v>
      </c>
      <c r="BE22" s="1816">
        <f t="shared" si="26"/>
        <v>0</v>
      </c>
      <c r="BF22" s="1372">
        <f t="shared" si="27"/>
        <v>0</v>
      </c>
      <c r="BG22" s="1377"/>
      <c r="BH22" s="1968" t="s">
        <v>1445</v>
      </c>
      <c r="BI22" s="1421">
        <v>700</v>
      </c>
      <c r="BJ22" s="1421">
        <v>180</v>
      </c>
      <c r="BK22" s="1421">
        <v>10</v>
      </c>
      <c r="BL22" s="1421">
        <v>18</v>
      </c>
      <c r="BM22" s="1421">
        <v>18</v>
      </c>
      <c r="BN22" s="1421">
        <v>0</v>
      </c>
      <c r="BO22" s="1421">
        <v>0</v>
      </c>
      <c r="BP22" s="2131">
        <v>60</v>
      </c>
      <c r="BQ22" s="2134">
        <v>7.0000000000000007E-2</v>
      </c>
      <c r="BR22" s="357">
        <v>0</v>
      </c>
    </row>
    <row r="23" spans="1:70" ht="23.25" customHeight="1">
      <c r="A23" s="468">
        <v>16</v>
      </c>
      <c r="B23" s="1699">
        <v>0</v>
      </c>
      <c r="C23" s="1527" t="s">
        <v>31</v>
      </c>
      <c r="D23" s="1380">
        <f t="shared" si="0"/>
        <v>0</v>
      </c>
      <c r="E23" s="2342">
        <f t="shared" si="1"/>
        <v>0</v>
      </c>
      <c r="F23" s="1381">
        <f t="shared" si="2"/>
        <v>0</v>
      </c>
      <c r="G23" s="2347">
        <f t="shared" si="12"/>
        <v>0</v>
      </c>
      <c r="H23" s="1928">
        <f t="shared" si="13"/>
        <v>0</v>
      </c>
      <c r="I23" s="1928">
        <f t="shared" si="3"/>
        <v>0</v>
      </c>
      <c r="J23" s="1928">
        <f t="shared" si="4"/>
        <v>0</v>
      </c>
      <c r="K23" s="1928">
        <f t="shared" si="5"/>
        <v>0</v>
      </c>
      <c r="L23" s="1928">
        <f t="shared" si="14"/>
        <v>0</v>
      </c>
      <c r="M23" s="1702">
        <v>0</v>
      </c>
      <c r="N23" s="1424">
        <v>0</v>
      </c>
      <c r="O23" s="1370">
        <f t="shared" si="15"/>
        <v>0</v>
      </c>
      <c r="P23" s="590">
        <v>0</v>
      </c>
      <c r="Q23" s="2300">
        <f t="shared" si="16"/>
        <v>0</v>
      </c>
      <c r="R23" s="2207">
        <v>0</v>
      </c>
      <c r="S23" s="2231">
        <f t="shared" si="17"/>
        <v>0</v>
      </c>
      <c r="T23" s="2213">
        <f t="shared" si="6"/>
        <v>0</v>
      </c>
      <c r="U23" s="2216">
        <f t="shared" si="7"/>
        <v>0</v>
      </c>
      <c r="V23" s="2213">
        <f t="shared" si="8"/>
        <v>0</v>
      </c>
      <c r="W23" s="1346"/>
      <c r="X23" s="1281">
        <f t="shared" si="9"/>
        <v>16</v>
      </c>
      <c r="Y23" s="2087" t="str">
        <f t="shared" si="10"/>
        <v>keine</v>
      </c>
      <c r="Z23" s="1329"/>
      <c r="AA23" s="1330" t="s">
        <v>795</v>
      </c>
      <c r="AB23" s="1424">
        <v>0</v>
      </c>
      <c r="AC23" s="1033">
        <f>VLOOKUP(AA23,Düngemittel!$B$6:$E$64,2,FALSE)*(VLOOKUP(AA23,Düngemittel!$B$6:$E$64,3,FALSE))/100*AB23</f>
        <v>0</v>
      </c>
      <c r="AD23" s="1033">
        <f>VLOOKUP(AA23,Düngemittel!$B$6:$E$64,2,FALSE)*AB23</f>
        <v>0</v>
      </c>
      <c r="AE23" s="1033">
        <f>VLOOKUP(AA23,Düngemittel!$B$6:$E$64,4,FALSE)*AB23</f>
        <v>0</v>
      </c>
      <c r="AF23" s="2089"/>
      <c r="AG23" s="1329"/>
      <c r="AH23" s="1330" t="s">
        <v>795</v>
      </c>
      <c r="AI23" s="1424">
        <v>0</v>
      </c>
      <c r="AJ23" s="1033">
        <f>VLOOKUP(AH23,Düngemittel!$B$6:$E$64,2,FALSE)*(VLOOKUP(AH23,Düngemittel!$B$6:$E$64,3,FALSE))/100*AI23</f>
        <v>0</v>
      </c>
      <c r="AK23" s="1033">
        <f>VLOOKUP(AH23,Düngemittel!$B$6:$E$64,2,FALSE)*AI23</f>
        <v>0</v>
      </c>
      <c r="AL23" s="1033">
        <f>VLOOKUP(AH23,Düngemittel!$B$6:$E$64,4,FALSE)*AI23</f>
        <v>0</v>
      </c>
      <c r="AM23" s="2089"/>
      <c r="AN23" s="1329"/>
      <c r="AO23" s="1330" t="s">
        <v>795</v>
      </c>
      <c r="AP23" s="1424">
        <v>0</v>
      </c>
      <c r="AQ23" s="1033">
        <f>VLOOKUP(AO23,Düngemittel!$B$6:$E$64,2,FALSE)*(VLOOKUP(AO23,Düngemittel!$B$6:$E$64,3,FALSE))/100*AP23</f>
        <v>0</v>
      </c>
      <c r="AR23" s="1033">
        <f>VLOOKUP(AO23,Düngemittel!$B$6:$E$64,2,FALSE)*AP23</f>
        <v>0</v>
      </c>
      <c r="AS23" s="1033">
        <f>VLOOKUP(AO23,Düngemittel!$B$6:$E$64,4,FALSE)*AP23</f>
        <v>0</v>
      </c>
      <c r="AT23" s="1371"/>
      <c r="AU23" s="1371"/>
      <c r="AV23" s="1372">
        <f t="shared" si="18"/>
        <v>0</v>
      </c>
      <c r="AW23" s="1373">
        <f t="shared" si="19"/>
        <v>0</v>
      </c>
      <c r="AX23" s="1374">
        <f t="shared" si="20"/>
        <v>0</v>
      </c>
      <c r="AY23" s="1375">
        <f t="shared" si="21"/>
        <v>0</v>
      </c>
      <c r="AZ23" s="1373">
        <f t="shared" si="22"/>
        <v>0</v>
      </c>
      <c r="BA23" s="1376"/>
      <c r="BB23" s="1372">
        <f t="shared" si="23"/>
        <v>0</v>
      </c>
      <c r="BC23" s="1372">
        <f t="shared" si="24"/>
        <v>0</v>
      </c>
      <c r="BD23" s="1372">
        <f t="shared" si="25"/>
        <v>0</v>
      </c>
      <c r="BE23" s="1816">
        <f t="shared" si="26"/>
        <v>0</v>
      </c>
      <c r="BF23" s="1372">
        <f t="shared" si="27"/>
        <v>0</v>
      </c>
      <c r="BG23" s="1377"/>
      <c r="BH23" s="1968" t="s">
        <v>1446</v>
      </c>
      <c r="BI23" s="1421">
        <v>720</v>
      </c>
      <c r="BJ23" s="1421">
        <v>290</v>
      </c>
      <c r="BK23" s="1421">
        <v>10</v>
      </c>
      <c r="BL23" s="1421">
        <v>29</v>
      </c>
      <c r="BM23" s="1421">
        <v>29</v>
      </c>
      <c r="BN23" s="1421">
        <v>0</v>
      </c>
      <c r="BO23" s="1421">
        <v>0</v>
      </c>
      <c r="BP23" s="2136">
        <v>60</v>
      </c>
      <c r="BQ23" s="2132">
        <v>0.11</v>
      </c>
      <c r="BR23" s="357">
        <v>0</v>
      </c>
    </row>
    <row r="24" spans="1:70" ht="23.25" customHeight="1">
      <c r="A24" s="468">
        <v>17</v>
      </c>
      <c r="B24" s="1699">
        <v>0</v>
      </c>
      <c r="C24" s="1527" t="s">
        <v>31</v>
      </c>
      <c r="D24" s="1380">
        <f t="shared" si="0"/>
        <v>0</v>
      </c>
      <c r="E24" s="2342">
        <f t="shared" si="1"/>
        <v>0</v>
      </c>
      <c r="F24" s="1381">
        <f t="shared" si="2"/>
        <v>0</v>
      </c>
      <c r="G24" s="2347">
        <f t="shared" si="12"/>
        <v>0</v>
      </c>
      <c r="H24" s="1928">
        <f t="shared" si="13"/>
        <v>0</v>
      </c>
      <c r="I24" s="1928">
        <f t="shared" si="3"/>
        <v>0</v>
      </c>
      <c r="J24" s="1928">
        <f t="shared" si="4"/>
        <v>0</v>
      </c>
      <c r="K24" s="1928">
        <f t="shared" si="5"/>
        <v>0</v>
      </c>
      <c r="L24" s="1928">
        <f t="shared" si="14"/>
        <v>0</v>
      </c>
      <c r="M24" s="1702">
        <v>0</v>
      </c>
      <c r="N24" s="1424">
        <v>0</v>
      </c>
      <c r="O24" s="1370">
        <f t="shared" si="15"/>
        <v>0</v>
      </c>
      <c r="P24" s="590">
        <v>0</v>
      </c>
      <c r="Q24" s="2300">
        <f t="shared" si="16"/>
        <v>0</v>
      </c>
      <c r="R24" s="2207">
        <v>0</v>
      </c>
      <c r="S24" s="2231">
        <f t="shared" si="17"/>
        <v>0</v>
      </c>
      <c r="T24" s="2213">
        <f t="shared" si="6"/>
        <v>0</v>
      </c>
      <c r="U24" s="2216">
        <f t="shared" si="7"/>
        <v>0</v>
      </c>
      <c r="V24" s="2213">
        <f t="shared" si="8"/>
        <v>0</v>
      </c>
      <c r="W24" s="661"/>
      <c r="X24" s="1281">
        <f t="shared" si="9"/>
        <v>17</v>
      </c>
      <c r="Y24" s="2087" t="str">
        <f t="shared" si="10"/>
        <v>keine</v>
      </c>
      <c r="Z24" s="1329"/>
      <c r="AA24" s="1330" t="s">
        <v>795</v>
      </c>
      <c r="AB24" s="1424">
        <v>0</v>
      </c>
      <c r="AC24" s="1033">
        <f>VLOOKUP(AA24,Düngemittel!$B$6:$E$64,2,FALSE)*(VLOOKUP(AA24,Düngemittel!$B$6:$E$64,3,FALSE))/100*AB24</f>
        <v>0</v>
      </c>
      <c r="AD24" s="1033">
        <f>VLOOKUP(AA24,Düngemittel!$B$6:$E$64,2,FALSE)*AB24</f>
        <v>0</v>
      </c>
      <c r="AE24" s="1033">
        <f>VLOOKUP(AA24,Düngemittel!$B$6:$E$64,4,FALSE)*AB24</f>
        <v>0</v>
      </c>
      <c r="AF24" s="2089"/>
      <c r="AG24" s="1329"/>
      <c r="AH24" s="1330" t="s">
        <v>795</v>
      </c>
      <c r="AI24" s="1424">
        <v>0</v>
      </c>
      <c r="AJ24" s="1033">
        <f>VLOOKUP(AH24,Düngemittel!$B$6:$E$64,2,FALSE)*(VLOOKUP(AH24,Düngemittel!$B$6:$E$64,3,FALSE))/100*AI24</f>
        <v>0</v>
      </c>
      <c r="AK24" s="1033">
        <f>VLOOKUP(AH24,Düngemittel!$B$6:$E$64,2,FALSE)*AI24</f>
        <v>0</v>
      </c>
      <c r="AL24" s="1033">
        <f>VLOOKUP(AH24,Düngemittel!$B$6:$E$64,4,FALSE)*AI24</f>
        <v>0</v>
      </c>
      <c r="AM24" s="2089"/>
      <c r="AN24" s="1329"/>
      <c r="AO24" s="1330" t="s">
        <v>795</v>
      </c>
      <c r="AP24" s="1424">
        <v>0</v>
      </c>
      <c r="AQ24" s="1033">
        <f>VLOOKUP(AO24,Düngemittel!$B$6:$E$64,2,FALSE)*(VLOOKUP(AO24,Düngemittel!$B$6:$E$64,3,FALSE))/100*AP24</f>
        <v>0</v>
      </c>
      <c r="AR24" s="1033">
        <f>VLOOKUP(AO24,Düngemittel!$B$6:$E$64,2,FALSE)*AP24</f>
        <v>0</v>
      </c>
      <c r="AS24" s="1033">
        <f>VLOOKUP(AO24,Düngemittel!$B$6:$E$64,4,FALSE)*AP24</f>
        <v>0</v>
      </c>
      <c r="AT24" s="1371"/>
      <c r="AU24" s="1371"/>
      <c r="AV24" s="1372">
        <f t="shared" si="18"/>
        <v>0</v>
      </c>
      <c r="AW24" s="1373">
        <f t="shared" si="19"/>
        <v>0</v>
      </c>
      <c r="AX24" s="1374">
        <f t="shared" si="20"/>
        <v>0</v>
      </c>
      <c r="AY24" s="1375">
        <f t="shared" si="21"/>
        <v>0</v>
      </c>
      <c r="AZ24" s="1373">
        <f t="shared" si="22"/>
        <v>0</v>
      </c>
      <c r="BA24" s="1376"/>
      <c r="BB24" s="1372">
        <f t="shared" si="23"/>
        <v>0</v>
      </c>
      <c r="BC24" s="1372">
        <f t="shared" si="24"/>
        <v>0</v>
      </c>
      <c r="BD24" s="1372">
        <f t="shared" si="25"/>
        <v>0</v>
      </c>
      <c r="BE24" s="1816">
        <f t="shared" si="26"/>
        <v>0</v>
      </c>
      <c r="BF24" s="1372">
        <f t="shared" si="27"/>
        <v>0</v>
      </c>
      <c r="BG24" s="1377"/>
      <c r="BH24" s="1968" t="s">
        <v>1447</v>
      </c>
      <c r="BI24" s="1421">
        <v>300</v>
      </c>
      <c r="BJ24" s="1421">
        <v>185</v>
      </c>
      <c r="BK24" s="1421">
        <v>10</v>
      </c>
      <c r="BL24" s="1421">
        <v>19</v>
      </c>
      <c r="BM24" s="1421">
        <v>19</v>
      </c>
      <c r="BN24" s="1421">
        <v>0</v>
      </c>
      <c r="BO24" s="1421">
        <v>0</v>
      </c>
      <c r="BP24" s="2133">
        <v>60</v>
      </c>
      <c r="BQ24" s="2134">
        <v>0.19</v>
      </c>
      <c r="BR24" s="357">
        <v>0</v>
      </c>
    </row>
    <row r="25" spans="1:70" ht="23.25" customHeight="1">
      <c r="A25" s="468">
        <v>18</v>
      </c>
      <c r="B25" s="1699">
        <v>0</v>
      </c>
      <c r="C25" s="1527" t="s">
        <v>31</v>
      </c>
      <c r="D25" s="1380">
        <f t="shared" si="0"/>
        <v>0</v>
      </c>
      <c r="E25" s="2342">
        <f t="shared" si="1"/>
        <v>0</v>
      </c>
      <c r="F25" s="1381">
        <f t="shared" si="2"/>
        <v>0</v>
      </c>
      <c r="G25" s="2347">
        <f t="shared" si="12"/>
        <v>0</v>
      </c>
      <c r="H25" s="1928">
        <f t="shared" si="13"/>
        <v>0</v>
      </c>
      <c r="I25" s="1928">
        <f t="shared" si="3"/>
        <v>0</v>
      </c>
      <c r="J25" s="1928">
        <f t="shared" si="4"/>
        <v>0</v>
      </c>
      <c r="K25" s="1928">
        <f t="shared" si="5"/>
        <v>0</v>
      </c>
      <c r="L25" s="1928">
        <f t="shared" si="14"/>
        <v>0</v>
      </c>
      <c r="M25" s="1702">
        <v>0</v>
      </c>
      <c r="N25" s="1424">
        <v>0</v>
      </c>
      <c r="O25" s="1370">
        <f t="shared" si="15"/>
        <v>0</v>
      </c>
      <c r="P25" s="590">
        <v>0</v>
      </c>
      <c r="Q25" s="2300">
        <f t="shared" si="16"/>
        <v>0</v>
      </c>
      <c r="R25" s="2207">
        <v>0</v>
      </c>
      <c r="S25" s="2231">
        <f t="shared" si="17"/>
        <v>0</v>
      </c>
      <c r="T25" s="2213">
        <f t="shared" si="6"/>
        <v>0</v>
      </c>
      <c r="U25" s="2216">
        <f t="shared" si="7"/>
        <v>0</v>
      </c>
      <c r="V25" s="2213">
        <f t="shared" si="8"/>
        <v>0</v>
      </c>
      <c r="W25" s="1327"/>
      <c r="X25" s="1281">
        <f t="shared" si="9"/>
        <v>18</v>
      </c>
      <c r="Y25" s="2087" t="str">
        <f t="shared" si="10"/>
        <v>keine</v>
      </c>
      <c r="Z25" s="1329"/>
      <c r="AA25" s="1330" t="s">
        <v>795</v>
      </c>
      <c r="AB25" s="1424">
        <v>0</v>
      </c>
      <c r="AC25" s="1033">
        <f>VLOOKUP(AA25,Düngemittel!$B$6:$E$64,2,FALSE)*(VLOOKUP(AA25,Düngemittel!$B$6:$E$64,3,FALSE))/100*AB25</f>
        <v>0</v>
      </c>
      <c r="AD25" s="1033">
        <f>VLOOKUP(AA25,Düngemittel!$B$6:$E$64,2,FALSE)*AB25</f>
        <v>0</v>
      </c>
      <c r="AE25" s="1033">
        <f>VLOOKUP(AA25,Düngemittel!$B$6:$E$64,4,FALSE)*AB25</f>
        <v>0</v>
      </c>
      <c r="AF25" s="2089"/>
      <c r="AG25" s="1329"/>
      <c r="AH25" s="1330" t="s">
        <v>795</v>
      </c>
      <c r="AI25" s="1424">
        <v>0</v>
      </c>
      <c r="AJ25" s="1033">
        <f>VLOOKUP(AH25,Düngemittel!$B$6:$E$64,2,FALSE)*(VLOOKUP(AH25,Düngemittel!$B$6:$E$64,3,FALSE))/100*AI25</f>
        <v>0</v>
      </c>
      <c r="AK25" s="1033">
        <f>VLOOKUP(AH25,Düngemittel!$B$6:$E$64,2,FALSE)*AI25</f>
        <v>0</v>
      </c>
      <c r="AL25" s="1033">
        <f>VLOOKUP(AH25,Düngemittel!$B$6:$E$64,4,FALSE)*AI25</f>
        <v>0</v>
      </c>
      <c r="AM25" s="2089"/>
      <c r="AN25" s="1329"/>
      <c r="AO25" s="1330" t="s">
        <v>795</v>
      </c>
      <c r="AP25" s="1424">
        <v>0</v>
      </c>
      <c r="AQ25" s="1033">
        <f>VLOOKUP(AO25,Düngemittel!$B$6:$E$64,2,FALSE)*(VLOOKUP(AO25,Düngemittel!$B$6:$E$64,3,FALSE))/100*AP25</f>
        <v>0</v>
      </c>
      <c r="AR25" s="1033">
        <f>VLOOKUP(AO25,Düngemittel!$B$6:$E$64,2,FALSE)*AP25</f>
        <v>0</v>
      </c>
      <c r="AS25" s="1033">
        <f>VLOOKUP(AO25,Düngemittel!$B$6:$E$64,4,FALSE)*AP25</f>
        <v>0</v>
      </c>
      <c r="AT25" s="1371"/>
      <c r="AU25" s="1371"/>
      <c r="AV25" s="1372">
        <f t="shared" si="18"/>
        <v>0</v>
      </c>
      <c r="AW25" s="1373">
        <f t="shared" si="19"/>
        <v>0</v>
      </c>
      <c r="AX25" s="1374">
        <f t="shared" si="20"/>
        <v>0</v>
      </c>
      <c r="AY25" s="1375">
        <f t="shared" si="21"/>
        <v>0</v>
      </c>
      <c r="AZ25" s="1373">
        <f t="shared" si="22"/>
        <v>0</v>
      </c>
      <c r="BA25" s="1376"/>
      <c r="BB25" s="1372">
        <f t="shared" si="23"/>
        <v>0</v>
      </c>
      <c r="BC25" s="1372">
        <f t="shared" si="24"/>
        <v>0</v>
      </c>
      <c r="BD25" s="1372">
        <f t="shared" si="25"/>
        <v>0</v>
      </c>
      <c r="BE25" s="1816">
        <f t="shared" si="26"/>
        <v>0</v>
      </c>
      <c r="BF25" s="1372">
        <f t="shared" si="27"/>
        <v>0</v>
      </c>
      <c r="BG25" s="1377"/>
      <c r="BH25" s="1968" t="s">
        <v>1448</v>
      </c>
      <c r="BI25" s="1421">
        <v>13</v>
      </c>
      <c r="BJ25" s="1421">
        <v>95</v>
      </c>
      <c r="BK25" s="1421">
        <v>10</v>
      </c>
      <c r="BL25" s="1421">
        <v>10</v>
      </c>
      <c r="BM25" s="1421">
        <v>10</v>
      </c>
      <c r="BN25" s="1421">
        <v>0</v>
      </c>
      <c r="BO25" s="1421">
        <v>0</v>
      </c>
      <c r="BP25" s="2131">
        <v>30</v>
      </c>
      <c r="BQ25" s="2134">
        <v>3.2015384615384614</v>
      </c>
      <c r="BR25" s="357">
        <v>0</v>
      </c>
    </row>
    <row r="26" spans="1:70" ht="23.25" customHeight="1">
      <c r="A26" s="468">
        <v>19</v>
      </c>
      <c r="B26" s="1699">
        <v>0</v>
      </c>
      <c r="C26" s="1527" t="s">
        <v>31</v>
      </c>
      <c r="D26" s="1380">
        <f t="shared" si="0"/>
        <v>0</v>
      </c>
      <c r="E26" s="2342">
        <f t="shared" si="1"/>
        <v>0</v>
      </c>
      <c r="F26" s="1381">
        <f t="shared" si="2"/>
        <v>0</v>
      </c>
      <c r="G26" s="2347">
        <f t="shared" si="12"/>
        <v>0</v>
      </c>
      <c r="H26" s="1928">
        <f t="shared" si="13"/>
        <v>0</v>
      </c>
      <c r="I26" s="1928">
        <f t="shared" si="3"/>
        <v>0</v>
      </c>
      <c r="J26" s="1928">
        <f t="shared" si="4"/>
        <v>0</v>
      </c>
      <c r="K26" s="1928">
        <f t="shared" si="5"/>
        <v>0</v>
      </c>
      <c r="L26" s="1928">
        <f t="shared" si="14"/>
        <v>0</v>
      </c>
      <c r="M26" s="1702">
        <v>0</v>
      </c>
      <c r="N26" s="1424">
        <v>0</v>
      </c>
      <c r="O26" s="1370">
        <f t="shared" si="15"/>
        <v>0</v>
      </c>
      <c r="P26" s="590">
        <v>0</v>
      </c>
      <c r="Q26" s="2300">
        <f t="shared" si="16"/>
        <v>0</v>
      </c>
      <c r="R26" s="2207">
        <v>0</v>
      </c>
      <c r="S26" s="2231">
        <f t="shared" si="17"/>
        <v>0</v>
      </c>
      <c r="T26" s="2213">
        <f t="shared" si="6"/>
        <v>0</v>
      </c>
      <c r="U26" s="2216">
        <f t="shared" si="7"/>
        <v>0</v>
      </c>
      <c r="V26" s="2213">
        <f t="shared" si="8"/>
        <v>0</v>
      </c>
      <c r="W26" s="1383"/>
      <c r="X26" s="1281">
        <f t="shared" si="9"/>
        <v>19</v>
      </c>
      <c r="Y26" s="2087" t="str">
        <f t="shared" si="10"/>
        <v>keine</v>
      </c>
      <c r="Z26" s="1329"/>
      <c r="AA26" s="1330" t="s">
        <v>795</v>
      </c>
      <c r="AB26" s="1424">
        <v>0</v>
      </c>
      <c r="AC26" s="1033">
        <f>VLOOKUP(AA26,Düngemittel!$B$6:$E$64,2,FALSE)*(VLOOKUP(AA26,Düngemittel!$B$6:$E$64,3,FALSE))/100*AB26</f>
        <v>0</v>
      </c>
      <c r="AD26" s="1033">
        <f>VLOOKUP(AA26,Düngemittel!$B$6:$E$64,2,FALSE)*AB26</f>
        <v>0</v>
      </c>
      <c r="AE26" s="1033">
        <f>VLOOKUP(AA26,Düngemittel!$B$6:$E$64,4,FALSE)*AB26</f>
        <v>0</v>
      </c>
      <c r="AF26" s="2089"/>
      <c r="AG26" s="1329"/>
      <c r="AH26" s="1330" t="s">
        <v>795</v>
      </c>
      <c r="AI26" s="1424">
        <v>0</v>
      </c>
      <c r="AJ26" s="1033">
        <f>VLOOKUP(AH26,Düngemittel!$B$6:$E$64,2,FALSE)*(VLOOKUP(AH26,Düngemittel!$B$6:$E$64,3,FALSE))/100*AI26</f>
        <v>0</v>
      </c>
      <c r="AK26" s="1033">
        <f>VLOOKUP(AH26,Düngemittel!$B$6:$E$64,2,FALSE)*AI26</f>
        <v>0</v>
      </c>
      <c r="AL26" s="1033">
        <f>VLOOKUP(AH26,Düngemittel!$B$6:$E$64,4,FALSE)*AI26</f>
        <v>0</v>
      </c>
      <c r="AM26" s="2089"/>
      <c r="AN26" s="1329"/>
      <c r="AO26" s="1330" t="s">
        <v>795</v>
      </c>
      <c r="AP26" s="1424">
        <v>0</v>
      </c>
      <c r="AQ26" s="1033">
        <f>VLOOKUP(AO26,Düngemittel!$B$6:$E$64,2,FALSE)*(VLOOKUP(AO26,Düngemittel!$B$6:$E$64,3,FALSE))/100*AP26</f>
        <v>0</v>
      </c>
      <c r="AR26" s="1033">
        <f>VLOOKUP(AO26,Düngemittel!$B$6:$E$64,2,FALSE)*AP26</f>
        <v>0</v>
      </c>
      <c r="AS26" s="1033">
        <f>VLOOKUP(AO26,Düngemittel!$B$6:$E$64,4,FALSE)*AP26</f>
        <v>0</v>
      </c>
      <c r="AT26" s="1371"/>
      <c r="AU26" s="1371"/>
      <c r="AV26" s="1372">
        <f t="shared" si="18"/>
        <v>0</v>
      </c>
      <c r="AW26" s="1373">
        <f t="shared" si="19"/>
        <v>0</v>
      </c>
      <c r="AX26" s="1374">
        <f t="shared" si="20"/>
        <v>0</v>
      </c>
      <c r="AY26" s="1375">
        <f t="shared" si="21"/>
        <v>0</v>
      </c>
      <c r="AZ26" s="1373">
        <f t="shared" si="22"/>
        <v>0</v>
      </c>
      <c r="BA26" s="1376"/>
      <c r="BB26" s="1372">
        <f t="shared" si="23"/>
        <v>0</v>
      </c>
      <c r="BC26" s="1372">
        <f t="shared" si="24"/>
        <v>0</v>
      </c>
      <c r="BD26" s="1372">
        <f t="shared" si="25"/>
        <v>0</v>
      </c>
      <c r="BE26" s="1816">
        <f t="shared" si="26"/>
        <v>0</v>
      </c>
      <c r="BF26" s="1372">
        <f t="shared" si="27"/>
        <v>0</v>
      </c>
      <c r="BG26" s="1377"/>
      <c r="BH26" s="1968" t="s">
        <v>1449</v>
      </c>
      <c r="BI26" s="1421">
        <v>13</v>
      </c>
      <c r="BJ26" s="1421">
        <v>95</v>
      </c>
      <c r="BK26" s="1421">
        <v>10</v>
      </c>
      <c r="BL26" s="1421">
        <v>10</v>
      </c>
      <c r="BM26" s="1421">
        <v>10</v>
      </c>
      <c r="BN26" s="1421">
        <v>0</v>
      </c>
      <c r="BO26" s="1421">
        <v>0</v>
      </c>
      <c r="BP26" s="2131">
        <v>30</v>
      </c>
      <c r="BQ26" s="2132">
        <v>1.1499999999999999</v>
      </c>
      <c r="BR26" s="357">
        <v>0</v>
      </c>
    </row>
    <row r="27" spans="1:70" ht="23.25" customHeight="1">
      <c r="A27" s="468">
        <v>20</v>
      </c>
      <c r="B27" s="1699">
        <v>0</v>
      </c>
      <c r="C27" s="1527" t="s">
        <v>31</v>
      </c>
      <c r="D27" s="1380">
        <f t="shared" si="0"/>
        <v>0</v>
      </c>
      <c r="E27" s="2342">
        <f t="shared" si="1"/>
        <v>0</v>
      </c>
      <c r="F27" s="1381">
        <f t="shared" si="2"/>
        <v>0</v>
      </c>
      <c r="G27" s="2347">
        <f t="shared" si="12"/>
        <v>0</v>
      </c>
      <c r="H27" s="1928">
        <f t="shared" si="13"/>
        <v>0</v>
      </c>
      <c r="I27" s="1928">
        <f t="shared" si="3"/>
        <v>0</v>
      </c>
      <c r="J27" s="1928">
        <f t="shared" si="4"/>
        <v>0</v>
      </c>
      <c r="K27" s="1928">
        <f t="shared" si="5"/>
        <v>0</v>
      </c>
      <c r="L27" s="1928">
        <f t="shared" si="14"/>
        <v>0</v>
      </c>
      <c r="M27" s="1702">
        <v>0</v>
      </c>
      <c r="N27" s="1424">
        <v>0</v>
      </c>
      <c r="O27" s="1370">
        <f t="shared" si="15"/>
        <v>0</v>
      </c>
      <c r="P27" s="590">
        <v>0</v>
      </c>
      <c r="Q27" s="2300">
        <f t="shared" si="16"/>
        <v>0</v>
      </c>
      <c r="R27" s="2207">
        <v>0</v>
      </c>
      <c r="S27" s="2231">
        <f t="shared" si="17"/>
        <v>0</v>
      </c>
      <c r="T27" s="2213">
        <f t="shared" si="6"/>
        <v>0</v>
      </c>
      <c r="U27" s="2216">
        <f t="shared" si="7"/>
        <v>0</v>
      </c>
      <c r="V27" s="2213">
        <f t="shared" si="8"/>
        <v>0</v>
      </c>
      <c r="W27" s="1355"/>
      <c r="X27" s="1281">
        <f t="shared" si="9"/>
        <v>20</v>
      </c>
      <c r="Y27" s="2087" t="str">
        <f t="shared" si="10"/>
        <v>keine</v>
      </c>
      <c r="Z27" s="1329"/>
      <c r="AA27" s="1330" t="s">
        <v>795</v>
      </c>
      <c r="AB27" s="1424">
        <v>0</v>
      </c>
      <c r="AC27" s="1033">
        <f>VLOOKUP(AA27,Düngemittel!$B$6:$E$64,2,FALSE)*(VLOOKUP(AA27,Düngemittel!$B$6:$E$64,3,FALSE))/100*AB27</f>
        <v>0</v>
      </c>
      <c r="AD27" s="1033">
        <f>VLOOKUP(AA27,Düngemittel!$B$6:$E$64,2,FALSE)*AB27</f>
        <v>0</v>
      </c>
      <c r="AE27" s="1033">
        <f>VLOOKUP(AA27,Düngemittel!$B$6:$E$64,4,FALSE)*AB27</f>
        <v>0</v>
      </c>
      <c r="AF27" s="2089"/>
      <c r="AG27" s="1329"/>
      <c r="AH27" s="1330" t="s">
        <v>795</v>
      </c>
      <c r="AI27" s="1424">
        <v>0</v>
      </c>
      <c r="AJ27" s="1033">
        <f>VLOOKUP(AH27,Düngemittel!$B$6:$E$64,2,FALSE)*(VLOOKUP(AH27,Düngemittel!$B$6:$E$64,3,FALSE))/100*AI27</f>
        <v>0</v>
      </c>
      <c r="AK27" s="1033">
        <f>VLOOKUP(AH27,Düngemittel!$B$6:$E$64,2,FALSE)*AI27</f>
        <v>0</v>
      </c>
      <c r="AL27" s="1033">
        <f>VLOOKUP(AH27,Düngemittel!$B$6:$E$64,4,FALSE)*AI27</f>
        <v>0</v>
      </c>
      <c r="AM27" s="2089"/>
      <c r="AN27" s="1329"/>
      <c r="AO27" s="1330" t="s">
        <v>795</v>
      </c>
      <c r="AP27" s="1424">
        <v>0</v>
      </c>
      <c r="AQ27" s="1033">
        <f>VLOOKUP(AO27,Düngemittel!$B$6:$E$64,2,FALSE)*(VLOOKUP(AO27,Düngemittel!$B$6:$E$64,3,FALSE))/100*AP27</f>
        <v>0</v>
      </c>
      <c r="AR27" s="1033">
        <f>VLOOKUP(AO27,Düngemittel!$B$6:$E$64,2,FALSE)*AP27</f>
        <v>0</v>
      </c>
      <c r="AS27" s="1033">
        <f>VLOOKUP(AO27,Düngemittel!$B$6:$E$64,4,FALSE)*AP27</f>
        <v>0</v>
      </c>
      <c r="AT27" s="1371"/>
      <c r="AU27" s="1371"/>
      <c r="AV27" s="1372">
        <f t="shared" si="18"/>
        <v>0</v>
      </c>
      <c r="AW27" s="1373">
        <f t="shared" si="19"/>
        <v>0</v>
      </c>
      <c r="AX27" s="1374">
        <f t="shared" si="20"/>
        <v>0</v>
      </c>
      <c r="AY27" s="1375">
        <f t="shared" si="21"/>
        <v>0</v>
      </c>
      <c r="AZ27" s="1373">
        <f t="shared" si="22"/>
        <v>0</v>
      </c>
      <c r="BA27" s="1376"/>
      <c r="BB27" s="1372">
        <f t="shared" si="23"/>
        <v>0</v>
      </c>
      <c r="BC27" s="1372">
        <f t="shared" si="24"/>
        <v>0</v>
      </c>
      <c r="BD27" s="1372">
        <f t="shared" si="25"/>
        <v>0</v>
      </c>
      <c r="BE27" s="1816">
        <f t="shared" si="26"/>
        <v>0</v>
      </c>
      <c r="BF27" s="1372">
        <f t="shared" si="27"/>
        <v>0</v>
      </c>
      <c r="BG27" s="1377"/>
      <c r="BH27" s="1968" t="s">
        <v>1450</v>
      </c>
      <c r="BI27" s="1421">
        <v>150</v>
      </c>
      <c r="BJ27" s="1421">
        <v>80</v>
      </c>
      <c r="BK27" s="1421">
        <v>10</v>
      </c>
      <c r="BL27" s="1421">
        <v>8</v>
      </c>
      <c r="BM27" s="1421">
        <v>8</v>
      </c>
      <c r="BN27" s="1421">
        <v>0</v>
      </c>
      <c r="BO27" s="1421">
        <v>0</v>
      </c>
      <c r="BP27" s="2131">
        <v>60</v>
      </c>
      <c r="BQ27" s="2132">
        <v>0.08</v>
      </c>
      <c r="BR27" s="357">
        <v>0</v>
      </c>
    </row>
    <row r="28" spans="1:70" ht="23.25" customHeight="1">
      <c r="A28" s="468">
        <v>21</v>
      </c>
      <c r="B28" s="1699">
        <v>0</v>
      </c>
      <c r="C28" s="1527" t="s">
        <v>31</v>
      </c>
      <c r="D28" s="1380">
        <f t="shared" si="0"/>
        <v>0</v>
      </c>
      <c r="E28" s="2342">
        <f t="shared" si="1"/>
        <v>0</v>
      </c>
      <c r="F28" s="1381">
        <f t="shared" si="2"/>
        <v>0</v>
      </c>
      <c r="G28" s="2347">
        <f t="shared" ref="G28:G48" si="28">M28-D28</f>
        <v>0</v>
      </c>
      <c r="H28" s="1928">
        <f t="shared" ref="H28:H48" si="29">IF(G28=0,0,G28*100/D28)</f>
        <v>0</v>
      </c>
      <c r="I28" s="1928">
        <f t="shared" si="3"/>
        <v>0</v>
      </c>
      <c r="J28" s="1928">
        <f t="shared" si="4"/>
        <v>0</v>
      </c>
      <c r="K28" s="1928">
        <f t="shared" si="5"/>
        <v>0</v>
      </c>
      <c r="L28" s="1928">
        <f t="shared" ref="L28:L48" si="30">IF(I28=0,0,IF(H28&gt;0,ROUNDDOWN(H28/I28,0)*J28,IF(H28&lt;=0,ROUNDDOWN(H28/I28,0)*K28,IF(G28&gt;0,G28*J28/F28,K28*G28/0))))</f>
        <v>0</v>
      </c>
      <c r="M28" s="1702">
        <v>0</v>
      </c>
      <c r="N28" s="1424">
        <v>0</v>
      </c>
      <c r="O28" s="1370">
        <f t="shared" si="15"/>
        <v>0</v>
      </c>
      <c r="P28" s="590">
        <v>1</v>
      </c>
      <c r="Q28" s="2300">
        <f t="shared" ref="Q28:Q48" si="31">P28*O28/100</f>
        <v>0</v>
      </c>
      <c r="R28" s="2207">
        <v>0</v>
      </c>
      <c r="S28" s="2231">
        <f t="shared" si="17"/>
        <v>0</v>
      </c>
      <c r="T28" s="2213">
        <f t="shared" si="6"/>
        <v>0</v>
      </c>
      <c r="U28" s="2216">
        <f t="shared" si="7"/>
        <v>0</v>
      </c>
      <c r="V28" s="2213">
        <f t="shared" si="8"/>
        <v>0</v>
      </c>
      <c r="W28" s="1355"/>
      <c r="X28" s="1281">
        <f t="shared" si="9"/>
        <v>21</v>
      </c>
      <c r="Y28" s="2087" t="str">
        <f t="shared" si="10"/>
        <v>keine</v>
      </c>
      <c r="Z28" s="1329"/>
      <c r="AA28" s="1330" t="s">
        <v>795</v>
      </c>
      <c r="AB28" s="1424">
        <v>0</v>
      </c>
      <c r="AC28" s="1033">
        <f>VLOOKUP(AA28,Düngemittel!$B$6:$E$64,2,FALSE)*(VLOOKUP(AA28,Düngemittel!$B$6:$E$64,3,FALSE))/100*AB28</f>
        <v>0</v>
      </c>
      <c r="AD28" s="1033">
        <f>VLOOKUP(AA28,Düngemittel!$B$6:$E$64,2,FALSE)*AB28</f>
        <v>0</v>
      </c>
      <c r="AE28" s="1033">
        <f>VLOOKUP(AA28,Düngemittel!$B$6:$E$64,4,FALSE)*AB28</f>
        <v>0</v>
      </c>
      <c r="AF28" s="2324"/>
      <c r="AG28" s="1329"/>
      <c r="AH28" s="1330" t="s">
        <v>795</v>
      </c>
      <c r="AI28" s="1424">
        <v>0</v>
      </c>
      <c r="AJ28" s="1033">
        <f>VLOOKUP(AH28,Düngemittel!$B$6:$E$64,2,FALSE)*(VLOOKUP(AH28,Düngemittel!$B$6:$E$64,3,FALSE))/100*AI28</f>
        <v>0</v>
      </c>
      <c r="AK28" s="1033">
        <f>VLOOKUP(AH28,Düngemittel!$B$6:$E$64,2,FALSE)*AI28</f>
        <v>0</v>
      </c>
      <c r="AL28" s="1033">
        <f>VLOOKUP(AH28,Düngemittel!$B$6:$E$64,4,FALSE)*AI28</f>
        <v>0</v>
      </c>
      <c r="AM28" s="2324"/>
      <c r="AN28" s="1329"/>
      <c r="AO28" s="1330" t="s">
        <v>795</v>
      </c>
      <c r="AP28" s="1424">
        <v>0</v>
      </c>
      <c r="AQ28" s="1033">
        <f>VLOOKUP(AO28,Düngemittel!$B$6:$E$64,2,FALSE)*(VLOOKUP(AO28,Düngemittel!$B$6:$E$64,3,FALSE))/100*AP28</f>
        <v>0</v>
      </c>
      <c r="AR28" s="1033">
        <f>VLOOKUP(AO28,Düngemittel!$B$6:$E$64,2,FALSE)*AP28</f>
        <v>0</v>
      </c>
      <c r="AS28" s="1033">
        <f>VLOOKUP(AO28,Düngemittel!$B$6:$E$64,4,FALSE)*AP28</f>
        <v>0</v>
      </c>
      <c r="AT28" s="1371"/>
      <c r="AU28" s="1371"/>
      <c r="AV28" s="1372">
        <f t="shared" ref="AV28:AV48" si="32">IF(AC28&lt;AD28,0,AC28)+IF(AJ28&lt;AK28,0,AJ28)+IF(AQ28&lt;AR28,0,AQ28)</f>
        <v>0</v>
      </c>
      <c r="AW28" s="1373">
        <f t="shared" ref="AW28:AW48" si="33">SUM(AC28+AJ28+AQ28)</f>
        <v>0</v>
      </c>
      <c r="AX28" s="1374">
        <f t="shared" ref="AX28:AX48" si="34">SUM(AD28+AK28+AR28)</f>
        <v>0</v>
      </c>
      <c r="AY28" s="1375">
        <f t="shared" ref="AY28:AY48" si="35">IF(AC28&lt;AD28,AD28,0)+IF(AJ28&lt;AK28,AK28,0)+IF(AQ28&lt;AR28,AR28,0)</f>
        <v>0</v>
      </c>
      <c r="AZ28" s="1373">
        <f t="shared" ref="AZ28:AZ48" si="36">SUM(AE28+AL28+AS28)</f>
        <v>0</v>
      </c>
      <c r="BA28" s="1376"/>
      <c r="BB28" s="1372">
        <f t="shared" ref="BB28:BB48" si="37">AV28*$B28</f>
        <v>0</v>
      </c>
      <c r="BC28" s="1372">
        <f t="shared" ref="BC28:BC48" si="38">AW28*$B28</f>
        <v>0</v>
      </c>
      <c r="BD28" s="1372">
        <f t="shared" ref="BD28:BD48" si="39">AX28*$B28</f>
        <v>0</v>
      </c>
      <c r="BE28" s="1816">
        <f t="shared" ref="BE28:BE48" si="40">AY28*$B28</f>
        <v>0</v>
      </c>
      <c r="BF28" s="1372">
        <f t="shared" ref="BF28:BF48" si="41">AZ28*$B28</f>
        <v>0</v>
      </c>
      <c r="BG28" s="1377"/>
      <c r="BH28" s="1968" t="s">
        <v>1451</v>
      </c>
      <c r="BI28" s="1421">
        <v>25</v>
      </c>
      <c r="BJ28" s="1421">
        <v>150</v>
      </c>
      <c r="BK28" s="1421">
        <v>10</v>
      </c>
      <c r="BL28" s="1421">
        <v>15</v>
      </c>
      <c r="BM28" s="1421">
        <v>15</v>
      </c>
      <c r="BN28" s="1421">
        <v>0</v>
      </c>
      <c r="BO28" s="1421">
        <v>0</v>
      </c>
      <c r="BP28" s="2131">
        <v>60</v>
      </c>
      <c r="BQ28" s="2134">
        <v>2.2200000000000002</v>
      </c>
      <c r="BR28" s="357">
        <v>0</v>
      </c>
    </row>
    <row r="29" spans="1:70" ht="23.25" customHeight="1">
      <c r="A29" s="468">
        <v>22</v>
      </c>
      <c r="B29" s="1699">
        <v>0</v>
      </c>
      <c r="C29" s="1527" t="s">
        <v>31</v>
      </c>
      <c r="D29" s="1380">
        <f t="shared" si="0"/>
        <v>0</v>
      </c>
      <c r="E29" s="2342">
        <f t="shared" si="1"/>
        <v>0</v>
      </c>
      <c r="F29" s="1381">
        <f t="shared" si="2"/>
        <v>0</v>
      </c>
      <c r="G29" s="2347">
        <f t="shared" si="28"/>
        <v>0</v>
      </c>
      <c r="H29" s="1928">
        <f t="shared" si="29"/>
        <v>0</v>
      </c>
      <c r="I29" s="1928">
        <f t="shared" si="3"/>
        <v>0</v>
      </c>
      <c r="J29" s="1928">
        <f t="shared" si="4"/>
        <v>0</v>
      </c>
      <c r="K29" s="1928">
        <f t="shared" si="5"/>
        <v>0</v>
      </c>
      <c r="L29" s="1928">
        <f t="shared" si="30"/>
        <v>0</v>
      </c>
      <c r="M29" s="1702">
        <v>0</v>
      </c>
      <c r="N29" s="1424">
        <v>0</v>
      </c>
      <c r="O29" s="1370">
        <f t="shared" si="15"/>
        <v>0</v>
      </c>
      <c r="P29" s="590">
        <v>2</v>
      </c>
      <c r="Q29" s="2300">
        <f t="shared" si="31"/>
        <v>0</v>
      </c>
      <c r="R29" s="2207">
        <v>0</v>
      </c>
      <c r="S29" s="2231">
        <f t="shared" si="17"/>
        <v>0</v>
      </c>
      <c r="T29" s="2213">
        <f t="shared" si="6"/>
        <v>0</v>
      </c>
      <c r="U29" s="2216">
        <f t="shared" si="7"/>
        <v>0</v>
      </c>
      <c r="V29" s="2213">
        <f t="shared" si="8"/>
        <v>0</v>
      </c>
      <c r="W29" s="1355"/>
      <c r="X29" s="1281">
        <f t="shared" si="9"/>
        <v>22</v>
      </c>
      <c r="Y29" s="2087" t="str">
        <f t="shared" si="10"/>
        <v>keine</v>
      </c>
      <c r="Z29" s="1329"/>
      <c r="AA29" s="1330" t="s">
        <v>795</v>
      </c>
      <c r="AB29" s="1424">
        <v>0</v>
      </c>
      <c r="AC29" s="1033">
        <f>VLOOKUP(AA29,Düngemittel!$B$6:$E$64,2,FALSE)*(VLOOKUP(AA29,Düngemittel!$B$6:$E$64,3,FALSE))/100*AB29</f>
        <v>0</v>
      </c>
      <c r="AD29" s="1033">
        <f>VLOOKUP(AA29,Düngemittel!$B$6:$E$64,2,FALSE)*AB29</f>
        <v>0</v>
      </c>
      <c r="AE29" s="1033">
        <f>VLOOKUP(AA29,Düngemittel!$B$6:$E$64,4,FALSE)*AB29</f>
        <v>0</v>
      </c>
      <c r="AF29" s="2324"/>
      <c r="AG29" s="1329"/>
      <c r="AH29" s="1330" t="s">
        <v>795</v>
      </c>
      <c r="AI29" s="1424">
        <v>0</v>
      </c>
      <c r="AJ29" s="1033">
        <f>VLOOKUP(AH29,Düngemittel!$B$6:$E$64,2,FALSE)*(VLOOKUP(AH29,Düngemittel!$B$6:$E$64,3,FALSE))/100*AI29</f>
        <v>0</v>
      </c>
      <c r="AK29" s="1033">
        <f>VLOOKUP(AH29,Düngemittel!$B$6:$E$64,2,FALSE)*AI29</f>
        <v>0</v>
      </c>
      <c r="AL29" s="1033">
        <f>VLOOKUP(AH29,Düngemittel!$B$6:$E$64,4,FALSE)*AI29</f>
        <v>0</v>
      </c>
      <c r="AM29" s="2324"/>
      <c r="AN29" s="1329"/>
      <c r="AO29" s="1330" t="s">
        <v>795</v>
      </c>
      <c r="AP29" s="1424">
        <v>0</v>
      </c>
      <c r="AQ29" s="1033">
        <f>VLOOKUP(AO29,Düngemittel!$B$6:$E$64,2,FALSE)*(VLOOKUP(AO29,Düngemittel!$B$6:$E$64,3,FALSE))/100*AP29</f>
        <v>0</v>
      </c>
      <c r="AR29" s="1033">
        <f>VLOOKUP(AO29,Düngemittel!$B$6:$E$64,2,FALSE)*AP29</f>
        <v>0</v>
      </c>
      <c r="AS29" s="1033">
        <f>VLOOKUP(AO29,Düngemittel!$B$6:$E$64,4,FALSE)*AP29</f>
        <v>0</v>
      </c>
      <c r="AT29" s="1371"/>
      <c r="AU29" s="1371"/>
      <c r="AV29" s="1372">
        <f t="shared" si="32"/>
        <v>0</v>
      </c>
      <c r="AW29" s="1373">
        <f t="shared" si="33"/>
        <v>0</v>
      </c>
      <c r="AX29" s="1374">
        <f t="shared" si="34"/>
        <v>0</v>
      </c>
      <c r="AY29" s="1375">
        <f t="shared" si="35"/>
        <v>0</v>
      </c>
      <c r="AZ29" s="1373">
        <f t="shared" si="36"/>
        <v>0</v>
      </c>
      <c r="BA29" s="1376"/>
      <c r="BB29" s="1372">
        <f t="shared" si="37"/>
        <v>0</v>
      </c>
      <c r="BC29" s="1372">
        <f t="shared" si="38"/>
        <v>0</v>
      </c>
      <c r="BD29" s="1372">
        <f t="shared" si="39"/>
        <v>0</v>
      </c>
      <c r="BE29" s="1816">
        <f t="shared" si="40"/>
        <v>0</v>
      </c>
      <c r="BF29" s="1372">
        <f t="shared" si="41"/>
        <v>0</v>
      </c>
      <c r="BG29" s="1377"/>
      <c r="BH29" s="1968" t="s">
        <v>1452</v>
      </c>
      <c r="BI29" s="1421">
        <v>25</v>
      </c>
      <c r="BJ29" s="1421">
        <v>150</v>
      </c>
      <c r="BK29" s="1421">
        <v>10</v>
      </c>
      <c r="BL29" s="1421">
        <v>15</v>
      </c>
      <c r="BM29" s="1421">
        <v>15</v>
      </c>
      <c r="BN29" s="1421">
        <v>0</v>
      </c>
      <c r="BO29" s="1421">
        <v>0</v>
      </c>
      <c r="BP29" s="2131">
        <v>60</v>
      </c>
      <c r="BQ29" s="2132">
        <v>1.26</v>
      </c>
      <c r="BR29" s="357">
        <v>0</v>
      </c>
    </row>
    <row r="30" spans="1:70" ht="23.25" customHeight="1">
      <c r="A30" s="468">
        <v>23</v>
      </c>
      <c r="B30" s="1699">
        <v>0</v>
      </c>
      <c r="C30" s="1527" t="s">
        <v>31</v>
      </c>
      <c r="D30" s="1380">
        <f t="shared" si="0"/>
        <v>0</v>
      </c>
      <c r="E30" s="2342">
        <f t="shared" si="1"/>
        <v>0</v>
      </c>
      <c r="F30" s="1381">
        <f t="shared" si="2"/>
        <v>0</v>
      </c>
      <c r="G30" s="2347">
        <f t="shared" si="28"/>
        <v>0</v>
      </c>
      <c r="H30" s="1928">
        <f t="shared" si="29"/>
        <v>0</v>
      </c>
      <c r="I30" s="1928">
        <f t="shared" si="3"/>
        <v>0</v>
      </c>
      <c r="J30" s="1928">
        <f t="shared" si="4"/>
        <v>0</v>
      </c>
      <c r="K30" s="1928">
        <f t="shared" si="5"/>
        <v>0</v>
      </c>
      <c r="L30" s="1928">
        <f t="shared" si="30"/>
        <v>0</v>
      </c>
      <c r="M30" s="1702">
        <v>0</v>
      </c>
      <c r="N30" s="1424">
        <v>0</v>
      </c>
      <c r="O30" s="1370">
        <f t="shared" si="15"/>
        <v>0</v>
      </c>
      <c r="P30" s="590">
        <v>3</v>
      </c>
      <c r="Q30" s="2300">
        <f t="shared" si="31"/>
        <v>0</v>
      </c>
      <c r="R30" s="2207">
        <v>0</v>
      </c>
      <c r="S30" s="2231">
        <f t="shared" si="17"/>
        <v>0</v>
      </c>
      <c r="T30" s="2213">
        <f t="shared" si="6"/>
        <v>0</v>
      </c>
      <c r="U30" s="2216">
        <f t="shared" si="7"/>
        <v>0</v>
      </c>
      <c r="V30" s="2213">
        <f t="shared" si="8"/>
        <v>0</v>
      </c>
      <c r="W30" s="1355"/>
      <c r="X30" s="1281">
        <f t="shared" si="9"/>
        <v>23</v>
      </c>
      <c r="Y30" s="2087" t="str">
        <f t="shared" si="10"/>
        <v>keine</v>
      </c>
      <c r="Z30" s="1329"/>
      <c r="AA30" s="1330" t="s">
        <v>795</v>
      </c>
      <c r="AB30" s="1424">
        <v>0</v>
      </c>
      <c r="AC30" s="1033">
        <f>VLOOKUP(AA30,Düngemittel!$B$6:$E$64,2,FALSE)*(VLOOKUP(AA30,Düngemittel!$B$6:$E$64,3,FALSE))/100*AB30</f>
        <v>0</v>
      </c>
      <c r="AD30" s="1033">
        <f>VLOOKUP(AA30,Düngemittel!$B$6:$E$64,2,FALSE)*AB30</f>
        <v>0</v>
      </c>
      <c r="AE30" s="1033">
        <f>VLOOKUP(AA30,Düngemittel!$B$6:$E$64,4,FALSE)*AB30</f>
        <v>0</v>
      </c>
      <c r="AF30" s="2324"/>
      <c r="AG30" s="1329"/>
      <c r="AH30" s="1330" t="s">
        <v>795</v>
      </c>
      <c r="AI30" s="1424">
        <v>0</v>
      </c>
      <c r="AJ30" s="1033">
        <f>VLOOKUP(AH30,Düngemittel!$B$6:$E$64,2,FALSE)*(VLOOKUP(AH30,Düngemittel!$B$6:$E$64,3,FALSE))/100*AI30</f>
        <v>0</v>
      </c>
      <c r="AK30" s="1033">
        <f>VLOOKUP(AH30,Düngemittel!$B$6:$E$64,2,FALSE)*AI30</f>
        <v>0</v>
      </c>
      <c r="AL30" s="1033">
        <f>VLOOKUP(AH30,Düngemittel!$B$6:$E$64,4,FALSE)*AI30</f>
        <v>0</v>
      </c>
      <c r="AM30" s="2324"/>
      <c r="AN30" s="1329"/>
      <c r="AO30" s="1330" t="s">
        <v>795</v>
      </c>
      <c r="AP30" s="1424">
        <v>0</v>
      </c>
      <c r="AQ30" s="1033">
        <f>VLOOKUP(AO30,Düngemittel!$B$6:$E$64,2,FALSE)*(VLOOKUP(AO30,Düngemittel!$B$6:$E$64,3,FALSE))/100*AP30</f>
        <v>0</v>
      </c>
      <c r="AR30" s="1033">
        <f>VLOOKUP(AO30,Düngemittel!$B$6:$E$64,2,FALSE)*AP30</f>
        <v>0</v>
      </c>
      <c r="AS30" s="1033">
        <f>VLOOKUP(AO30,Düngemittel!$B$6:$E$64,4,FALSE)*AP30</f>
        <v>0</v>
      </c>
      <c r="AT30" s="1371"/>
      <c r="AU30" s="1371"/>
      <c r="AV30" s="1372">
        <f t="shared" si="32"/>
        <v>0</v>
      </c>
      <c r="AW30" s="1373">
        <f t="shared" si="33"/>
        <v>0</v>
      </c>
      <c r="AX30" s="1374">
        <f t="shared" si="34"/>
        <v>0</v>
      </c>
      <c r="AY30" s="1375">
        <f t="shared" si="35"/>
        <v>0</v>
      </c>
      <c r="AZ30" s="1373">
        <f t="shared" si="36"/>
        <v>0</v>
      </c>
      <c r="BA30" s="1376"/>
      <c r="BB30" s="1372">
        <f t="shared" si="37"/>
        <v>0</v>
      </c>
      <c r="BC30" s="1372">
        <f t="shared" si="38"/>
        <v>0</v>
      </c>
      <c r="BD30" s="1372">
        <f t="shared" si="39"/>
        <v>0</v>
      </c>
      <c r="BE30" s="1816">
        <f t="shared" si="40"/>
        <v>0</v>
      </c>
      <c r="BF30" s="1372">
        <f t="shared" si="41"/>
        <v>0</v>
      </c>
      <c r="BG30" s="1377"/>
      <c r="BH30" s="1968" t="s">
        <v>1453</v>
      </c>
      <c r="BI30" s="1421">
        <v>75</v>
      </c>
      <c r="BJ30" s="1421">
        <v>80</v>
      </c>
      <c r="BK30" s="1421">
        <v>10</v>
      </c>
      <c r="BL30" s="1421">
        <v>8</v>
      </c>
      <c r="BM30" s="1421">
        <v>8</v>
      </c>
      <c r="BN30" s="1421">
        <v>0</v>
      </c>
      <c r="BO30" s="1421">
        <v>0</v>
      </c>
      <c r="BP30" s="2131">
        <v>60</v>
      </c>
      <c r="BQ30" s="2132">
        <v>0.41666666666666663</v>
      </c>
      <c r="BR30" s="357">
        <v>0</v>
      </c>
    </row>
    <row r="31" spans="1:70" ht="23.25" customHeight="1">
      <c r="A31" s="468">
        <v>24</v>
      </c>
      <c r="B31" s="1699">
        <v>0</v>
      </c>
      <c r="C31" s="1527" t="s">
        <v>31</v>
      </c>
      <c r="D31" s="1380">
        <f t="shared" si="0"/>
        <v>0</v>
      </c>
      <c r="E31" s="2342">
        <f t="shared" si="1"/>
        <v>0</v>
      </c>
      <c r="F31" s="1381">
        <f t="shared" si="2"/>
        <v>0</v>
      </c>
      <c r="G31" s="2347">
        <f t="shared" si="28"/>
        <v>0</v>
      </c>
      <c r="H31" s="1928">
        <f t="shared" si="29"/>
        <v>0</v>
      </c>
      <c r="I31" s="1928">
        <f t="shared" si="3"/>
        <v>0</v>
      </c>
      <c r="J31" s="1928">
        <f t="shared" si="4"/>
        <v>0</v>
      </c>
      <c r="K31" s="1928">
        <f t="shared" si="5"/>
        <v>0</v>
      </c>
      <c r="L31" s="1928">
        <f t="shared" si="30"/>
        <v>0</v>
      </c>
      <c r="M31" s="1702">
        <v>0</v>
      </c>
      <c r="N31" s="1424">
        <v>0</v>
      </c>
      <c r="O31" s="1370">
        <f t="shared" si="15"/>
        <v>0</v>
      </c>
      <c r="P31" s="590">
        <v>4</v>
      </c>
      <c r="Q31" s="2300">
        <f t="shared" si="31"/>
        <v>0</v>
      </c>
      <c r="R31" s="2207">
        <v>0</v>
      </c>
      <c r="S31" s="2231">
        <f t="shared" si="17"/>
        <v>0</v>
      </c>
      <c r="T31" s="2213">
        <f t="shared" si="6"/>
        <v>0</v>
      </c>
      <c r="U31" s="2216">
        <f t="shared" si="7"/>
        <v>0</v>
      </c>
      <c r="V31" s="2213">
        <f t="shared" si="8"/>
        <v>0</v>
      </c>
      <c r="W31" s="1355"/>
      <c r="X31" s="1281">
        <f t="shared" si="9"/>
        <v>24</v>
      </c>
      <c r="Y31" s="2087" t="str">
        <f t="shared" si="10"/>
        <v>keine</v>
      </c>
      <c r="Z31" s="1329"/>
      <c r="AA31" s="1330" t="s">
        <v>795</v>
      </c>
      <c r="AB31" s="1424">
        <v>0</v>
      </c>
      <c r="AC31" s="1033">
        <f>VLOOKUP(AA31,Düngemittel!$B$6:$E$64,2,FALSE)*(VLOOKUP(AA31,Düngemittel!$B$6:$E$64,3,FALSE))/100*AB31</f>
        <v>0</v>
      </c>
      <c r="AD31" s="1033">
        <f>VLOOKUP(AA31,Düngemittel!$B$6:$E$64,2,FALSE)*AB31</f>
        <v>0</v>
      </c>
      <c r="AE31" s="1033">
        <f>VLOOKUP(AA31,Düngemittel!$B$6:$E$64,4,FALSE)*AB31</f>
        <v>0</v>
      </c>
      <c r="AF31" s="2324"/>
      <c r="AG31" s="1329"/>
      <c r="AH31" s="1330" t="s">
        <v>795</v>
      </c>
      <c r="AI31" s="1424">
        <v>0</v>
      </c>
      <c r="AJ31" s="1033">
        <f>VLOOKUP(AH31,Düngemittel!$B$6:$E$64,2,FALSE)*(VLOOKUP(AH31,Düngemittel!$B$6:$E$64,3,FALSE))/100*AI31</f>
        <v>0</v>
      </c>
      <c r="AK31" s="1033">
        <f>VLOOKUP(AH31,Düngemittel!$B$6:$E$64,2,FALSE)*AI31</f>
        <v>0</v>
      </c>
      <c r="AL31" s="1033">
        <f>VLOOKUP(AH31,Düngemittel!$B$6:$E$64,4,FALSE)*AI31</f>
        <v>0</v>
      </c>
      <c r="AM31" s="2324"/>
      <c r="AN31" s="1329"/>
      <c r="AO31" s="1330" t="s">
        <v>795</v>
      </c>
      <c r="AP31" s="1424">
        <v>0</v>
      </c>
      <c r="AQ31" s="1033">
        <f>VLOOKUP(AO31,Düngemittel!$B$6:$E$64,2,FALSE)*(VLOOKUP(AO31,Düngemittel!$B$6:$E$64,3,FALSE))/100*AP31</f>
        <v>0</v>
      </c>
      <c r="AR31" s="1033">
        <f>VLOOKUP(AO31,Düngemittel!$B$6:$E$64,2,FALSE)*AP31</f>
        <v>0</v>
      </c>
      <c r="AS31" s="1033">
        <f>VLOOKUP(AO31,Düngemittel!$B$6:$E$64,4,FALSE)*AP31</f>
        <v>0</v>
      </c>
      <c r="AT31" s="1371"/>
      <c r="AU31" s="1371"/>
      <c r="AV31" s="1372">
        <f t="shared" si="32"/>
        <v>0</v>
      </c>
      <c r="AW31" s="1373">
        <f t="shared" si="33"/>
        <v>0</v>
      </c>
      <c r="AX31" s="1374">
        <f t="shared" si="34"/>
        <v>0</v>
      </c>
      <c r="AY31" s="1375">
        <f t="shared" si="35"/>
        <v>0</v>
      </c>
      <c r="AZ31" s="1373">
        <f t="shared" si="36"/>
        <v>0</v>
      </c>
      <c r="BA31" s="1376"/>
      <c r="BB31" s="1372">
        <f t="shared" si="37"/>
        <v>0</v>
      </c>
      <c r="BC31" s="1372">
        <f t="shared" si="38"/>
        <v>0</v>
      </c>
      <c r="BD31" s="1372">
        <f t="shared" si="39"/>
        <v>0</v>
      </c>
      <c r="BE31" s="1816">
        <f t="shared" si="40"/>
        <v>0</v>
      </c>
      <c r="BF31" s="1372">
        <f t="shared" si="41"/>
        <v>0</v>
      </c>
      <c r="BG31" s="1377"/>
      <c r="BH31" s="1968" t="s">
        <v>1454</v>
      </c>
      <c r="BI31" s="1421">
        <v>75</v>
      </c>
      <c r="BJ31" s="1421">
        <v>80</v>
      </c>
      <c r="BK31" s="1421">
        <v>10</v>
      </c>
      <c r="BL31" s="1421">
        <v>8</v>
      </c>
      <c r="BM31" s="1421">
        <v>8</v>
      </c>
      <c r="BN31" s="1421">
        <v>0</v>
      </c>
      <c r="BO31" s="1421">
        <v>0</v>
      </c>
      <c r="BP31" s="2131">
        <v>60</v>
      </c>
      <c r="BQ31" s="2132">
        <v>0.25</v>
      </c>
      <c r="BR31" s="357">
        <v>0</v>
      </c>
    </row>
    <row r="32" spans="1:70" ht="23.25" customHeight="1">
      <c r="A32" s="468">
        <v>25</v>
      </c>
      <c r="B32" s="1699">
        <v>0</v>
      </c>
      <c r="C32" s="1527" t="s">
        <v>31</v>
      </c>
      <c r="D32" s="1380">
        <f t="shared" si="0"/>
        <v>0</v>
      </c>
      <c r="E32" s="2342">
        <f t="shared" si="1"/>
        <v>0</v>
      </c>
      <c r="F32" s="1381">
        <f t="shared" si="2"/>
        <v>0</v>
      </c>
      <c r="G32" s="2347">
        <f t="shared" si="28"/>
        <v>0</v>
      </c>
      <c r="H32" s="1928">
        <f t="shared" si="29"/>
        <v>0</v>
      </c>
      <c r="I32" s="1928">
        <f t="shared" si="3"/>
        <v>0</v>
      </c>
      <c r="J32" s="1928">
        <f t="shared" si="4"/>
        <v>0</v>
      </c>
      <c r="K32" s="1928">
        <f t="shared" si="5"/>
        <v>0</v>
      </c>
      <c r="L32" s="1928">
        <f t="shared" si="30"/>
        <v>0</v>
      </c>
      <c r="M32" s="1702">
        <v>0</v>
      </c>
      <c r="N32" s="1424">
        <v>0</v>
      </c>
      <c r="O32" s="1370">
        <f t="shared" si="15"/>
        <v>0</v>
      </c>
      <c r="P32" s="590">
        <v>5</v>
      </c>
      <c r="Q32" s="2300">
        <f t="shared" si="31"/>
        <v>0</v>
      </c>
      <c r="R32" s="2207">
        <v>0</v>
      </c>
      <c r="S32" s="2231">
        <f t="shared" si="17"/>
        <v>0</v>
      </c>
      <c r="T32" s="2213">
        <f t="shared" si="6"/>
        <v>0</v>
      </c>
      <c r="U32" s="2216">
        <f t="shared" si="7"/>
        <v>0</v>
      </c>
      <c r="V32" s="2213">
        <f t="shared" si="8"/>
        <v>0</v>
      </c>
      <c r="W32" s="1355"/>
      <c r="X32" s="1281">
        <f t="shared" si="9"/>
        <v>25</v>
      </c>
      <c r="Y32" s="2087" t="str">
        <f t="shared" si="10"/>
        <v>keine</v>
      </c>
      <c r="Z32" s="1329"/>
      <c r="AA32" s="1330" t="s">
        <v>795</v>
      </c>
      <c r="AB32" s="1424">
        <v>0</v>
      </c>
      <c r="AC32" s="1033">
        <f>VLOOKUP(AA32,Düngemittel!$B$6:$E$64,2,FALSE)*(VLOOKUP(AA32,Düngemittel!$B$6:$E$64,3,FALSE))/100*AB32</f>
        <v>0</v>
      </c>
      <c r="AD32" s="1033">
        <f>VLOOKUP(AA32,Düngemittel!$B$6:$E$64,2,FALSE)*AB32</f>
        <v>0</v>
      </c>
      <c r="AE32" s="1033">
        <f>VLOOKUP(AA32,Düngemittel!$B$6:$E$64,4,FALSE)*AB32</f>
        <v>0</v>
      </c>
      <c r="AF32" s="2324"/>
      <c r="AG32" s="1329"/>
      <c r="AH32" s="1330" t="s">
        <v>795</v>
      </c>
      <c r="AI32" s="1424">
        <v>0</v>
      </c>
      <c r="AJ32" s="1033">
        <f>VLOOKUP(AH32,Düngemittel!$B$6:$E$64,2,FALSE)*(VLOOKUP(AH32,Düngemittel!$B$6:$E$64,3,FALSE))/100*AI32</f>
        <v>0</v>
      </c>
      <c r="AK32" s="1033">
        <f>VLOOKUP(AH32,Düngemittel!$B$6:$E$64,2,FALSE)*AI32</f>
        <v>0</v>
      </c>
      <c r="AL32" s="1033">
        <f>VLOOKUP(AH32,Düngemittel!$B$6:$E$64,4,FALSE)*AI32</f>
        <v>0</v>
      </c>
      <c r="AM32" s="2324"/>
      <c r="AN32" s="1329"/>
      <c r="AO32" s="1330" t="s">
        <v>795</v>
      </c>
      <c r="AP32" s="1424">
        <v>0</v>
      </c>
      <c r="AQ32" s="1033">
        <f>VLOOKUP(AO32,Düngemittel!$B$6:$E$64,2,FALSE)*(VLOOKUP(AO32,Düngemittel!$B$6:$E$64,3,FALSE))/100*AP32</f>
        <v>0</v>
      </c>
      <c r="AR32" s="1033">
        <f>VLOOKUP(AO32,Düngemittel!$B$6:$E$64,2,FALSE)*AP32</f>
        <v>0</v>
      </c>
      <c r="AS32" s="1033">
        <f>VLOOKUP(AO32,Düngemittel!$B$6:$E$64,4,FALSE)*AP32</f>
        <v>0</v>
      </c>
      <c r="AT32" s="1371"/>
      <c r="AU32" s="1371"/>
      <c r="AV32" s="1372">
        <f t="shared" si="32"/>
        <v>0</v>
      </c>
      <c r="AW32" s="1373">
        <f t="shared" si="33"/>
        <v>0</v>
      </c>
      <c r="AX32" s="1374">
        <f t="shared" si="34"/>
        <v>0</v>
      </c>
      <c r="AY32" s="1375">
        <f t="shared" si="35"/>
        <v>0</v>
      </c>
      <c r="AZ32" s="1373">
        <f t="shared" si="36"/>
        <v>0</v>
      </c>
      <c r="BA32" s="1376"/>
      <c r="BB32" s="1372">
        <f t="shared" si="37"/>
        <v>0</v>
      </c>
      <c r="BC32" s="1372">
        <f t="shared" si="38"/>
        <v>0</v>
      </c>
      <c r="BD32" s="1372">
        <f t="shared" si="39"/>
        <v>0</v>
      </c>
      <c r="BE32" s="1816">
        <f t="shared" si="40"/>
        <v>0</v>
      </c>
      <c r="BF32" s="1372">
        <f t="shared" si="41"/>
        <v>0</v>
      </c>
      <c r="BG32" s="1377"/>
      <c r="BH32" s="1968" t="s">
        <v>1455</v>
      </c>
      <c r="BI32" s="1421">
        <v>20</v>
      </c>
      <c r="BJ32" s="1421">
        <v>100</v>
      </c>
      <c r="BK32" s="1421">
        <v>10</v>
      </c>
      <c r="BL32" s="1421">
        <v>10</v>
      </c>
      <c r="BM32" s="1421">
        <v>10</v>
      </c>
      <c r="BN32" s="1421">
        <v>0</v>
      </c>
      <c r="BO32" s="1421">
        <v>0</v>
      </c>
      <c r="BP32" s="2136">
        <v>30</v>
      </c>
      <c r="BQ32" s="2132">
        <v>1.25</v>
      </c>
      <c r="BR32" s="357">
        <v>0</v>
      </c>
    </row>
    <row r="33" spans="1:70" ht="23.25" customHeight="1">
      <c r="A33" s="468">
        <v>26</v>
      </c>
      <c r="B33" s="1699">
        <v>0</v>
      </c>
      <c r="C33" s="1527" t="s">
        <v>31</v>
      </c>
      <c r="D33" s="1380">
        <f t="shared" si="0"/>
        <v>0</v>
      </c>
      <c r="E33" s="2342">
        <f t="shared" si="1"/>
        <v>0</v>
      </c>
      <c r="F33" s="1381">
        <f t="shared" si="2"/>
        <v>0</v>
      </c>
      <c r="G33" s="2347">
        <f t="shared" si="28"/>
        <v>0</v>
      </c>
      <c r="H33" s="1928">
        <f t="shared" si="29"/>
        <v>0</v>
      </c>
      <c r="I33" s="1928">
        <f t="shared" si="3"/>
        <v>0</v>
      </c>
      <c r="J33" s="1928">
        <f t="shared" si="4"/>
        <v>0</v>
      </c>
      <c r="K33" s="1928">
        <f t="shared" si="5"/>
        <v>0</v>
      </c>
      <c r="L33" s="1928">
        <f t="shared" si="30"/>
        <v>0</v>
      </c>
      <c r="M33" s="1702">
        <v>0</v>
      </c>
      <c r="N33" s="1424">
        <v>0</v>
      </c>
      <c r="O33" s="1370">
        <f t="shared" si="15"/>
        <v>0</v>
      </c>
      <c r="P33" s="590">
        <v>6</v>
      </c>
      <c r="Q33" s="2300">
        <f t="shared" si="31"/>
        <v>0</v>
      </c>
      <c r="R33" s="2207">
        <v>0</v>
      </c>
      <c r="S33" s="2231">
        <f t="shared" si="17"/>
        <v>0</v>
      </c>
      <c r="T33" s="2213">
        <f t="shared" si="6"/>
        <v>0</v>
      </c>
      <c r="U33" s="2216">
        <f t="shared" si="7"/>
        <v>0</v>
      </c>
      <c r="V33" s="2213">
        <f t="shared" si="8"/>
        <v>0</v>
      </c>
      <c r="W33" s="1355"/>
      <c r="X33" s="1281">
        <f t="shared" si="9"/>
        <v>26</v>
      </c>
      <c r="Y33" s="2087" t="str">
        <f t="shared" si="10"/>
        <v>keine</v>
      </c>
      <c r="Z33" s="1329"/>
      <c r="AA33" s="1330" t="s">
        <v>795</v>
      </c>
      <c r="AB33" s="1424">
        <v>0</v>
      </c>
      <c r="AC33" s="1033">
        <f>VLOOKUP(AA33,Düngemittel!$B$6:$E$64,2,FALSE)*(VLOOKUP(AA33,Düngemittel!$B$6:$E$64,3,FALSE))/100*AB33</f>
        <v>0</v>
      </c>
      <c r="AD33" s="1033">
        <f>VLOOKUP(AA33,Düngemittel!$B$6:$E$64,2,FALSE)*AB33</f>
        <v>0</v>
      </c>
      <c r="AE33" s="1033">
        <f>VLOOKUP(AA33,Düngemittel!$B$6:$E$64,4,FALSE)*AB33</f>
        <v>0</v>
      </c>
      <c r="AF33" s="2324"/>
      <c r="AG33" s="1329"/>
      <c r="AH33" s="1330" t="s">
        <v>795</v>
      </c>
      <c r="AI33" s="1424">
        <v>0</v>
      </c>
      <c r="AJ33" s="1033">
        <f>VLOOKUP(AH33,Düngemittel!$B$6:$E$64,2,FALSE)*(VLOOKUP(AH33,Düngemittel!$B$6:$E$64,3,FALSE))/100*AI33</f>
        <v>0</v>
      </c>
      <c r="AK33" s="1033">
        <f>VLOOKUP(AH33,Düngemittel!$B$6:$E$64,2,FALSE)*AI33</f>
        <v>0</v>
      </c>
      <c r="AL33" s="1033">
        <f>VLOOKUP(AH33,Düngemittel!$B$6:$E$64,4,FALSE)*AI33</f>
        <v>0</v>
      </c>
      <c r="AM33" s="2324"/>
      <c r="AN33" s="1329"/>
      <c r="AO33" s="1330" t="s">
        <v>795</v>
      </c>
      <c r="AP33" s="1424">
        <v>0</v>
      </c>
      <c r="AQ33" s="1033">
        <f>VLOOKUP(AO33,Düngemittel!$B$6:$E$64,2,FALSE)*(VLOOKUP(AO33,Düngemittel!$B$6:$E$64,3,FALSE))/100*AP33</f>
        <v>0</v>
      </c>
      <c r="AR33" s="1033">
        <f>VLOOKUP(AO33,Düngemittel!$B$6:$E$64,2,FALSE)*AP33</f>
        <v>0</v>
      </c>
      <c r="AS33" s="1033">
        <f>VLOOKUP(AO33,Düngemittel!$B$6:$E$64,4,FALSE)*AP33</f>
        <v>0</v>
      </c>
      <c r="AT33" s="1371"/>
      <c r="AU33" s="1371"/>
      <c r="AV33" s="1372">
        <f t="shared" si="32"/>
        <v>0</v>
      </c>
      <c r="AW33" s="1373">
        <f t="shared" si="33"/>
        <v>0</v>
      </c>
      <c r="AX33" s="1374">
        <f t="shared" si="34"/>
        <v>0</v>
      </c>
      <c r="AY33" s="1375">
        <f t="shared" si="35"/>
        <v>0</v>
      </c>
      <c r="AZ33" s="1373">
        <f t="shared" si="36"/>
        <v>0</v>
      </c>
      <c r="BA33" s="1376"/>
      <c r="BB33" s="1372">
        <f t="shared" si="37"/>
        <v>0</v>
      </c>
      <c r="BC33" s="1372">
        <f t="shared" si="38"/>
        <v>0</v>
      </c>
      <c r="BD33" s="1372">
        <f t="shared" si="39"/>
        <v>0</v>
      </c>
      <c r="BE33" s="1816">
        <f t="shared" si="40"/>
        <v>0</v>
      </c>
      <c r="BF33" s="1372">
        <f t="shared" si="41"/>
        <v>0</v>
      </c>
      <c r="BG33" s="1377"/>
      <c r="BH33" s="1968" t="s">
        <v>1456</v>
      </c>
      <c r="BI33" s="1421">
        <v>20</v>
      </c>
      <c r="BJ33" s="1421">
        <v>100</v>
      </c>
      <c r="BK33" s="1421">
        <v>10</v>
      </c>
      <c r="BL33" s="1421">
        <v>10</v>
      </c>
      <c r="BM33" s="1421">
        <v>10</v>
      </c>
      <c r="BN33" s="1421">
        <v>0</v>
      </c>
      <c r="BO33" s="1421">
        <v>0</v>
      </c>
      <c r="BP33" s="2136">
        <v>30</v>
      </c>
      <c r="BQ33" s="2132">
        <v>0.25</v>
      </c>
      <c r="BR33" s="357">
        <v>0</v>
      </c>
    </row>
    <row r="34" spans="1:70" ht="23.25" customHeight="1">
      <c r="A34" s="468">
        <v>27</v>
      </c>
      <c r="B34" s="1699">
        <v>0</v>
      </c>
      <c r="C34" s="1527" t="s">
        <v>31</v>
      </c>
      <c r="D34" s="1380">
        <f t="shared" si="0"/>
        <v>0</v>
      </c>
      <c r="E34" s="2342">
        <f t="shared" si="1"/>
        <v>0</v>
      </c>
      <c r="F34" s="1381">
        <f t="shared" si="2"/>
        <v>0</v>
      </c>
      <c r="G34" s="2347">
        <f t="shared" si="28"/>
        <v>0</v>
      </c>
      <c r="H34" s="1928">
        <f t="shared" si="29"/>
        <v>0</v>
      </c>
      <c r="I34" s="1928">
        <f t="shared" si="3"/>
        <v>0</v>
      </c>
      <c r="J34" s="1928">
        <f t="shared" si="4"/>
        <v>0</v>
      </c>
      <c r="K34" s="1928">
        <f t="shared" si="5"/>
        <v>0</v>
      </c>
      <c r="L34" s="1928">
        <f t="shared" si="30"/>
        <v>0</v>
      </c>
      <c r="M34" s="1702">
        <v>0</v>
      </c>
      <c r="N34" s="1424">
        <v>0</v>
      </c>
      <c r="O34" s="1370">
        <f t="shared" si="15"/>
        <v>0</v>
      </c>
      <c r="P34" s="590">
        <v>7</v>
      </c>
      <c r="Q34" s="2300">
        <f t="shared" si="31"/>
        <v>0</v>
      </c>
      <c r="R34" s="2207">
        <v>0</v>
      </c>
      <c r="S34" s="2231">
        <f t="shared" si="17"/>
        <v>0</v>
      </c>
      <c r="T34" s="2213">
        <f t="shared" si="6"/>
        <v>0</v>
      </c>
      <c r="U34" s="2216">
        <f t="shared" si="7"/>
        <v>0</v>
      </c>
      <c r="V34" s="2213">
        <f t="shared" si="8"/>
        <v>0</v>
      </c>
      <c r="W34" s="1355"/>
      <c r="X34" s="1281">
        <f t="shared" si="9"/>
        <v>27</v>
      </c>
      <c r="Y34" s="2087" t="str">
        <f t="shared" si="10"/>
        <v>keine</v>
      </c>
      <c r="Z34" s="1329"/>
      <c r="AA34" s="1330" t="s">
        <v>795</v>
      </c>
      <c r="AB34" s="1424">
        <v>0</v>
      </c>
      <c r="AC34" s="1033">
        <f>VLOOKUP(AA34,Düngemittel!$B$6:$E$64,2,FALSE)*(VLOOKUP(AA34,Düngemittel!$B$6:$E$64,3,FALSE))/100*AB34</f>
        <v>0</v>
      </c>
      <c r="AD34" s="1033">
        <f>VLOOKUP(AA34,Düngemittel!$B$6:$E$64,2,FALSE)*AB34</f>
        <v>0</v>
      </c>
      <c r="AE34" s="1033">
        <f>VLOOKUP(AA34,Düngemittel!$B$6:$E$64,4,FALSE)*AB34</f>
        <v>0</v>
      </c>
      <c r="AF34" s="2324"/>
      <c r="AG34" s="1329"/>
      <c r="AH34" s="1330" t="s">
        <v>795</v>
      </c>
      <c r="AI34" s="1424">
        <v>0</v>
      </c>
      <c r="AJ34" s="1033">
        <f>VLOOKUP(AH34,Düngemittel!$B$6:$E$64,2,FALSE)*(VLOOKUP(AH34,Düngemittel!$B$6:$E$64,3,FALSE))/100*AI34</f>
        <v>0</v>
      </c>
      <c r="AK34" s="1033">
        <f>VLOOKUP(AH34,Düngemittel!$B$6:$E$64,2,FALSE)*AI34</f>
        <v>0</v>
      </c>
      <c r="AL34" s="1033">
        <f>VLOOKUP(AH34,Düngemittel!$B$6:$E$64,4,FALSE)*AI34</f>
        <v>0</v>
      </c>
      <c r="AM34" s="2324"/>
      <c r="AN34" s="1329"/>
      <c r="AO34" s="1330" t="s">
        <v>795</v>
      </c>
      <c r="AP34" s="1424">
        <v>0</v>
      </c>
      <c r="AQ34" s="1033">
        <f>VLOOKUP(AO34,Düngemittel!$B$6:$E$64,2,FALSE)*(VLOOKUP(AO34,Düngemittel!$B$6:$E$64,3,FALSE))/100*AP34</f>
        <v>0</v>
      </c>
      <c r="AR34" s="1033">
        <f>VLOOKUP(AO34,Düngemittel!$B$6:$E$64,2,FALSE)*AP34</f>
        <v>0</v>
      </c>
      <c r="AS34" s="1033">
        <f>VLOOKUP(AO34,Düngemittel!$B$6:$E$64,4,FALSE)*AP34</f>
        <v>0</v>
      </c>
      <c r="AT34" s="1371"/>
      <c r="AU34" s="1371"/>
      <c r="AV34" s="1372">
        <f t="shared" si="32"/>
        <v>0</v>
      </c>
      <c r="AW34" s="1373">
        <f t="shared" si="33"/>
        <v>0</v>
      </c>
      <c r="AX34" s="1374">
        <f t="shared" si="34"/>
        <v>0</v>
      </c>
      <c r="AY34" s="1375">
        <f t="shared" si="35"/>
        <v>0</v>
      </c>
      <c r="AZ34" s="1373">
        <f t="shared" si="36"/>
        <v>0</v>
      </c>
      <c r="BA34" s="1376"/>
      <c r="BB34" s="1372">
        <f t="shared" si="37"/>
        <v>0</v>
      </c>
      <c r="BC34" s="1372">
        <f t="shared" si="38"/>
        <v>0</v>
      </c>
      <c r="BD34" s="1372">
        <f t="shared" si="39"/>
        <v>0</v>
      </c>
      <c r="BE34" s="1816">
        <f t="shared" si="40"/>
        <v>0</v>
      </c>
      <c r="BF34" s="1372">
        <f t="shared" si="41"/>
        <v>0</v>
      </c>
      <c r="BG34" s="1377"/>
      <c r="BH34" s="1968" t="s">
        <v>1457</v>
      </c>
      <c r="BI34" s="1421">
        <v>150</v>
      </c>
      <c r="BJ34" s="1421">
        <v>120</v>
      </c>
      <c r="BK34" s="1421">
        <v>10</v>
      </c>
      <c r="BL34" s="1421">
        <v>12</v>
      </c>
      <c r="BM34" s="1421">
        <v>12</v>
      </c>
      <c r="BN34" s="1421">
        <v>0</v>
      </c>
      <c r="BO34" s="1421">
        <v>0</v>
      </c>
      <c r="BP34" s="2131">
        <v>30</v>
      </c>
      <c r="BQ34" s="2132">
        <v>0.32333333333333336</v>
      </c>
      <c r="BR34" s="357">
        <v>0</v>
      </c>
    </row>
    <row r="35" spans="1:70" ht="23.25" customHeight="1">
      <c r="A35" s="468">
        <v>28</v>
      </c>
      <c r="B35" s="1699">
        <v>0</v>
      </c>
      <c r="C35" s="1527" t="s">
        <v>31</v>
      </c>
      <c r="D35" s="1380">
        <f t="shared" si="0"/>
        <v>0</v>
      </c>
      <c r="E35" s="2342">
        <f t="shared" si="1"/>
        <v>0</v>
      </c>
      <c r="F35" s="1381">
        <f t="shared" si="2"/>
        <v>0</v>
      </c>
      <c r="G35" s="2347">
        <f t="shared" si="28"/>
        <v>0</v>
      </c>
      <c r="H35" s="1928">
        <f t="shared" si="29"/>
        <v>0</v>
      </c>
      <c r="I35" s="1928">
        <f t="shared" si="3"/>
        <v>0</v>
      </c>
      <c r="J35" s="1928">
        <f t="shared" si="4"/>
        <v>0</v>
      </c>
      <c r="K35" s="1928">
        <f t="shared" si="5"/>
        <v>0</v>
      </c>
      <c r="L35" s="1928">
        <f t="shared" si="30"/>
        <v>0</v>
      </c>
      <c r="M35" s="1702">
        <v>0</v>
      </c>
      <c r="N35" s="1424">
        <v>0</v>
      </c>
      <c r="O35" s="1370">
        <f t="shared" si="15"/>
        <v>0</v>
      </c>
      <c r="P35" s="590">
        <v>8</v>
      </c>
      <c r="Q35" s="2300">
        <f t="shared" si="31"/>
        <v>0</v>
      </c>
      <c r="R35" s="2207">
        <v>0</v>
      </c>
      <c r="S35" s="2231">
        <f t="shared" si="17"/>
        <v>0</v>
      </c>
      <c r="T35" s="2213">
        <f t="shared" si="6"/>
        <v>0</v>
      </c>
      <c r="U35" s="2216">
        <f t="shared" si="7"/>
        <v>0</v>
      </c>
      <c r="V35" s="2213">
        <f t="shared" si="8"/>
        <v>0</v>
      </c>
      <c r="W35" s="1355"/>
      <c r="X35" s="1281">
        <f t="shared" si="9"/>
        <v>28</v>
      </c>
      <c r="Y35" s="2087" t="str">
        <f t="shared" si="10"/>
        <v>keine</v>
      </c>
      <c r="Z35" s="1329"/>
      <c r="AA35" s="1330" t="s">
        <v>795</v>
      </c>
      <c r="AB35" s="1424">
        <v>0</v>
      </c>
      <c r="AC35" s="1033">
        <f>VLOOKUP(AA35,Düngemittel!$B$6:$E$64,2,FALSE)*(VLOOKUP(AA35,Düngemittel!$B$6:$E$64,3,FALSE))/100*AB35</f>
        <v>0</v>
      </c>
      <c r="AD35" s="1033">
        <f>VLOOKUP(AA35,Düngemittel!$B$6:$E$64,2,FALSE)*AB35</f>
        <v>0</v>
      </c>
      <c r="AE35" s="1033">
        <f>VLOOKUP(AA35,Düngemittel!$B$6:$E$64,4,FALSE)*AB35</f>
        <v>0</v>
      </c>
      <c r="AF35" s="2324"/>
      <c r="AG35" s="1329"/>
      <c r="AH35" s="1330" t="s">
        <v>795</v>
      </c>
      <c r="AI35" s="1424">
        <v>0</v>
      </c>
      <c r="AJ35" s="1033">
        <f>VLOOKUP(AH35,Düngemittel!$B$6:$E$64,2,FALSE)*(VLOOKUP(AH35,Düngemittel!$B$6:$E$64,3,FALSE))/100*AI35</f>
        <v>0</v>
      </c>
      <c r="AK35" s="1033">
        <f>VLOOKUP(AH35,Düngemittel!$B$6:$E$64,2,FALSE)*AI35</f>
        <v>0</v>
      </c>
      <c r="AL35" s="1033">
        <f>VLOOKUP(AH35,Düngemittel!$B$6:$E$64,4,FALSE)*AI35</f>
        <v>0</v>
      </c>
      <c r="AM35" s="2324"/>
      <c r="AN35" s="1329"/>
      <c r="AO35" s="1330" t="s">
        <v>795</v>
      </c>
      <c r="AP35" s="1424">
        <v>0</v>
      </c>
      <c r="AQ35" s="1033">
        <f>VLOOKUP(AO35,Düngemittel!$B$6:$E$64,2,FALSE)*(VLOOKUP(AO35,Düngemittel!$B$6:$E$64,3,FALSE))/100*AP35</f>
        <v>0</v>
      </c>
      <c r="AR35" s="1033">
        <f>VLOOKUP(AO35,Düngemittel!$B$6:$E$64,2,FALSE)*AP35</f>
        <v>0</v>
      </c>
      <c r="AS35" s="1033">
        <f>VLOOKUP(AO35,Düngemittel!$B$6:$E$64,4,FALSE)*AP35</f>
        <v>0</v>
      </c>
      <c r="AT35" s="1371"/>
      <c r="AU35" s="1371"/>
      <c r="AV35" s="1372">
        <f t="shared" si="32"/>
        <v>0</v>
      </c>
      <c r="AW35" s="1373">
        <f t="shared" si="33"/>
        <v>0</v>
      </c>
      <c r="AX35" s="1374">
        <f t="shared" si="34"/>
        <v>0</v>
      </c>
      <c r="AY35" s="1375">
        <f t="shared" si="35"/>
        <v>0</v>
      </c>
      <c r="AZ35" s="1373">
        <f t="shared" si="36"/>
        <v>0</v>
      </c>
      <c r="BA35" s="1376"/>
      <c r="BB35" s="1372">
        <f t="shared" si="37"/>
        <v>0</v>
      </c>
      <c r="BC35" s="1372">
        <f t="shared" si="38"/>
        <v>0</v>
      </c>
      <c r="BD35" s="1372">
        <f t="shared" si="39"/>
        <v>0</v>
      </c>
      <c r="BE35" s="1816">
        <f t="shared" si="40"/>
        <v>0</v>
      </c>
      <c r="BF35" s="1372">
        <f t="shared" si="41"/>
        <v>0</v>
      </c>
      <c r="BG35" s="1377"/>
      <c r="BH35" s="1968" t="s">
        <v>1458</v>
      </c>
      <c r="BI35" s="1421">
        <v>150</v>
      </c>
      <c r="BJ35" s="1421">
        <v>120</v>
      </c>
      <c r="BK35" s="1421">
        <v>10</v>
      </c>
      <c r="BL35" s="1421">
        <v>12</v>
      </c>
      <c r="BM35" s="1421">
        <v>12</v>
      </c>
      <c r="BN35" s="1421">
        <v>0</v>
      </c>
      <c r="BO35" s="1421">
        <v>0</v>
      </c>
      <c r="BP35" s="2131">
        <v>30</v>
      </c>
      <c r="BQ35" s="2132">
        <v>0.19</v>
      </c>
      <c r="BR35" s="357">
        <v>0</v>
      </c>
    </row>
    <row r="36" spans="1:70" ht="23.25" customHeight="1">
      <c r="A36" s="468">
        <v>29</v>
      </c>
      <c r="B36" s="1699">
        <v>0</v>
      </c>
      <c r="C36" s="1527" t="s">
        <v>31</v>
      </c>
      <c r="D36" s="1380">
        <f t="shared" si="0"/>
        <v>0</v>
      </c>
      <c r="E36" s="2342">
        <f t="shared" si="1"/>
        <v>0</v>
      </c>
      <c r="F36" s="1381">
        <f t="shared" si="2"/>
        <v>0</v>
      </c>
      <c r="G36" s="2347">
        <f t="shared" si="28"/>
        <v>0</v>
      </c>
      <c r="H36" s="1928">
        <f t="shared" si="29"/>
        <v>0</v>
      </c>
      <c r="I36" s="1928">
        <f t="shared" si="3"/>
        <v>0</v>
      </c>
      <c r="J36" s="1928">
        <f t="shared" si="4"/>
        <v>0</v>
      </c>
      <c r="K36" s="1928">
        <f t="shared" si="5"/>
        <v>0</v>
      </c>
      <c r="L36" s="1928">
        <f t="shared" si="30"/>
        <v>0</v>
      </c>
      <c r="M36" s="1702">
        <v>0</v>
      </c>
      <c r="N36" s="1424">
        <v>0</v>
      </c>
      <c r="O36" s="1370">
        <f t="shared" si="15"/>
        <v>0</v>
      </c>
      <c r="P36" s="590">
        <v>9</v>
      </c>
      <c r="Q36" s="2300">
        <f t="shared" si="31"/>
        <v>0</v>
      </c>
      <c r="R36" s="2207">
        <v>0</v>
      </c>
      <c r="S36" s="2231">
        <f t="shared" si="17"/>
        <v>0</v>
      </c>
      <c r="T36" s="2213">
        <f t="shared" si="6"/>
        <v>0</v>
      </c>
      <c r="U36" s="2216">
        <f t="shared" si="7"/>
        <v>0</v>
      </c>
      <c r="V36" s="2213">
        <f t="shared" si="8"/>
        <v>0</v>
      </c>
      <c r="W36" s="1355"/>
      <c r="X36" s="1281">
        <f t="shared" si="9"/>
        <v>29</v>
      </c>
      <c r="Y36" s="2087" t="str">
        <f t="shared" si="10"/>
        <v>keine</v>
      </c>
      <c r="Z36" s="1329"/>
      <c r="AA36" s="1330" t="s">
        <v>795</v>
      </c>
      <c r="AB36" s="1424">
        <v>0</v>
      </c>
      <c r="AC36" s="1033">
        <f>VLOOKUP(AA36,Düngemittel!$B$6:$E$64,2,FALSE)*(VLOOKUP(AA36,Düngemittel!$B$6:$E$64,3,FALSE))/100*AB36</f>
        <v>0</v>
      </c>
      <c r="AD36" s="1033">
        <f>VLOOKUP(AA36,Düngemittel!$B$6:$E$64,2,FALSE)*AB36</f>
        <v>0</v>
      </c>
      <c r="AE36" s="1033">
        <f>VLOOKUP(AA36,Düngemittel!$B$6:$E$64,4,FALSE)*AB36</f>
        <v>0</v>
      </c>
      <c r="AF36" s="2324"/>
      <c r="AG36" s="1329"/>
      <c r="AH36" s="1330" t="s">
        <v>795</v>
      </c>
      <c r="AI36" s="1424">
        <v>0</v>
      </c>
      <c r="AJ36" s="1033">
        <f>VLOOKUP(AH36,Düngemittel!$B$6:$E$64,2,FALSE)*(VLOOKUP(AH36,Düngemittel!$B$6:$E$64,3,FALSE))/100*AI36</f>
        <v>0</v>
      </c>
      <c r="AK36" s="1033">
        <f>VLOOKUP(AH36,Düngemittel!$B$6:$E$64,2,FALSE)*AI36</f>
        <v>0</v>
      </c>
      <c r="AL36" s="1033">
        <f>VLOOKUP(AH36,Düngemittel!$B$6:$E$64,4,FALSE)*AI36</f>
        <v>0</v>
      </c>
      <c r="AM36" s="2324"/>
      <c r="AN36" s="1329"/>
      <c r="AO36" s="1330" t="s">
        <v>795</v>
      </c>
      <c r="AP36" s="1424">
        <v>0</v>
      </c>
      <c r="AQ36" s="1033">
        <f>VLOOKUP(AO36,Düngemittel!$B$6:$E$64,2,FALSE)*(VLOOKUP(AO36,Düngemittel!$B$6:$E$64,3,FALSE))/100*AP36</f>
        <v>0</v>
      </c>
      <c r="AR36" s="1033">
        <f>VLOOKUP(AO36,Düngemittel!$B$6:$E$64,2,FALSE)*AP36</f>
        <v>0</v>
      </c>
      <c r="AS36" s="1033">
        <f>VLOOKUP(AO36,Düngemittel!$B$6:$E$64,4,FALSE)*AP36</f>
        <v>0</v>
      </c>
      <c r="AT36" s="1371"/>
      <c r="AU36" s="1371"/>
      <c r="AV36" s="1372">
        <f t="shared" si="32"/>
        <v>0</v>
      </c>
      <c r="AW36" s="1373">
        <f t="shared" si="33"/>
        <v>0</v>
      </c>
      <c r="AX36" s="1374">
        <f t="shared" si="34"/>
        <v>0</v>
      </c>
      <c r="AY36" s="1375">
        <f t="shared" si="35"/>
        <v>0</v>
      </c>
      <c r="AZ36" s="1373">
        <f t="shared" si="36"/>
        <v>0</v>
      </c>
      <c r="BA36" s="1376"/>
      <c r="BB36" s="1372">
        <f t="shared" si="37"/>
        <v>0</v>
      </c>
      <c r="BC36" s="1372">
        <f t="shared" si="38"/>
        <v>0</v>
      </c>
      <c r="BD36" s="1372">
        <f t="shared" si="39"/>
        <v>0</v>
      </c>
      <c r="BE36" s="1816">
        <f t="shared" si="40"/>
        <v>0</v>
      </c>
      <c r="BF36" s="1372">
        <f t="shared" si="41"/>
        <v>0</v>
      </c>
      <c r="BG36" s="1377"/>
      <c r="BH36" s="1968" t="s">
        <v>1459</v>
      </c>
      <c r="BI36" s="1421">
        <v>185</v>
      </c>
      <c r="BJ36" s="1421">
        <v>150</v>
      </c>
      <c r="BK36" s="1421">
        <v>10</v>
      </c>
      <c r="BL36" s="1421">
        <v>15</v>
      </c>
      <c r="BM36" s="1421">
        <v>15</v>
      </c>
      <c r="BN36" s="1421">
        <v>0</v>
      </c>
      <c r="BO36" s="1421">
        <v>0</v>
      </c>
      <c r="BP36" s="2133">
        <v>30</v>
      </c>
      <c r="BQ36" s="2134">
        <v>0.26</v>
      </c>
      <c r="BR36" s="357">
        <v>0</v>
      </c>
    </row>
    <row r="37" spans="1:70" ht="23.25" customHeight="1">
      <c r="A37" s="468">
        <v>30</v>
      </c>
      <c r="B37" s="1699">
        <v>0</v>
      </c>
      <c r="C37" s="1527" t="s">
        <v>31</v>
      </c>
      <c r="D37" s="1380">
        <f t="shared" si="0"/>
        <v>0</v>
      </c>
      <c r="E37" s="2342">
        <f t="shared" si="1"/>
        <v>0</v>
      </c>
      <c r="F37" s="1381">
        <f t="shared" si="2"/>
        <v>0</v>
      </c>
      <c r="G37" s="2347">
        <f t="shared" si="28"/>
        <v>0</v>
      </c>
      <c r="H37" s="1928">
        <f t="shared" si="29"/>
        <v>0</v>
      </c>
      <c r="I37" s="1928">
        <f t="shared" si="3"/>
        <v>0</v>
      </c>
      <c r="J37" s="1928">
        <f t="shared" si="4"/>
        <v>0</v>
      </c>
      <c r="K37" s="1928">
        <f t="shared" si="5"/>
        <v>0</v>
      </c>
      <c r="L37" s="1928">
        <f t="shared" si="30"/>
        <v>0</v>
      </c>
      <c r="M37" s="1702">
        <v>0</v>
      </c>
      <c r="N37" s="1424">
        <v>0</v>
      </c>
      <c r="O37" s="1370">
        <f t="shared" si="15"/>
        <v>0</v>
      </c>
      <c r="P37" s="590">
        <v>10</v>
      </c>
      <c r="Q37" s="2300">
        <f t="shared" si="31"/>
        <v>0</v>
      </c>
      <c r="R37" s="2207">
        <v>0</v>
      </c>
      <c r="S37" s="2231">
        <f t="shared" si="17"/>
        <v>0</v>
      </c>
      <c r="T37" s="2213">
        <f t="shared" si="6"/>
        <v>0</v>
      </c>
      <c r="U37" s="2216">
        <f t="shared" si="7"/>
        <v>0</v>
      </c>
      <c r="V37" s="2213">
        <f t="shared" si="8"/>
        <v>0</v>
      </c>
      <c r="W37" s="1355"/>
      <c r="X37" s="1281">
        <f t="shared" si="9"/>
        <v>30</v>
      </c>
      <c r="Y37" s="2087" t="str">
        <f t="shared" si="10"/>
        <v>keine</v>
      </c>
      <c r="Z37" s="1329"/>
      <c r="AA37" s="1330" t="s">
        <v>795</v>
      </c>
      <c r="AB37" s="1424">
        <v>0</v>
      </c>
      <c r="AC37" s="1033">
        <f>VLOOKUP(AA37,Düngemittel!$B$6:$E$64,2,FALSE)*(VLOOKUP(AA37,Düngemittel!$B$6:$E$64,3,FALSE))/100*AB37</f>
        <v>0</v>
      </c>
      <c r="AD37" s="1033">
        <f>VLOOKUP(AA37,Düngemittel!$B$6:$E$64,2,FALSE)*AB37</f>
        <v>0</v>
      </c>
      <c r="AE37" s="1033">
        <f>VLOOKUP(AA37,Düngemittel!$B$6:$E$64,4,FALSE)*AB37</f>
        <v>0</v>
      </c>
      <c r="AF37" s="2324"/>
      <c r="AG37" s="1329"/>
      <c r="AH37" s="1330" t="s">
        <v>795</v>
      </c>
      <c r="AI37" s="1424">
        <v>0</v>
      </c>
      <c r="AJ37" s="1033">
        <f>VLOOKUP(AH37,Düngemittel!$B$6:$E$64,2,FALSE)*(VLOOKUP(AH37,Düngemittel!$B$6:$E$64,3,FALSE))/100*AI37</f>
        <v>0</v>
      </c>
      <c r="AK37" s="1033">
        <f>VLOOKUP(AH37,Düngemittel!$B$6:$E$64,2,FALSE)*AI37</f>
        <v>0</v>
      </c>
      <c r="AL37" s="1033">
        <f>VLOOKUP(AH37,Düngemittel!$B$6:$E$64,4,FALSE)*AI37</f>
        <v>0</v>
      </c>
      <c r="AM37" s="2324"/>
      <c r="AN37" s="1329"/>
      <c r="AO37" s="1330" t="s">
        <v>795</v>
      </c>
      <c r="AP37" s="1424">
        <v>0</v>
      </c>
      <c r="AQ37" s="1033">
        <f>VLOOKUP(AO37,Düngemittel!$B$6:$E$64,2,FALSE)*(VLOOKUP(AO37,Düngemittel!$B$6:$E$64,3,FALSE))/100*AP37</f>
        <v>0</v>
      </c>
      <c r="AR37" s="1033">
        <f>VLOOKUP(AO37,Düngemittel!$B$6:$E$64,2,FALSE)*AP37</f>
        <v>0</v>
      </c>
      <c r="AS37" s="1033">
        <f>VLOOKUP(AO37,Düngemittel!$B$6:$E$64,4,FALSE)*AP37</f>
        <v>0</v>
      </c>
      <c r="AT37" s="1371"/>
      <c r="AU37" s="1371"/>
      <c r="AV37" s="1372">
        <f t="shared" si="32"/>
        <v>0</v>
      </c>
      <c r="AW37" s="1373">
        <f t="shared" si="33"/>
        <v>0</v>
      </c>
      <c r="AX37" s="1374">
        <f t="shared" si="34"/>
        <v>0</v>
      </c>
      <c r="AY37" s="1375">
        <f t="shared" si="35"/>
        <v>0</v>
      </c>
      <c r="AZ37" s="1373">
        <f t="shared" si="36"/>
        <v>0</v>
      </c>
      <c r="BA37" s="1376"/>
      <c r="BB37" s="1372">
        <f t="shared" si="37"/>
        <v>0</v>
      </c>
      <c r="BC37" s="1372">
        <f t="shared" si="38"/>
        <v>0</v>
      </c>
      <c r="BD37" s="1372">
        <f t="shared" si="39"/>
        <v>0</v>
      </c>
      <c r="BE37" s="1816">
        <f t="shared" si="40"/>
        <v>0</v>
      </c>
      <c r="BF37" s="1372">
        <f t="shared" si="41"/>
        <v>0</v>
      </c>
      <c r="BG37" s="1377"/>
      <c r="BH37" s="1968" t="s">
        <v>1460</v>
      </c>
      <c r="BI37" s="1421">
        <v>20</v>
      </c>
      <c r="BJ37" s="1421">
        <v>10</v>
      </c>
      <c r="BK37" s="1421">
        <v>10</v>
      </c>
      <c r="BL37" s="1421">
        <v>1</v>
      </c>
      <c r="BM37" s="1421">
        <v>1</v>
      </c>
      <c r="BN37" s="1421">
        <v>0</v>
      </c>
      <c r="BO37" s="1421">
        <v>0</v>
      </c>
      <c r="BP37" s="2131">
        <v>30</v>
      </c>
      <c r="BQ37" s="2132">
        <v>0.75</v>
      </c>
      <c r="BR37" s="357">
        <v>0</v>
      </c>
    </row>
    <row r="38" spans="1:70" ht="23.25" customHeight="1">
      <c r="A38" s="468">
        <v>31</v>
      </c>
      <c r="B38" s="1699">
        <v>0</v>
      </c>
      <c r="C38" s="1527" t="s">
        <v>31</v>
      </c>
      <c r="D38" s="1380">
        <f t="shared" si="0"/>
        <v>0</v>
      </c>
      <c r="E38" s="2342">
        <f t="shared" si="1"/>
        <v>0</v>
      </c>
      <c r="F38" s="1381">
        <f t="shared" si="2"/>
        <v>0</v>
      </c>
      <c r="G38" s="2347">
        <f t="shared" si="28"/>
        <v>0</v>
      </c>
      <c r="H38" s="1928">
        <f t="shared" si="29"/>
        <v>0</v>
      </c>
      <c r="I38" s="1928">
        <f t="shared" si="3"/>
        <v>0</v>
      </c>
      <c r="J38" s="1928">
        <f t="shared" si="4"/>
        <v>0</v>
      </c>
      <c r="K38" s="1928">
        <f t="shared" si="5"/>
        <v>0</v>
      </c>
      <c r="L38" s="1928">
        <f t="shared" si="30"/>
        <v>0</v>
      </c>
      <c r="M38" s="1702">
        <v>0</v>
      </c>
      <c r="N38" s="1424">
        <v>0</v>
      </c>
      <c r="O38" s="1370">
        <f t="shared" si="15"/>
        <v>0</v>
      </c>
      <c r="P38" s="590">
        <v>11</v>
      </c>
      <c r="Q38" s="2300">
        <f t="shared" si="31"/>
        <v>0</v>
      </c>
      <c r="R38" s="2207">
        <v>0</v>
      </c>
      <c r="S38" s="2231">
        <f t="shared" si="17"/>
        <v>0</v>
      </c>
      <c r="T38" s="2213">
        <f t="shared" si="6"/>
        <v>0</v>
      </c>
      <c r="U38" s="2216">
        <f t="shared" si="7"/>
        <v>0</v>
      </c>
      <c r="V38" s="2213">
        <f t="shared" si="8"/>
        <v>0</v>
      </c>
      <c r="W38" s="1355"/>
      <c r="X38" s="1281">
        <f t="shared" si="9"/>
        <v>31</v>
      </c>
      <c r="Y38" s="2087" t="str">
        <f t="shared" si="10"/>
        <v>keine</v>
      </c>
      <c r="Z38" s="1329"/>
      <c r="AA38" s="1330" t="s">
        <v>795</v>
      </c>
      <c r="AB38" s="1424">
        <v>0</v>
      </c>
      <c r="AC38" s="1033">
        <f>VLOOKUP(AA38,Düngemittel!$B$6:$E$64,2,FALSE)*(VLOOKUP(AA38,Düngemittel!$B$6:$E$64,3,FALSE))/100*AB38</f>
        <v>0</v>
      </c>
      <c r="AD38" s="1033">
        <f>VLOOKUP(AA38,Düngemittel!$B$6:$E$64,2,FALSE)*AB38</f>
        <v>0</v>
      </c>
      <c r="AE38" s="1033">
        <f>VLOOKUP(AA38,Düngemittel!$B$6:$E$64,4,FALSE)*AB38</f>
        <v>0</v>
      </c>
      <c r="AF38" s="2324"/>
      <c r="AG38" s="1329"/>
      <c r="AH38" s="1330" t="s">
        <v>795</v>
      </c>
      <c r="AI38" s="1424">
        <v>0</v>
      </c>
      <c r="AJ38" s="1033">
        <f>VLOOKUP(AH38,Düngemittel!$B$6:$E$64,2,FALSE)*(VLOOKUP(AH38,Düngemittel!$B$6:$E$64,3,FALSE))/100*AI38</f>
        <v>0</v>
      </c>
      <c r="AK38" s="1033">
        <f>VLOOKUP(AH38,Düngemittel!$B$6:$E$64,2,FALSE)*AI38</f>
        <v>0</v>
      </c>
      <c r="AL38" s="1033">
        <f>VLOOKUP(AH38,Düngemittel!$B$6:$E$64,4,FALSE)*AI38</f>
        <v>0</v>
      </c>
      <c r="AM38" s="2324"/>
      <c r="AN38" s="1329"/>
      <c r="AO38" s="1330" t="s">
        <v>795</v>
      </c>
      <c r="AP38" s="1424">
        <v>0</v>
      </c>
      <c r="AQ38" s="1033">
        <f>VLOOKUP(AO38,Düngemittel!$B$6:$E$64,2,FALSE)*(VLOOKUP(AO38,Düngemittel!$B$6:$E$64,3,FALSE))/100*AP38</f>
        <v>0</v>
      </c>
      <c r="AR38" s="1033">
        <f>VLOOKUP(AO38,Düngemittel!$B$6:$E$64,2,FALSE)*AP38</f>
        <v>0</v>
      </c>
      <c r="AS38" s="1033">
        <f>VLOOKUP(AO38,Düngemittel!$B$6:$E$64,4,FALSE)*AP38</f>
        <v>0</v>
      </c>
      <c r="AT38" s="1371"/>
      <c r="AU38" s="1371"/>
      <c r="AV38" s="1372">
        <f t="shared" si="32"/>
        <v>0</v>
      </c>
      <c r="AW38" s="1373">
        <f t="shared" si="33"/>
        <v>0</v>
      </c>
      <c r="AX38" s="1374">
        <f t="shared" si="34"/>
        <v>0</v>
      </c>
      <c r="AY38" s="1375">
        <f t="shared" si="35"/>
        <v>0</v>
      </c>
      <c r="AZ38" s="1373">
        <f t="shared" si="36"/>
        <v>0</v>
      </c>
      <c r="BA38" s="1376"/>
      <c r="BB38" s="1372">
        <f t="shared" si="37"/>
        <v>0</v>
      </c>
      <c r="BC38" s="1372">
        <f t="shared" si="38"/>
        <v>0</v>
      </c>
      <c r="BD38" s="1372">
        <f t="shared" si="39"/>
        <v>0</v>
      </c>
      <c r="BE38" s="1816">
        <f t="shared" si="40"/>
        <v>0</v>
      </c>
      <c r="BF38" s="1372">
        <f t="shared" si="41"/>
        <v>0</v>
      </c>
      <c r="BG38" s="1377"/>
      <c r="BH38" s="1968" t="s">
        <v>1461</v>
      </c>
      <c r="BI38" s="1421">
        <v>25</v>
      </c>
      <c r="BJ38" s="1421">
        <v>85</v>
      </c>
      <c r="BK38" s="1421">
        <v>10</v>
      </c>
      <c r="BL38" s="1421">
        <v>8.5</v>
      </c>
      <c r="BM38" s="1421">
        <v>8.5</v>
      </c>
      <c r="BN38" s="1421">
        <v>0</v>
      </c>
      <c r="BO38" s="1421">
        <v>0</v>
      </c>
      <c r="BP38" s="2133">
        <v>30</v>
      </c>
      <c r="BQ38" s="2134">
        <v>0.43</v>
      </c>
      <c r="BR38" s="357">
        <v>0</v>
      </c>
    </row>
    <row r="39" spans="1:70" ht="23.25" customHeight="1">
      <c r="A39" s="468">
        <v>32</v>
      </c>
      <c r="B39" s="1699">
        <v>0</v>
      </c>
      <c r="C39" s="1527" t="s">
        <v>31</v>
      </c>
      <c r="D39" s="1380">
        <f t="shared" si="0"/>
        <v>0</v>
      </c>
      <c r="E39" s="2342">
        <f t="shared" si="1"/>
        <v>0</v>
      </c>
      <c r="F39" s="1381">
        <f t="shared" si="2"/>
        <v>0</v>
      </c>
      <c r="G39" s="2347">
        <f t="shared" si="28"/>
        <v>0</v>
      </c>
      <c r="H39" s="1928">
        <f t="shared" si="29"/>
        <v>0</v>
      </c>
      <c r="I39" s="1928">
        <f t="shared" si="3"/>
        <v>0</v>
      </c>
      <c r="J39" s="1928">
        <f t="shared" si="4"/>
        <v>0</v>
      </c>
      <c r="K39" s="1928">
        <f t="shared" si="5"/>
        <v>0</v>
      </c>
      <c r="L39" s="1928">
        <f t="shared" si="30"/>
        <v>0</v>
      </c>
      <c r="M39" s="1702">
        <v>0</v>
      </c>
      <c r="N39" s="1424">
        <v>0</v>
      </c>
      <c r="O39" s="1370">
        <f t="shared" si="15"/>
        <v>0</v>
      </c>
      <c r="P39" s="590">
        <v>12</v>
      </c>
      <c r="Q39" s="2300">
        <f t="shared" si="31"/>
        <v>0</v>
      </c>
      <c r="R39" s="2207">
        <v>0</v>
      </c>
      <c r="S39" s="2231">
        <f t="shared" si="17"/>
        <v>0</v>
      </c>
      <c r="T39" s="2213">
        <f t="shared" si="6"/>
        <v>0</v>
      </c>
      <c r="U39" s="2216">
        <f t="shared" si="7"/>
        <v>0</v>
      </c>
      <c r="V39" s="2213">
        <f t="shared" si="8"/>
        <v>0</v>
      </c>
      <c r="W39" s="1355"/>
      <c r="X39" s="1281">
        <f t="shared" si="9"/>
        <v>32</v>
      </c>
      <c r="Y39" s="2087" t="str">
        <f t="shared" si="10"/>
        <v>keine</v>
      </c>
      <c r="Z39" s="1329"/>
      <c r="AA39" s="1330" t="s">
        <v>795</v>
      </c>
      <c r="AB39" s="1424">
        <v>0</v>
      </c>
      <c r="AC39" s="1033">
        <f>VLOOKUP(AA39,Düngemittel!$B$6:$E$64,2,FALSE)*(VLOOKUP(AA39,Düngemittel!$B$6:$E$64,3,FALSE))/100*AB39</f>
        <v>0</v>
      </c>
      <c r="AD39" s="1033">
        <f>VLOOKUP(AA39,Düngemittel!$B$6:$E$64,2,FALSE)*AB39</f>
        <v>0</v>
      </c>
      <c r="AE39" s="1033">
        <f>VLOOKUP(AA39,Düngemittel!$B$6:$E$64,4,FALSE)*AB39</f>
        <v>0</v>
      </c>
      <c r="AF39" s="2324"/>
      <c r="AG39" s="1329"/>
      <c r="AH39" s="1330" t="s">
        <v>795</v>
      </c>
      <c r="AI39" s="1424">
        <v>0</v>
      </c>
      <c r="AJ39" s="1033">
        <f>VLOOKUP(AH39,Düngemittel!$B$6:$E$64,2,FALSE)*(VLOOKUP(AH39,Düngemittel!$B$6:$E$64,3,FALSE))/100*AI39</f>
        <v>0</v>
      </c>
      <c r="AK39" s="1033">
        <f>VLOOKUP(AH39,Düngemittel!$B$6:$E$64,2,FALSE)*AI39</f>
        <v>0</v>
      </c>
      <c r="AL39" s="1033">
        <f>VLOOKUP(AH39,Düngemittel!$B$6:$E$64,4,FALSE)*AI39</f>
        <v>0</v>
      </c>
      <c r="AM39" s="2324"/>
      <c r="AN39" s="1329"/>
      <c r="AO39" s="1330" t="s">
        <v>795</v>
      </c>
      <c r="AP39" s="1424">
        <v>0</v>
      </c>
      <c r="AQ39" s="1033">
        <f>VLOOKUP(AO39,Düngemittel!$B$6:$E$64,2,FALSE)*(VLOOKUP(AO39,Düngemittel!$B$6:$E$64,3,FALSE))/100*AP39</f>
        <v>0</v>
      </c>
      <c r="AR39" s="1033">
        <f>VLOOKUP(AO39,Düngemittel!$B$6:$E$64,2,FALSE)*AP39</f>
        <v>0</v>
      </c>
      <c r="AS39" s="1033">
        <f>VLOOKUP(AO39,Düngemittel!$B$6:$E$64,4,FALSE)*AP39</f>
        <v>0</v>
      </c>
      <c r="AT39" s="1371"/>
      <c r="AU39" s="1371"/>
      <c r="AV39" s="1372">
        <f t="shared" si="32"/>
        <v>0</v>
      </c>
      <c r="AW39" s="1373">
        <f t="shared" si="33"/>
        <v>0</v>
      </c>
      <c r="AX39" s="1374">
        <f t="shared" si="34"/>
        <v>0</v>
      </c>
      <c r="AY39" s="1375">
        <f t="shared" si="35"/>
        <v>0</v>
      </c>
      <c r="AZ39" s="1373">
        <f t="shared" si="36"/>
        <v>0</v>
      </c>
      <c r="BA39" s="1376"/>
      <c r="BB39" s="1372">
        <f t="shared" si="37"/>
        <v>0</v>
      </c>
      <c r="BC39" s="1372">
        <f t="shared" si="38"/>
        <v>0</v>
      </c>
      <c r="BD39" s="1372">
        <f t="shared" si="39"/>
        <v>0</v>
      </c>
      <c r="BE39" s="1816">
        <f t="shared" si="40"/>
        <v>0</v>
      </c>
      <c r="BF39" s="1372">
        <f t="shared" si="41"/>
        <v>0</v>
      </c>
      <c r="BG39" s="1377"/>
      <c r="BH39" s="1968" t="s">
        <v>1462</v>
      </c>
      <c r="BI39" s="1421">
        <v>25</v>
      </c>
      <c r="BJ39" s="1421">
        <v>85</v>
      </c>
      <c r="BK39" s="1421">
        <v>10</v>
      </c>
      <c r="BL39" s="1421">
        <v>8.5</v>
      </c>
      <c r="BM39" s="1421">
        <v>8.5</v>
      </c>
      <c r="BN39" s="1421">
        <v>0</v>
      </c>
      <c r="BO39" s="1421">
        <v>0</v>
      </c>
      <c r="BP39" s="2133">
        <v>30</v>
      </c>
      <c r="BQ39" s="2134">
        <v>0.35</v>
      </c>
      <c r="BR39" s="357">
        <v>0</v>
      </c>
    </row>
    <row r="40" spans="1:70" ht="23.25" customHeight="1">
      <c r="A40" s="468">
        <v>33</v>
      </c>
      <c r="B40" s="1699">
        <v>0</v>
      </c>
      <c r="C40" s="1527" t="s">
        <v>31</v>
      </c>
      <c r="D40" s="1380">
        <f t="shared" si="0"/>
        <v>0</v>
      </c>
      <c r="E40" s="2342">
        <f t="shared" si="1"/>
        <v>0</v>
      </c>
      <c r="F40" s="1381">
        <f t="shared" si="2"/>
        <v>0</v>
      </c>
      <c r="G40" s="2347">
        <f t="shared" si="28"/>
        <v>0</v>
      </c>
      <c r="H40" s="1928">
        <f t="shared" si="29"/>
        <v>0</v>
      </c>
      <c r="I40" s="1928">
        <f t="shared" si="3"/>
        <v>0</v>
      </c>
      <c r="J40" s="1928">
        <f t="shared" si="4"/>
        <v>0</v>
      </c>
      <c r="K40" s="1928">
        <f t="shared" si="5"/>
        <v>0</v>
      </c>
      <c r="L40" s="1928">
        <f t="shared" si="30"/>
        <v>0</v>
      </c>
      <c r="M40" s="1702">
        <v>0</v>
      </c>
      <c r="N40" s="1424">
        <v>0</v>
      </c>
      <c r="O40" s="1370">
        <f t="shared" si="15"/>
        <v>0</v>
      </c>
      <c r="P40" s="590">
        <v>13</v>
      </c>
      <c r="Q40" s="2300">
        <f t="shared" si="31"/>
        <v>0</v>
      </c>
      <c r="R40" s="2207">
        <v>0</v>
      </c>
      <c r="S40" s="2231">
        <f t="shared" si="17"/>
        <v>0</v>
      </c>
      <c r="T40" s="2213">
        <f t="shared" si="6"/>
        <v>0</v>
      </c>
      <c r="U40" s="2216">
        <f t="shared" si="7"/>
        <v>0</v>
      </c>
      <c r="V40" s="2213">
        <f t="shared" si="8"/>
        <v>0</v>
      </c>
      <c r="W40" s="1355"/>
      <c r="X40" s="1281">
        <f t="shared" si="9"/>
        <v>33</v>
      </c>
      <c r="Y40" s="2087" t="str">
        <f t="shared" si="10"/>
        <v>keine</v>
      </c>
      <c r="Z40" s="1329"/>
      <c r="AA40" s="1330" t="s">
        <v>795</v>
      </c>
      <c r="AB40" s="1424">
        <v>0</v>
      </c>
      <c r="AC40" s="1033">
        <f>VLOOKUP(AA40,Düngemittel!$B$6:$E$64,2,FALSE)*(VLOOKUP(AA40,Düngemittel!$B$6:$E$64,3,FALSE))/100*AB40</f>
        <v>0</v>
      </c>
      <c r="AD40" s="1033">
        <f>VLOOKUP(AA40,Düngemittel!$B$6:$E$64,2,FALSE)*AB40</f>
        <v>0</v>
      </c>
      <c r="AE40" s="1033">
        <f>VLOOKUP(AA40,Düngemittel!$B$6:$E$64,4,FALSE)*AB40</f>
        <v>0</v>
      </c>
      <c r="AF40" s="2324"/>
      <c r="AG40" s="1329"/>
      <c r="AH40" s="1330" t="s">
        <v>795</v>
      </c>
      <c r="AI40" s="1424">
        <v>0</v>
      </c>
      <c r="AJ40" s="1033">
        <f>VLOOKUP(AH40,Düngemittel!$B$6:$E$64,2,FALSE)*(VLOOKUP(AH40,Düngemittel!$B$6:$E$64,3,FALSE))/100*AI40</f>
        <v>0</v>
      </c>
      <c r="AK40" s="1033">
        <f>VLOOKUP(AH40,Düngemittel!$B$6:$E$64,2,FALSE)*AI40</f>
        <v>0</v>
      </c>
      <c r="AL40" s="1033">
        <f>VLOOKUP(AH40,Düngemittel!$B$6:$E$64,4,FALSE)*AI40</f>
        <v>0</v>
      </c>
      <c r="AM40" s="2324"/>
      <c r="AN40" s="1329"/>
      <c r="AO40" s="1330" t="s">
        <v>795</v>
      </c>
      <c r="AP40" s="1424">
        <v>0</v>
      </c>
      <c r="AQ40" s="1033">
        <f>VLOOKUP(AO40,Düngemittel!$B$6:$E$64,2,FALSE)*(VLOOKUP(AO40,Düngemittel!$B$6:$E$64,3,FALSE))/100*AP40</f>
        <v>0</v>
      </c>
      <c r="AR40" s="1033">
        <f>VLOOKUP(AO40,Düngemittel!$B$6:$E$64,2,FALSE)*AP40</f>
        <v>0</v>
      </c>
      <c r="AS40" s="1033">
        <f>VLOOKUP(AO40,Düngemittel!$B$6:$E$64,4,FALSE)*AP40</f>
        <v>0</v>
      </c>
      <c r="AT40" s="1371"/>
      <c r="AU40" s="1371"/>
      <c r="AV40" s="1372">
        <f t="shared" si="32"/>
        <v>0</v>
      </c>
      <c r="AW40" s="1373">
        <f t="shared" si="33"/>
        <v>0</v>
      </c>
      <c r="AX40" s="1374">
        <f t="shared" si="34"/>
        <v>0</v>
      </c>
      <c r="AY40" s="1375">
        <f t="shared" si="35"/>
        <v>0</v>
      </c>
      <c r="AZ40" s="1373">
        <f t="shared" si="36"/>
        <v>0</v>
      </c>
      <c r="BA40" s="1376"/>
      <c r="BB40" s="1372">
        <f t="shared" si="37"/>
        <v>0</v>
      </c>
      <c r="BC40" s="1372">
        <f t="shared" si="38"/>
        <v>0</v>
      </c>
      <c r="BD40" s="1372">
        <f t="shared" si="39"/>
        <v>0</v>
      </c>
      <c r="BE40" s="1816">
        <f t="shared" si="40"/>
        <v>0</v>
      </c>
      <c r="BF40" s="1372">
        <f t="shared" si="41"/>
        <v>0</v>
      </c>
      <c r="BG40" s="1377"/>
      <c r="BH40" s="1968" t="s">
        <v>1463</v>
      </c>
      <c r="BI40" s="1421">
        <v>150</v>
      </c>
      <c r="BJ40" s="1421">
        <v>120</v>
      </c>
      <c r="BK40" s="1421">
        <v>10</v>
      </c>
      <c r="BL40" s="1421">
        <v>12</v>
      </c>
      <c r="BM40" s="1421">
        <v>12</v>
      </c>
      <c r="BN40" s="1421">
        <v>0</v>
      </c>
      <c r="BO40" s="1421">
        <v>0</v>
      </c>
      <c r="BP40" s="2131">
        <v>30</v>
      </c>
      <c r="BQ40" s="2134">
        <v>0.08</v>
      </c>
      <c r="BR40" s="357">
        <v>0</v>
      </c>
    </row>
    <row r="41" spans="1:70" ht="23.25" customHeight="1">
      <c r="A41" s="468">
        <v>34</v>
      </c>
      <c r="B41" s="1699">
        <v>0</v>
      </c>
      <c r="C41" s="1527" t="s">
        <v>31</v>
      </c>
      <c r="D41" s="1380">
        <f t="shared" si="0"/>
        <v>0</v>
      </c>
      <c r="E41" s="2342">
        <f t="shared" si="1"/>
        <v>0</v>
      </c>
      <c r="F41" s="1381">
        <f t="shared" si="2"/>
        <v>0</v>
      </c>
      <c r="G41" s="2347">
        <f t="shared" si="28"/>
        <v>0</v>
      </c>
      <c r="H41" s="1928">
        <f t="shared" si="29"/>
        <v>0</v>
      </c>
      <c r="I41" s="1928">
        <f t="shared" si="3"/>
        <v>0</v>
      </c>
      <c r="J41" s="1928">
        <f t="shared" si="4"/>
        <v>0</v>
      </c>
      <c r="K41" s="1928">
        <f t="shared" si="5"/>
        <v>0</v>
      </c>
      <c r="L41" s="1928">
        <f t="shared" si="30"/>
        <v>0</v>
      </c>
      <c r="M41" s="1702">
        <v>0</v>
      </c>
      <c r="N41" s="1424">
        <v>0</v>
      </c>
      <c r="O41" s="1370">
        <f t="shared" si="15"/>
        <v>0</v>
      </c>
      <c r="P41" s="590">
        <v>14</v>
      </c>
      <c r="Q41" s="2300">
        <f t="shared" si="31"/>
        <v>0</v>
      </c>
      <c r="R41" s="2207">
        <v>0</v>
      </c>
      <c r="S41" s="2231">
        <f t="shared" si="17"/>
        <v>0</v>
      </c>
      <c r="T41" s="2213">
        <f t="shared" si="6"/>
        <v>0</v>
      </c>
      <c r="U41" s="2216">
        <f t="shared" si="7"/>
        <v>0</v>
      </c>
      <c r="V41" s="2213">
        <f t="shared" si="8"/>
        <v>0</v>
      </c>
      <c r="W41" s="1355"/>
      <c r="X41" s="1281">
        <f t="shared" si="9"/>
        <v>34</v>
      </c>
      <c r="Y41" s="2087" t="str">
        <f t="shared" si="10"/>
        <v>keine</v>
      </c>
      <c r="Z41" s="1329"/>
      <c r="AA41" s="1330" t="s">
        <v>795</v>
      </c>
      <c r="AB41" s="1424">
        <v>0</v>
      </c>
      <c r="AC41" s="1033">
        <f>VLOOKUP(AA41,Düngemittel!$B$6:$E$64,2,FALSE)*(VLOOKUP(AA41,Düngemittel!$B$6:$E$64,3,FALSE))/100*AB41</f>
        <v>0</v>
      </c>
      <c r="AD41" s="1033">
        <f>VLOOKUP(AA41,Düngemittel!$B$6:$E$64,2,FALSE)*AB41</f>
        <v>0</v>
      </c>
      <c r="AE41" s="1033">
        <f>VLOOKUP(AA41,Düngemittel!$B$6:$E$64,4,FALSE)*AB41</f>
        <v>0</v>
      </c>
      <c r="AF41" s="2324"/>
      <c r="AG41" s="1329"/>
      <c r="AH41" s="1330" t="s">
        <v>795</v>
      </c>
      <c r="AI41" s="1424">
        <v>0</v>
      </c>
      <c r="AJ41" s="1033">
        <f>VLOOKUP(AH41,Düngemittel!$B$6:$E$64,2,FALSE)*(VLOOKUP(AH41,Düngemittel!$B$6:$E$64,3,FALSE))/100*AI41</f>
        <v>0</v>
      </c>
      <c r="AK41" s="1033">
        <f>VLOOKUP(AH41,Düngemittel!$B$6:$E$64,2,FALSE)*AI41</f>
        <v>0</v>
      </c>
      <c r="AL41" s="1033">
        <f>VLOOKUP(AH41,Düngemittel!$B$6:$E$64,4,FALSE)*AI41</f>
        <v>0</v>
      </c>
      <c r="AM41" s="2324"/>
      <c r="AN41" s="1329"/>
      <c r="AO41" s="1330" t="s">
        <v>795</v>
      </c>
      <c r="AP41" s="1424">
        <v>0</v>
      </c>
      <c r="AQ41" s="1033">
        <f>VLOOKUP(AO41,Düngemittel!$B$6:$E$64,2,FALSE)*(VLOOKUP(AO41,Düngemittel!$B$6:$E$64,3,FALSE))/100*AP41</f>
        <v>0</v>
      </c>
      <c r="AR41" s="1033">
        <f>VLOOKUP(AO41,Düngemittel!$B$6:$E$64,2,FALSE)*AP41</f>
        <v>0</v>
      </c>
      <c r="AS41" s="1033">
        <f>VLOOKUP(AO41,Düngemittel!$B$6:$E$64,4,FALSE)*AP41</f>
        <v>0</v>
      </c>
      <c r="AT41" s="1371"/>
      <c r="AU41" s="1371"/>
      <c r="AV41" s="1372">
        <f t="shared" si="32"/>
        <v>0</v>
      </c>
      <c r="AW41" s="1373">
        <f t="shared" si="33"/>
        <v>0</v>
      </c>
      <c r="AX41" s="1374">
        <f t="shared" si="34"/>
        <v>0</v>
      </c>
      <c r="AY41" s="1375">
        <f t="shared" si="35"/>
        <v>0</v>
      </c>
      <c r="AZ41" s="1373">
        <f t="shared" si="36"/>
        <v>0</v>
      </c>
      <c r="BA41" s="1376"/>
      <c r="BB41" s="1372">
        <f t="shared" si="37"/>
        <v>0</v>
      </c>
      <c r="BC41" s="1372">
        <f t="shared" si="38"/>
        <v>0</v>
      </c>
      <c r="BD41" s="1372">
        <f t="shared" si="39"/>
        <v>0</v>
      </c>
      <c r="BE41" s="1816">
        <f t="shared" si="40"/>
        <v>0</v>
      </c>
      <c r="BF41" s="1372">
        <f t="shared" si="41"/>
        <v>0</v>
      </c>
      <c r="BG41" s="1377"/>
      <c r="BH41" s="1968" t="s">
        <v>1464</v>
      </c>
      <c r="BI41" s="1421">
        <v>110</v>
      </c>
      <c r="BJ41" s="1421">
        <v>120</v>
      </c>
      <c r="BK41" s="1421">
        <v>10</v>
      </c>
      <c r="BL41" s="1421">
        <v>12</v>
      </c>
      <c r="BM41" s="1421">
        <v>12</v>
      </c>
      <c r="BN41" s="1421">
        <v>0</v>
      </c>
      <c r="BO41" s="1421">
        <v>0</v>
      </c>
      <c r="BP41" s="2133">
        <v>60</v>
      </c>
      <c r="BQ41" s="2134">
        <v>0.39727272727272728</v>
      </c>
      <c r="BR41" s="357">
        <v>0</v>
      </c>
    </row>
    <row r="42" spans="1:70" ht="23.25" customHeight="1">
      <c r="A42" s="468">
        <v>35</v>
      </c>
      <c r="B42" s="1699">
        <v>0</v>
      </c>
      <c r="C42" s="1527" t="s">
        <v>31</v>
      </c>
      <c r="D42" s="1380">
        <f t="shared" si="0"/>
        <v>0</v>
      </c>
      <c r="E42" s="2342">
        <f t="shared" si="1"/>
        <v>0</v>
      </c>
      <c r="F42" s="1381">
        <f t="shared" si="2"/>
        <v>0</v>
      </c>
      <c r="G42" s="2347">
        <f t="shared" si="28"/>
        <v>0</v>
      </c>
      <c r="H42" s="1928">
        <f t="shared" si="29"/>
        <v>0</v>
      </c>
      <c r="I42" s="1928">
        <f t="shared" si="3"/>
        <v>0</v>
      </c>
      <c r="J42" s="1928">
        <f t="shared" si="4"/>
        <v>0</v>
      </c>
      <c r="K42" s="1928">
        <f t="shared" si="5"/>
        <v>0</v>
      </c>
      <c r="L42" s="1928">
        <f t="shared" si="30"/>
        <v>0</v>
      </c>
      <c r="M42" s="1702">
        <v>0</v>
      </c>
      <c r="N42" s="1424">
        <v>0</v>
      </c>
      <c r="O42" s="1370">
        <f t="shared" si="15"/>
        <v>0</v>
      </c>
      <c r="P42" s="590">
        <v>15</v>
      </c>
      <c r="Q42" s="2300">
        <f t="shared" si="31"/>
        <v>0</v>
      </c>
      <c r="R42" s="2207">
        <v>0</v>
      </c>
      <c r="S42" s="2231">
        <f t="shared" si="17"/>
        <v>0</v>
      </c>
      <c r="T42" s="2213">
        <f t="shared" si="6"/>
        <v>0</v>
      </c>
      <c r="U42" s="2216">
        <f t="shared" si="7"/>
        <v>0</v>
      </c>
      <c r="V42" s="2213">
        <f t="shared" si="8"/>
        <v>0</v>
      </c>
      <c r="W42" s="1355"/>
      <c r="X42" s="1281">
        <f t="shared" si="9"/>
        <v>35</v>
      </c>
      <c r="Y42" s="2087" t="str">
        <f t="shared" si="10"/>
        <v>keine</v>
      </c>
      <c r="Z42" s="1329"/>
      <c r="AA42" s="1330" t="s">
        <v>795</v>
      </c>
      <c r="AB42" s="1424">
        <v>0</v>
      </c>
      <c r="AC42" s="1033">
        <f>VLOOKUP(AA42,Düngemittel!$B$6:$E$64,2,FALSE)*(VLOOKUP(AA42,Düngemittel!$B$6:$E$64,3,FALSE))/100*AB42</f>
        <v>0</v>
      </c>
      <c r="AD42" s="1033">
        <f>VLOOKUP(AA42,Düngemittel!$B$6:$E$64,2,FALSE)*AB42</f>
        <v>0</v>
      </c>
      <c r="AE42" s="1033">
        <f>VLOOKUP(AA42,Düngemittel!$B$6:$E$64,4,FALSE)*AB42</f>
        <v>0</v>
      </c>
      <c r="AF42" s="2324"/>
      <c r="AG42" s="1329"/>
      <c r="AH42" s="1330" t="s">
        <v>795</v>
      </c>
      <c r="AI42" s="1424">
        <v>0</v>
      </c>
      <c r="AJ42" s="1033">
        <f>VLOOKUP(AH42,Düngemittel!$B$6:$E$64,2,FALSE)*(VLOOKUP(AH42,Düngemittel!$B$6:$E$64,3,FALSE))/100*AI42</f>
        <v>0</v>
      </c>
      <c r="AK42" s="1033">
        <f>VLOOKUP(AH42,Düngemittel!$B$6:$E$64,2,FALSE)*AI42</f>
        <v>0</v>
      </c>
      <c r="AL42" s="1033">
        <f>VLOOKUP(AH42,Düngemittel!$B$6:$E$64,4,FALSE)*AI42</f>
        <v>0</v>
      </c>
      <c r="AM42" s="2324"/>
      <c r="AN42" s="1329"/>
      <c r="AO42" s="1330" t="s">
        <v>795</v>
      </c>
      <c r="AP42" s="1424">
        <v>0</v>
      </c>
      <c r="AQ42" s="1033">
        <f>VLOOKUP(AO42,Düngemittel!$B$6:$E$64,2,FALSE)*(VLOOKUP(AO42,Düngemittel!$B$6:$E$64,3,FALSE))/100*AP42</f>
        <v>0</v>
      </c>
      <c r="AR42" s="1033">
        <f>VLOOKUP(AO42,Düngemittel!$B$6:$E$64,2,FALSE)*AP42</f>
        <v>0</v>
      </c>
      <c r="AS42" s="1033">
        <f>VLOOKUP(AO42,Düngemittel!$B$6:$E$64,4,FALSE)*AP42</f>
        <v>0</v>
      </c>
      <c r="AT42" s="1371"/>
      <c r="AU42" s="1371"/>
      <c r="AV42" s="1372">
        <f t="shared" si="32"/>
        <v>0</v>
      </c>
      <c r="AW42" s="1373">
        <f t="shared" si="33"/>
        <v>0</v>
      </c>
      <c r="AX42" s="1374">
        <f t="shared" si="34"/>
        <v>0</v>
      </c>
      <c r="AY42" s="1375">
        <f t="shared" si="35"/>
        <v>0</v>
      </c>
      <c r="AZ42" s="1373">
        <f t="shared" si="36"/>
        <v>0</v>
      </c>
      <c r="BA42" s="1376"/>
      <c r="BB42" s="1372">
        <f t="shared" si="37"/>
        <v>0</v>
      </c>
      <c r="BC42" s="1372">
        <f t="shared" si="38"/>
        <v>0</v>
      </c>
      <c r="BD42" s="1372">
        <f t="shared" si="39"/>
        <v>0</v>
      </c>
      <c r="BE42" s="1816">
        <f t="shared" si="40"/>
        <v>0</v>
      </c>
      <c r="BF42" s="1372">
        <f t="shared" si="41"/>
        <v>0</v>
      </c>
      <c r="BG42" s="1377"/>
      <c r="BH42" s="1968" t="s">
        <v>1465</v>
      </c>
      <c r="BI42" s="1421">
        <v>110</v>
      </c>
      <c r="BJ42" s="1421">
        <v>120</v>
      </c>
      <c r="BK42" s="1421">
        <v>10</v>
      </c>
      <c r="BL42" s="1421">
        <v>12</v>
      </c>
      <c r="BM42" s="1421">
        <v>12</v>
      </c>
      <c r="BN42" s="1421">
        <v>0</v>
      </c>
      <c r="BO42" s="1421">
        <v>0</v>
      </c>
      <c r="BP42" s="2133">
        <v>60</v>
      </c>
      <c r="BQ42" s="2134">
        <v>0.23</v>
      </c>
      <c r="BR42" s="357">
        <v>0</v>
      </c>
    </row>
    <row r="43" spans="1:70" ht="23.25" customHeight="1">
      <c r="A43" s="468">
        <v>36</v>
      </c>
      <c r="B43" s="1699">
        <v>0</v>
      </c>
      <c r="C43" s="1527" t="s">
        <v>31</v>
      </c>
      <c r="D43" s="1380">
        <f t="shared" si="0"/>
        <v>0</v>
      </c>
      <c r="E43" s="2342">
        <f t="shared" si="1"/>
        <v>0</v>
      </c>
      <c r="F43" s="1381">
        <f t="shared" si="2"/>
        <v>0</v>
      </c>
      <c r="G43" s="2347">
        <f t="shared" si="28"/>
        <v>0</v>
      </c>
      <c r="H43" s="1928">
        <f t="shared" si="29"/>
        <v>0</v>
      </c>
      <c r="I43" s="1928">
        <f t="shared" si="3"/>
        <v>0</v>
      </c>
      <c r="J43" s="1928">
        <f t="shared" si="4"/>
        <v>0</v>
      </c>
      <c r="K43" s="1928">
        <f t="shared" si="5"/>
        <v>0</v>
      </c>
      <c r="L43" s="1928">
        <f t="shared" si="30"/>
        <v>0</v>
      </c>
      <c r="M43" s="1702">
        <v>0</v>
      </c>
      <c r="N43" s="1424">
        <v>0</v>
      </c>
      <c r="O43" s="1370">
        <f t="shared" si="15"/>
        <v>0</v>
      </c>
      <c r="P43" s="590">
        <v>16</v>
      </c>
      <c r="Q43" s="2300">
        <f t="shared" si="31"/>
        <v>0</v>
      </c>
      <c r="R43" s="2207">
        <v>0</v>
      </c>
      <c r="S43" s="2231">
        <f t="shared" si="17"/>
        <v>0</v>
      </c>
      <c r="T43" s="2213">
        <f t="shared" si="6"/>
        <v>0</v>
      </c>
      <c r="U43" s="2216">
        <f t="shared" si="7"/>
        <v>0</v>
      </c>
      <c r="V43" s="2213">
        <f t="shared" si="8"/>
        <v>0</v>
      </c>
      <c r="W43" s="1355"/>
      <c r="X43" s="1281">
        <f t="shared" si="9"/>
        <v>36</v>
      </c>
      <c r="Y43" s="2087" t="str">
        <f t="shared" si="10"/>
        <v>keine</v>
      </c>
      <c r="Z43" s="1329"/>
      <c r="AA43" s="1330" t="s">
        <v>795</v>
      </c>
      <c r="AB43" s="1424">
        <v>0</v>
      </c>
      <c r="AC43" s="1033">
        <f>VLOOKUP(AA43,Düngemittel!$B$6:$E$64,2,FALSE)*(VLOOKUP(AA43,Düngemittel!$B$6:$E$64,3,FALSE))/100*AB43</f>
        <v>0</v>
      </c>
      <c r="AD43" s="1033">
        <f>VLOOKUP(AA43,Düngemittel!$B$6:$E$64,2,FALSE)*AB43</f>
        <v>0</v>
      </c>
      <c r="AE43" s="1033">
        <f>VLOOKUP(AA43,Düngemittel!$B$6:$E$64,4,FALSE)*AB43</f>
        <v>0</v>
      </c>
      <c r="AF43" s="2324"/>
      <c r="AG43" s="1329"/>
      <c r="AH43" s="1330" t="s">
        <v>795</v>
      </c>
      <c r="AI43" s="1424">
        <v>0</v>
      </c>
      <c r="AJ43" s="1033">
        <f>VLOOKUP(AH43,Düngemittel!$B$6:$E$64,2,FALSE)*(VLOOKUP(AH43,Düngemittel!$B$6:$E$64,3,FALSE))/100*AI43</f>
        <v>0</v>
      </c>
      <c r="AK43" s="1033">
        <f>VLOOKUP(AH43,Düngemittel!$B$6:$E$64,2,FALSE)*AI43</f>
        <v>0</v>
      </c>
      <c r="AL43" s="1033">
        <f>VLOOKUP(AH43,Düngemittel!$B$6:$E$64,4,FALSE)*AI43</f>
        <v>0</v>
      </c>
      <c r="AM43" s="2324"/>
      <c r="AN43" s="1329"/>
      <c r="AO43" s="1330" t="s">
        <v>795</v>
      </c>
      <c r="AP43" s="1424">
        <v>0</v>
      </c>
      <c r="AQ43" s="1033">
        <f>VLOOKUP(AO43,Düngemittel!$B$6:$E$64,2,FALSE)*(VLOOKUP(AO43,Düngemittel!$B$6:$E$64,3,FALSE))/100*AP43</f>
        <v>0</v>
      </c>
      <c r="AR43" s="1033">
        <f>VLOOKUP(AO43,Düngemittel!$B$6:$E$64,2,FALSE)*AP43</f>
        <v>0</v>
      </c>
      <c r="AS43" s="1033">
        <f>VLOOKUP(AO43,Düngemittel!$B$6:$E$64,4,FALSE)*AP43</f>
        <v>0</v>
      </c>
      <c r="AT43" s="1371"/>
      <c r="AU43" s="1371"/>
      <c r="AV43" s="1372">
        <f t="shared" si="32"/>
        <v>0</v>
      </c>
      <c r="AW43" s="1373">
        <f t="shared" si="33"/>
        <v>0</v>
      </c>
      <c r="AX43" s="1374">
        <f t="shared" si="34"/>
        <v>0</v>
      </c>
      <c r="AY43" s="1375">
        <f t="shared" si="35"/>
        <v>0</v>
      </c>
      <c r="AZ43" s="1373">
        <f t="shared" si="36"/>
        <v>0</v>
      </c>
      <c r="BA43" s="1376"/>
      <c r="BB43" s="1372">
        <f t="shared" si="37"/>
        <v>0</v>
      </c>
      <c r="BC43" s="1372">
        <f t="shared" si="38"/>
        <v>0</v>
      </c>
      <c r="BD43" s="1372">
        <f t="shared" si="39"/>
        <v>0</v>
      </c>
      <c r="BE43" s="1816">
        <f t="shared" si="40"/>
        <v>0</v>
      </c>
      <c r="BF43" s="1372">
        <f t="shared" si="41"/>
        <v>0</v>
      </c>
      <c r="BG43" s="1377"/>
      <c r="BH43" s="1968" t="s">
        <v>1466</v>
      </c>
      <c r="BI43" s="1421">
        <v>40</v>
      </c>
      <c r="BJ43" s="1421">
        <v>70</v>
      </c>
      <c r="BK43" s="1421">
        <v>10</v>
      </c>
      <c r="BL43" s="1421">
        <v>7</v>
      </c>
      <c r="BM43" s="1421">
        <v>7</v>
      </c>
      <c r="BN43" s="1421">
        <v>0</v>
      </c>
      <c r="BO43" s="1421">
        <v>0</v>
      </c>
      <c r="BP43" s="2136">
        <v>60</v>
      </c>
      <c r="BQ43" s="2132">
        <v>0.16</v>
      </c>
      <c r="BR43" s="357">
        <v>0</v>
      </c>
    </row>
    <row r="44" spans="1:70" ht="23.25" customHeight="1">
      <c r="A44" s="468">
        <v>37</v>
      </c>
      <c r="B44" s="1699">
        <v>0</v>
      </c>
      <c r="C44" s="1527" t="s">
        <v>31</v>
      </c>
      <c r="D44" s="1380">
        <f t="shared" si="0"/>
        <v>0</v>
      </c>
      <c r="E44" s="2342">
        <f t="shared" si="1"/>
        <v>0</v>
      </c>
      <c r="F44" s="1381">
        <f t="shared" si="2"/>
        <v>0</v>
      </c>
      <c r="G44" s="2347">
        <f t="shared" si="28"/>
        <v>0</v>
      </c>
      <c r="H44" s="1928">
        <f t="shared" si="29"/>
        <v>0</v>
      </c>
      <c r="I44" s="1928">
        <f t="shared" si="3"/>
        <v>0</v>
      </c>
      <c r="J44" s="1928">
        <f t="shared" si="4"/>
        <v>0</v>
      </c>
      <c r="K44" s="1928">
        <f t="shared" si="5"/>
        <v>0</v>
      </c>
      <c r="L44" s="1928">
        <f t="shared" si="30"/>
        <v>0</v>
      </c>
      <c r="M44" s="1702">
        <v>0</v>
      </c>
      <c r="N44" s="1424">
        <v>0</v>
      </c>
      <c r="O44" s="1370">
        <f t="shared" si="15"/>
        <v>0</v>
      </c>
      <c r="P44" s="590">
        <v>17</v>
      </c>
      <c r="Q44" s="2300">
        <f t="shared" si="31"/>
        <v>0</v>
      </c>
      <c r="R44" s="2207">
        <v>0</v>
      </c>
      <c r="S44" s="2231">
        <f t="shared" si="17"/>
        <v>0</v>
      </c>
      <c r="T44" s="2213">
        <f t="shared" si="6"/>
        <v>0</v>
      </c>
      <c r="U44" s="2216">
        <f t="shared" si="7"/>
        <v>0</v>
      </c>
      <c r="V44" s="2213">
        <f t="shared" si="8"/>
        <v>0</v>
      </c>
      <c r="W44" s="1355"/>
      <c r="X44" s="1281">
        <f t="shared" si="9"/>
        <v>37</v>
      </c>
      <c r="Y44" s="2087" t="str">
        <f t="shared" si="10"/>
        <v>keine</v>
      </c>
      <c r="Z44" s="1329"/>
      <c r="AA44" s="1330" t="s">
        <v>795</v>
      </c>
      <c r="AB44" s="1424">
        <v>0</v>
      </c>
      <c r="AC44" s="1033">
        <f>VLOOKUP(AA44,Düngemittel!$B$6:$E$64,2,FALSE)*(VLOOKUP(AA44,Düngemittel!$B$6:$E$64,3,FALSE))/100*AB44</f>
        <v>0</v>
      </c>
      <c r="AD44" s="1033">
        <f>VLOOKUP(AA44,Düngemittel!$B$6:$E$64,2,FALSE)*AB44</f>
        <v>0</v>
      </c>
      <c r="AE44" s="1033">
        <f>VLOOKUP(AA44,Düngemittel!$B$6:$E$64,4,FALSE)*AB44</f>
        <v>0</v>
      </c>
      <c r="AF44" s="2324"/>
      <c r="AG44" s="1329"/>
      <c r="AH44" s="1330" t="s">
        <v>795</v>
      </c>
      <c r="AI44" s="1424">
        <v>0</v>
      </c>
      <c r="AJ44" s="1033">
        <f>VLOOKUP(AH44,Düngemittel!$B$6:$E$64,2,FALSE)*(VLOOKUP(AH44,Düngemittel!$B$6:$E$64,3,FALSE))/100*AI44</f>
        <v>0</v>
      </c>
      <c r="AK44" s="1033">
        <f>VLOOKUP(AH44,Düngemittel!$B$6:$E$64,2,FALSE)*AI44</f>
        <v>0</v>
      </c>
      <c r="AL44" s="1033">
        <f>VLOOKUP(AH44,Düngemittel!$B$6:$E$64,4,FALSE)*AI44</f>
        <v>0</v>
      </c>
      <c r="AM44" s="2324"/>
      <c r="AN44" s="1329"/>
      <c r="AO44" s="1330" t="s">
        <v>795</v>
      </c>
      <c r="AP44" s="1424">
        <v>0</v>
      </c>
      <c r="AQ44" s="1033">
        <f>VLOOKUP(AO44,Düngemittel!$B$6:$E$64,2,FALSE)*(VLOOKUP(AO44,Düngemittel!$B$6:$E$64,3,FALSE))/100*AP44</f>
        <v>0</v>
      </c>
      <c r="AR44" s="1033">
        <f>VLOOKUP(AO44,Düngemittel!$B$6:$E$64,2,FALSE)*AP44</f>
        <v>0</v>
      </c>
      <c r="AS44" s="1033">
        <f>VLOOKUP(AO44,Düngemittel!$B$6:$E$64,4,FALSE)*AP44</f>
        <v>0</v>
      </c>
      <c r="AT44" s="1371"/>
      <c r="AU44" s="1371"/>
      <c r="AV44" s="1372">
        <f t="shared" si="32"/>
        <v>0</v>
      </c>
      <c r="AW44" s="1373">
        <f t="shared" si="33"/>
        <v>0</v>
      </c>
      <c r="AX44" s="1374">
        <f t="shared" si="34"/>
        <v>0</v>
      </c>
      <c r="AY44" s="1375">
        <f t="shared" si="35"/>
        <v>0</v>
      </c>
      <c r="AZ44" s="1373">
        <f t="shared" si="36"/>
        <v>0</v>
      </c>
      <c r="BA44" s="1376"/>
      <c r="BB44" s="1372">
        <f t="shared" si="37"/>
        <v>0</v>
      </c>
      <c r="BC44" s="1372">
        <f t="shared" si="38"/>
        <v>0</v>
      </c>
      <c r="BD44" s="1372">
        <f t="shared" si="39"/>
        <v>0</v>
      </c>
      <c r="BE44" s="1816">
        <f t="shared" si="40"/>
        <v>0</v>
      </c>
      <c r="BF44" s="1372">
        <f t="shared" si="41"/>
        <v>0</v>
      </c>
      <c r="BG44" s="1377"/>
      <c r="BH44" s="1968" t="s">
        <v>1467</v>
      </c>
      <c r="BI44" s="1421">
        <v>40</v>
      </c>
      <c r="BJ44" s="1421">
        <v>70</v>
      </c>
      <c r="BK44" s="1421">
        <v>10</v>
      </c>
      <c r="BL44" s="1421">
        <v>7</v>
      </c>
      <c r="BM44" s="1421">
        <v>7</v>
      </c>
      <c r="BN44" s="1421">
        <v>0</v>
      </c>
      <c r="BO44" s="1421">
        <v>0</v>
      </c>
      <c r="BP44" s="2136">
        <v>60</v>
      </c>
      <c r="BQ44" s="2134">
        <v>0.44000000000000006</v>
      </c>
      <c r="BR44" s="357">
        <v>0</v>
      </c>
    </row>
    <row r="45" spans="1:70" ht="23.25" customHeight="1">
      <c r="A45" s="468">
        <v>38</v>
      </c>
      <c r="B45" s="1699">
        <v>0</v>
      </c>
      <c r="C45" s="1527" t="s">
        <v>31</v>
      </c>
      <c r="D45" s="1380">
        <f t="shared" si="0"/>
        <v>0</v>
      </c>
      <c r="E45" s="2342">
        <f t="shared" si="1"/>
        <v>0</v>
      </c>
      <c r="F45" s="1381">
        <f t="shared" si="2"/>
        <v>0</v>
      </c>
      <c r="G45" s="2347">
        <f t="shared" si="28"/>
        <v>0</v>
      </c>
      <c r="H45" s="1928">
        <f t="shared" si="29"/>
        <v>0</v>
      </c>
      <c r="I45" s="1928">
        <f t="shared" si="3"/>
        <v>0</v>
      </c>
      <c r="J45" s="1928">
        <f t="shared" si="4"/>
        <v>0</v>
      </c>
      <c r="K45" s="1928">
        <f t="shared" si="5"/>
        <v>0</v>
      </c>
      <c r="L45" s="1928">
        <f t="shared" si="30"/>
        <v>0</v>
      </c>
      <c r="M45" s="1702">
        <v>0</v>
      </c>
      <c r="N45" s="1424">
        <v>0</v>
      </c>
      <c r="O45" s="1370">
        <f t="shared" si="15"/>
        <v>0</v>
      </c>
      <c r="P45" s="590">
        <v>18</v>
      </c>
      <c r="Q45" s="2300">
        <f t="shared" si="31"/>
        <v>0</v>
      </c>
      <c r="R45" s="2207">
        <v>0</v>
      </c>
      <c r="S45" s="2231">
        <f t="shared" si="17"/>
        <v>0</v>
      </c>
      <c r="T45" s="2213">
        <f t="shared" si="6"/>
        <v>0</v>
      </c>
      <c r="U45" s="2216">
        <f t="shared" si="7"/>
        <v>0</v>
      </c>
      <c r="V45" s="2213">
        <f t="shared" si="8"/>
        <v>0</v>
      </c>
      <c r="W45" s="1355"/>
      <c r="X45" s="1281">
        <f t="shared" si="9"/>
        <v>38</v>
      </c>
      <c r="Y45" s="2087" t="str">
        <f t="shared" si="10"/>
        <v>keine</v>
      </c>
      <c r="Z45" s="1329"/>
      <c r="AA45" s="1330" t="s">
        <v>795</v>
      </c>
      <c r="AB45" s="1424">
        <v>0</v>
      </c>
      <c r="AC45" s="1033">
        <f>VLOOKUP(AA45,Düngemittel!$B$6:$E$64,2,FALSE)*(VLOOKUP(AA45,Düngemittel!$B$6:$E$64,3,FALSE))/100*AB45</f>
        <v>0</v>
      </c>
      <c r="AD45" s="1033">
        <f>VLOOKUP(AA45,Düngemittel!$B$6:$E$64,2,FALSE)*AB45</f>
        <v>0</v>
      </c>
      <c r="AE45" s="1033">
        <f>VLOOKUP(AA45,Düngemittel!$B$6:$E$64,4,FALSE)*AB45</f>
        <v>0</v>
      </c>
      <c r="AF45" s="2324"/>
      <c r="AG45" s="1329"/>
      <c r="AH45" s="1330" t="s">
        <v>795</v>
      </c>
      <c r="AI45" s="1424">
        <v>0</v>
      </c>
      <c r="AJ45" s="1033">
        <f>VLOOKUP(AH45,Düngemittel!$B$6:$E$64,2,FALSE)*(VLOOKUP(AH45,Düngemittel!$B$6:$E$64,3,FALSE))/100*AI45</f>
        <v>0</v>
      </c>
      <c r="AK45" s="1033">
        <f>VLOOKUP(AH45,Düngemittel!$B$6:$E$64,2,FALSE)*AI45</f>
        <v>0</v>
      </c>
      <c r="AL45" s="1033">
        <f>VLOOKUP(AH45,Düngemittel!$B$6:$E$64,4,FALSE)*AI45</f>
        <v>0</v>
      </c>
      <c r="AM45" s="2324"/>
      <c r="AN45" s="1329"/>
      <c r="AO45" s="1330" t="s">
        <v>795</v>
      </c>
      <c r="AP45" s="1424">
        <v>0</v>
      </c>
      <c r="AQ45" s="1033">
        <f>VLOOKUP(AO45,Düngemittel!$B$6:$E$64,2,FALSE)*(VLOOKUP(AO45,Düngemittel!$B$6:$E$64,3,FALSE))/100*AP45</f>
        <v>0</v>
      </c>
      <c r="AR45" s="1033">
        <f>VLOOKUP(AO45,Düngemittel!$B$6:$E$64,2,FALSE)*AP45</f>
        <v>0</v>
      </c>
      <c r="AS45" s="1033">
        <f>VLOOKUP(AO45,Düngemittel!$B$6:$E$64,4,FALSE)*AP45</f>
        <v>0</v>
      </c>
      <c r="AT45" s="1371"/>
      <c r="AU45" s="1371"/>
      <c r="AV45" s="1372">
        <f t="shared" si="32"/>
        <v>0</v>
      </c>
      <c r="AW45" s="1373">
        <f t="shared" si="33"/>
        <v>0</v>
      </c>
      <c r="AX45" s="1374">
        <f t="shared" si="34"/>
        <v>0</v>
      </c>
      <c r="AY45" s="1375">
        <f t="shared" si="35"/>
        <v>0</v>
      </c>
      <c r="AZ45" s="1373">
        <f t="shared" si="36"/>
        <v>0</v>
      </c>
      <c r="BA45" s="1376"/>
      <c r="BB45" s="1372">
        <f t="shared" si="37"/>
        <v>0</v>
      </c>
      <c r="BC45" s="1372">
        <f t="shared" si="38"/>
        <v>0</v>
      </c>
      <c r="BD45" s="1372">
        <f t="shared" si="39"/>
        <v>0</v>
      </c>
      <c r="BE45" s="1816">
        <f t="shared" si="40"/>
        <v>0</v>
      </c>
      <c r="BF45" s="1372">
        <f t="shared" si="41"/>
        <v>0</v>
      </c>
      <c r="BG45" s="1377"/>
      <c r="BH45" s="1968" t="s">
        <v>1468</v>
      </c>
      <c r="BI45" s="1421">
        <v>60</v>
      </c>
      <c r="BJ45" s="1421">
        <v>70</v>
      </c>
      <c r="BK45" s="1421">
        <v>10</v>
      </c>
      <c r="BL45" s="1421">
        <v>7</v>
      </c>
      <c r="BM45" s="1421">
        <v>7</v>
      </c>
      <c r="BN45" s="1421">
        <v>0</v>
      </c>
      <c r="BO45" s="1421">
        <v>0</v>
      </c>
      <c r="BP45" s="2136">
        <v>60</v>
      </c>
      <c r="BQ45" s="2134">
        <v>0.48666666666666669</v>
      </c>
      <c r="BR45" s="357">
        <v>0</v>
      </c>
    </row>
    <row r="46" spans="1:70" ht="23.25" customHeight="1">
      <c r="A46" s="468">
        <v>39</v>
      </c>
      <c r="B46" s="1699">
        <v>0</v>
      </c>
      <c r="C46" s="1527" t="s">
        <v>31</v>
      </c>
      <c r="D46" s="1380">
        <f t="shared" si="0"/>
        <v>0</v>
      </c>
      <c r="E46" s="2342">
        <f t="shared" si="1"/>
        <v>0</v>
      </c>
      <c r="F46" s="1381">
        <f t="shared" si="2"/>
        <v>0</v>
      </c>
      <c r="G46" s="2347">
        <f t="shared" si="28"/>
        <v>0</v>
      </c>
      <c r="H46" s="1928">
        <f t="shared" si="29"/>
        <v>0</v>
      </c>
      <c r="I46" s="1928">
        <f t="shared" si="3"/>
        <v>0</v>
      </c>
      <c r="J46" s="1928">
        <f t="shared" si="4"/>
        <v>0</v>
      </c>
      <c r="K46" s="1928">
        <f t="shared" si="5"/>
        <v>0</v>
      </c>
      <c r="L46" s="1928">
        <f t="shared" si="30"/>
        <v>0</v>
      </c>
      <c r="M46" s="1702">
        <v>0</v>
      </c>
      <c r="N46" s="1424">
        <v>0</v>
      </c>
      <c r="O46" s="1370">
        <f t="shared" si="15"/>
        <v>0</v>
      </c>
      <c r="P46" s="590">
        <v>19</v>
      </c>
      <c r="Q46" s="2300">
        <f t="shared" si="31"/>
        <v>0</v>
      </c>
      <c r="R46" s="2207">
        <v>0</v>
      </c>
      <c r="S46" s="2231">
        <f t="shared" si="17"/>
        <v>0</v>
      </c>
      <c r="T46" s="2213">
        <f t="shared" si="6"/>
        <v>0</v>
      </c>
      <c r="U46" s="2216">
        <f t="shared" si="7"/>
        <v>0</v>
      </c>
      <c r="V46" s="2213">
        <f t="shared" si="8"/>
        <v>0</v>
      </c>
      <c r="W46" s="1355"/>
      <c r="X46" s="1281">
        <f t="shared" si="9"/>
        <v>39</v>
      </c>
      <c r="Y46" s="2087" t="str">
        <f t="shared" si="10"/>
        <v>keine</v>
      </c>
      <c r="Z46" s="1329"/>
      <c r="AA46" s="1330" t="s">
        <v>795</v>
      </c>
      <c r="AB46" s="1424">
        <v>0</v>
      </c>
      <c r="AC46" s="1033">
        <f>VLOOKUP(AA46,Düngemittel!$B$6:$E$64,2,FALSE)*(VLOOKUP(AA46,Düngemittel!$B$6:$E$64,3,FALSE))/100*AB46</f>
        <v>0</v>
      </c>
      <c r="AD46" s="1033">
        <f>VLOOKUP(AA46,Düngemittel!$B$6:$E$64,2,FALSE)*AB46</f>
        <v>0</v>
      </c>
      <c r="AE46" s="1033">
        <f>VLOOKUP(AA46,Düngemittel!$B$6:$E$64,4,FALSE)*AB46</f>
        <v>0</v>
      </c>
      <c r="AF46" s="2324"/>
      <c r="AG46" s="1329"/>
      <c r="AH46" s="1330" t="s">
        <v>795</v>
      </c>
      <c r="AI46" s="1424">
        <v>0</v>
      </c>
      <c r="AJ46" s="1033">
        <f>VLOOKUP(AH46,Düngemittel!$B$6:$E$64,2,FALSE)*(VLOOKUP(AH46,Düngemittel!$B$6:$E$64,3,FALSE))/100*AI46</f>
        <v>0</v>
      </c>
      <c r="AK46" s="1033">
        <f>VLOOKUP(AH46,Düngemittel!$B$6:$E$64,2,FALSE)*AI46</f>
        <v>0</v>
      </c>
      <c r="AL46" s="1033">
        <f>VLOOKUP(AH46,Düngemittel!$B$6:$E$64,4,FALSE)*AI46</f>
        <v>0</v>
      </c>
      <c r="AM46" s="2324"/>
      <c r="AN46" s="1329"/>
      <c r="AO46" s="1330" t="s">
        <v>795</v>
      </c>
      <c r="AP46" s="1424">
        <v>0</v>
      </c>
      <c r="AQ46" s="1033">
        <f>VLOOKUP(AO46,Düngemittel!$B$6:$E$64,2,FALSE)*(VLOOKUP(AO46,Düngemittel!$B$6:$E$64,3,FALSE))/100*AP46</f>
        <v>0</v>
      </c>
      <c r="AR46" s="1033">
        <f>VLOOKUP(AO46,Düngemittel!$B$6:$E$64,2,FALSE)*AP46</f>
        <v>0</v>
      </c>
      <c r="AS46" s="1033">
        <f>VLOOKUP(AO46,Düngemittel!$B$6:$E$64,4,FALSE)*AP46</f>
        <v>0</v>
      </c>
      <c r="AT46" s="1371"/>
      <c r="AU46" s="1371"/>
      <c r="AV46" s="1372">
        <f t="shared" si="32"/>
        <v>0</v>
      </c>
      <c r="AW46" s="1373">
        <f t="shared" si="33"/>
        <v>0</v>
      </c>
      <c r="AX46" s="1374">
        <f t="shared" si="34"/>
        <v>0</v>
      </c>
      <c r="AY46" s="1375">
        <f t="shared" si="35"/>
        <v>0</v>
      </c>
      <c r="AZ46" s="1373">
        <f t="shared" si="36"/>
        <v>0</v>
      </c>
      <c r="BA46" s="1376"/>
      <c r="BB46" s="1372">
        <f t="shared" si="37"/>
        <v>0</v>
      </c>
      <c r="BC46" s="1372">
        <f t="shared" si="38"/>
        <v>0</v>
      </c>
      <c r="BD46" s="1372">
        <f t="shared" si="39"/>
        <v>0</v>
      </c>
      <c r="BE46" s="1816">
        <f t="shared" si="40"/>
        <v>0</v>
      </c>
      <c r="BF46" s="1372">
        <f t="shared" si="41"/>
        <v>0</v>
      </c>
      <c r="BG46" s="1377"/>
      <c r="BH46" s="1968" t="s">
        <v>1469</v>
      </c>
      <c r="BI46" s="1421">
        <v>60</v>
      </c>
      <c r="BJ46" s="1421">
        <v>70</v>
      </c>
      <c r="BK46" s="1421">
        <v>10</v>
      </c>
      <c r="BL46" s="1421">
        <v>7</v>
      </c>
      <c r="BM46" s="1421">
        <v>7</v>
      </c>
      <c r="BN46" s="1421">
        <v>0</v>
      </c>
      <c r="BO46" s="1421">
        <v>0</v>
      </c>
      <c r="BP46" s="2136">
        <v>60</v>
      </c>
      <c r="BQ46" s="2132">
        <v>0.3</v>
      </c>
      <c r="BR46" s="357">
        <v>0</v>
      </c>
    </row>
    <row r="47" spans="1:70" ht="23.25" customHeight="1">
      <c r="A47" s="468">
        <v>40</v>
      </c>
      <c r="B47" s="1699">
        <v>0</v>
      </c>
      <c r="C47" s="1527" t="s">
        <v>31</v>
      </c>
      <c r="D47" s="1380">
        <f t="shared" si="0"/>
        <v>0</v>
      </c>
      <c r="E47" s="2342">
        <f t="shared" si="1"/>
        <v>0</v>
      </c>
      <c r="F47" s="1381">
        <f t="shared" si="2"/>
        <v>0</v>
      </c>
      <c r="G47" s="2347">
        <f t="shared" si="28"/>
        <v>0</v>
      </c>
      <c r="H47" s="1928">
        <f t="shared" si="29"/>
        <v>0</v>
      </c>
      <c r="I47" s="1928">
        <f t="shared" si="3"/>
        <v>0</v>
      </c>
      <c r="J47" s="1928">
        <f t="shared" si="4"/>
        <v>0</v>
      </c>
      <c r="K47" s="1928">
        <f t="shared" si="5"/>
        <v>0</v>
      </c>
      <c r="L47" s="1928">
        <f t="shared" si="30"/>
        <v>0</v>
      </c>
      <c r="M47" s="1702">
        <v>0</v>
      </c>
      <c r="N47" s="1424">
        <v>0</v>
      </c>
      <c r="O47" s="1370">
        <f t="shared" si="15"/>
        <v>0</v>
      </c>
      <c r="P47" s="590">
        <v>20</v>
      </c>
      <c r="Q47" s="2300">
        <f t="shared" si="31"/>
        <v>0</v>
      </c>
      <c r="R47" s="2207">
        <v>0</v>
      </c>
      <c r="S47" s="2231">
        <f t="shared" si="17"/>
        <v>0</v>
      </c>
      <c r="T47" s="2213">
        <f t="shared" si="6"/>
        <v>0</v>
      </c>
      <c r="U47" s="2216">
        <f t="shared" si="7"/>
        <v>0</v>
      </c>
      <c r="V47" s="2213">
        <f t="shared" si="8"/>
        <v>0</v>
      </c>
      <c r="W47" s="1355"/>
      <c r="X47" s="1281">
        <f t="shared" si="9"/>
        <v>40</v>
      </c>
      <c r="Y47" s="2087" t="str">
        <f t="shared" si="10"/>
        <v>keine</v>
      </c>
      <c r="Z47" s="1329"/>
      <c r="AA47" s="1330" t="s">
        <v>795</v>
      </c>
      <c r="AB47" s="1424">
        <v>0</v>
      </c>
      <c r="AC47" s="1033">
        <f>VLOOKUP(AA47,Düngemittel!$B$6:$E$64,2,FALSE)*(VLOOKUP(AA47,Düngemittel!$B$6:$E$64,3,FALSE))/100*AB47</f>
        <v>0</v>
      </c>
      <c r="AD47" s="1033">
        <f>VLOOKUP(AA47,Düngemittel!$B$6:$E$64,2,FALSE)*AB47</f>
        <v>0</v>
      </c>
      <c r="AE47" s="1033">
        <f>VLOOKUP(AA47,Düngemittel!$B$6:$E$64,4,FALSE)*AB47</f>
        <v>0</v>
      </c>
      <c r="AF47" s="2324"/>
      <c r="AG47" s="1329"/>
      <c r="AH47" s="1330" t="s">
        <v>795</v>
      </c>
      <c r="AI47" s="1424">
        <v>0</v>
      </c>
      <c r="AJ47" s="1033">
        <f>VLOOKUP(AH47,Düngemittel!$B$6:$E$64,2,FALSE)*(VLOOKUP(AH47,Düngemittel!$B$6:$E$64,3,FALSE))/100*AI47</f>
        <v>0</v>
      </c>
      <c r="AK47" s="1033">
        <f>VLOOKUP(AH47,Düngemittel!$B$6:$E$64,2,FALSE)*AI47</f>
        <v>0</v>
      </c>
      <c r="AL47" s="1033">
        <f>VLOOKUP(AH47,Düngemittel!$B$6:$E$64,4,FALSE)*AI47</f>
        <v>0</v>
      </c>
      <c r="AM47" s="2324"/>
      <c r="AN47" s="1329"/>
      <c r="AO47" s="1330" t="s">
        <v>795</v>
      </c>
      <c r="AP47" s="1424">
        <v>0</v>
      </c>
      <c r="AQ47" s="1033">
        <f>VLOOKUP(AO47,Düngemittel!$B$6:$E$64,2,FALSE)*(VLOOKUP(AO47,Düngemittel!$B$6:$E$64,3,FALSE))/100*AP47</f>
        <v>0</v>
      </c>
      <c r="AR47" s="1033">
        <f>VLOOKUP(AO47,Düngemittel!$B$6:$E$64,2,FALSE)*AP47</f>
        <v>0</v>
      </c>
      <c r="AS47" s="1033">
        <f>VLOOKUP(AO47,Düngemittel!$B$6:$E$64,4,FALSE)*AP47</f>
        <v>0</v>
      </c>
      <c r="AT47" s="1371"/>
      <c r="AU47" s="1371"/>
      <c r="AV47" s="1372">
        <f t="shared" si="32"/>
        <v>0</v>
      </c>
      <c r="AW47" s="1373">
        <f t="shared" si="33"/>
        <v>0</v>
      </c>
      <c r="AX47" s="1374">
        <f t="shared" si="34"/>
        <v>0</v>
      </c>
      <c r="AY47" s="1375">
        <f t="shared" si="35"/>
        <v>0</v>
      </c>
      <c r="AZ47" s="1373">
        <f t="shared" si="36"/>
        <v>0</v>
      </c>
      <c r="BA47" s="1376"/>
      <c r="BB47" s="1372">
        <f t="shared" si="37"/>
        <v>0</v>
      </c>
      <c r="BC47" s="1372">
        <f t="shared" si="38"/>
        <v>0</v>
      </c>
      <c r="BD47" s="1372">
        <f t="shared" si="39"/>
        <v>0</v>
      </c>
      <c r="BE47" s="1816">
        <f t="shared" si="40"/>
        <v>0</v>
      </c>
      <c r="BF47" s="1372">
        <f t="shared" si="41"/>
        <v>0</v>
      </c>
      <c r="BG47" s="1377"/>
      <c r="BH47" s="1968" t="s">
        <v>1470</v>
      </c>
      <c r="BI47" s="1421">
        <v>135</v>
      </c>
      <c r="BJ47" s="1421">
        <v>130</v>
      </c>
      <c r="BK47" s="1421">
        <v>10</v>
      </c>
      <c r="BL47" s="1421">
        <v>13</v>
      </c>
      <c r="BM47" s="1421">
        <v>13</v>
      </c>
      <c r="BN47" s="1421">
        <v>0</v>
      </c>
      <c r="BO47" s="1421">
        <v>0</v>
      </c>
      <c r="BP47" s="2131">
        <v>60</v>
      </c>
      <c r="BQ47" s="2132">
        <v>0.16</v>
      </c>
      <c r="BR47" s="357">
        <v>0</v>
      </c>
    </row>
    <row r="48" spans="1:70" ht="23.25" customHeight="1">
      <c r="A48" s="468">
        <v>41</v>
      </c>
      <c r="B48" s="1699">
        <v>0</v>
      </c>
      <c r="C48" s="1527" t="s">
        <v>31</v>
      </c>
      <c r="D48" s="1380">
        <f t="shared" si="0"/>
        <v>0</v>
      </c>
      <c r="E48" s="2342">
        <f t="shared" si="1"/>
        <v>0</v>
      </c>
      <c r="F48" s="1381">
        <f t="shared" si="2"/>
        <v>0</v>
      </c>
      <c r="G48" s="2347">
        <f t="shared" si="28"/>
        <v>0</v>
      </c>
      <c r="H48" s="1928">
        <f t="shared" si="29"/>
        <v>0</v>
      </c>
      <c r="I48" s="1928">
        <f t="shared" si="3"/>
        <v>0</v>
      </c>
      <c r="J48" s="1928">
        <f t="shared" si="4"/>
        <v>0</v>
      </c>
      <c r="K48" s="1928">
        <f t="shared" si="5"/>
        <v>0</v>
      </c>
      <c r="L48" s="1928">
        <f t="shared" si="30"/>
        <v>0</v>
      </c>
      <c r="M48" s="1702">
        <v>0</v>
      </c>
      <c r="N48" s="1424">
        <v>0</v>
      </c>
      <c r="O48" s="1370">
        <f t="shared" si="15"/>
        <v>0</v>
      </c>
      <c r="P48" s="590">
        <v>21</v>
      </c>
      <c r="Q48" s="2300">
        <f t="shared" si="31"/>
        <v>0</v>
      </c>
      <c r="R48" s="2207">
        <v>0</v>
      </c>
      <c r="S48" s="2231">
        <f t="shared" si="17"/>
        <v>0</v>
      </c>
      <c r="T48" s="2213">
        <f t="shared" si="6"/>
        <v>0</v>
      </c>
      <c r="U48" s="2216">
        <f t="shared" si="7"/>
        <v>0</v>
      </c>
      <c r="V48" s="2213">
        <f t="shared" si="8"/>
        <v>0</v>
      </c>
      <c r="W48" s="1355"/>
      <c r="X48" s="1281">
        <f t="shared" si="9"/>
        <v>41</v>
      </c>
      <c r="Y48" s="2087" t="str">
        <f t="shared" si="10"/>
        <v>keine</v>
      </c>
      <c r="Z48" s="1329"/>
      <c r="AA48" s="1330" t="s">
        <v>795</v>
      </c>
      <c r="AB48" s="1424">
        <v>0</v>
      </c>
      <c r="AC48" s="1033">
        <f>VLOOKUP(AA48,Düngemittel!$B$6:$E$64,2,FALSE)*(VLOOKUP(AA48,Düngemittel!$B$6:$E$64,3,FALSE))/100*AB48</f>
        <v>0</v>
      </c>
      <c r="AD48" s="1033">
        <f>VLOOKUP(AA48,Düngemittel!$B$6:$E$64,2,FALSE)*AB48</f>
        <v>0</v>
      </c>
      <c r="AE48" s="1033">
        <f>VLOOKUP(AA48,Düngemittel!$B$6:$E$64,4,FALSE)*AB48</f>
        <v>0</v>
      </c>
      <c r="AF48" s="2324"/>
      <c r="AG48" s="1329"/>
      <c r="AH48" s="1330" t="s">
        <v>795</v>
      </c>
      <c r="AI48" s="1424">
        <v>0</v>
      </c>
      <c r="AJ48" s="1033">
        <f>VLOOKUP(AH48,Düngemittel!$B$6:$E$64,2,FALSE)*(VLOOKUP(AH48,Düngemittel!$B$6:$E$64,3,FALSE))/100*AI48</f>
        <v>0</v>
      </c>
      <c r="AK48" s="1033">
        <f>VLOOKUP(AH48,Düngemittel!$B$6:$E$64,2,FALSE)*AI48</f>
        <v>0</v>
      </c>
      <c r="AL48" s="1033">
        <f>VLOOKUP(AH48,Düngemittel!$B$6:$E$64,4,FALSE)*AI48</f>
        <v>0</v>
      </c>
      <c r="AM48" s="2324"/>
      <c r="AN48" s="1329"/>
      <c r="AO48" s="1330" t="s">
        <v>795</v>
      </c>
      <c r="AP48" s="1424">
        <v>0</v>
      </c>
      <c r="AQ48" s="1033">
        <f>VLOOKUP(AO48,Düngemittel!$B$6:$E$64,2,FALSE)*(VLOOKUP(AO48,Düngemittel!$B$6:$E$64,3,FALSE))/100*AP48</f>
        <v>0</v>
      </c>
      <c r="AR48" s="1033">
        <f>VLOOKUP(AO48,Düngemittel!$B$6:$E$64,2,FALSE)*AP48</f>
        <v>0</v>
      </c>
      <c r="AS48" s="1033">
        <f>VLOOKUP(AO48,Düngemittel!$B$6:$E$64,4,FALSE)*AP48</f>
        <v>0</v>
      </c>
      <c r="AT48" s="1371"/>
      <c r="AU48" s="1371"/>
      <c r="AV48" s="1372">
        <f t="shared" si="32"/>
        <v>0</v>
      </c>
      <c r="AW48" s="1373">
        <f t="shared" si="33"/>
        <v>0</v>
      </c>
      <c r="AX48" s="1374">
        <f t="shared" si="34"/>
        <v>0</v>
      </c>
      <c r="AY48" s="1375">
        <f t="shared" si="35"/>
        <v>0</v>
      </c>
      <c r="AZ48" s="1373">
        <f t="shared" si="36"/>
        <v>0</v>
      </c>
      <c r="BA48" s="1376"/>
      <c r="BB48" s="1372">
        <f t="shared" si="37"/>
        <v>0</v>
      </c>
      <c r="BC48" s="1372">
        <f t="shared" si="38"/>
        <v>0</v>
      </c>
      <c r="BD48" s="1372">
        <f t="shared" si="39"/>
        <v>0</v>
      </c>
      <c r="BE48" s="1816">
        <f t="shared" si="40"/>
        <v>0</v>
      </c>
      <c r="BF48" s="1372">
        <f t="shared" si="41"/>
        <v>0</v>
      </c>
      <c r="BG48" s="1377"/>
      <c r="BH48" s="1968" t="s">
        <v>1471</v>
      </c>
      <c r="BI48" s="1421">
        <v>50</v>
      </c>
      <c r="BJ48" s="1421">
        <v>60</v>
      </c>
      <c r="BK48" s="1421">
        <v>10</v>
      </c>
      <c r="BL48" s="1421">
        <v>6</v>
      </c>
      <c r="BM48" s="1421">
        <v>6</v>
      </c>
      <c r="BN48" s="1421">
        <v>0</v>
      </c>
      <c r="BO48" s="1421">
        <v>0</v>
      </c>
      <c r="BP48" s="2133">
        <v>30</v>
      </c>
      <c r="BQ48" s="2134">
        <v>0.38</v>
      </c>
      <c r="BR48" s="357">
        <v>0</v>
      </c>
    </row>
    <row r="49" spans="1:70" ht="23.25" customHeight="1">
      <c r="A49" s="468">
        <v>42</v>
      </c>
      <c r="B49" s="1699">
        <v>0</v>
      </c>
      <c r="C49" s="1527" t="s">
        <v>31</v>
      </c>
      <c r="D49" s="1380">
        <f t="shared" si="0"/>
        <v>0</v>
      </c>
      <c r="E49" s="2342">
        <f t="shared" si="1"/>
        <v>0</v>
      </c>
      <c r="F49" s="1381">
        <f t="shared" si="2"/>
        <v>0</v>
      </c>
      <c r="G49" s="2347">
        <f t="shared" si="12"/>
        <v>0</v>
      </c>
      <c r="H49" s="1928">
        <f t="shared" si="13"/>
        <v>0</v>
      </c>
      <c r="I49" s="1928">
        <f t="shared" si="3"/>
        <v>0</v>
      </c>
      <c r="J49" s="1928">
        <f t="shared" si="4"/>
        <v>0</v>
      </c>
      <c r="K49" s="1928">
        <f t="shared" si="5"/>
        <v>0</v>
      </c>
      <c r="L49" s="1928">
        <f t="shared" si="14"/>
        <v>0</v>
      </c>
      <c r="M49" s="1702">
        <v>0</v>
      </c>
      <c r="N49" s="1424">
        <v>0</v>
      </c>
      <c r="O49" s="1370">
        <f t="shared" si="15"/>
        <v>0</v>
      </c>
      <c r="P49" s="590">
        <v>0</v>
      </c>
      <c r="Q49" s="2300">
        <f t="shared" si="16"/>
        <v>0</v>
      </c>
      <c r="R49" s="2207">
        <v>0</v>
      </c>
      <c r="S49" s="2231">
        <f t="shared" si="17"/>
        <v>0</v>
      </c>
      <c r="T49" s="2213">
        <f t="shared" si="6"/>
        <v>0</v>
      </c>
      <c r="U49" s="2216">
        <f t="shared" si="7"/>
        <v>0</v>
      </c>
      <c r="V49" s="2213">
        <f t="shared" si="8"/>
        <v>0</v>
      </c>
      <c r="W49" s="1362"/>
      <c r="X49" s="1281">
        <f t="shared" si="9"/>
        <v>42</v>
      </c>
      <c r="Y49" s="2087" t="str">
        <f t="shared" si="10"/>
        <v>keine</v>
      </c>
      <c r="Z49" s="1329"/>
      <c r="AA49" s="1330" t="s">
        <v>795</v>
      </c>
      <c r="AB49" s="1424">
        <v>0</v>
      </c>
      <c r="AC49" s="1033">
        <f>VLOOKUP(AA49,Düngemittel!$B$6:$E$64,2,FALSE)*(VLOOKUP(AA49,Düngemittel!$B$6:$E$64,3,FALSE))/100*AB49</f>
        <v>0</v>
      </c>
      <c r="AD49" s="1033">
        <f>VLOOKUP(AA49,Düngemittel!$B$6:$E$64,2,FALSE)*AB49</f>
        <v>0</v>
      </c>
      <c r="AE49" s="1033">
        <f>VLOOKUP(AA49,Düngemittel!$B$6:$E$64,4,FALSE)*AB49</f>
        <v>0</v>
      </c>
      <c r="AF49" s="142"/>
      <c r="AG49" s="1329"/>
      <c r="AH49" s="1330" t="s">
        <v>795</v>
      </c>
      <c r="AI49" s="1424">
        <v>0</v>
      </c>
      <c r="AJ49" s="1033">
        <f>VLOOKUP(AH49,Düngemittel!$B$6:$E$64,2,FALSE)*(VLOOKUP(AH49,Düngemittel!$B$6:$E$64,3,FALSE))/100*AI49</f>
        <v>0</v>
      </c>
      <c r="AK49" s="1033">
        <f>VLOOKUP(AH49,Düngemittel!$B$6:$E$64,2,FALSE)*AI49</f>
        <v>0</v>
      </c>
      <c r="AL49" s="1033">
        <f>VLOOKUP(AH49,Düngemittel!$B$6:$E$64,4,FALSE)*AI49</f>
        <v>0</v>
      </c>
      <c r="AM49" s="142"/>
      <c r="AN49" s="1329"/>
      <c r="AO49" s="1330" t="s">
        <v>795</v>
      </c>
      <c r="AP49" s="1424">
        <v>0</v>
      </c>
      <c r="AQ49" s="1033">
        <f>VLOOKUP(AO49,Düngemittel!$B$6:$E$64,2,FALSE)*(VLOOKUP(AO49,Düngemittel!$B$6:$E$64,3,FALSE))/100*AP49</f>
        <v>0</v>
      </c>
      <c r="AR49" s="1033">
        <f>VLOOKUP(AO49,Düngemittel!$B$6:$E$64,2,FALSE)*AP49</f>
        <v>0</v>
      </c>
      <c r="AS49" s="1033">
        <f>VLOOKUP(AO49,Düngemittel!$B$6:$E$64,4,FALSE)*AP49</f>
        <v>0</v>
      </c>
      <c r="AT49" s="1371"/>
      <c r="AU49" s="1371"/>
      <c r="AV49" s="1372">
        <f t="shared" si="18"/>
        <v>0</v>
      </c>
      <c r="AW49" s="1373">
        <f t="shared" si="19"/>
        <v>0</v>
      </c>
      <c r="AX49" s="1374">
        <f t="shared" si="20"/>
        <v>0</v>
      </c>
      <c r="AY49" s="1375">
        <f t="shared" si="21"/>
        <v>0</v>
      </c>
      <c r="AZ49" s="1373">
        <f t="shared" si="22"/>
        <v>0</v>
      </c>
      <c r="BA49" s="1376"/>
      <c r="BB49" s="1372">
        <f t="shared" si="23"/>
        <v>0</v>
      </c>
      <c r="BC49" s="1372">
        <f t="shared" si="24"/>
        <v>0</v>
      </c>
      <c r="BD49" s="1372">
        <f t="shared" si="25"/>
        <v>0</v>
      </c>
      <c r="BE49" s="1816">
        <f t="shared" si="26"/>
        <v>0</v>
      </c>
      <c r="BF49" s="1372">
        <f t="shared" si="27"/>
        <v>0</v>
      </c>
      <c r="BG49" s="1377"/>
      <c r="BH49" s="1968" t="s">
        <v>1472</v>
      </c>
      <c r="BI49" s="1421">
        <v>50</v>
      </c>
      <c r="BJ49" s="1421">
        <v>60</v>
      </c>
      <c r="BK49" s="1421">
        <v>10</v>
      </c>
      <c r="BL49" s="1421">
        <v>6</v>
      </c>
      <c r="BM49" s="1421">
        <v>6</v>
      </c>
      <c r="BN49" s="1421">
        <v>0</v>
      </c>
      <c r="BO49" s="1421">
        <v>0</v>
      </c>
      <c r="BP49" s="2133">
        <v>30</v>
      </c>
      <c r="BQ49" s="2134">
        <v>0.17</v>
      </c>
      <c r="BR49" s="357">
        <v>0</v>
      </c>
    </row>
    <row r="50" spans="1:70" ht="24" customHeight="1">
      <c r="A50" s="468">
        <v>43</v>
      </c>
      <c r="B50" s="1699">
        <v>0</v>
      </c>
      <c r="C50" s="1527" t="s">
        <v>31</v>
      </c>
      <c r="D50" s="1380">
        <f t="shared" si="0"/>
        <v>0</v>
      </c>
      <c r="E50" s="2342">
        <f t="shared" si="1"/>
        <v>0</v>
      </c>
      <c r="F50" s="1381">
        <f t="shared" si="2"/>
        <v>0</v>
      </c>
      <c r="G50" s="2347">
        <f t="shared" si="12"/>
        <v>0</v>
      </c>
      <c r="H50" s="1928">
        <f t="shared" si="13"/>
        <v>0</v>
      </c>
      <c r="I50" s="1928">
        <f t="shared" si="3"/>
        <v>0</v>
      </c>
      <c r="J50" s="1928">
        <f t="shared" si="4"/>
        <v>0</v>
      </c>
      <c r="K50" s="1928">
        <f t="shared" si="5"/>
        <v>0</v>
      </c>
      <c r="L50" s="1928">
        <f t="shared" si="14"/>
        <v>0</v>
      </c>
      <c r="M50" s="1702">
        <v>0</v>
      </c>
      <c r="N50" s="1424">
        <v>0</v>
      </c>
      <c r="O50" s="1370">
        <f t="shared" si="15"/>
        <v>0</v>
      </c>
      <c r="P50" s="590">
        <v>0</v>
      </c>
      <c r="Q50" s="2300">
        <f t="shared" si="16"/>
        <v>0</v>
      </c>
      <c r="R50" s="2207">
        <v>0</v>
      </c>
      <c r="S50" s="2231">
        <f t="shared" si="17"/>
        <v>0</v>
      </c>
      <c r="T50" s="2213">
        <f t="shared" si="6"/>
        <v>0</v>
      </c>
      <c r="U50" s="2216">
        <f t="shared" si="7"/>
        <v>0</v>
      </c>
      <c r="V50" s="2213">
        <f t="shared" si="8"/>
        <v>0</v>
      </c>
      <c r="W50" s="1384"/>
      <c r="X50" s="1281">
        <f t="shared" si="9"/>
        <v>43</v>
      </c>
      <c r="Y50" s="2087" t="str">
        <f t="shared" si="10"/>
        <v>keine</v>
      </c>
      <c r="Z50" s="1329"/>
      <c r="AA50" s="1330" t="s">
        <v>795</v>
      </c>
      <c r="AB50" s="1424">
        <v>0</v>
      </c>
      <c r="AC50" s="1033">
        <f>VLOOKUP(AA50,Düngemittel!$B$6:$E$64,2,FALSE)*(VLOOKUP(AA50,Düngemittel!$B$6:$E$64,3,FALSE))/100*AB50</f>
        <v>0</v>
      </c>
      <c r="AD50" s="1033">
        <f>VLOOKUP(AA50,Düngemittel!$B$6:$E$64,2,FALSE)*AB50</f>
        <v>0</v>
      </c>
      <c r="AE50" s="1033">
        <f>VLOOKUP(AA50,Düngemittel!$B$6:$E$64,4,FALSE)*AB50</f>
        <v>0</v>
      </c>
      <c r="AF50" s="2089"/>
      <c r="AG50" s="1329"/>
      <c r="AH50" s="1330" t="s">
        <v>795</v>
      </c>
      <c r="AI50" s="1424">
        <v>0</v>
      </c>
      <c r="AJ50" s="1033">
        <f>VLOOKUP(AH50,Düngemittel!$B$6:$E$64,2,FALSE)*(VLOOKUP(AH50,Düngemittel!$B$6:$E$64,3,FALSE))/100*AI50</f>
        <v>0</v>
      </c>
      <c r="AK50" s="1033">
        <f>VLOOKUP(AH50,Düngemittel!$B$6:$E$64,2,FALSE)*AI50</f>
        <v>0</v>
      </c>
      <c r="AL50" s="1033">
        <f>VLOOKUP(AH50,Düngemittel!$B$6:$E$64,4,FALSE)*AI50</f>
        <v>0</v>
      </c>
      <c r="AM50" s="2089"/>
      <c r="AN50" s="1329"/>
      <c r="AO50" s="1330" t="s">
        <v>795</v>
      </c>
      <c r="AP50" s="1424">
        <v>0</v>
      </c>
      <c r="AQ50" s="1033">
        <f>VLOOKUP(AO50,Düngemittel!$B$6:$E$64,2,FALSE)*(VLOOKUP(AO50,Düngemittel!$B$6:$E$64,3,FALSE))/100*AP50</f>
        <v>0</v>
      </c>
      <c r="AR50" s="1033">
        <f>VLOOKUP(AO50,Düngemittel!$B$6:$E$64,2,FALSE)*AP50</f>
        <v>0</v>
      </c>
      <c r="AS50" s="1033">
        <f>VLOOKUP(AO50,Düngemittel!$B$6:$E$64,4,FALSE)*AP50</f>
        <v>0</v>
      </c>
      <c r="AT50" s="1371"/>
      <c r="AU50" s="1371"/>
      <c r="AV50" s="1372">
        <f t="shared" si="18"/>
        <v>0</v>
      </c>
      <c r="AW50" s="1373">
        <f t="shared" si="19"/>
        <v>0</v>
      </c>
      <c r="AX50" s="1374">
        <f t="shared" si="20"/>
        <v>0</v>
      </c>
      <c r="AY50" s="1375">
        <f t="shared" si="21"/>
        <v>0</v>
      </c>
      <c r="AZ50" s="1373">
        <f t="shared" si="22"/>
        <v>0</v>
      </c>
      <c r="BA50" s="1376"/>
      <c r="BB50" s="1372">
        <f t="shared" si="23"/>
        <v>0</v>
      </c>
      <c r="BC50" s="1372">
        <f t="shared" si="24"/>
        <v>0</v>
      </c>
      <c r="BD50" s="1372">
        <f t="shared" si="25"/>
        <v>0</v>
      </c>
      <c r="BE50" s="1816">
        <f t="shared" si="26"/>
        <v>0</v>
      </c>
      <c r="BF50" s="1372">
        <f t="shared" si="27"/>
        <v>0</v>
      </c>
      <c r="BG50" s="1377"/>
      <c r="BH50" s="1968" t="s">
        <v>1473</v>
      </c>
      <c r="BI50" s="1421">
        <v>250</v>
      </c>
      <c r="BJ50" s="1421">
        <v>190</v>
      </c>
      <c r="BK50" s="1421">
        <v>10</v>
      </c>
      <c r="BL50" s="1421">
        <v>19</v>
      </c>
      <c r="BM50" s="1421">
        <v>19</v>
      </c>
      <c r="BN50" s="1421">
        <v>0</v>
      </c>
      <c r="BO50" s="1421">
        <v>0</v>
      </c>
      <c r="BP50" s="2131">
        <v>60</v>
      </c>
      <c r="BQ50" s="2132">
        <v>0.15</v>
      </c>
      <c r="BR50" s="357">
        <v>0</v>
      </c>
    </row>
    <row r="51" spans="1:70" ht="24" customHeight="1">
      <c r="A51" s="468">
        <v>44</v>
      </c>
      <c r="B51" s="1699">
        <v>0</v>
      </c>
      <c r="C51" s="1527" t="s">
        <v>31</v>
      </c>
      <c r="D51" s="1380">
        <f t="shared" si="0"/>
        <v>0</v>
      </c>
      <c r="E51" s="2342">
        <f t="shared" si="1"/>
        <v>0</v>
      </c>
      <c r="F51" s="1381">
        <f t="shared" si="2"/>
        <v>0</v>
      </c>
      <c r="G51" s="2347">
        <f t="shared" si="12"/>
        <v>0</v>
      </c>
      <c r="H51" s="1928">
        <f t="shared" si="13"/>
        <v>0</v>
      </c>
      <c r="I51" s="1928">
        <f t="shared" si="3"/>
        <v>0</v>
      </c>
      <c r="J51" s="1928">
        <f t="shared" si="4"/>
        <v>0</v>
      </c>
      <c r="K51" s="1928">
        <f t="shared" si="5"/>
        <v>0</v>
      </c>
      <c r="L51" s="1928">
        <f t="shared" si="14"/>
        <v>0</v>
      </c>
      <c r="M51" s="1702">
        <v>0</v>
      </c>
      <c r="N51" s="1424">
        <v>0</v>
      </c>
      <c r="O51" s="1370">
        <f t="shared" si="15"/>
        <v>0</v>
      </c>
      <c r="P51" s="590">
        <v>0</v>
      </c>
      <c r="Q51" s="2300">
        <f t="shared" si="16"/>
        <v>0</v>
      </c>
      <c r="R51" s="2207">
        <v>0</v>
      </c>
      <c r="S51" s="2231">
        <f t="shared" si="17"/>
        <v>0</v>
      </c>
      <c r="T51" s="2213">
        <f t="shared" si="6"/>
        <v>0</v>
      </c>
      <c r="U51" s="2216">
        <f t="shared" si="7"/>
        <v>0</v>
      </c>
      <c r="V51" s="2213">
        <f t="shared" si="8"/>
        <v>0</v>
      </c>
      <c r="W51" s="1384"/>
      <c r="X51" s="1281">
        <f t="shared" si="9"/>
        <v>44</v>
      </c>
      <c r="Y51" s="2087" t="str">
        <f t="shared" si="10"/>
        <v>keine</v>
      </c>
      <c r="Z51" s="1329"/>
      <c r="AA51" s="1330" t="s">
        <v>795</v>
      </c>
      <c r="AB51" s="1424">
        <v>0</v>
      </c>
      <c r="AC51" s="1033">
        <f>VLOOKUP(AA51,Düngemittel!$B$6:$E$64,2,FALSE)*(VLOOKUP(AA51,Düngemittel!$B$6:$E$64,3,FALSE))/100*AB51</f>
        <v>0</v>
      </c>
      <c r="AD51" s="1033">
        <f>VLOOKUP(AA51,Düngemittel!$B$6:$E$64,2,FALSE)*AB51</f>
        <v>0</v>
      </c>
      <c r="AE51" s="1033">
        <f>VLOOKUP(AA51,Düngemittel!$B$6:$E$64,4,FALSE)*AB51</f>
        <v>0</v>
      </c>
      <c r="AF51" s="2089"/>
      <c r="AG51" s="1329"/>
      <c r="AH51" s="1330" t="s">
        <v>795</v>
      </c>
      <c r="AI51" s="1424">
        <v>0</v>
      </c>
      <c r="AJ51" s="1033">
        <f>VLOOKUP(AH51,Düngemittel!$B$6:$E$64,2,FALSE)*(VLOOKUP(AH51,Düngemittel!$B$6:$E$64,3,FALSE))/100*AI51</f>
        <v>0</v>
      </c>
      <c r="AK51" s="1033">
        <f>VLOOKUP(AH51,Düngemittel!$B$6:$E$64,2,FALSE)*AI51</f>
        <v>0</v>
      </c>
      <c r="AL51" s="1033">
        <f>VLOOKUP(AH51,Düngemittel!$B$6:$E$64,4,FALSE)*AI51</f>
        <v>0</v>
      </c>
      <c r="AM51" s="2089"/>
      <c r="AN51" s="1329"/>
      <c r="AO51" s="1330" t="s">
        <v>795</v>
      </c>
      <c r="AP51" s="1424">
        <v>0</v>
      </c>
      <c r="AQ51" s="1033">
        <f>VLOOKUP(AO51,Düngemittel!$B$6:$E$64,2,FALSE)*(VLOOKUP(AO51,Düngemittel!$B$6:$E$64,3,FALSE))/100*AP51</f>
        <v>0</v>
      </c>
      <c r="AR51" s="1033">
        <f>VLOOKUP(AO51,Düngemittel!$B$6:$E$64,2,FALSE)*AP51</f>
        <v>0</v>
      </c>
      <c r="AS51" s="1033">
        <f>VLOOKUP(AO51,Düngemittel!$B$6:$E$64,4,FALSE)*AP51</f>
        <v>0</v>
      </c>
      <c r="AT51" s="1371"/>
      <c r="AU51" s="1371"/>
      <c r="AV51" s="1372">
        <f t="shared" si="18"/>
        <v>0</v>
      </c>
      <c r="AW51" s="1373">
        <f t="shared" si="19"/>
        <v>0</v>
      </c>
      <c r="AX51" s="1374">
        <f t="shared" si="20"/>
        <v>0</v>
      </c>
      <c r="AY51" s="1375">
        <f t="shared" si="21"/>
        <v>0</v>
      </c>
      <c r="AZ51" s="1373">
        <f t="shared" si="22"/>
        <v>0</v>
      </c>
      <c r="BA51" s="1376"/>
      <c r="BB51" s="1372">
        <f t="shared" si="23"/>
        <v>0</v>
      </c>
      <c r="BC51" s="1372">
        <f t="shared" si="24"/>
        <v>0</v>
      </c>
      <c r="BD51" s="1372">
        <f t="shared" si="25"/>
        <v>0</v>
      </c>
      <c r="BE51" s="1816">
        <f t="shared" si="26"/>
        <v>0</v>
      </c>
      <c r="BF51" s="1372">
        <f t="shared" si="27"/>
        <v>0</v>
      </c>
      <c r="BG51" s="1377"/>
      <c r="BH51" s="1968" t="s">
        <v>1474</v>
      </c>
      <c r="BI51" s="1421">
        <v>70</v>
      </c>
      <c r="BJ51" s="1421">
        <v>155</v>
      </c>
      <c r="BK51" s="1421">
        <v>10</v>
      </c>
      <c r="BL51" s="1421">
        <v>15.5</v>
      </c>
      <c r="BM51" s="1421">
        <v>15.5</v>
      </c>
      <c r="BN51" s="1421">
        <v>0</v>
      </c>
      <c r="BO51" s="1421">
        <v>0</v>
      </c>
      <c r="BP51" s="2131">
        <v>60</v>
      </c>
      <c r="BQ51" s="2132">
        <v>0.92</v>
      </c>
      <c r="BR51" s="357">
        <v>0</v>
      </c>
    </row>
    <row r="52" spans="1:70" ht="24" customHeight="1" thickBot="1">
      <c r="A52" s="468">
        <v>45</v>
      </c>
      <c r="B52" s="1699">
        <v>0</v>
      </c>
      <c r="C52" s="2343" t="s">
        <v>31</v>
      </c>
      <c r="D52" s="1385">
        <f t="shared" si="0"/>
        <v>0</v>
      </c>
      <c r="E52" s="2344">
        <f t="shared" si="1"/>
        <v>0</v>
      </c>
      <c r="F52" s="1525">
        <f t="shared" si="2"/>
        <v>0</v>
      </c>
      <c r="G52" s="2348">
        <f t="shared" si="12"/>
        <v>0</v>
      </c>
      <c r="H52" s="1930">
        <f t="shared" si="13"/>
        <v>0</v>
      </c>
      <c r="I52" s="1930">
        <f t="shared" si="3"/>
        <v>0</v>
      </c>
      <c r="J52" s="1930">
        <f t="shared" si="4"/>
        <v>0</v>
      </c>
      <c r="K52" s="1930">
        <f t="shared" si="5"/>
        <v>0</v>
      </c>
      <c r="L52" s="1930">
        <f t="shared" si="14"/>
        <v>0</v>
      </c>
      <c r="M52" s="1702">
        <v>0</v>
      </c>
      <c r="N52" s="1424">
        <v>0</v>
      </c>
      <c r="O52" s="1370">
        <f t="shared" si="15"/>
        <v>0</v>
      </c>
      <c r="P52" s="2301">
        <v>0</v>
      </c>
      <c r="Q52" s="2302">
        <f t="shared" si="16"/>
        <v>0</v>
      </c>
      <c r="R52" s="2207">
        <v>0</v>
      </c>
      <c r="S52" s="2232">
        <f t="shared" si="17"/>
        <v>0</v>
      </c>
      <c r="T52" s="2214">
        <f t="shared" si="6"/>
        <v>0</v>
      </c>
      <c r="U52" s="2217">
        <f t="shared" si="7"/>
        <v>0</v>
      </c>
      <c r="V52" s="2214">
        <f t="shared" si="8"/>
        <v>0</v>
      </c>
      <c r="W52" s="1384"/>
      <c r="X52" s="1281">
        <f t="shared" si="9"/>
        <v>45</v>
      </c>
      <c r="Y52" s="2087" t="str">
        <f t="shared" si="10"/>
        <v>keine</v>
      </c>
      <c r="Z52" s="1329"/>
      <c r="AA52" s="1330" t="s">
        <v>795</v>
      </c>
      <c r="AB52" s="1424">
        <v>0</v>
      </c>
      <c r="AC52" s="1033">
        <f>VLOOKUP(AA52,Düngemittel!$B$6:$E$64,2,FALSE)*(VLOOKUP(AA52,Düngemittel!$B$6:$E$64,3,FALSE))/100*AB52</f>
        <v>0</v>
      </c>
      <c r="AD52" s="1033">
        <f>VLOOKUP(AA52,Düngemittel!$B$6:$E$64,2,FALSE)*AB52</f>
        <v>0</v>
      </c>
      <c r="AE52" s="1033">
        <f>VLOOKUP(AA52,Düngemittel!$B$6:$E$64,4,FALSE)*AB52</f>
        <v>0</v>
      </c>
      <c r="AF52" s="2089"/>
      <c r="AG52" s="1329"/>
      <c r="AH52" s="1330" t="s">
        <v>795</v>
      </c>
      <c r="AI52" s="1424">
        <v>0</v>
      </c>
      <c r="AJ52" s="1033">
        <f>VLOOKUP(AH52,Düngemittel!$B$6:$E$64,2,FALSE)*(VLOOKUP(AH52,Düngemittel!$B$6:$E$64,3,FALSE))/100*AI52</f>
        <v>0</v>
      </c>
      <c r="AK52" s="1033">
        <f>VLOOKUP(AH52,Düngemittel!$B$6:$E$64,2,FALSE)*AI52</f>
        <v>0</v>
      </c>
      <c r="AL52" s="1033">
        <f>VLOOKUP(AH52,Düngemittel!$B$6:$E$64,4,FALSE)*AI52</f>
        <v>0</v>
      </c>
      <c r="AM52" s="2089"/>
      <c r="AN52" s="1329"/>
      <c r="AO52" s="1330" t="s">
        <v>795</v>
      </c>
      <c r="AP52" s="1424">
        <v>0</v>
      </c>
      <c r="AQ52" s="1033">
        <f>VLOOKUP(AO52,Düngemittel!$B$6:$E$64,2,FALSE)*(VLOOKUP(AO52,Düngemittel!$B$6:$E$64,3,FALSE))/100*AP52</f>
        <v>0</v>
      </c>
      <c r="AR52" s="1033">
        <f>VLOOKUP(AO52,Düngemittel!$B$6:$E$64,2,FALSE)*AP52</f>
        <v>0</v>
      </c>
      <c r="AS52" s="1033">
        <f>VLOOKUP(AO52,Düngemittel!$B$6:$E$64,4,FALSE)*AP52</f>
        <v>0</v>
      </c>
      <c r="AT52" s="1371"/>
      <c r="AU52" s="1371"/>
      <c r="AV52" s="1372">
        <f t="shared" si="18"/>
        <v>0</v>
      </c>
      <c r="AW52" s="1373">
        <f t="shared" si="19"/>
        <v>0</v>
      </c>
      <c r="AX52" s="1374">
        <f t="shared" si="20"/>
        <v>0</v>
      </c>
      <c r="AY52" s="1375">
        <f t="shared" si="21"/>
        <v>0</v>
      </c>
      <c r="AZ52" s="1373">
        <f t="shared" si="22"/>
        <v>0</v>
      </c>
      <c r="BA52" s="1376"/>
      <c r="BB52" s="1372">
        <f t="shared" si="23"/>
        <v>0</v>
      </c>
      <c r="BC52" s="1372">
        <f t="shared" si="24"/>
        <v>0</v>
      </c>
      <c r="BD52" s="1372">
        <f t="shared" si="25"/>
        <v>0</v>
      </c>
      <c r="BE52" s="1816">
        <f t="shared" si="26"/>
        <v>0</v>
      </c>
      <c r="BF52" s="1372">
        <f t="shared" si="27"/>
        <v>0</v>
      </c>
      <c r="BG52" s="1377"/>
      <c r="BH52" s="1968" t="s">
        <v>1475</v>
      </c>
      <c r="BI52" s="1421">
        <v>70</v>
      </c>
      <c r="BJ52" s="1421">
        <v>155</v>
      </c>
      <c r="BK52" s="1421">
        <v>10</v>
      </c>
      <c r="BL52" s="1421">
        <v>15.5</v>
      </c>
      <c r="BM52" s="1421">
        <v>15.5</v>
      </c>
      <c r="BN52" s="1421">
        <v>0</v>
      </c>
      <c r="BO52" s="1421">
        <v>0</v>
      </c>
      <c r="BP52" s="2131">
        <v>60</v>
      </c>
      <c r="BQ52" s="2132">
        <v>0.17</v>
      </c>
      <c r="BR52" s="357">
        <v>0</v>
      </c>
    </row>
    <row r="53" spans="1:70" ht="23.25" customHeight="1" thickBot="1">
      <c r="A53" s="1385" t="s">
        <v>286</v>
      </c>
      <c r="B53" s="2204">
        <f>SUM(B8:B52)</f>
        <v>0</v>
      </c>
      <c r="C53" s="594"/>
      <c r="D53" s="594"/>
      <c r="E53" s="2307"/>
      <c r="F53" s="594"/>
      <c r="G53" s="594"/>
      <c r="H53" s="594"/>
      <c r="I53" s="594"/>
      <c r="J53" s="594"/>
      <c r="K53" s="594"/>
      <c r="L53" s="594"/>
      <c r="M53" s="551"/>
      <c r="N53" s="551"/>
      <c r="O53" s="551"/>
      <c r="P53" s="551"/>
      <c r="Q53" s="550"/>
      <c r="R53" s="550"/>
      <c r="S53" s="2218"/>
      <c r="T53" s="2211">
        <f>SUM(T8:T52)</f>
        <v>0</v>
      </c>
      <c r="U53" s="2210"/>
      <c r="V53" s="2211">
        <f>SUM(V8:V52)</f>
        <v>0</v>
      </c>
      <c r="W53" s="661"/>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543"/>
      <c r="AW53" s="1386"/>
      <c r="AX53" s="1386"/>
      <c r="AY53" s="1387"/>
      <c r="AZ53" s="1386"/>
      <c r="BA53" s="1388"/>
      <c r="BB53" s="414">
        <f>SUM(BB5:BB52)</f>
        <v>0</v>
      </c>
      <c r="BC53" s="414">
        <f>SUM(BC5:BC52)</f>
        <v>0</v>
      </c>
      <c r="BD53" s="414">
        <f>SUM(BD5:BD52)</f>
        <v>0</v>
      </c>
      <c r="BE53" s="1157">
        <f>SUM(BE5:BE52)</f>
        <v>0</v>
      </c>
      <c r="BF53" s="414">
        <f>SUM(BF5:BF52)</f>
        <v>0</v>
      </c>
      <c r="BG53" s="1389" t="s">
        <v>1081</v>
      </c>
      <c r="BH53" s="1968" t="s">
        <v>1476</v>
      </c>
      <c r="BI53" s="1421">
        <v>5</v>
      </c>
      <c r="BJ53" s="1421">
        <v>55</v>
      </c>
      <c r="BK53" s="1421">
        <v>10</v>
      </c>
      <c r="BL53" s="1421">
        <v>3</v>
      </c>
      <c r="BM53" s="1421">
        <v>3</v>
      </c>
      <c r="BN53" s="1421">
        <v>0</v>
      </c>
      <c r="BO53" s="1421">
        <v>0</v>
      </c>
      <c r="BP53" s="2131">
        <v>60</v>
      </c>
      <c r="BQ53" s="2132">
        <v>3.08</v>
      </c>
      <c r="BR53" s="357">
        <v>0</v>
      </c>
    </row>
    <row r="54" spans="1:70" ht="24" customHeight="1">
      <c r="A54" s="1391"/>
      <c r="B54" s="1392"/>
      <c r="C54" s="1353"/>
      <c r="D54" s="1327"/>
      <c r="E54" s="1345"/>
      <c r="F54" s="1327"/>
      <c r="G54" s="2322"/>
      <c r="H54" s="2322"/>
      <c r="I54" s="2322"/>
      <c r="J54" s="2322"/>
      <c r="K54" s="2322"/>
      <c r="L54" s="2322"/>
      <c r="M54" s="1353"/>
      <c r="N54" s="1353"/>
      <c r="O54" s="1353"/>
      <c r="P54" s="1353"/>
      <c r="Q54" s="1327"/>
      <c r="R54" s="1327"/>
      <c r="S54" s="1393"/>
      <c r="T54" s="2638" t="s">
        <v>1100</v>
      </c>
      <c r="U54" s="1327"/>
      <c r="V54" s="2638" t="s">
        <v>1101</v>
      </c>
      <c r="W54" s="1327"/>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441" t="e">
        <f>BB54</f>
        <v>#DIV/0!</v>
      </c>
      <c r="AW54" s="1441" t="e">
        <f t="shared" ref="AW54:AZ54" si="42">BC54</f>
        <v>#DIV/0!</v>
      </c>
      <c r="AX54" s="1441" t="e">
        <f t="shared" si="42"/>
        <v>#DIV/0!</v>
      </c>
      <c r="AY54" s="1157" t="e">
        <f t="shared" si="42"/>
        <v>#DIV/0!</v>
      </c>
      <c r="AZ54" s="1441" t="e">
        <f t="shared" si="42"/>
        <v>#DIV/0!</v>
      </c>
      <c r="BA54" s="1388"/>
      <c r="BB54" s="1441" t="e">
        <f>BB53/$B53</f>
        <v>#DIV/0!</v>
      </c>
      <c r="BC54" s="1441" t="e">
        <f>BC53/$B53</f>
        <v>#DIV/0!</v>
      </c>
      <c r="BD54" s="1441" t="e">
        <f>BD53/$B53</f>
        <v>#DIV/0!</v>
      </c>
      <c r="BE54" s="1157" t="e">
        <f>BE53/$B53</f>
        <v>#DIV/0!</v>
      </c>
      <c r="BF54" s="414" t="e">
        <f>BF53/$B53</f>
        <v>#DIV/0!</v>
      </c>
      <c r="BG54" s="1389" t="s">
        <v>1060</v>
      </c>
      <c r="BH54" s="1968" t="s">
        <v>1477</v>
      </c>
      <c r="BI54" s="1421">
        <v>5</v>
      </c>
      <c r="BJ54" s="1421">
        <v>55</v>
      </c>
      <c r="BK54" s="1421">
        <v>10</v>
      </c>
      <c r="BL54" s="1421">
        <v>3</v>
      </c>
      <c r="BM54" s="1421">
        <v>3</v>
      </c>
      <c r="BN54" s="1421">
        <v>0</v>
      </c>
      <c r="BO54" s="1421">
        <v>0</v>
      </c>
      <c r="BP54" s="2131">
        <v>60</v>
      </c>
      <c r="BQ54" s="2132">
        <v>1.4</v>
      </c>
      <c r="BR54" s="357">
        <v>0</v>
      </c>
    </row>
    <row r="55" spans="1:70" ht="54" customHeight="1" thickBot="1">
      <c r="A55" s="1355"/>
      <c r="B55" s="1394"/>
      <c r="C55" s="1353"/>
      <c r="D55" s="1327"/>
      <c r="E55" s="1345"/>
      <c r="F55" s="1327"/>
      <c r="G55" s="2322"/>
      <c r="H55" s="2322"/>
      <c r="I55" s="2322"/>
      <c r="J55" s="2322"/>
      <c r="K55" s="2322"/>
      <c r="L55" s="2322"/>
      <c r="M55" s="1353"/>
      <c r="N55" s="1353"/>
      <c r="O55" s="1353"/>
      <c r="P55" s="1353"/>
      <c r="Q55" s="1327"/>
      <c r="R55" s="1327"/>
      <c r="S55" s="1388"/>
      <c r="T55" s="2639"/>
      <c r="U55" s="1327"/>
      <c r="V55" s="2639"/>
      <c r="W55" s="1327"/>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63" t="s">
        <v>1080</v>
      </c>
      <c r="AW55" s="427" t="s">
        <v>1066</v>
      </c>
      <c r="AX55" s="427" t="s">
        <v>1067</v>
      </c>
      <c r="AY55" s="1364" t="s">
        <v>1241</v>
      </c>
      <c r="AZ55" s="427" t="s">
        <v>284</v>
      </c>
      <c r="BA55" s="1355"/>
      <c r="BB55" s="1821" t="s">
        <v>1080</v>
      </c>
      <c r="BC55" s="1822" t="s">
        <v>1307</v>
      </c>
      <c r="BD55" s="1822" t="s">
        <v>1308</v>
      </c>
      <c r="BE55" s="1364" t="s">
        <v>1241</v>
      </c>
      <c r="BF55" s="427" t="s">
        <v>284</v>
      </c>
      <c r="BH55" s="1968" t="s">
        <v>1478</v>
      </c>
      <c r="BI55" s="1421">
        <v>450</v>
      </c>
      <c r="BJ55" s="1421">
        <v>185</v>
      </c>
      <c r="BK55" s="1421">
        <v>10</v>
      </c>
      <c r="BL55" s="1421">
        <v>18.5</v>
      </c>
      <c r="BM55" s="1421">
        <v>18.5</v>
      </c>
      <c r="BN55" s="1421">
        <v>0</v>
      </c>
      <c r="BO55" s="1421">
        <v>0</v>
      </c>
      <c r="BP55" s="2131">
        <v>30</v>
      </c>
      <c r="BQ55" s="2132">
        <v>0.12</v>
      </c>
      <c r="BR55" s="357">
        <v>0</v>
      </c>
    </row>
    <row r="56" spans="1:70" ht="24" customHeight="1">
      <c r="B56" s="546"/>
      <c r="D56" s="357"/>
      <c r="E56" s="546"/>
      <c r="P56" s="556"/>
      <c r="U56" s="1327"/>
      <c r="V56" s="1327"/>
      <c r="W56" s="1327"/>
      <c r="X56" s="1384"/>
      <c r="Y56" s="1384"/>
      <c r="Z56" s="1384"/>
      <c r="AA56" s="1384"/>
      <c r="AB56" s="1384"/>
      <c r="AC56" s="1384"/>
      <c r="AD56" s="1384"/>
      <c r="AE56" s="1384"/>
      <c r="AF56" s="1384"/>
      <c r="AG56" s="1384"/>
      <c r="AH56" s="1384"/>
      <c r="AI56" s="1384"/>
      <c r="AJ56" s="1384"/>
      <c r="AK56" s="1384"/>
      <c r="AL56" s="1384"/>
      <c r="AM56" s="1384"/>
      <c r="AN56" s="1384"/>
      <c r="AO56" s="1384"/>
      <c r="AP56" s="1384"/>
      <c r="AQ56" s="1384"/>
      <c r="AR56" s="1384"/>
      <c r="AS56" s="1384"/>
      <c r="AT56" s="1384"/>
      <c r="AU56" s="1384"/>
      <c r="AV56" s="1384"/>
      <c r="AW56" s="1384"/>
      <c r="AX56" s="1384"/>
      <c r="AY56" s="1384"/>
      <c r="AZ56" s="1384"/>
      <c r="BA56" s="1396"/>
      <c r="BB56" s="1396"/>
      <c r="BC56" s="1397"/>
      <c r="BD56" s="1397"/>
      <c r="BE56" s="1397"/>
      <c r="BF56" s="1397"/>
      <c r="BH56" s="1968" t="s">
        <v>1479</v>
      </c>
      <c r="BI56" s="1421">
        <v>300</v>
      </c>
      <c r="BJ56" s="1421">
        <v>110</v>
      </c>
      <c r="BK56" s="1421">
        <v>10</v>
      </c>
      <c r="BL56" s="1421">
        <v>6</v>
      </c>
      <c r="BM56" s="1421">
        <v>6</v>
      </c>
      <c r="BN56" s="1421">
        <v>0</v>
      </c>
      <c r="BO56" s="1421">
        <v>0</v>
      </c>
      <c r="BP56" s="2131">
        <v>60</v>
      </c>
      <c r="BQ56" s="2132">
        <v>0.05</v>
      </c>
      <c r="BR56" s="357">
        <v>0</v>
      </c>
    </row>
    <row r="57" spans="1:70" ht="24.75" customHeight="1">
      <c r="A57" s="2624" t="s">
        <v>1068</v>
      </c>
      <c r="B57" s="2625"/>
      <c r="C57" s="2627" t="s">
        <v>1072</v>
      </c>
      <c r="D57" s="2628"/>
      <c r="E57" s="2628"/>
      <c r="F57" s="2628"/>
      <c r="G57" s="2628"/>
      <c r="H57" s="2628"/>
      <c r="I57" s="2628"/>
      <c r="J57" s="2628"/>
      <c r="K57" s="2628"/>
      <c r="L57" s="2628"/>
      <c r="M57" s="2628"/>
      <c r="N57" s="2628"/>
      <c r="O57" s="2628"/>
      <c r="P57" s="2628"/>
      <c r="Q57" s="2628"/>
      <c r="R57" s="2599"/>
      <c r="S57" s="2599"/>
      <c r="T57" s="2599"/>
      <c r="U57" s="2629"/>
      <c r="V57" s="2630"/>
      <c r="W57" s="661"/>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557"/>
      <c r="BH57" s="1968" t="s">
        <v>1480</v>
      </c>
      <c r="BI57" s="1421">
        <v>300</v>
      </c>
      <c r="BJ57" s="1421">
        <v>140</v>
      </c>
      <c r="BK57" s="1421">
        <v>10</v>
      </c>
      <c r="BL57" s="1421">
        <v>14</v>
      </c>
      <c r="BM57" s="1421">
        <v>14</v>
      </c>
      <c r="BN57" s="1421">
        <v>0</v>
      </c>
      <c r="BO57" s="1421">
        <v>0</v>
      </c>
      <c r="BP57" s="2131">
        <v>60</v>
      </c>
      <c r="BQ57" s="2132">
        <v>0.17</v>
      </c>
      <c r="BR57" s="357">
        <v>0</v>
      </c>
    </row>
    <row r="58" spans="1:70" ht="32.25" customHeight="1">
      <c r="A58" s="2625"/>
      <c r="B58" s="2625"/>
      <c r="C58" s="2631"/>
      <c r="D58" s="2632"/>
      <c r="E58" s="2632"/>
      <c r="F58" s="2632"/>
      <c r="G58" s="2632"/>
      <c r="H58" s="2632"/>
      <c r="I58" s="2632"/>
      <c r="J58" s="2632"/>
      <c r="K58" s="2632"/>
      <c r="L58" s="2632"/>
      <c r="M58" s="2632"/>
      <c r="N58" s="2632"/>
      <c r="O58" s="2632"/>
      <c r="P58" s="2632"/>
      <c r="Q58" s="2632"/>
      <c r="R58" s="2633"/>
      <c r="S58" s="2633"/>
      <c r="T58" s="2633"/>
      <c r="U58" s="2587"/>
      <c r="V58" s="2634"/>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1327"/>
      <c r="BH58" s="1968" t="s">
        <v>1481</v>
      </c>
      <c r="BI58" s="1421">
        <v>180</v>
      </c>
      <c r="BJ58" s="1421">
        <v>195</v>
      </c>
      <c r="BK58" s="1421">
        <v>10</v>
      </c>
      <c r="BL58" s="1421">
        <v>19.5</v>
      </c>
      <c r="BM58" s="1421">
        <v>19.5</v>
      </c>
      <c r="BN58" s="1421">
        <v>0</v>
      </c>
      <c r="BO58" s="1421">
        <v>0</v>
      </c>
      <c r="BP58" s="2131">
        <v>60</v>
      </c>
      <c r="BQ58" s="2134">
        <v>0.26</v>
      </c>
      <c r="BR58" s="357">
        <v>0</v>
      </c>
    </row>
    <row r="59" spans="1:70" ht="30.75" customHeight="1">
      <c r="A59" s="2626"/>
      <c r="B59" s="2626"/>
      <c r="C59" s="2635"/>
      <c r="D59" s="2636"/>
      <c r="E59" s="2636"/>
      <c r="F59" s="2636"/>
      <c r="G59" s="2636"/>
      <c r="H59" s="2636"/>
      <c r="I59" s="2636"/>
      <c r="J59" s="2636"/>
      <c r="K59" s="2636"/>
      <c r="L59" s="2636"/>
      <c r="M59" s="2636"/>
      <c r="N59" s="2636"/>
      <c r="O59" s="2636"/>
      <c r="P59" s="2636"/>
      <c r="Q59" s="2636"/>
      <c r="R59" s="2636"/>
      <c r="S59" s="2636"/>
      <c r="T59" s="2636"/>
      <c r="U59" s="2636"/>
      <c r="V59" s="2637"/>
      <c r="W59" s="661"/>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V59" s="1327"/>
      <c r="AW59" s="1327"/>
      <c r="AX59" s="1327"/>
      <c r="AY59" s="1327"/>
      <c r="AZ59" s="1327"/>
      <c r="BA59" s="1327"/>
      <c r="BB59" s="1327"/>
      <c r="BC59" s="1327"/>
      <c r="BD59" s="1327"/>
      <c r="BE59" s="1327"/>
      <c r="BF59" s="1327"/>
      <c r="BH59" s="1968" t="s">
        <v>1482</v>
      </c>
      <c r="BI59" s="1421">
        <v>80</v>
      </c>
      <c r="BJ59" s="1421">
        <v>195</v>
      </c>
      <c r="BK59" s="1421">
        <v>10</v>
      </c>
      <c r="BL59" s="1421">
        <v>19.5</v>
      </c>
      <c r="BM59" s="1421">
        <v>19.5</v>
      </c>
      <c r="BN59" s="1421">
        <v>0</v>
      </c>
      <c r="BO59" s="1421">
        <v>0</v>
      </c>
      <c r="BP59" s="2131">
        <v>60</v>
      </c>
      <c r="BQ59" s="2134">
        <v>0.34888888888888892</v>
      </c>
      <c r="BR59" s="357">
        <v>0</v>
      </c>
    </row>
    <row r="60" spans="1:70" ht="30.75" customHeight="1">
      <c r="B60" s="546"/>
      <c r="D60" s="357"/>
      <c r="E60" s="546"/>
      <c r="P60" s="556"/>
      <c r="U60" s="1327"/>
      <c r="V60" s="1327"/>
      <c r="W60" s="1044"/>
      <c r="X60" s="1400"/>
      <c r="Y60" s="1400"/>
      <c r="Z60" s="1400"/>
      <c r="AA60" s="1400"/>
      <c r="AB60" s="1400"/>
      <c r="AC60" s="1400"/>
      <c r="AD60" s="1400"/>
      <c r="AE60" s="1400"/>
      <c r="AF60" s="1400"/>
      <c r="AG60" s="1400"/>
      <c r="AH60" s="1400"/>
      <c r="AI60" s="1400"/>
      <c r="AJ60" s="1400"/>
      <c r="AK60" s="1400"/>
      <c r="AL60" s="1400"/>
      <c r="AM60" s="1400"/>
      <c r="AN60" s="1400"/>
      <c r="AO60" s="1400"/>
      <c r="AP60" s="1400"/>
      <c r="AQ60" s="1400"/>
      <c r="AR60" s="1400"/>
      <c r="AS60" s="1400"/>
      <c r="AT60" s="1400"/>
      <c r="AU60" s="1400"/>
      <c r="AV60" s="1400"/>
      <c r="AW60" s="1400"/>
      <c r="AX60" s="1400"/>
      <c r="AY60" s="1400"/>
      <c r="AZ60" s="1400"/>
      <c r="BA60" s="1400"/>
      <c r="BB60" s="1400"/>
      <c r="BC60" s="1400"/>
      <c r="BD60" s="1400"/>
      <c r="BE60" s="1400"/>
      <c r="BF60" s="1400"/>
      <c r="BG60" s="1327"/>
      <c r="BH60" s="1968" t="s">
        <v>1483</v>
      </c>
      <c r="BI60" s="1421">
        <v>80</v>
      </c>
      <c r="BJ60" s="1421">
        <v>195</v>
      </c>
      <c r="BK60" s="1421">
        <v>10</v>
      </c>
      <c r="BL60" s="1421">
        <v>19.5</v>
      </c>
      <c r="BM60" s="1421">
        <v>19.5</v>
      </c>
      <c r="BN60" s="1421">
        <v>0</v>
      </c>
      <c r="BO60" s="1421">
        <v>0</v>
      </c>
      <c r="BP60" s="2131">
        <v>60</v>
      </c>
      <c r="BQ60" s="2132">
        <v>0.2</v>
      </c>
      <c r="BR60" s="357">
        <v>0</v>
      </c>
    </row>
    <row r="61" spans="1:70" ht="19.5" customHeight="1">
      <c r="A61" s="2481" t="s">
        <v>609</v>
      </c>
      <c r="B61" s="2482"/>
      <c r="C61" s="2615" t="s">
        <v>1073</v>
      </c>
      <c r="D61" s="2616"/>
      <c r="E61" s="2616"/>
      <c r="F61" s="2616"/>
      <c r="G61" s="2616"/>
      <c r="H61" s="2616"/>
      <c r="I61" s="2616"/>
      <c r="J61" s="2616"/>
      <c r="K61" s="2616"/>
      <c r="L61" s="2616"/>
      <c r="M61" s="2616"/>
      <c r="N61" s="2616"/>
      <c r="O61" s="2616"/>
      <c r="P61" s="2616"/>
      <c r="Q61" s="2616"/>
      <c r="R61" s="2616"/>
      <c r="S61" s="2616"/>
      <c r="T61" s="2616"/>
      <c r="U61" s="2617"/>
      <c r="V61" s="2617"/>
      <c r="W61" s="557"/>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c r="BB61" s="661"/>
      <c r="BC61" s="661"/>
      <c r="BD61" s="661"/>
      <c r="BE61" s="661"/>
      <c r="BF61" s="661"/>
      <c r="BG61" s="1327"/>
      <c r="BH61" s="1968" t="s">
        <v>1484</v>
      </c>
      <c r="BI61" s="1421">
        <v>120</v>
      </c>
      <c r="BJ61" s="1421">
        <v>125</v>
      </c>
      <c r="BK61" s="1421">
        <v>10</v>
      </c>
      <c r="BL61" s="1421">
        <v>12.5</v>
      </c>
      <c r="BM61" s="1421">
        <v>12.5</v>
      </c>
      <c r="BN61" s="1421">
        <v>0</v>
      </c>
      <c r="BO61" s="1421">
        <v>0</v>
      </c>
      <c r="BP61" s="2131">
        <v>30</v>
      </c>
      <c r="BQ61" s="2132">
        <v>0.15</v>
      </c>
      <c r="BR61" s="357">
        <v>0</v>
      </c>
    </row>
    <row r="62" spans="1:70" ht="15.75" customHeight="1">
      <c r="A62" s="2483"/>
      <c r="B62" s="2484"/>
      <c r="C62" s="2616"/>
      <c r="D62" s="2616"/>
      <c r="E62" s="2616"/>
      <c r="F62" s="2616"/>
      <c r="G62" s="2616"/>
      <c r="H62" s="2616"/>
      <c r="I62" s="2616"/>
      <c r="J62" s="2616"/>
      <c r="K62" s="2616"/>
      <c r="L62" s="2616"/>
      <c r="M62" s="2616"/>
      <c r="N62" s="2616"/>
      <c r="O62" s="2616"/>
      <c r="P62" s="2616"/>
      <c r="Q62" s="2616"/>
      <c r="R62" s="2616"/>
      <c r="S62" s="2616"/>
      <c r="T62" s="2616"/>
      <c r="U62" s="2617"/>
      <c r="V62" s="2617"/>
      <c r="W62" s="1327"/>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c r="BB62" s="661"/>
      <c r="BC62" s="661"/>
      <c r="BD62" s="661"/>
      <c r="BE62" s="661"/>
      <c r="BF62" s="661"/>
      <c r="BG62" s="1327"/>
      <c r="BH62" s="1968" t="s">
        <v>1485</v>
      </c>
      <c r="BI62" s="1421">
        <v>150</v>
      </c>
      <c r="BJ62" s="1421">
        <v>65</v>
      </c>
      <c r="BK62" s="1421">
        <v>10</v>
      </c>
      <c r="BL62" s="1421">
        <v>6.5</v>
      </c>
      <c r="BM62" s="1421">
        <v>6.5</v>
      </c>
      <c r="BN62" s="1421">
        <v>0</v>
      </c>
      <c r="BO62" s="1421">
        <v>0</v>
      </c>
      <c r="BP62" s="2131">
        <v>30</v>
      </c>
      <c r="BQ62" s="2132">
        <v>9.1999999999999998E-2</v>
      </c>
      <c r="BR62" s="357">
        <v>0</v>
      </c>
    </row>
    <row r="63" spans="1:70" ht="15.75" customHeight="1">
      <c r="A63" s="2613"/>
      <c r="B63" s="2614"/>
      <c r="C63" s="2616"/>
      <c r="D63" s="2616"/>
      <c r="E63" s="2616"/>
      <c r="F63" s="2616"/>
      <c r="G63" s="2616"/>
      <c r="H63" s="2616"/>
      <c r="I63" s="2616"/>
      <c r="J63" s="2616"/>
      <c r="K63" s="2616"/>
      <c r="L63" s="2616"/>
      <c r="M63" s="2616"/>
      <c r="N63" s="2616"/>
      <c r="O63" s="2616"/>
      <c r="P63" s="2616"/>
      <c r="Q63" s="2616"/>
      <c r="R63" s="2616"/>
      <c r="S63" s="2616"/>
      <c r="T63" s="2616"/>
      <c r="U63" s="2617"/>
      <c r="V63" s="2617"/>
      <c r="W63" s="1327"/>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AY63" s="661"/>
      <c r="AZ63" s="661"/>
      <c r="BA63" s="661"/>
      <c r="BB63" s="661"/>
      <c r="BC63" s="661"/>
      <c r="BD63" s="661"/>
      <c r="BE63" s="661"/>
      <c r="BF63" s="661"/>
      <c r="BG63" s="1327"/>
      <c r="BH63" s="1968" t="s">
        <v>1486</v>
      </c>
      <c r="BI63" s="1421">
        <v>250</v>
      </c>
      <c r="BJ63" s="1421">
        <v>105</v>
      </c>
      <c r="BK63" s="1421">
        <v>10</v>
      </c>
      <c r="BL63" s="1421">
        <v>10.5</v>
      </c>
      <c r="BM63" s="1421">
        <v>10.5</v>
      </c>
      <c r="BN63" s="1421">
        <v>0</v>
      </c>
      <c r="BO63" s="1421">
        <v>0</v>
      </c>
      <c r="BP63" s="2131">
        <v>30</v>
      </c>
      <c r="BQ63" s="2132">
        <v>9.1999999999999998E-2</v>
      </c>
      <c r="BR63" s="357">
        <v>0</v>
      </c>
    </row>
    <row r="64" spans="1:70" ht="15.75" customHeight="1">
      <c r="A64" s="2601"/>
      <c r="B64" s="2603"/>
      <c r="C64" s="2615" t="s">
        <v>588</v>
      </c>
      <c r="D64" s="2616"/>
      <c r="E64" s="2616"/>
      <c r="F64" s="2616"/>
      <c r="G64" s="2616"/>
      <c r="H64" s="2616"/>
      <c r="I64" s="2616"/>
      <c r="J64" s="2616"/>
      <c r="K64" s="2616"/>
      <c r="L64" s="2616"/>
      <c r="M64" s="2616"/>
      <c r="N64" s="2616"/>
      <c r="O64" s="2616"/>
      <c r="P64" s="2616"/>
      <c r="Q64" s="2616"/>
      <c r="R64" s="2616"/>
      <c r="S64" s="2617"/>
      <c r="T64" s="2617"/>
      <c r="U64" s="2617"/>
      <c r="V64" s="2617"/>
      <c r="W64" s="1327"/>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44"/>
      <c r="AV64" s="1044"/>
      <c r="AW64" s="1044"/>
      <c r="AX64" s="1044"/>
      <c r="AY64" s="1044"/>
      <c r="AZ64" s="1044"/>
      <c r="BA64" s="1044"/>
      <c r="BB64" s="1044"/>
      <c r="BC64" s="1044"/>
      <c r="BD64" s="1044"/>
      <c r="BE64" s="1044"/>
      <c r="BF64" s="1044"/>
      <c r="BG64" s="1327"/>
      <c r="BH64" s="1968" t="s">
        <v>1487</v>
      </c>
      <c r="BI64" s="1421">
        <v>50</v>
      </c>
      <c r="BJ64" s="1421">
        <v>85</v>
      </c>
      <c r="BK64" s="1421">
        <v>10</v>
      </c>
      <c r="BL64" s="1421">
        <v>4</v>
      </c>
      <c r="BM64" s="1421">
        <v>4</v>
      </c>
      <c r="BN64" s="1421">
        <v>0</v>
      </c>
      <c r="BO64" s="1421">
        <v>0</v>
      </c>
      <c r="BP64" s="2133">
        <v>30</v>
      </c>
      <c r="BQ64" s="2134">
        <v>0.17</v>
      </c>
      <c r="BR64" s="357">
        <v>0</v>
      </c>
    </row>
    <row r="65" spans="1:70" ht="24.75" customHeight="1">
      <c r="A65" s="2219"/>
      <c r="B65" s="2220"/>
      <c r="C65" s="2220"/>
      <c r="D65" s="2219"/>
      <c r="E65" s="2220"/>
      <c r="F65" s="2220"/>
      <c r="G65" s="2220"/>
      <c r="H65" s="2220"/>
      <c r="I65" s="2220"/>
      <c r="J65" s="2220"/>
      <c r="K65" s="2220"/>
      <c r="L65" s="2220"/>
      <c r="M65" s="2220"/>
      <c r="N65" s="2220"/>
      <c r="O65" s="2220"/>
      <c r="P65" s="2220"/>
      <c r="Q65" s="2220"/>
      <c r="R65" s="2220"/>
      <c r="S65" s="2219"/>
      <c r="T65" s="2221"/>
      <c r="U65" s="2259"/>
      <c r="V65" s="2259"/>
      <c r="W65" s="2259"/>
      <c r="X65" s="2279"/>
      <c r="Y65" s="2279"/>
      <c r="Z65" s="557"/>
      <c r="AA65" s="557"/>
      <c r="AB65" s="557"/>
      <c r="AC65" s="557"/>
      <c r="AD65" s="557"/>
      <c r="AE65" s="557"/>
      <c r="AF65" s="557"/>
      <c r="AG65" s="557"/>
      <c r="AH65" s="557"/>
      <c r="AI65" s="557"/>
      <c r="AJ65" s="557"/>
      <c r="AK65" s="557"/>
      <c r="AL65" s="557"/>
      <c r="AM65" s="557"/>
      <c r="AN65" s="557"/>
      <c r="AO65" s="557"/>
      <c r="AP65" s="557"/>
      <c r="AQ65" s="557"/>
      <c r="AR65" s="557"/>
      <c r="AS65" s="557"/>
      <c r="AT65" s="557"/>
      <c r="AU65" s="557"/>
      <c r="AV65" s="557"/>
      <c r="AW65" s="557"/>
      <c r="AX65" s="557"/>
      <c r="AY65" s="557"/>
      <c r="AZ65" s="557"/>
      <c r="BA65" s="557"/>
      <c r="BB65" s="557"/>
      <c r="BC65" s="557"/>
      <c r="BD65" s="557"/>
      <c r="BE65" s="557"/>
      <c r="BF65" s="557"/>
      <c r="BG65" s="1327"/>
      <c r="BH65" s="1968" t="s">
        <v>1488</v>
      </c>
      <c r="BI65" s="1421">
        <v>20</v>
      </c>
      <c r="BJ65" s="1421">
        <v>100</v>
      </c>
      <c r="BK65" s="1421">
        <v>10</v>
      </c>
      <c r="BL65" s="1421">
        <v>10</v>
      </c>
      <c r="BM65" s="1421">
        <v>10</v>
      </c>
      <c r="BN65" s="1421">
        <v>0</v>
      </c>
      <c r="BO65" s="1421">
        <v>0</v>
      </c>
      <c r="BP65" s="2133">
        <v>60</v>
      </c>
      <c r="BQ65" s="2134">
        <v>2.15</v>
      </c>
      <c r="BR65" s="357">
        <v>0</v>
      </c>
    </row>
    <row r="66" spans="1:70" ht="24.75" customHeight="1">
      <c r="A66" s="2219"/>
      <c r="B66" s="2220"/>
      <c r="C66" s="2220"/>
      <c r="D66" s="2219"/>
      <c r="E66" s="2220"/>
      <c r="F66" s="2220"/>
      <c r="G66" s="2220"/>
      <c r="H66" s="2220"/>
      <c r="I66" s="2220"/>
      <c r="J66" s="2220"/>
      <c r="K66" s="2220"/>
      <c r="L66" s="2220"/>
      <c r="M66" s="2220"/>
      <c r="N66" s="2220"/>
      <c r="O66" s="2220"/>
      <c r="P66" s="2220"/>
      <c r="Q66" s="2220"/>
      <c r="R66" s="2220"/>
      <c r="S66" s="2219"/>
      <c r="T66" s="2221"/>
      <c r="U66" s="2259"/>
      <c r="V66" s="2259"/>
      <c r="W66" s="2259"/>
      <c r="X66" s="2259"/>
      <c r="Y66" s="2259"/>
      <c r="Z66" s="1327"/>
      <c r="AA66" s="1327"/>
      <c r="AB66" s="1327"/>
      <c r="AC66" s="1327"/>
      <c r="AD66" s="1327"/>
      <c r="AE66" s="1327"/>
      <c r="AF66" s="1327"/>
      <c r="AG66" s="1327"/>
      <c r="AH66" s="1327"/>
      <c r="AI66" s="1327"/>
      <c r="AJ66" s="1327"/>
      <c r="AK66" s="1327"/>
      <c r="AL66" s="1327"/>
      <c r="AM66" s="1327"/>
      <c r="AN66" s="1327"/>
      <c r="AO66" s="1327"/>
      <c r="AP66" s="1327"/>
      <c r="AQ66" s="1327"/>
      <c r="AR66" s="1327"/>
      <c r="AS66" s="1327"/>
      <c r="AT66" s="1327"/>
      <c r="AU66" s="1327"/>
      <c r="AV66" s="1327"/>
      <c r="AW66" s="1327"/>
      <c r="AX66" s="1327"/>
      <c r="AY66" s="1327"/>
      <c r="AZ66" s="1327"/>
      <c r="BA66" s="1327"/>
      <c r="BB66" s="1327"/>
      <c r="BC66" s="1327"/>
      <c r="BD66" s="1327"/>
      <c r="BE66" s="1327"/>
      <c r="BF66" s="1327"/>
      <c r="BG66" s="1327"/>
      <c r="BH66" s="1968" t="s">
        <v>1489</v>
      </c>
      <c r="BI66" s="1421">
        <v>20</v>
      </c>
      <c r="BJ66" s="1421">
        <v>100</v>
      </c>
      <c r="BK66" s="1421">
        <v>10</v>
      </c>
      <c r="BL66" s="1421">
        <v>10</v>
      </c>
      <c r="BM66" s="1421">
        <v>10</v>
      </c>
      <c r="BN66" s="1421">
        <v>0</v>
      </c>
      <c r="BO66" s="1421">
        <v>0</v>
      </c>
      <c r="BP66" s="2133">
        <v>60</v>
      </c>
      <c r="BQ66" s="2134">
        <v>1.6</v>
      </c>
      <c r="BR66" s="357">
        <v>0</v>
      </c>
    </row>
    <row r="67" spans="1:70" ht="24.75" customHeight="1">
      <c r="A67" s="2219"/>
      <c r="B67" s="2220"/>
      <c r="C67" s="2220"/>
      <c r="D67" s="2219"/>
      <c r="E67" s="2220"/>
      <c r="F67" s="2220"/>
      <c r="G67" s="2220"/>
      <c r="H67" s="2220"/>
      <c r="I67" s="2220"/>
      <c r="J67" s="2220"/>
      <c r="K67" s="2220"/>
      <c r="L67" s="2220"/>
      <c r="M67" s="2220"/>
      <c r="N67" s="2220"/>
      <c r="O67" s="2220"/>
      <c r="P67" s="2220"/>
      <c r="Q67" s="2220"/>
      <c r="R67" s="2220"/>
      <c r="S67" s="2219"/>
      <c r="T67" s="2221"/>
      <c r="U67" s="2259"/>
      <c r="V67" s="2220"/>
      <c r="W67" s="2258"/>
      <c r="X67" s="2259"/>
      <c r="Y67" s="2259"/>
      <c r="Z67" s="1327"/>
      <c r="AA67" s="1327"/>
      <c r="AB67" s="1327"/>
      <c r="AC67" s="1327"/>
      <c r="AD67" s="1327"/>
      <c r="AE67" s="1327"/>
      <c r="AF67" s="1327"/>
      <c r="AG67" s="1327"/>
      <c r="AH67" s="1327"/>
      <c r="AI67" s="1327"/>
      <c r="AJ67" s="1327"/>
      <c r="AK67" s="1327"/>
      <c r="AL67" s="1327"/>
      <c r="AM67" s="1327"/>
      <c r="AN67" s="1327"/>
      <c r="AO67" s="1327"/>
      <c r="AP67" s="1327"/>
      <c r="AQ67" s="1327"/>
      <c r="AR67" s="1327"/>
      <c r="AS67" s="1327"/>
      <c r="AT67" s="1327"/>
      <c r="AU67" s="1327"/>
      <c r="AV67" s="1327"/>
      <c r="AW67" s="1327"/>
      <c r="AX67" s="1327"/>
      <c r="AY67" s="1327"/>
      <c r="AZ67" s="1327"/>
      <c r="BA67" s="1327"/>
      <c r="BB67" s="1327"/>
      <c r="BC67" s="1327"/>
      <c r="BD67" s="1327"/>
      <c r="BE67" s="1327"/>
      <c r="BF67" s="1327"/>
      <c r="BG67" s="1327"/>
      <c r="BH67" s="1968" t="s">
        <v>1490</v>
      </c>
      <c r="BI67" s="1421">
        <v>500</v>
      </c>
      <c r="BJ67" s="1421">
        <v>175</v>
      </c>
      <c r="BK67" s="1421">
        <v>10</v>
      </c>
      <c r="BL67" s="1421">
        <v>18</v>
      </c>
      <c r="BM67" s="1421">
        <v>18</v>
      </c>
      <c r="BN67" s="1421">
        <v>0</v>
      </c>
      <c r="BO67" s="1421">
        <v>0</v>
      </c>
      <c r="BP67" s="2131">
        <v>60</v>
      </c>
      <c r="BQ67" s="2132">
        <v>0.11</v>
      </c>
      <c r="BR67" s="357">
        <v>0</v>
      </c>
    </row>
    <row r="68" spans="1:70" ht="24" customHeight="1">
      <c r="A68" s="2219"/>
      <c r="B68" s="2220"/>
      <c r="C68" s="2220"/>
      <c r="D68" s="2219"/>
      <c r="E68" s="2220"/>
      <c r="F68" s="2220"/>
      <c r="G68" s="2220"/>
      <c r="H68" s="2220"/>
      <c r="I68" s="2220"/>
      <c r="J68" s="2220"/>
      <c r="K68" s="2220"/>
      <c r="L68" s="2220"/>
      <c r="M68" s="2220"/>
      <c r="N68" s="2220"/>
      <c r="O68" s="2220"/>
      <c r="P68" s="2220"/>
      <c r="Q68" s="2220"/>
      <c r="R68" s="2220"/>
      <c r="S68" s="2219"/>
      <c r="T68" s="2221"/>
      <c r="U68" s="2280"/>
      <c r="V68" s="2220"/>
      <c r="W68" s="2258"/>
      <c r="X68" s="2259"/>
      <c r="Y68" s="2259"/>
      <c r="Z68" s="1327"/>
      <c r="AA68" s="1327"/>
      <c r="AB68" s="1327"/>
      <c r="AC68" s="1327"/>
      <c r="AD68" s="1327"/>
      <c r="AE68" s="1327"/>
      <c r="AF68" s="1327"/>
      <c r="AG68" s="1327"/>
      <c r="AH68" s="1327"/>
      <c r="AI68" s="1327"/>
      <c r="AJ68" s="1327"/>
      <c r="AK68" s="1327"/>
      <c r="AL68" s="1327"/>
      <c r="AM68" s="1327"/>
      <c r="AN68" s="1327"/>
      <c r="AO68" s="1327"/>
      <c r="AP68" s="1327"/>
      <c r="AQ68" s="1327"/>
      <c r="AR68" s="1327"/>
      <c r="AS68" s="1327"/>
      <c r="AT68" s="1327"/>
      <c r="AU68" s="1327"/>
      <c r="AV68" s="1327"/>
      <c r="AW68" s="1327"/>
      <c r="AX68" s="1327"/>
      <c r="AY68" s="1327"/>
      <c r="AZ68" s="1327"/>
      <c r="BA68" s="1327"/>
      <c r="BB68" s="1327"/>
      <c r="BC68" s="1327"/>
      <c r="BD68" s="1327"/>
      <c r="BE68" s="1327"/>
      <c r="BF68" s="1327"/>
      <c r="BG68" s="1327"/>
      <c r="BH68" s="1968" t="s">
        <v>1491</v>
      </c>
      <c r="BI68" s="1421">
        <v>100</v>
      </c>
      <c r="BJ68" s="1421">
        <v>60</v>
      </c>
      <c r="BK68" s="1421">
        <v>10</v>
      </c>
      <c r="BL68" s="1421">
        <v>6</v>
      </c>
      <c r="BM68" s="1421">
        <v>6</v>
      </c>
      <c r="BN68" s="1421">
        <v>0</v>
      </c>
      <c r="BO68" s="1421">
        <v>0</v>
      </c>
      <c r="BP68" s="2133">
        <v>60</v>
      </c>
      <c r="BQ68" s="2134">
        <v>0.12</v>
      </c>
      <c r="BR68" s="357">
        <v>0</v>
      </c>
    </row>
    <row r="69" spans="1:70" ht="10.5" customHeight="1">
      <c r="A69" s="2219"/>
      <c r="B69" s="2220"/>
      <c r="C69" s="2220"/>
      <c r="D69" s="2219"/>
      <c r="E69" s="2220"/>
      <c r="F69" s="2220"/>
      <c r="G69" s="2220"/>
      <c r="H69" s="2220"/>
      <c r="I69" s="2220"/>
      <c r="J69" s="2220"/>
      <c r="K69" s="2220"/>
      <c r="L69" s="2220"/>
      <c r="M69" s="2220"/>
      <c r="N69" s="2220"/>
      <c r="O69" s="2220"/>
      <c r="P69" s="2220"/>
      <c r="Q69" s="2220"/>
      <c r="R69" s="2220"/>
      <c r="S69" s="2219"/>
      <c r="T69" s="2221"/>
      <c r="U69" s="2280"/>
      <c r="V69" s="2220"/>
      <c r="W69" s="2258"/>
      <c r="X69" s="2259"/>
      <c r="Y69" s="2259"/>
      <c r="Z69" s="1046"/>
      <c r="AA69" s="1046"/>
      <c r="AB69" s="1327"/>
      <c r="AC69" s="1327"/>
      <c r="AD69" s="1327"/>
      <c r="AE69" s="1327"/>
      <c r="AF69" s="1327"/>
      <c r="AG69" s="1327"/>
      <c r="AH69" s="1327"/>
      <c r="AI69" s="1327"/>
      <c r="AJ69" s="1327"/>
      <c r="AK69" s="1327"/>
      <c r="AL69" s="1327"/>
      <c r="AM69" s="1327"/>
      <c r="AN69" s="1327"/>
      <c r="AO69" s="1327"/>
      <c r="AP69" s="1327"/>
      <c r="AQ69" s="1327"/>
      <c r="AR69" s="1327"/>
      <c r="AS69" s="1327"/>
      <c r="AT69" s="1327"/>
      <c r="AU69" s="1327"/>
      <c r="AV69" s="1327"/>
      <c r="AW69" s="1327"/>
      <c r="AX69" s="1327"/>
      <c r="AY69" s="1327"/>
      <c r="AZ69" s="1327"/>
      <c r="BA69" s="1327"/>
      <c r="BB69" s="1327"/>
      <c r="BC69" s="1327"/>
      <c r="BD69" s="1327"/>
      <c r="BE69" s="1327"/>
      <c r="BF69" s="1327"/>
      <c r="BG69" s="1327"/>
      <c r="BH69" s="1968" t="s">
        <v>1492</v>
      </c>
      <c r="BI69" s="1421">
        <v>150</v>
      </c>
      <c r="BJ69" s="1421">
        <v>141</v>
      </c>
      <c r="BK69" s="1421">
        <v>10</v>
      </c>
      <c r="BL69" s="1421">
        <v>14</v>
      </c>
      <c r="BM69" s="1421">
        <v>14</v>
      </c>
      <c r="BN69" s="1421">
        <v>0</v>
      </c>
      <c r="BO69" s="1421">
        <v>0</v>
      </c>
      <c r="BP69" s="2131">
        <v>60</v>
      </c>
      <c r="BQ69" s="2132">
        <v>0.34666666666666668</v>
      </c>
      <c r="BR69" s="357">
        <v>0</v>
      </c>
    </row>
    <row r="70" spans="1:70" ht="32.25" customHeight="1">
      <c r="A70" s="2219"/>
      <c r="B70" s="2220"/>
      <c r="C70" s="2220"/>
      <c r="D70" s="2219"/>
      <c r="E70" s="2220"/>
      <c r="F70" s="2220"/>
      <c r="G70" s="2220"/>
      <c r="H70" s="2220"/>
      <c r="I70" s="2220"/>
      <c r="J70" s="2220"/>
      <c r="K70" s="2220"/>
      <c r="L70" s="2220"/>
      <c r="M70" s="2220"/>
      <c r="N70" s="2220"/>
      <c r="O70" s="2220"/>
      <c r="P70" s="2220"/>
      <c r="Q70" s="2220"/>
      <c r="R70" s="2220"/>
      <c r="S70" s="2219"/>
      <c r="T70" s="2221"/>
      <c r="U70" s="2220"/>
      <c r="V70" s="2259"/>
      <c r="W70" s="2258"/>
      <c r="X70" s="2259"/>
      <c r="Y70" s="2259"/>
      <c r="Z70" s="1401"/>
      <c r="AA70" s="1401"/>
      <c r="AB70" s="1328"/>
      <c r="AC70" s="1328"/>
      <c r="AD70" s="1328"/>
      <c r="AE70" s="1328"/>
      <c r="AF70" s="1328"/>
      <c r="AG70" s="1328"/>
      <c r="AH70" s="1328"/>
      <c r="AI70" s="1328"/>
      <c r="AJ70" s="1328"/>
      <c r="AK70" s="1328"/>
      <c r="AL70" s="1328"/>
      <c r="AM70" s="1328"/>
      <c r="AN70" s="1328"/>
      <c r="AO70" s="1328"/>
      <c r="AP70" s="1328"/>
      <c r="AQ70" s="1328"/>
      <c r="AR70" s="1328"/>
      <c r="AS70" s="1328"/>
      <c r="AT70" s="1328"/>
      <c r="AU70" s="1328"/>
      <c r="AV70" s="1328"/>
      <c r="AW70" s="1328"/>
      <c r="AX70" s="1328"/>
      <c r="AY70" s="1328"/>
      <c r="AZ70" s="1328"/>
      <c r="BA70" s="1328"/>
      <c r="BB70" s="1328"/>
      <c r="BC70" s="1328"/>
      <c r="BD70" s="1328"/>
      <c r="BE70" s="1328"/>
      <c r="BF70" s="1328"/>
      <c r="BG70" s="1328"/>
      <c r="BH70" s="1968" t="s">
        <v>1493</v>
      </c>
      <c r="BI70" s="1421">
        <v>150</v>
      </c>
      <c r="BJ70" s="1421">
        <v>140</v>
      </c>
      <c r="BK70" s="1421">
        <v>10</v>
      </c>
      <c r="BL70" s="1421">
        <v>14</v>
      </c>
      <c r="BM70" s="1421">
        <v>14</v>
      </c>
      <c r="BN70" s="1421">
        <v>0</v>
      </c>
      <c r="BO70" s="1421">
        <v>0</v>
      </c>
      <c r="BP70" s="2131">
        <v>60</v>
      </c>
      <c r="BQ70" s="2132">
        <v>0.3</v>
      </c>
      <c r="BR70" s="357">
        <v>0</v>
      </c>
    </row>
    <row r="71" spans="1:70" ht="32.25" customHeight="1">
      <c r="A71" s="2219"/>
      <c r="B71" s="2220"/>
      <c r="C71" s="2220"/>
      <c r="D71" s="2219"/>
      <c r="E71" s="2220"/>
      <c r="F71" s="2220"/>
      <c r="G71" s="2220"/>
      <c r="H71" s="2220"/>
      <c r="I71" s="2220"/>
      <c r="J71" s="2220"/>
      <c r="K71" s="2220"/>
      <c r="L71" s="2220"/>
      <c r="M71" s="2220"/>
      <c r="N71" s="2220"/>
      <c r="O71" s="2220"/>
      <c r="P71" s="2220"/>
      <c r="Q71" s="2220"/>
      <c r="R71" s="2220"/>
      <c r="S71" s="2219"/>
      <c r="T71" s="2221"/>
      <c r="U71" s="2259"/>
      <c r="V71" s="2259"/>
      <c r="W71" s="2259"/>
      <c r="X71" s="2258"/>
      <c r="Y71" s="2258"/>
      <c r="Z71" s="1328"/>
      <c r="AA71" s="1328"/>
      <c r="AB71" s="1328"/>
      <c r="AC71" s="1328"/>
      <c r="AD71" s="1328"/>
      <c r="AE71" s="1328"/>
      <c r="AF71" s="1328"/>
      <c r="AG71" s="1328"/>
      <c r="AH71" s="1328"/>
      <c r="AI71" s="1328"/>
      <c r="AJ71" s="1328"/>
      <c r="AK71" s="1328"/>
      <c r="AL71" s="1328"/>
      <c r="AM71" s="1328"/>
      <c r="AN71" s="1328"/>
      <c r="AO71" s="1328"/>
      <c r="AP71" s="1328"/>
      <c r="AQ71" s="1328"/>
      <c r="AR71" s="1328"/>
      <c r="AS71" s="1328"/>
      <c r="AT71" s="1328"/>
      <c r="AU71" s="1328"/>
      <c r="AV71" s="1328"/>
      <c r="AW71" s="1328"/>
      <c r="AX71" s="1328"/>
      <c r="AY71" s="1328"/>
      <c r="AZ71" s="1328"/>
      <c r="BA71" s="1328"/>
      <c r="BB71" s="1328"/>
      <c r="BC71" s="1328"/>
      <c r="BD71" s="1328"/>
      <c r="BE71" s="1328"/>
      <c r="BF71" s="1328"/>
      <c r="BG71" s="1328"/>
      <c r="BH71" s="1968" t="s">
        <v>1494</v>
      </c>
      <c r="BI71" s="1421">
        <v>230</v>
      </c>
      <c r="BJ71" s="1421">
        <v>155</v>
      </c>
      <c r="BK71" s="1421">
        <v>10</v>
      </c>
      <c r="BL71" s="1421">
        <v>15.5</v>
      </c>
      <c r="BM71" s="1421">
        <v>15.5</v>
      </c>
      <c r="BN71" s="1421">
        <v>0</v>
      </c>
      <c r="BO71" s="1421">
        <v>0</v>
      </c>
      <c r="BP71" s="2131">
        <v>60</v>
      </c>
      <c r="BQ71" s="2132">
        <v>0.14000000000000001</v>
      </c>
      <c r="BR71" s="357">
        <v>0</v>
      </c>
    </row>
    <row r="72" spans="1:70" ht="15.75">
      <c r="A72" s="2219"/>
      <c r="B72" s="2220"/>
      <c r="C72" s="2220"/>
      <c r="D72" s="2219"/>
      <c r="E72" s="2220"/>
      <c r="F72" s="2220"/>
      <c r="G72" s="2220"/>
      <c r="H72" s="2220"/>
      <c r="I72" s="2220"/>
      <c r="J72" s="2220"/>
      <c r="K72" s="2220"/>
      <c r="L72" s="2220"/>
      <c r="M72" s="2220"/>
      <c r="N72" s="2220"/>
      <c r="O72" s="2220"/>
      <c r="P72" s="2220"/>
      <c r="Q72" s="2220"/>
      <c r="R72" s="2220"/>
      <c r="S72" s="2219"/>
      <c r="T72" s="2221"/>
      <c r="U72" s="2220"/>
      <c r="V72" s="2259"/>
      <c r="W72" s="2259"/>
      <c r="X72" s="2258"/>
      <c r="Y72" s="2258"/>
      <c r="Z72" s="1327"/>
      <c r="AA72" s="1327"/>
      <c r="AB72" s="1327"/>
      <c r="AC72" s="1327"/>
      <c r="AD72" s="1327"/>
      <c r="AE72" s="1327"/>
      <c r="AF72" s="1327"/>
      <c r="AG72" s="1327"/>
      <c r="AH72" s="1327"/>
      <c r="AI72" s="1327"/>
      <c r="AJ72" s="1327"/>
      <c r="AK72" s="1327"/>
      <c r="AL72" s="1327"/>
      <c r="AM72" s="1327"/>
      <c r="AN72" s="1327"/>
      <c r="AO72" s="1327"/>
      <c r="AP72" s="1327"/>
      <c r="AQ72" s="1327"/>
      <c r="AR72" s="1327"/>
      <c r="AS72" s="1327"/>
      <c r="AT72" s="1327"/>
      <c r="AU72" s="1327"/>
      <c r="AV72" s="1327"/>
      <c r="AW72" s="1327"/>
      <c r="AX72" s="1327"/>
      <c r="AY72" s="1327"/>
      <c r="AZ72" s="1327"/>
      <c r="BA72" s="1327"/>
      <c r="BB72" s="1327"/>
      <c r="BC72" s="1327"/>
      <c r="BD72" s="1327"/>
      <c r="BE72" s="1327"/>
      <c r="BF72" s="1327"/>
      <c r="BG72" s="1327"/>
      <c r="BH72" s="1968" t="s">
        <v>1495</v>
      </c>
      <c r="BI72" s="1421">
        <v>200</v>
      </c>
      <c r="BJ72" s="1421">
        <v>140</v>
      </c>
      <c r="BK72" s="1421">
        <v>10</v>
      </c>
      <c r="BL72" s="1421">
        <v>14</v>
      </c>
      <c r="BM72" s="1421">
        <v>14</v>
      </c>
      <c r="BN72" s="1421">
        <v>0</v>
      </c>
      <c r="BO72" s="1421">
        <v>0</v>
      </c>
      <c r="BP72" s="2131">
        <v>60</v>
      </c>
      <c r="BQ72" s="2132">
        <v>0.37</v>
      </c>
      <c r="BR72" s="357">
        <v>0</v>
      </c>
    </row>
    <row r="73" spans="1:70" ht="19.5" customHeight="1">
      <c r="A73" s="2219"/>
      <c r="B73" s="2220"/>
      <c r="C73" s="2220"/>
      <c r="D73" s="2219"/>
      <c r="E73" s="2220"/>
      <c r="F73" s="2220"/>
      <c r="G73" s="2220"/>
      <c r="H73" s="2220"/>
      <c r="I73" s="2220"/>
      <c r="J73" s="2220"/>
      <c r="K73" s="2220"/>
      <c r="L73" s="2220"/>
      <c r="M73" s="2220"/>
      <c r="N73" s="2220"/>
      <c r="O73" s="2220"/>
      <c r="P73" s="2220"/>
      <c r="Q73" s="2220"/>
      <c r="R73" s="2220"/>
      <c r="S73" s="2219"/>
      <c r="T73" s="2221"/>
      <c r="U73" s="2220"/>
      <c r="V73" s="2220"/>
      <c r="W73" s="2220"/>
      <c r="X73" s="2258"/>
      <c r="Y73" s="2258"/>
      <c r="Z73" s="1402"/>
      <c r="AA73" s="1402"/>
      <c r="AB73" s="816"/>
      <c r="AC73" s="2618"/>
      <c r="AD73" s="2587"/>
      <c r="AE73" s="1403"/>
      <c r="AF73" s="1403"/>
      <c r="AG73" s="1403"/>
      <c r="AH73" s="1403"/>
      <c r="AI73" s="1403"/>
      <c r="AJ73" s="1403"/>
      <c r="AK73" s="1403"/>
      <c r="AL73" s="1403"/>
      <c r="AM73" s="1403"/>
      <c r="AN73" s="1403"/>
      <c r="AO73" s="1403"/>
      <c r="AP73" s="1403"/>
      <c r="AQ73" s="1403"/>
      <c r="AR73" s="1403"/>
      <c r="AS73" s="1403"/>
      <c r="AT73" s="1403"/>
      <c r="AU73" s="1403"/>
      <c r="AV73" s="1403"/>
      <c r="AW73" s="1403"/>
      <c r="AX73" s="1403"/>
      <c r="AY73" s="1403"/>
      <c r="AZ73" s="1403"/>
      <c r="BA73" s="1403"/>
      <c r="BB73" s="1403"/>
      <c r="BC73" s="1403"/>
      <c r="BD73" s="1403"/>
      <c r="BE73" s="1403"/>
      <c r="BF73" s="1403"/>
      <c r="BG73" s="1403"/>
      <c r="BH73" s="1968" t="s">
        <v>1496</v>
      </c>
      <c r="BI73" s="1421">
        <v>200</v>
      </c>
      <c r="BJ73" s="1421">
        <v>140</v>
      </c>
      <c r="BK73" s="1421">
        <v>10</v>
      </c>
      <c r="BL73" s="1421">
        <v>14</v>
      </c>
      <c r="BM73" s="1421">
        <v>14</v>
      </c>
      <c r="BN73" s="1421">
        <v>0</v>
      </c>
      <c r="BO73" s="1421">
        <v>0</v>
      </c>
      <c r="BP73" s="2131">
        <v>60</v>
      </c>
      <c r="BQ73" s="2132">
        <v>0.23</v>
      </c>
      <c r="BR73" s="357">
        <v>0</v>
      </c>
    </row>
    <row r="74" spans="1:70" ht="15.75">
      <c r="A74" s="2219"/>
      <c r="B74" s="2220"/>
      <c r="C74" s="2220"/>
      <c r="D74" s="2219"/>
      <c r="E74" s="2220"/>
      <c r="F74" s="2220"/>
      <c r="G74" s="2220"/>
      <c r="H74" s="2220"/>
      <c r="I74" s="2220"/>
      <c r="J74" s="2220"/>
      <c r="K74" s="2220"/>
      <c r="L74" s="2220"/>
      <c r="M74" s="2220"/>
      <c r="N74" s="2220"/>
      <c r="O74" s="2220"/>
      <c r="P74" s="2220"/>
      <c r="Q74" s="2220"/>
      <c r="R74" s="2220"/>
      <c r="S74" s="2219"/>
      <c r="T74" s="2221"/>
      <c r="U74" s="2220"/>
      <c r="V74" s="2220"/>
      <c r="W74" s="2220"/>
      <c r="X74" s="2258"/>
      <c r="Y74" s="2258"/>
      <c r="Z74" s="1402"/>
      <c r="AA74" s="1402"/>
      <c r="AB74" s="816"/>
      <c r="AC74" s="1355"/>
      <c r="AD74" s="1355"/>
      <c r="AE74" s="1404"/>
      <c r="AF74" s="1404"/>
      <c r="AG74" s="1404"/>
      <c r="AH74" s="1404"/>
      <c r="AI74" s="1404"/>
      <c r="AJ74" s="1404"/>
      <c r="AK74" s="1404"/>
      <c r="AL74" s="1404"/>
      <c r="AM74" s="1404"/>
      <c r="AN74" s="1404"/>
      <c r="AO74" s="1404"/>
      <c r="AP74" s="1404"/>
      <c r="AQ74" s="1404"/>
      <c r="AR74" s="1404"/>
      <c r="AS74" s="1404"/>
      <c r="AT74" s="1404"/>
      <c r="AU74" s="1404"/>
      <c r="AV74" s="1404"/>
      <c r="AW74" s="1404"/>
      <c r="AX74" s="1404"/>
      <c r="AY74" s="1404"/>
      <c r="AZ74" s="1404"/>
      <c r="BA74" s="1404"/>
      <c r="BB74" s="1404"/>
      <c r="BC74" s="1404"/>
      <c r="BD74" s="1404"/>
      <c r="BE74" s="1404"/>
      <c r="BF74" s="1404"/>
      <c r="BG74" s="1404"/>
      <c r="BH74" s="1968" t="s">
        <v>1497</v>
      </c>
      <c r="BI74" s="1421">
        <v>200</v>
      </c>
      <c r="BJ74" s="1421">
        <v>190</v>
      </c>
      <c r="BK74" s="1421">
        <v>10</v>
      </c>
      <c r="BL74" s="1421">
        <v>19</v>
      </c>
      <c r="BM74" s="1421">
        <v>19</v>
      </c>
      <c r="BN74" s="1421">
        <v>0</v>
      </c>
      <c r="BO74" s="1421">
        <v>0</v>
      </c>
      <c r="BP74" s="2131">
        <v>60</v>
      </c>
      <c r="BQ74" s="2132">
        <v>0.41000000000000003</v>
      </c>
      <c r="BR74" s="357">
        <v>0</v>
      </c>
    </row>
    <row r="75" spans="1:70" ht="15.75">
      <c r="A75" s="2219"/>
      <c r="B75" s="2220"/>
      <c r="C75" s="2220"/>
      <c r="D75" s="2219"/>
      <c r="E75" s="2220"/>
      <c r="F75" s="2220"/>
      <c r="G75" s="2220"/>
      <c r="H75" s="2220"/>
      <c r="I75" s="2220"/>
      <c r="J75" s="2220"/>
      <c r="K75" s="2220"/>
      <c r="L75" s="2220"/>
      <c r="M75" s="2220"/>
      <c r="N75" s="2220"/>
      <c r="O75" s="2220"/>
      <c r="P75" s="2220"/>
      <c r="Q75" s="2220"/>
      <c r="R75" s="2220"/>
      <c r="S75" s="2219"/>
      <c r="T75" s="2221"/>
      <c r="U75" s="2220"/>
      <c r="V75" s="2220"/>
      <c r="W75" s="2220"/>
      <c r="X75" s="2259"/>
      <c r="Y75" s="2259"/>
      <c r="Z75" s="1405"/>
      <c r="AA75" s="1405"/>
      <c r="AB75" s="816"/>
      <c r="AC75" s="1350"/>
      <c r="AD75" s="1350"/>
      <c r="AE75" s="1406"/>
      <c r="AF75" s="1406"/>
      <c r="AG75" s="1406"/>
      <c r="AH75" s="1406"/>
      <c r="AI75" s="1406"/>
      <c r="AJ75" s="1406"/>
      <c r="AK75" s="1406"/>
      <c r="AL75" s="1406"/>
      <c r="AM75" s="1406"/>
      <c r="AN75" s="1406"/>
      <c r="AO75" s="1406"/>
      <c r="AP75" s="1406"/>
      <c r="AQ75" s="1406"/>
      <c r="AR75" s="1406"/>
      <c r="AS75" s="1406"/>
      <c r="AT75" s="1406"/>
      <c r="AU75" s="1406"/>
      <c r="AV75" s="1406"/>
      <c r="AW75" s="1406"/>
      <c r="AX75" s="1406"/>
      <c r="AY75" s="1406"/>
      <c r="AZ75" s="1406"/>
      <c r="BA75" s="1406"/>
      <c r="BB75" s="1406"/>
      <c r="BC75" s="1406"/>
      <c r="BD75" s="1406"/>
      <c r="BE75" s="1406"/>
      <c r="BF75" s="1406"/>
      <c r="BG75" s="1406"/>
      <c r="BH75" s="1968" t="s">
        <v>1498</v>
      </c>
      <c r="BI75" s="1421">
        <v>200</v>
      </c>
      <c r="BJ75" s="1421">
        <v>190</v>
      </c>
      <c r="BK75" s="1421">
        <v>10</v>
      </c>
      <c r="BL75" s="1421">
        <v>16</v>
      </c>
      <c r="BM75" s="1421">
        <v>16</v>
      </c>
      <c r="BN75" s="1421">
        <v>0</v>
      </c>
      <c r="BO75" s="1421">
        <v>0</v>
      </c>
      <c r="BP75" s="2131">
        <v>60</v>
      </c>
      <c r="BQ75" s="2132">
        <v>0.25</v>
      </c>
      <c r="BR75" s="357">
        <v>0</v>
      </c>
    </row>
    <row r="76" spans="1:70" ht="15.75">
      <c r="A76" s="2219"/>
      <c r="B76" s="2220"/>
      <c r="C76" s="2220"/>
      <c r="D76" s="2219"/>
      <c r="E76" s="2220"/>
      <c r="F76" s="2220"/>
      <c r="G76" s="2220"/>
      <c r="H76" s="2220"/>
      <c r="I76" s="2220"/>
      <c r="J76" s="2220"/>
      <c r="K76" s="2220"/>
      <c r="L76" s="2220"/>
      <c r="M76" s="2220"/>
      <c r="N76" s="2220"/>
      <c r="O76" s="2220"/>
      <c r="P76" s="2220"/>
      <c r="Q76" s="2220"/>
      <c r="R76" s="2220"/>
      <c r="S76" s="2219"/>
      <c r="T76" s="2221"/>
      <c r="U76" s="2220"/>
      <c r="V76" s="2220"/>
      <c r="W76" s="2259"/>
      <c r="X76" s="2259"/>
      <c r="Y76" s="2259"/>
      <c r="Z76" s="1405"/>
      <c r="AA76" s="1405"/>
      <c r="AB76" s="816"/>
      <c r="AC76" s="1350"/>
      <c r="AD76" s="1350"/>
      <c r="AE76" s="1406"/>
      <c r="AF76" s="1406"/>
      <c r="AG76" s="1406"/>
      <c r="AH76" s="1406"/>
      <c r="AI76" s="1406"/>
      <c r="AJ76" s="1406"/>
      <c r="AK76" s="1406"/>
      <c r="AL76" s="1406"/>
      <c r="AM76" s="1406"/>
      <c r="AN76" s="1406"/>
      <c r="AO76" s="1406"/>
      <c r="AP76" s="1406"/>
      <c r="AQ76" s="1406"/>
      <c r="AR76" s="1406"/>
      <c r="AS76" s="1406"/>
      <c r="AT76" s="1406"/>
      <c r="AU76" s="1406"/>
      <c r="AV76" s="1406"/>
      <c r="AW76" s="1406"/>
      <c r="AX76" s="1406"/>
      <c r="AY76" s="1406"/>
      <c r="AZ76" s="1406"/>
      <c r="BA76" s="1406"/>
      <c r="BB76" s="1406"/>
      <c r="BC76" s="1406"/>
      <c r="BD76" s="1406"/>
      <c r="BE76" s="1406"/>
      <c r="BF76" s="1406"/>
      <c r="BG76" s="1406"/>
      <c r="BH76" s="1968" t="s">
        <v>1499</v>
      </c>
      <c r="BI76" s="1421">
        <v>20</v>
      </c>
      <c r="BJ76" s="1421">
        <v>45</v>
      </c>
      <c r="BK76" s="1421">
        <v>10</v>
      </c>
      <c r="BL76" s="1421">
        <v>2</v>
      </c>
      <c r="BM76" s="1421">
        <v>2</v>
      </c>
      <c r="BN76" s="1421">
        <v>0</v>
      </c>
      <c r="BO76" s="1421">
        <v>0</v>
      </c>
      <c r="BP76" s="2133">
        <v>30</v>
      </c>
      <c r="BQ76" s="2134">
        <v>0.2</v>
      </c>
      <c r="BR76" s="357">
        <v>0</v>
      </c>
    </row>
    <row r="77" spans="1:70" ht="15.75">
      <c r="A77" s="2219"/>
      <c r="B77" s="2220"/>
      <c r="C77" s="2220"/>
      <c r="D77" s="2219"/>
      <c r="E77" s="2220"/>
      <c r="F77" s="2220"/>
      <c r="G77" s="2220"/>
      <c r="H77" s="2220"/>
      <c r="I77" s="2220"/>
      <c r="J77" s="2220"/>
      <c r="K77" s="2220"/>
      <c r="L77" s="2220"/>
      <c r="M77" s="2220"/>
      <c r="N77" s="2220"/>
      <c r="O77" s="2220"/>
      <c r="P77" s="2220"/>
      <c r="Q77" s="2220"/>
      <c r="R77" s="2220"/>
      <c r="S77" s="2219"/>
      <c r="T77" s="2221"/>
      <c r="U77" s="2220"/>
      <c r="V77" s="2220"/>
      <c r="W77" s="2259"/>
      <c r="X77" s="2220"/>
      <c r="Y77" s="2220"/>
      <c r="Z77" s="1405"/>
      <c r="AA77" s="1405"/>
      <c r="AB77" s="816"/>
      <c r="AC77" s="1350"/>
      <c r="AD77" s="1350"/>
      <c r="AE77" s="1406"/>
      <c r="AF77" s="1406"/>
      <c r="AG77" s="1406"/>
      <c r="AH77" s="1406"/>
      <c r="AI77" s="1406"/>
      <c r="AJ77" s="1406"/>
      <c r="AK77" s="1406"/>
      <c r="AL77" s="1406"/>
      <c r="AM77" s="1406"/>
      <c r="AN77" s="1406"/>
      <c r="AO77" s="1406"/>
      <c r="AP77" s="1406"/>
      <c r="AQ77" s="1406"/>
      <c r="AR77" s="1406"/>
      <c r="AS77" s="1406"/>
      <c r="AT77" s="1406"/>
      <c r="AU77" s="1406"/>
      <c r="AV77" s="1406"/>
      <c r="AW77" s="1406"/>
      <c r="AX77" s="1406"/>
      <c r="AY77" s="1406"/>
      <c r="AZ77" s="1406"/>
      <c r="BA77" s="1406"/>
      <c r="BB77" s="1406"/>
      <c r="BC77" s="1406"/>
      <c r="BD77" s="1406"/>
      <c r="BE77" s="1406"/>
      <c r="BF77" s="1406"/>
      <c r="BG77" s="1406"/>
      <c r="BH77" s="1968" t="s">
        <v>1500</v>
      </c>
      <c r="BI77" s="1421">
        <v>300</v>
      </c>
      <c r="BJ77" s="1421">
        <v>130</v>
      </c>
      <c r="BK77" s="1421">
        <v>10</v>
      </c>
      <c r="BL77" s="1421">
        <v>13</v>
      </c>
      <c r="BM77" s="1421">
        <v>13</v>
      </c>
      <c r="BN77" s="1421">
        <v>0</v>
      </c>
      <c r="BO77" s="1421">
        <v>0</v>
      </c>
      <c r="BP77" s="2136">
        <v>30</v>
      </c>
      <c r="BQ77" s="2132">
        <v>0.2</v>
      </c>
      <c r="BR77" s="357">
        <v>0</v>
      </c>
    </row>
    <row r="78" spans="1:70" ht="15.75">
      <c r="A78" s="2219"/>
      <c r="B78" s="2220"/>
      <c r="C78" s="2220"/>
      <c r="D78" s="2219"/>
      <c r="E78" s="2220"/>
      <c r="F78" s="2220"/>
      <c r="G78" s="2220"/>
      <c r="H78" s="2220"/>
      <c r="I78" s="2220"/>
      <c r="J78" s="2220"/>
      <c r="K78" s="2220"/>
      <c r="L78" s="2220"/>
      <c r="M78" s="2220"/>
      <c r="N78" s="2220"/>
      <c r="O78" s="2220"/>
      <c r="P78" s="2220"/>
      <c r="Q78" s="2220"/>
      <c r="R78" s="2220"/>
      <c r="S78" s="2219"/>
      <c r="T78" s="2221"/>
      <c r="U78" s="2220"/>
      <c r="V78" s="2220"/>
      <c r="W78" s="2259"/>
      <c r="X78" s="2220"/>
      <c r="Y78" s="2220"/>
      <c r="Z78" s="1405"/>
      <c r="AA78" s="1405"/>
      <c r="AB78" s="816"/>
      <c r="AC78" s="1350"/>
      <c r="AD78" s="1350"/>
      <c r="AE78" s="1406"/>
      <c r="AF78" s="1406"/>
      <c r="AG78" s="1406"/>
      <c r="AH78" s="1406"/>
      <c r="AI78" s="1406"/>
      <c r="AJ78" s="1406"/>
      <c r="AK78" s="1406"/>
      <c r="AL78" s="1406"/>
      <c r="AM78" s="1406"/>
      <c r="AN78" s="1406"/>
      <c r="AO78" s="1406"/>
      <c r="AP78" s="1406"/>
      <c r="AQ78" s="1406"/>
      <c r="AR78" s="1406"/>
      <c r="AS78" s="1406"/>
      <c r="AT78" s="1406"/>
      <c r="AU78" s="1406"/>
      <c r="AV78" s="1406"/>
      <c r="AW78" s="1406"/>
      <c r="AX78" s="1406"/>
      <c r="AY78" s="1406"/>
      <c r="AZ78" s="1406"/>
      <c r="BA78" s="1406"/>
      <c r="BB78" s="1406"/>
      <c r="BC78" s="1406"/>
      <c r="BD78" s="1406"/>
      <c r="BE78" s="1406"/>
      <c r="BF78" s="1406"/>
      <c r="BG78" s="1406"/>
      <c r="BH78" s="1968" t="s">
        <v>1501</v>
      </c>
      <c r="BI78" s="1421">
        <v>150</v>
      </c>
      <c r="BJ78" s="1421">
        <v>125</v>
      </c>
      <c r="BK78" s="1421">
        <v>10</v>
      </c>
      <c r="BL78" s="1421">
        <v>12.5</v>
      </c>
      <c r="BM78" s="1421">
        <v>12.5</v>
      </c>
      <c r="BN78" s="1421">
        <v>0</v>
      </c>
      <c r="BO78" s="1421">
        <v>0</v>
      </c>
      <c r="BP78" s="2131">
        <v>30</v>
      </c>
      <c r="BQ78" s="2132">
        <v>0.16</v>
      </c>
      <c r="BR78" s="357">
        <v>0</v>
      </c>
    </row>
    <row r="79" spans="1:70" ht="15.75">
      <c r="A79" s="2219"/>
      <c r="B79" s="2220"/>
      <c r="C79" s="2220"/>
      <c r="D79" s="2219"/>
      <c r="E79" s="2220"/>
      <c r="F79" s="2220"/>
      <c r="G79" s="2220"/>
      <c r="H79" s="2220"/>
      <c r="I79" s="2220"/>
      <c r="J79" s="2220"/>
      <c r="K79" s="2220"/>
      <c r="L79" s="2220"/>
      <c r="M79" s="2220"/>
      <c r="N79" s="2220"/>
      <c r="O79" s="2220"/>
      <c r="P79" s="2220"/>
      <c r="Q79" s="2220"/>
      <c r="R79" s="2220"/>
      <c r="S79" s="2219"/>
      <c r="T79" s="2221"/>
      <c r="U79" s="2220"/>
      <c r="V79" s="2220"/>
      <c r="W79" s="2220"/>
      <c r="X79" s="2220"/>
      <c r="Y79" s="2220"/>
      <c r="Z79" s="1405"/>
      <c r="AA79" s="1405"/>
      <c r="AB79" s="816"/>
      <c r="AC79" s="1350"/>
      <c r="AD79" s="1350"/>
      <c r="AE79" s="1406"/>
      <c r="AF79" s="1406"/>
      <c r="AG79" s="1406"/>
      <c r="AH79" s="1406"/>
      <c r="AI79" s="1406"/>
      <c r="AJ79" s="1406"/>
      <c r="AK79" s="1406"/>
      <c r="AL79" s="1406"/>
      <c r="AM79" s="1406"/>
      <c r="AN79" s="1406"/>
      <c r="AO79" s="1406"/>
      <c r="AP79" s="1406"/>
      <c r="AQ79" s="1406"/>
      <c r="AR79" s="1406"/>
      <c r="AS79" s="1406"/>
      <c r="AT79" s="1406"/>
      <c r="AU79" s="1406"/>
      <c r="AV79" s="1406"/>
      <c r="AW79" s="1406"/>
      <c r="AX79" s="1406"/>
      <c r="AY79" s="1406"/>
      <c r="AZ79" s="1406"/>
      <c r="BA79" s="1406"/>
      <c r="BB79" s="1406"/>
      <c r="BC79" s="1406"/>
      <c r="BD79" s="1406"/>
      <c r="BE79" s="1406"/>
      <c r="BF79" s="1406"/>
      <c r="BG79" s="1406"/>
      <c r="BH79" s="1968" t="s">
        <v>1502</v>
      </c>
      <c r="BI79" s="1421">
        <v>40</v>
      </c>
      <c r="BJ79" s="1421">
        <v>120</v>
      </c>
      <c r="BK79" s="1421">
        <v>10</v>
      </c>
      <c r="BL79" s="1421">
        <v>12</v>
      </c>
      <c r="BM79" s="1421">
        <v>12</v>
      </c>
      <c r="BN79" s="1421">
        <v>0</v>
      </c>
      <c r="BO79" s="1421">
        <v>0</v>
      </c>
      <c r="BP79" s="2131">
        <v>60</v>
      </c>
      <c r="BQ79" s="2134">
        <v>1.22</v>
      </c>
      <c r="BR79" s="357">
        <v>0</v>
      </c>
    </row>
    <row r="80" spans="1:70" ht="15.75">
      <c r="A80" s="2219"/>
      <c r="B80" s="2220"/>
      <c r="C80" s="2220"/>
      <c r="D80" s="2219"/>
      <c r="E80" s="2220"/>
      <c r="F80" s="2220"/>
      <c r="G80" s="2220"/>
      <c r="H80" s="2220"/>
      <c r="I80" s="2220"/>
      <c r="J80" s="2220"/>
      <c r="K80" s="2220"/>
      <c r="L80" s="2220"/>
      <c r="M80" s="2220"/>
      <c r="N80" s="2220"/>
      <c r="O80" s="2220"/>
      <c r="P80" s="2220"/>
      <c r="Q80" s="2220"/>
      <c r="R80" s="2220"/>
      <c r="S80" s="2219"/>
      <c r="T80" s="2221"/>
      <c r="U80" s="2220"/>
      <c r="V80" s="2220"/>
      <c r="W80" s="2220"/>
      <c r="X80" s="2259"/>
      <c r="Y80" s="2259"/>
      <c r="Z80" s="1405"/>
      <c r="AA80" s="1405"/>
      <c r="AB80" s="816"/>
      <c r="AC80" s="1350"/>
      <c r="AD80" s="1350"/>
      <c r="AE80" s="1406"/>
      <c r="AF80" s="1406"/>
      <c r="AG80" s="1406"/>
      <c r="AH80" s="1406"/>
      <c r="AI80" s="1406"/>
      <c r="AJ80" s="1406"/>
      <c r="AK80" s="1406"/>
      <c r="AL80" s="1406"/>
      <c r="AM80" s="1406"/>
      <c r="AN80" s="1406"/>
      <c r="AO80" s="1406"/>
      <c r="AP80" s="1406"/>
      <c r="AQ80" s="1406"/>
      <c r="AR80" s="1406"/>
      <c r="AS80" s="1406"/>
      <c r="AT80" s="1406"/>
      <c r="AU80" s="1406"/>
      <c r="AV80" s="1406"/>
      <c r="AW80" s="1406"/>
      <c r="AX80" s="1406"/>
      <c r="AY80" s="1406"/>
      <c r="AZ80" s="1406"/>
      <c r="BA80" s="1406"/>
      <c r="BB80" s="1406"/>
      <c r="BC80" s="1406"/>
      <c r="BD80" s="1406"/>
      <c r="BE80" s="1406"/>
      <c r="BF80" s="1406"/>
      <c r="BG80" s="1406"/>
      <c r="BH80" s="1968" t="s">
        <v>1503</v>
      </c>
      <c r="BI80" s="1421">
        <v>40</v>
      </c>
      <c r="BJ80" s="1421">
        <v>120</v>
      </c>
      <c r="BK80" s="1421">
        <v>10</v>
      </c>
      <c r="BL80" s="1421">
        <v>12</v>
      </c>
      <c r="BM80" s="1421">
        <v>12</v>
      </c>
      <c r="BN80" s="1421">
        <v>0</v>
      </c>
      <c r="BO80" s="1421">
        <v>0</v>
      </c>
      <c r="BP80" s="2131">
        <v>60</v>
      </c>
      <c r="BQ80" s="2134">
        <v>0.83</v>
      </c>
      <c r="BR80" s="357">
        <v>0</v>
      </c>
    </row>
    <row r="81" spans="1:70" ht="15.75">
      <c r="A81" s="2219"/>
      <c r="B81" s="2220"/>
      <c r="C81" s="2220"/>
      <c r="D81" s="2219"/>
      <c r="E81" s="2220"/>
      <c r="F81" s="2220"/>
      <c r="G81" s="2220"/>
      <c r="H81" s="2220"/>
      <c r="I81" s="2220"/>
      <c r="J81" s="2220"/>
      <c r="K81" s="2220"/>
      <c r="L81" s="2220"/>
      <c r="M81" s="2220"/>
      <c r="N81" s="2220"/>
      <c r="O81" s="2220"/>
      <c r="P81" s="2220"/>
      <c r="Q81" s="2220"/>
      <c r="R81" s="2220"/>
      <c r="S81" s="2219"/>
      <c r="T81" s="2221"/>
      <c r="U81" s="2220"/>
      <c r="V81" s="2220"/>
      <c r="W81" s="2220"/>
      <c r="X81" s="2259"/>
      <c r="Y81" s="2259"/>
      <c r="Z81" s="1405"/>
      <c r="AA81" s="1405"/>
      <c r="AB81" s="816"/>
      <c r="AC81" s="1350"/>
      <c r="AD81" s="1350"/>
      <c r="AE81" s="1406"/>
      <c r="AF81" s="1406"/>
      <c r="AG81" s="1406"/>
      <c r="AH81" s="1406"/>
      <c r="AI81" s="1406"/>
      <c r="AJ81" s="1406"/>
      <c r="AK81" s="1406"/>
      <c r="AL81" s="1406"/>
      <c r="AM81" s="1406"/>
      <c r="AN81" s="1406"/>
      <c r="AO81" s="1406"/>
      <c r="AP81" s="1406"/>
      <c r="AQ81" s="1406"/>
      <c r="AR81" s="1406"/>
      <c r="AS81" s="1406"/>
      <c r="AT81" s="1406"/>
      <c r="AU81" s="1406"/>
      <c r="AV81" s="1406"/>
      <c r="AW81" s="1406"/>
      <c r="AX81" s="1406"/>
      <c r="AY81" s="1406"/>
      <c r="AZ81" s="1406"/>
      <c r="BA81" s="1406"/>
      <c r="BB81" s="1406"/>
      <c r="BC81" s="1406"/>
      <c r="BD81" s="1406"/>
      <c r="BE81" s="1406"/>
      <c r="BF81" s="1406"/>
      <c r="BG81" s="1406"/>
      <c r="BH81" s="1968" t="s">
        <v>1504</v>
      </c>
      <c r="BI81" s="1421">
        <v>150</v>
      </c>
      <c r="BJ81" s="1421">
        <v>190</v>
      </c>
      <c r="BK81" s="1421">
        <v>10</v>
      </c>
      <c r="BL81" s="1421">
        <v>19</v>
      </c>
      <c r="BM81" s="1421">
        <v>19</v>
      </c>
      <c r="BN81" s="1421">
        <v>0</v>
      </c>
      <c r="BO81" s="1421">
        <v>0</v>
      </c>
      <c r="BP81" s="2133">
        <v>60</v>
      </c>
      <c r="BQ81" s="2134">
        <v>0.23</v>
      </c>
      <c r="BR81" s="357">
        <v>0</v>
      </c>
    </row>
    <row r="82" spans="1:70" ht="15.75">
      <c r="A82" s="2219"/>
      <c r="B82" s="2220"/>
      <c r="C82" s="2220"/>
      <c r="D82" s="2219"/>
      <c r="E82" s="2220"/>
      <c r="F82" s="2220"/>
      <c r="G82" s="2220"/>
      <c r="H82" s="2220"/>
      <c r="I82" s="2220"/>
      <c r="J82" s="2220"/>
      <c r="K82" s="2220"/>
      <c r="L82" s="2220"/>
      <c r="M82" s="2220"/>
      <c r="N82" s="2220"/>
      <c r="O82" s="2220"/>
      <c r="P82" s="2220"/>
      <c r="Q82" s="2220"/>
      <c r="R82" s="2220"/>
      <c r="S82" s="2219"/>
      <c r="T82" s="2221"/>
      <c r="U82" s="2220"/>
      <c r="V82" s="2220"/>
      <c r="W82" s="2220"/>
      <c r="X82" s="2259"/>
      <c r="Y82" s="2259"/>
      <c r="Z82" s="1405"/>
      <c r="AA82" s="1405"/>
      <c r="AB82" s="816"/>
      <c r="AC82" s="1350"/>
      <c r="AD82" s="1350"/>
      <c r="AE82" s="1406"/>
      <c r="AF82" s="1406"/>
      <c r="AG82" s="1406"/>
      <c r="AH82" s="1406"/>
      <c r="AI82" s="1406"/>
      <c r="AJ82" s="1406"/>
      <c r="AK82" s="1406"/>
      <c r="AL82" s="1406"/>
      <c r="AM82" s="1406"/>
      <c r="AN82" s="1406"/>
      <c r="AO82" s="1406"/>
      <c r="AP82" s="1406"/>
      <c r="AQ82" s="1406"/>
      <c r="AR82" s="1406"/>
      <c r="AS82" s="1406"/>
      <c r="AT82" s="1406"/>
      <c r="AU82" s="1406"/>
      <c r="AV82" s="1406"/>
      <c r="AW82" s="1406"/>
      <c r="AX82" s="1406"/>
      <c r="AY82" s="1406"/>
      <c r="AZ82" s="1406"/>
      <c r="BA82" s="1406"/>
      <c r="BB82" s="1406"/>
      <c r="BC82" s="1406"/>
      <c r="BD82" s="1406"/>
      <c r="BE82" s="1406"/>
      <c r="BF82" s="1406"/>
      <c r="BG82" s="1406"/>
      <c r="BH82" s="1968" t="s">
        <v>1505</v>
      </c>
      <c r="BI82" s="1421">
        <v>220</v>
      </c>
      <c r="BJ82" s="1421">
        <v>135</v>
      </c>
      <c r="BK82" s="1421">
        <v>10</v>
      </c>
      <c r="BL82" s="1421">
        <v>13.5</v>
      </c>
      <c r="BM82" s="1421">
        <v>13.5</v>
      </c>
      <c r="BN82" s="1421">
        <v>0</v>
      </c>
      <c r="BO82" s="1421">
        <v>0</v>
      </c>
      <c r="BP82" s="2135">
        <v>60</v>
      </c>
      <c r="BQ82" s="2132">
        <v>0.08</v>
      </c>
      <c r="BR82" s="357">
        <v>0</v>
      </c>
    </row>
    <row r="83" spans="1:70" ht="15.75">
      <c r="A83" s="2219"/>
      <c r="B83" s="2220"/>
      <c r="C83" s="2220"/>
      <c r="D83" s="2219"/>
      <c r="E83" s="2220"/>
      <c r="F83" s="2220"/>
      <c r="G83" s="2220"/>
      <c r="H83" s="2220"/>
      <c r="I83" s="2220"/>
      <c r="J83" s="2220"/>
      <c r="K83" s="2220"/>
      <c r="L83" s="2220"/>
      <c r="M83" s="2220"/>
      <c r="N83" s="2220"/>
      <c r="O83" s="2220"/>
      <c r="P83" s="2220"/>
      <c r="Q83" s="2220"/>
      <c r="R83" s="2220"/>
      <c r="S83" s="2219"/>
      <c r="T83" s="2221"/>
      <c r="U83" s="2220"/>
      <c r="V83" s="2220"/>
      <c r="W83" s="2220"/>
      <c r="X83" s="2220"/>
      <c r="Y83" s="2220"/>
      <c r="Z83" s="1405"/>
      <c r="AA83" s="1405"/>
      <c r="AB83" s="816"/>
      <c r="AC83" s="1407"/>
      <c r="AD83" s="1350"/>
      <c r="AE83" s="1406"/>
      <c r="AF83" s="1406"/>
      <c r="AG83" s="1406"/>
      <c r="AH83" s="1406"/>
      <c r="AI83" s="1406"/>
      <c r="AJ83" s="1406"/>
      <c r="AK83" s="1406"/>
      <c r="AL83" s="1406"/>
      <c r="AM83" s="1406"/>
      <c r="AN83" s="1406"/>
      <c r="AO83" s="1406"/>
      <c r="AP83" s="1406"/>
      <c r="AQ83" s="1406"/>
      <c r="AR83" s="1406"/>
      <c r="AS83" s="1406"/>
      <c r="AT83" s="1406"/>
      <c r="AU83" s="1406"/>
      <c r="AV83" s="1406"/>
      <c r="AW83" s="1406"/>
      <c r="AX83" s="1406"/>
      <c r="AY83" s="1406"/>
      <c r="AZ83" s="1406"/>
      <c r="BA83" s="1406"/>
      <c r="BB83" s="1406"/>
      <c r="BC83" s="1406"/>
      <c r="BD83" s="1406"/>
      <c r="BE83" s="1406"/>
      <c r="BF83" s="1406"/>
      <c r="BG83" s="1406"/>
      <c r="BH83" s="1968" t="s">
        <v>1506</v>
      </c>
      <c r="BI83" s="1421">
        <v>480</v>
      </c>
      <c r="BJ83" s="1421">
        <v>195</v>
      </c>
      <c r="BK83" s="1421">
        <v>10</v>
      </c>
      <c r="BL83" s="1421">
        <v>19.5</v>
      </c>
      <c r="BM83" s="1421">
        <v>19.5</v>
      </c>
      <c r="BN83" s="1421">
        <v>0</v>
      </c>
      <c r="BO83" s="1421">
        <v>0</v>
      </c>
      <c r="BP83" s="2135">
        <v>60</v>
      </c>
      <c r="BQ83" s="2132">
        <v>0.05</v>
      </c>
      <c r="BR83" s="357">
        <v>0</v>
      </c>
    </row>
    <row r="84" spans="1:70" ht="15.75">
      <c r="A84" s="2219"/>
      <c r="B84" s="2220"/>
      <c r="C84" s="2220"/>
      <c r="D84" s="2219"/>
      <c r="E84" s="2220"/>
      <c r="F84" s="2220"/>
      <c r="G84" s="2220"/>
      <c r="H84" s="2220"/>
      <c r="I84" s="2220"/>
      <c r="J84" s="2220"/>
      <c r="K84" s="2220"/>
      <c r="L84" s="2220"/>
      <c r="M84" s="2220"/>
      <c r="N84" s="2220"/>
      <c r="O84" s="2220"/>
      <c r="P84" s="2220"/>
      <c r="Q84" s="2220"/>
      <c r="R84" s="2220"/>
      <c r="S84" s="2219"/>
      <c r="T84" s="2221"/>
      <c r="U84" s="2220"/>
      <c r="V84" s="2220"/>
      <c r="W84" s="2220"/>
      <c r="X84" s="2220"/>
      <c r="Y84" s="2220"/>
      <c r="Z84" s="1405"/>
      <c r="AA84" s="1405"/>
      <c r="AB84" s="816"/>
      <c r="AC84" s="1350"/>
      <c r="AD84" s="1350"/>
      <c r="AE84" s="1406"/>
      <c r="AF84" s="1406"/>
      <c r="AG84" s="1406"/>
      <c r="AH84" s="1406"/>
      <c r="AI84" s="1406"/>
      <c r="AJ84" s="1406"/>
      <c r="AK84" s="1406"/>
      <c r="AL84" s="1406"/>
      <c r="AM84" s="1406"/>
      <c r="AN84" s="1406"/>
      <c r="AO84" s="1406"/>
      <c r="AP84" s="1406"/>
      <c r="AQ84" s="1406"/>
      <c r="AR84" s="1406"/>
      <c r="AS84" s="1406"/>
      <c r="AT84" s="1406"/>
      <c r="AU84" s="1406"/>
      <c r="AV84" s="1406"/>
      <c r="AW84" s="1406"/>
      <c r="AX84" s="1406"/>
      <c r="AY84" s="1406"/>
      <c r="AZ84" s="1406"/>
      <c r="BA84" s="1406"/>
      <c r="BB84" s="1406"/>
      <c r="BC84" s="1406"/>
      <c r="BD84" s="1406"/>
      <c r="BE84" s="1406"/>
      <c r="BF84" s="1406"/>
      <c r="BG84" s="1406"/>
      <c r="BH84" s="1968" t="s">
        <v>1507</v>
      </c>
      <c r="BI84" s="1421">
        <v>300</v>
      </c>
      <c r="BJ84" s="1421">
        <v>155</v>
      </c>
      <c r="BK84" s="1421">
        <v>10</v>
      </c>
      <c r="BL84" s="1421">
        <v>15.5</v>
      </c>
      <c r="BM84" s="1421">
        <v>15.5</v>
      </c>
      <c r="BN84" s="1421">
        <v>0</v>
      </c>
      <c r="BO84" s="1421">
        <v>0</v>
      </c>
      <c r="BP84" s="2131">
        <v>30</v>
      </c>
      <c r="BQ84" s="2132">
        <v>0.14000000000000001</v>
      </c>
      <c r="BR84" s="357">
        <v>0</v>
      </c>
    </row>
    <row r="85" spans="1:70" ht="15.75">
      <c r="A85" s="2219"/>
      <c r="B85" s="2220"/>
      <c r="C85" s="2220"/>
      <c r="D85" s="2219"/>
      <c r="E85" s="2220"/>
      <c r="F85" s="2220"/>
      <c r="G85" s="2220"/>
      <c r="H85" s="2220"/>
      <c r="I85" s="2220"/>
      <c r="J85" s="2220"/>
      <c r="K85" s="2220"/>
      <c r="L85" s="2220"/>
      <c r="M85" s="2220"/>
      <c r="N85" s="2220"/>
      <c r="O85" s="2220"/>
      <c r="P85" s="2220"/>
      <c r="Q85" s="2220"/>
      <c r="R85" s="2220"/>
      <c r="S85" s="2219"/>
      <c r="T85" s="2221"/>
      <c r="U85" s="2220"/>
      <c r="V85" s="2220"/>
      <c r="W85" s="2220"/>
      <c r="X85" s="2220"/>
      <c r="Y85" s="2220"/>
      <c r="Z85" s="1405"/>
      <c r="AA85" s="1405"/>
      <c r="AB85" s="816"/>
      <c r="AC85" s="1350"/>
      <c r="AD85" s="1350"/>
      <c r="AE85" s="1406"/>
      <c r="AF85" s="1406"/>
      <c r="AG85" s="1406"/>
      <c r="AH85" s="1406"/>
      <c r="AI85" s="1406"/>
      <c r="AJ85" s="1406"/>
      <c r="AK85" s="1406"/>
      <c r="AL85" s="1406"/>
      <c r="AM85" s="1406"/>
      <c r="AN85" s="1406"/>
      <c r="AO85" s="1406"/>
      <c r="AP85" s="1406"/>
      <c r="AQ85" s="1406"/>
      <c r="AR85" s="1406"/>
      <c r="AS85" s="1406"/>
      <c r="AT85" s="1406"/>
      <c r="AU85" s="1406"/>
      <c r="AV85" s="1406"/>
      <c r="AW85" s="1406"/>
      <c r="AX85" s="1406"/>
      <c r="AY85" s="1406"/>
      <c r="AZ85" s="1406"/>
      <c r="BA85" s="1406"/>
      <c r="BB85" s="1406"/>
      <c r="BC85" s="1406"/>
      <c r="BD85" s="1406"/>
      <c r="BE85" s="1406"/>
      <c r="BF85" s="1406"/>
      <c r="BG85" s="1406"/>
      <c r="BH85" s="1968" t="s">
        <v>1508</v>
      </c>
      <c r="BI85" s="1421">
        <v>300</v>
      </c>
      <c r="BJ85" s="1421">
        <v>150</v>
      </c>
      <c r="BK85" s="1421">
        <v>10</v>
      </c>
      <c r="BL85" s="1421">
        <v>15</v>
      </c>
      <c r="BM85" s="1421">
        <v>15</v>
      </c>
      <c r="BN85" s="1421">
        <v>0</v>
      </c>
      <c r="BO85" s="1421">
        <v>0</v>
      </c>
      <c r="BP85" s="2131">
        <v>60</v>
      </c>
      <c r="BQ85" s="2134">
        <v>0.17</v>
      </c>
      <c r="BR85" s="357">
        <v>0</v>
      </c>
    </row>
    <row r="86" spans="1:70" ht="15.75">
      <c r="A86" s="2219"/>
      <c r="B86" s="2220"/>
      <c r="C86" s="2220"/>
      <c r="D86" s="2219"/>
      <c r="E86" s="2220"/>
      <c r="F86" s="2220"/>
      <c r="G86" s="2220"/>
      <c r="H86" s="2220"/>
      <c r="I86" s="2220"/>
      <c r="J86" s="2220"/>
      <c r="K86" s="2220"/>
      <c r="L86" s="2220"/>
      <c r="M86" s="2220"/>
      <c r="N86" s="2220"/>
      <c r="O86" s="2220"/>
      <c r="P86" s="2220"/>
      <c r="Q86" s="2220"/>
      <c r="R86" s="2220"/>
      <c r="S86" s="2219"/>
      <c r="T86" s="2221"/>
      <c r="U86" s="2220"/>
      <c r="V86" s="2220"/>
      <c r="W86" s="2220"/>
      <c r="X86" s="2220"/>
      <c r="Y86" s="2220"/>
      <c r="Z86" s="1405"/>
      <c r="AA86" s="1405"/>
      <c r="AB86" s="816"/>
      <c r="AC86" s="1407"/>
      <c r="AD86" s="1350"/>
      <c r="AE86" s="1406"/>
      <c r="AF86" s="1406"/>
      <c r="AG86" s="1406"/>
      <c r="AH86" s="1406"/>
      <c r="AI86" s="1406"/>
      <c r="AJ86" s="1406"/>
      <c r="AK86" s="1406"/>
      <c r="AL86" s="1406"/>
      <c r="AM86" s="1406"/>
      <c r="AN86" s="1406"/>
      <c r="AO86" s="1406"/>
      <c r="AP86" s="1406"/>
      <c r="AQ86" s="1406"/>
      <c r="AR86" s="1406"/>
      <c r="AS86" s="1406"/>
      <c r="AT86" s="1406"/>
      <c r="AU86" s="1406"/>
      <c r="AV86" s="1406"/>
      <c r="AW86" s="1406"/>
      <c r="AX86" s="1406"/>
      <c r="AY86" s="1406"/>
      <c r="AZ86" s="1406"/>
      <c r="BA86" s="1406"/>
      <c r="BB86" s="1406"/>
      <c r="BC86" s="1406"/>
      <c r="BD86" s="1406"/>
      <c r="BE86" s="1406"/>
      <c r="BF86" s="1406"/>
      <c r="BG86" s="1406"/>
      <c r="BH86" s="1968" t="s">
        <v>1509</v>
      </c>
      <c r="BI86" s="1421">
        <v>150</v>
      </c>
      <c r="BJ86" s="1421">
        <v>120</v>
      </c>
      <c r="BK86" s="1421">
        <v>10</v>
      </c>
      <c r="BL86" s="1421">
        <v>12</v>
      </c>
      <c r="BM86" s="1421">
        <v>12</v>
      </c>
      <c r="BN86" s="1421">
        <v>0</v>
      </c>
      <c r="BO86" s="1421">
        <v>0</v>
      </c>
      <c r="BP86" s="2131">
        <v>30</v>
      </c>
      <c r="BQ86" s="2134">
        <v>0.26</v>
      </c>
      <c r="BR86" s="357">
        <v>0</v>
      </c>
    </row>
    <row r="87" spans="1:70" ht="15.75">
      <c r="A87" s="2219"/>
      <c r="B87" s="2220"/>
      <c r="C87" s="2220"/>
      <c r="D87" s="2219"/>
      <c r="E87" s="2220"/>
      <c r="F87" s="2220"/>
      <c r="G87" s="2220"/>
      <c r="H87" s="2220"/>
      <c r="I87" s="2220"/>
      <c r="J87" s="2220"/>
      <c r="K87" s="2220"/>
      <c r="L87" s="2220"/>
      <c r="M87" s="2220"/>
      <c r="N87" s="2220"/>
      <c r="O87" s="2220"/>
      <c r="P87" s="2220"/>
      <c r="Q87" s="2220"/>
      <c r="R87" s="2220"/>
      <c r="S87" s="2219"/>
      <c r="T87" s="2221"/>
      <c r="U87" s="2220"/>
      <c r="V87" s="2220"/>
      <c r="W87" s="2220"/>
      <c r="X87" s="2220"/>
      <c r="Y87" s="2220"/>
      <c r="Z87" s="1405"/>
      <c r="AA87" s="1405"/>
      <c r="AB87" s="816"/>
      <c r="AC87" s="1350"/>
      <c r="AD87" s="1350"/>
      <c r="AE87" s="1406"/>
      <c r="AF87" s="1406"/>
      <c r="AG87" s="1406"/>
      <c r="AH87" s="1406"/>
      <c r="AI87" s="1406"/>
      <c r="AJ87" s="1406"/>
      <c r="AK87" s="1406"/>
      <c r="AL87" s="1406"/>
      <c r="AM87" s="1406"/>
      <c r="AN87" s="1406"/>
      <c r="AO87" s="1406"/>
      <c r="AP87" s="1406"/>
      <c r="AQ87" s="1406"/>
      <c r="AR87" s="1406"/>
      <c r="AS87" s="1406"/>
      <c r="AT87" s="1406"/>
      <c r="AU87" s="1406"/>
      <c r="AV87" s="1406"/>
      <c r="AW87" s="1406"/>
      <c r="AX87" s="1406"/>
      <c r="AY87" s="1406"/>
      <c r="AZ87" s="1406"/>
      <c r="BA87" s="1406"/>
      <c r="BB87" s="1406"/>
      <c r="BC87" s="1406"/>
      <c r="BD87" s="1406"/>
      <c r="BE87" s="1406"/>
      <c r="BF87" s="1406"/>
      <c r="BG87" s="1406"/>
      <c r="BH87" s="1968" t="s">
        <v>1510</v>
      </c>
      <c r="BI87" s="1421">
        <v>55</v>
      </c>
      <c r="BJ87" s="1421">
        <v>75</v>
      </c>
      <c r="BK87" s="1421">
        <v>10</v>
      </c>
      <c r="BL87" s="1421">
        <v>4</v>
      </c>
      <c r="BM87" s="1421">
        <v>4</v>
      </c>
      <c r="BN87" s="1421">
        <v>0</v>
      </c>
      <c r="BO87" s="1421">
        <v>0</v>
      </c>
      <c r="BP87" s="2133">
        <v>60</v>
      </c>
      <c r="BQ87" s="2134">
        <v>0.2</v>
      </c>
      <c r="BR87" s="357">
        <v>0</v>
      </c>
    </row>
    <row r="88" spans="1:70" ht="15.75">
      <c r="A88" s="2219"/>
      <c r="B88" s="2220"/>
      <c r="C88" s="2220"/>
      <c r="D88" s="2219"/>
      <c r="E88" s="2220"/>
      <c r="F88" s="2220"/>
      <c r="G88" s="2220"/>
      <c r="H88" s="2220"/>
      <c r="I88" s="2220"/>
      <c r="J88" s="2220"/>
      <c r="K88" s="2220"/>
      <c r="L88" s="2220"/>
      <c r="M88" s="2220"/>
      <c r="N88" s="2220"/>
      <c r="O88" s="2220"/>
      <c r="P88" s="2220"/>
      <c r="Q88" s="2220"/>
      <c r="R88" s="2220"/>
      <c r="S88" s="2219"/>
      <c r="T88" s="2221"/>
      <c r="U88" s="2220"/>
      <c r="V88" s="2220"/>
      <c r="W88" s="2220"/>
      <c r="X88" s="2220"/>
      <c r="Y88" s="2220"/>
      <c r="Z88" s="1405"/>
      <c r="AA88" s="1405"/>
      <c r="AB88" s="816"/>
      <c r="AC88" s="1350"/>
      <c r="AD88" s="1350"/>
      <c r="AE88" s="1406"/>
      <c r="AF88" s="1406"/>
      <c r="AG88" s="1406"/>
      <c r="AH88" s="1406"/>
      <c r="AI88" s="1406"/>
      <c r="AJ88" s="1406"/>
      <c r="AK88" s="1406"/>
      <c r="AL88" s="1406"/>
      <c r="AM88" s="1406"/>
      <c r="AN88" s="1406"/>
      <c r="AO88" s="1406"/>
      <c r="AP88" s="1406"/>
      <c r="AQ88" s="1406"/>
      <c r="AR88" s="1406"/>
      <c r="AS88" s="1406"/>
      <c r="AT88" s="1406"/>
      <c r="AU88" s="1406"/>
      <c r="AV88" s="1406"/>
      <c r="AW88" s="1406"/>
      <c r="AX88" s="1406"/>
      <c r="AY88" s="1406"/>
      <c r="AZ88" s="1406"/>
      <c r="BA88" s="1406"/>
      <c r="BB88" s="1406"/>
      <c r="BC88" s="1406"/>
      <c r="BD88" s="1406"/>
      <c r="BE88" s="1406"/>
      <c r="BF88" s="1406"/>
      <c r="BG88" s="1406"/>
      <c r="BH88" s="1968" t="s">
        <v>1511</v>
      </c>
      <c r="BI88" s="1421">
        <v>6</v>
      </c>
      <c r="BJ88" s="1421">
        <v>25</v>
      </c>
      <c r="BK88" s="1421">
        <v>10</v>
      </c>
      <c r="BL88" s="1421">
        <v>1</v>
      </c>
      <c r="BM88" s="1421">
        <v>1</v>
      </c>
      <c r="BN88" s="1421">
        <v>0</v>
      </c>
      <c r="BO88" s="1421">
        <v>0</v>
      </c>
      <c r="BP88" s="2133">
        <v>30</v>
      </c>
      <c r="BQ88" s="2134">
        <v>0.24</v>
      </c>
      <c r="BR88" s="357">
        <v>0</v>
      </c>
    </row>
    <row r="89" spans="1:70" ht="15.75">
      <c r="A89" s="2219"/>
      <c r="B89" s="2220"/>
      <c r="C89" s="2220"/>
      <c r="D89" s="2219"/>
      <c r="E89" s="2220"/>
      <c r="F89" s="2220"/>
      <c r="G89" s="2220"/>
      <c r="H89" s="2220"/>
      <c r="I89" s="2220"/>
      <c r="J89" s="2220"/>
      <c r="K89" s="2220"/>
      <c r="L89" s="2220"/>
      <c r="M89" s="2220"/>
      <c r="N89" s="2220"/>
      <c r="O89" s="2220"/>
      <c r="P89" s="2220"/>
      <c r="Q89" s="2220"/>
      <c r="R89" s="2220"/>
      <c r="S89" s="2219"/>
      <c r="T89" s="2221"/>
      <c r="U89" s="2220"/>
      <c r="V89" s="2220"/>
      <c r="W89" s="2220"/>
      <c r="X89" s="2220"/>
      <c r="Y89" s="2220"/>
      <c r="Z89" s="1405"/>
      <c r="AA89" s="1405"/>
      <c r="AB89" s="816"/>
      <c r="AC89" s="1350"/>
      <c r="AD89" s="1350"/>
      <c r="AE89" s="1406"/>
      <c r="AF89" s="1406"/>
      <c r="AG89" s="1406"/>
      <c r="AH89" s="1406"/>
      <c r="AI89" s="1406"/>
      <c r="AJ89" s="1406"/>
      <c r="AK89" s="1406"/>
      <c r="AL89" s="1406"/>
      <c r="AM89" s="1406"/>
      <c r="AN89" s="1406"/>
      <c r="AO89" s="1406"/>
      <c r="AP89" s="1406"/>
      <c r="AQ89" s="1406"/>
      <c r="AR89" s="1406"/>
      <c r="AS89" s="1406"/>
      <c r="AT89" s="1406"/>
      <c r="AU89" s="1406"/>
      <c r="AV89" s="1406"/>
      <c r="AW89" s="1406"/>
      <c r="AX89" s="1406"/>
      <c r="AY89" s="1406"/>
      <c r="AZ89" s="1406"/>
      <c r="BA89" s="1406"/>
      <c r="BB89" s="1406"/>
      <c r="BC89" s="1406"/>
      <c r="BD89" s="1406"/>
      <c r="BE89" s="1406"/>
      <c r="BF89" s="1406"/>
      <c r="BG89" s="1406"/>
      <c r="BH89" s="1968" t="s">
        <v>1512</v>
      </c>
      <c r="BI89" s="1421">
        <v>210</v>
      </c>
      <c r="BJ89" s="1421">
        <v>165</v>
      </c>
      <c r="BK89" s="1421">
        <v>10</v>
      </c>
      <c r="BL89" s="1421">
        <v>16.5</v>
      </c>
      <c r="BM89" s="1421">
        <v>16.5</v>
      </c>
      <c r="BN89" s="1421">
        <v>0</v>
      </c>
      <c r="BO89" s="1421">
        <v>0</v>
      </c>
      <c r="BP89" s="2131">
        <v>60</v>
      </c>
      <c r="BQ89" s="2132">
        <v>0.21</v>
      </c>
      <c r="BR89" s="357">
        <v>0</v>
      </c>
    </row>
    <row r="90" spans="1:70" ht="15.75">
      <c r="A90" s="2219"/>
      <c r="B90" s="2220"/>
      <c r="C90" s="2220"/>
      <c r="D90" s="2219"/>
      <c r="E90" s="2220"/>
      <c r="F90" s="2220"/>
      <c r="G90" s="2220"/>
      <c r="H90" s="2220"/>
      <c r="I90" s="2220"/>
      <c r="J90" s="2220"/>
      <c r="K90" s="2220"/>
      <c r="L90" s="2220"/>
      <c r="M90" s="2220"/>
      <c r="N90" s="2220"/>
      <c r="O90" s="2220"/>
      <c r="P90" s="2220"/>
      <c r="Q90" s="2220"/>
      <c r="R90" s="2220"/>
      <c r="S90" s="2219"/>
      <c r="T90" s="2221"/>
      <c r="U90" s="2220"/>
      <c r="V90" s="2220"/>
      <c r="W90" s="2220"/>
      <c r="X90" s="2220"/>
      <c r="Y90" s="2220"/>
      <c r="Z90" s="1405"/>
      <c r="AA90" s="1405"/>
      <c r="AB90" s="816"/>
      <c r="AC90" s="1350"/>
      <c r="AD90" s="1350"/>
      <c r="AE90" s="1406"/>
      <c r="AF90" s="1406"/>
      <c r="AG90" s="1406"/>
      <c r="AH90" s="1406"/>
      <c r="AI90" s="1406"/>
      <c r="AJ90" s="1406"/>
      <c r="AK90" s="1406"/>
      <c r="AL90" s="1406"/>
      <c r="AM90" s="1406"/>
      <c r="AN90" s="1406"/>
      <c r="AO90" s="1406"/>
      <c r="AP90" s="1406"/>
      <c r="AQ90" s="1406"/>
      <c r="AR90" s="1406"/>
      <c r="AS90" s="1406"/>
      <c r="AT90" s="1406"/>
      <c r="AU90" s="1406"/>
      <c r="AV90" s="1406"/>
      <c r="AW90" s="1406"/>
      <c r="AX90" s="1406"/>
      <c r="AY90" s="1406"/>
      <c r="AZ90" s="1406"/>
      <c r="BA90" s="1406"/>
      <c r="BB90" s="1406"/>
      <c r="BC90" s="1406"/>
      <c r="BD90" s="1406"/>
      <c r="BE90" s="1406"/>
      <c r="BF90" s="1406"/>
      <c r="BG90" s="1406"/>
      <c r="BH90" s="1968" t="s">
        <v>1513</v>
      </c>
      <c r="BI90" s="1421">
        <v>115</v>
      </c>
      <c r="BJ90" s="1421">
        <v>110</v>
      </c>
      <c r="BK90" s="1421">
        <v>10</v>
      </c>
      <c r="BL90" s="1421">
        <v>6</v>
      </c>
      <c r="BM90" s="1421">
        <v>6</v>
      </c>
      <c r="BN90" s="1421">
        <v>0</v>
      </c>
      <c r="BO90" s="1421">
        <v>0</v>
      </c>
      <c r="BP90" s="2133">
        <v>60</v>
      </c>
      <c r="BQ90" s="2134">
        <v>0.22</v>
      </c>
      <c r="BR90" s="357">
        <v>0</v>
      </c>
    </row>
    <row r="91" spans="1:70" ht="15.75">
      <c r="A91" s="2219"/>
      <c r="B91" s="2220"/>
      <c r="C91" s="2220"/>
      <c r="D91" s="2219"/>
      <c r="E91" s="2220"/>
      <c r="F91" s="2220"/>
      <c r="G91" s="2220"/>
      <c r="H91" s="2220"/>
      <c r="I91" s="2220"/>
      <c r="J91" s="2220"/>
      <c r="K91" s="2220"/>
      <c r="L91" s="2220"/>
      <c r="M91" s="2220"/>
      <c r="N91" s="2220"/>
      <c r="O91" s="2220"/>
      <c r="P91" s="2220"/>
      <c r="Q91" s="2220"/>
      <c r="R91" s="2220"/>
      <c r="S91" s="2219"/>
      <c r="T91" s="2221"/>
      <c r="U91" s="2220"/>
      <c r="V91" s="2220"/>
      <c r="W91" s="2220"/>
      <c r="X91" s="2220"/>
      <c r="Y91" s="2220"/>
      <c r="Z91" s="1405"/>
      <c r="AA91" s="1405"/>
      <c r="AB91" s="816"/>
      <c r="AC91" s="1350"/>
      <c r="AD91" s="1350"/>
      <c r="AE91" s="1406"/>
      <c r="AF91" s="1406"/>
      <c r="AG91" s="1406"/>
      <c r="AH91" s="1406"/>
      <c r="AI91" s="1406"/>
      <c r="AJ91" s="1406"/>
      <c r="AK91" s="1406"/>
      <c r="AL91" s="1406"/>
      <c r="AM91" s="1406"/>
      <c r="AN91" s="1406"/>
      <c r="AO91" s="1406"/>
      <c r="AP91" s="1406"/>
      <c r="AQ91" s="1406"/>
      <c r="AR91" s="1406"/>
      <c r="AS91" s="1406"/>
      <c r="AT91" s="1406"/>
      <c r="AU91" s="1406"/>
      <c r="AV91" s="1406"/>
      <c r="AW91" s="1406"/>
      <c r="AX91" s="1406"/>
      <c r="AY91" s="1406"/>
      <c r="AZ91" s="1406"/>
      <c r="BA91" s="1406"/>
      <c r="BB91" s="1406"/>
      <c r="BC91" s="1406"/>
      <c r="BD91" s="1406"/>
      <c r="BE91" s="1406"/>
      <c r="BF91" s="1406"/>
      <c r="BG91" s="1406"/>
      <c r="BH91" s="1968" t="s">
        <v>1514</v>
      </c>
      <c r="BI91" s="1421">
        <v>420</v>
      </c>
      <c r="BJ91" s="1421">
        <v>200</v>
      </c>
      <c r="BK91" s="1421">
        <v>10</v>
      </c>
      <c r="BL91" s="1421">
        <v>20</v>
      </c>
      <c r="BM91" s="1421">
        <v>20</v>
      </c>
      <c r="BN91" s="1421">
        <v>0</v>
      </c>
      <c r="BO91" s="1421">
        <v>0</v>
      </c>
      <c r="BP91" s="2133">
        <v>60</v>
      </c>
      <c r="BQ91" s="2134">
        <v>7.0000000000000007E-2</v>
      </c>
      <c r="BR91" s="357">
        <v>0</v>
      </c>
    </row>
    <row r="92" spans="1:70" ht="15.75">
      <c r="A92" s="2219"/>
      <c r="B92" s="2220"/>
      <c r="C92" s="2220"/>
      <c r="D92" s="2219"/>
      <c r="E92" s="2220"/>
      <c r="F92" s="2220"/>
      <c r="G92" s="2220"/>
      <c r="H92" s="2220"/>
      <c r="I92" s="2220"/>
      <c r="J92" s="2220"/>
      <c r="K92" s="2220"/>
      <c r="L92" s="2220"/>
      <c r="M92" s="2220"/>
      <c r="N92" s="2220"/>
      <c r="O92" s="2220"/>
      <c r="P92" s="2220"/>
      <c r="Q92" s="2220"/>
      <c r="R92" s="2220"/>
      <c r="S92" s="2219"/>
      <c r="T92" s="2221"/>
      <c r="U92" s="2220"/>
      <c r="V92" s="2220"/>
      <c r="W92" s="2220"/>
      <c r="X92" s="2220"/>
      <c r="Y92" s="2220"/>
      <c r="Z92" s="1405"/>
      <c r="AA92" s="1405"/>
      <c r="AB92" s="816"/>
      <c r="AC92" s="1350"/>
      <c r="AD92" s="1350"/>
      <c r="AE92" s="1406"/>
      <c r="AF92" s="1406"/>
      <c r="AG92" s="1406"/>
      <c r="AH92" s="1406"/>
      <c r="AI92" s="1406"/>
      <c r="AJ92" s="1406"/>
      <c r="AK92" s="1406"/>
      <c r="AL92" s="1406"/>
      <c r="AM92" s="1406"/>
      <c r="AN92" s="1406"/>
      <c r="AO92" s="1406"/>
      <c r="AP92" s="1406"/>
      <c r="AQ92" s="1406"/>
      <c r="AR92" s="1406"/>
      <c r="AS92" s="1406"/>
      <c r="AT92" s="1406"/>
      <c r="AU92" s="1406"/>
      <c r="AV92" s="1406"/>
      <c r="AW92" s="1406"/>
      <c r="AX92" s="1406"/>
      <c r="AY92" s="1406"/>
      <c r="AZ92" s="1406"/>
      <c r="BA92" s="1406"/>
      <c r="BB92" s="1406"/>
      <c r="BC92" s="1406"/>
      <c r="BD92" s="1406"/>
      <c r="BE92" s="1406"/>
      <c r="BF92" s="1406"/>
      <c r="BG92" s="1406"/>
      <c r="BH92" s="1968" t="s">
        <v>1515</v>
      </c>
      <c r="BI92" s="1421">
        <v>200</v>
      </c>
      <c r="BJ92" s="1421">
        <v>145</v>
      </c>
      <c r="BK92" s="1421">
        <v>10</v>
      </c>
      <c r="BL92" s="1421">
        <v>15</v>
      </c>
      <c r="BM92" s="1421">
        <v>15</v>
      </c>
      <c r="BN92" s="1421">
        <v>0</v>
      </c>
      <c r="BO92" s="1421">
        <v>0</v>
      </c>
      <c r="BP92" s="2131">
        <v>60</v>
      </c>
      <c r="BQ92" s="2132">
        <v>0.2</v>
      </c>
      <c r="BR92" s="357">
        <v>0</v>
      </c>
    </row>
    <row r="93" spans="1:70" ht="15.75">
      <c r="A93" s="2219"/>
      <c r="B93" s="2220"/>
      <c r="C93" s="2220"/>
      <c r="D93" s="2219"/>
      <c r="E93" s="2220"/>
      <c r="F93" s="2220"/>
      <c r="G93" s="2220"/>
      <c r="H93" s="2220"/>
      <c r="I93" s="2220"/>
      <c r="J93" s="2220"/>
      <c r="K93" s="2220"/>
      <c r="L93" s="2220"/>
      <c r="M93" s="2220"/>
      <c r="N93" s="2220"/>
      <c r="O93" s="2220"/>
      <c r="P93" s="2220"/>
      <c r="Q93" s="2220"/>
      <c r="R93" s="2220"/>
      <c r="S93" s="2219"/>
      <c r="T93" s="2221"/>
      <c r="U93" s="2220"/>
      <c r="V93" s="2220"/>
      <c r="W93" s="2220"/>
      <c r="X93" s="2220"/>
      <c r="Y93" s="2220"/>
      <c r="Z93" s="1405"/>
      <c r="AA93" s="1405"/>
      <c r="AB93" s="816"/>
      <c r="AC93" s="1350"/>
      <c r="AD93" s="1350"/>
      <c r="AE93" s="1406"/>
      <c r="AF93" s="1406"/>
      <c r="AG93" s="1406"/>
      <c r="AH93" s="1406"/>
      <c r="AI93" s="1406"/>
      <c r="AJ93" s="1406"/>
      <c r="AK93" s="1406"/>
      <c r="AL93" s="1406"/>
      <c r="AM93" s="1406"/>
      <c r="AN93" s="1406"/>
      <c r="AO93" s="1406"/>
      <c r="AP93" s="1406"/>
      <c r="AQ93" s="1406"/>
      <c r="AR93" s="1406"/>
      <c r="AS93" s="1406"/>
      <c r="AT93" s="1406"/>
      <c r="AU93" s="1406"/>
      <c r="AV93" s="1406"/>
      <c r="AW93" s="1406"/>
      <c r="AX93" s="1406"/>
      <c r="AY93" s="1406"/>
      <c r="AZ93" s="1406"/>
      <c r="BA93" s="1406"/>
      <c r="BB93" s="1406"/>
      <c r="BC93" s="1406"/>
      <c r="BD93" s="1406"/>
      <c r="BE93" s="1406"/>
      <c r="BF93" s="1406"/>
      <c r="BG93" s="1406"/>
      <c r="BH93" s="1968" t="s">
        <v>1516</v>
      </c>
      <c r="BI93" s="1421">
        <v>45</v>
      </c>
      <c r="BJ93" s="1421">
        <v>75</v>
      </c>
      <c r="BK93" s="1421">
        <v>10</v>
      </c>
      <c r="BL93" s="1421">
        <v>4</v>
      </c>
      <c r="BM93" s="1421">
        <v>4</v>
      </c>
      <c r="BN93" s="1421">
        <v>0</v>
      </c>
      <c r="BO93" s="1421">
        <v>0</v>
      </c>
      <c r="BP93" s="2136">
        <v>60</v>
      </c>
      <c r="BQ93" s="2134">
        <v>0.32999999999999996</v>
      </c>
      <c r="BR93" s="357">
        <v>0</v>
      </c>
    </row>
    <row r="94" spans="1:70" ht="15.75">
      <c r="A94" s="2219"/>
      <c r="B94" s="2220"/>
      <c r="C94" s="2220"/>
      <c r="D94" s="2219"/>
      <c r="E94" s="2220"/>
      <c r="F94" s="2220"/>
      <c r="G94" s="2220"/>
      <c r="H94" s="2220"/>
      <c r="I94" s="2220"/>
      <c r="J94" s="2220"/>
      <c r="K94" s="2220"/>
      <c r="L94" s="2220"/>
      <c r="M94" s="2220"/>
      <c r="N94" s="2220"/>
      <c r="O94" s="2220"/>
      <c r="P94" s="2220"/>
      <c r="Q94" s="2220"/>
      <c r="R94" s="2220"/>
      <c r="S94" s="2219"/>
      <c r="T94" s="2221"/>
      <c r="U94" s="2220"/>
      <c r="V94" s="2220"/>
      <c r="W94" s="2220"/>
      <c r="X94" s="2220"/>
      <c r="Y94" s="2220"/>
      <c r="Z94" s="1405"/>
      <c r="AA94" s="1405"/>
      <c r="AB94" s="816"/>
      <c r="AC94" s="1407"/>
      <c r="AD94" s="1407"/>
      <c r="AE94" s="1406"/>
      <c r="AF94" s="1406"/>
      <c r="AG94" s="1406"/>
      <c r="AH94" s="1406"/>
      <c r="AI94" s="1406"/>
      <c r="AJ94" s="1406"/>
      <c r="AK94" s="1406"/>
      <c r="AL94" s="1406"/>
      <c r="AM94" s="1406"/>
      <c r="AN94" s="1406"/>
      <c r="AO94" s="1406"/>
      <c r="AP94" s="1406"/>
      <c r="AQ94" s="1406"/>
      <c r="AR94" s="1406"/>
      <c r="AS94" s="1406"/>
      <c r="AT94" s="1406"/>
      <c r="AU94" s="1406"/>
      <c r="AV94" s="1406"/>
      <c r="AW94" s="1406"/>
      <c r="AX94" s="1406"/>
      <c r="AY94" s="1406"/>
      <c r="AZ94" s="1406"/>
      <c r="BA94" s="1406"/>
      <c r="BB94" s="1406"/>
      <c r="BC94" s="1406"/>
      <c r="BD94" s="1406"/>
      <c r="BE94" s="1406"/>
      <c r="BF94" s="1406"/>
      <c r="BG94" s="1406"/>
      <c r="BH94" s="1968" t="s">
        <v>1517</v>
      </c>
      <c r="BI94" s="1421">
        <v>45</v>
      </c>
      <c r="BJ94" s="1421">
        <v>75</v>
      </c>
      <c r="BK94" s="1421">
        <v>10</v>
      </c>
      <c r="BL94" s="1421">
        <v>4</v>
      </c>
      <c r="BM94" s="1421">
        <v>4</v>
      </c>
      <c r="BN94" s="1421">
        <v>0</v>
      </c>
      <c r="BO94" s="1421">
        <v>0</v>
      </c>
      <c r="BP94" s="2136">
        <v>60</v>
      </c>
      <c r="BQ94" s="2134">
        <v>0.21</v>
      </c>
      <c r="BR94" s="357">
        <v>0</v>
      </c>
    </row>
    <row r="95" spans="1:70" ht="15.75">
      <c r="A95" s="2219"/>
      <c r="B95" s="2220"/>
      <c r="C95" s="2220"/>
      <c r="D95" s="2219"/>
      <c r="E95" s="2220"/>
      <c r="F95" s="2220"/>
      <c r="G95" s="2220"/>
      <c r="H95" s="2220"/>
      <c r="I95" s="2220"/>
      <c r="J95" s="2220"/>
      <c r="K95" s="2220"/>
      <c r="L95" s="2220"/>
      <c r="M95" s="2220"/>
      <c r="N95" s="2220"/>
      <c r="O95" s="2220"/>
      <c r="P95" s="2220"/>
      <c r="Q95" s="2220"/>
      <c r="R95" s="2220"/>
      <c r="S95" s="2219"/>
      <c r="T95" s="2221"/>
      <c r="U95" s="2220"/>
      <c r="V95" s="2220"/>
      <c r="W95" s="2220"/>
      <c r="X95" s="2220"/>
      <c r="Y95" s="2220"/>
      <c r="Z95" s="1405"/>
      <c r="AA95" s="1405"/>
      <c r="AB95" s="816"/>
      <c r="AC95" s="1350"/>
      <c r="AD95" s="1350"/>
      <c r="AE95" s="1406"/>
      <c r="AF95" s="1406"/>
      <c r="AG95" s="1406"/>
      <c r="AH95" s="1406"/>
      <c r="AI95" s="1406"/>
      <c r="AJ95" s="1406"/>
      <c r="AK95" s="1406"/>
      <c r="AL95" s="1406"/>
      <c r="AM95" s="1406"/>
      <c r="AN95" s="1406"/>
      <c r="AO95" s="1406"/>
      <c r="AP95" s="1406"/>
      <c r="AQ95" s="1406"/>
      <c r="AR95" s="1406"/>
      <c r="AS95" s="1406"/>
      <c r="AT95" s="1406"/>
      <c r="AU95" s="1406"/>
      <c r="AV95" s="1406"/>
      <c r="AW95" s="1406"/>
      <c r="AX95" s="1406"/>
      <c r="AY95" s="1406"/>
      <c r="AZ95" s="1406"/>
      <c r="BA95" s="1406"/>
      <c r="BB95" s="1406"/>
      <c r="BC95" s="1406"/>
      <c r="BD95" s="1406"/>
      <c r="BE95" s="1406"/>
      <c r="BF95" s="1406"/>
      <c r="BG95" s="1406"/>
      <c r="BH95" s="1968" t="s">
        <v>1518</v>
      </c>
      <c r="BI95" s="1421">
        <v>20</v>
      </c>
      <c r="BJ95" s="1421">
        <v>65</v>
      </c>
      <c r="BK95" s="1421">
        <v>10</v>
      </c>
      <c r="BL95" s="1421">
        <v>3</v>
      </c>
      <c r="BM95" s="1421">
        <v>3</v>
      </c>
      <c r="BN95" s="1421">
        <v>0</v>
      </c>
      <c r="BO95" s="1421">
        <v>0</v>
      </c>
      <c r="BP95" s="2136">
        <v>60</v>
      </c>
      <c r="BQ95" s="2134">
        <v>0.48</v>
      </c>
      <c r="BR95" s="357">
        <v>0</v>
      </c>
    </row>
    <row r="96" spans="1:70" ht="15.75">
      <c r="A96" s="2219"/>
      <c r="B96" s="2220"/>
      <c r="C96" s="2220"/>
      <c r="D96" s="2219"/>
      <c r="E96" s="2220"/>
      <c r="F96" s="2220"/>
      <c r="G96" s="2220"/>
      <c r="H96" s="2220"/>
      <c r="I96" s="2220"/>
      <c r="J96" s="2220"/>
      <c r="K96" s="2220"/>
      <c r="L96" s="2220"/>
      <c r="M96" s="2220"/>
      <c r="N96" s="2220"/>
      <c r="O96" s="2220"/>
      <c r="P96" s="2220"/>
      <c r="Q96" s="2220"/>
      <c r="R96" s="2220"/>
      <c r="S96" s="2219"/>
      <c r="T96" s="2221"/>
      <c r="U96" s="2220"/>
      <c r="V96" s="2220"/>
      <c r="W96" s="2220"/>
      <c r="X96" s="2220"/>
      <c r="Y96" s="2220"/>
      <c r="Z96" s="1405"/>
      <c r="AA96" s="1405"/>
      <c r="AB96" s="816"/>
      <c r="AC96" s="816"/>
      <c r="AD96" s="1350"/>
      <c r="AE96" s="1406"/>
      <c r="AF96" s="1406"/>
      <c r="AG96" s="1406"/>
      <c r="AH96" s="1406"/>
      <c r="AI96" s="1406"/>
      <c r="AJ96" s="1406"/>
      <c r="AK96" s="1406"/>
      <c r="AL96" s="1406"/>
      <c r="AM96" s="1406"/>
      <c r="AN96" s="1406"/>
      <c r="AO96" s="1406"/>
      <c r="AP96" s="1406"/>
      <c r="AQ96" s="1406"/>
      <c r="AR96" s="1406"/>
      <c r="AS96" s="1406"/>
      <c r="AT96" s="1406"/>
      <c r="AU96" s="1406"/>
      <c r="AV96" s="1406"/>
      <c r="AW96" s="1406"/>
      <c r="AX96" s="1406"/>
      <c r="AY96" s="1406"/>
      <c r="AZ96" s="1406"/>
      <c r="BA96" s="1406"/>
      <c r="BB96" s="1406"/>
      <c r="BC96" s="1406"/>
      <c r="BD96" s="1406"/>
      <c r="BE96" s="1406"/>
      <c r="BF96" s="1406"/>
      <c r="BG96" s="1406"/>
      <c r="BH96" s="1968" t="s">
        <v>1519</v>
      </c>
      <c r="BI96" s="1421">
        <v>20</v>
      </c>
      <c r="BJ96" s="1421">
        <v>65</v>
      </c>
      <c r="BK96" s="1421">
        <v>10</v>
      </c>
      <c r="BL96" s="1421">
        <v>3</v>
      </c>
      <c r="BM96" s="1421">
        <v>3</v>
      </c>
      <c r="BN96" s="1421">
        <v>0</v>
      </c>
      <c r="BO96" s="1421">
        <v>0</v>
      </c>
      <c r="BP96" s="2136">
        <v>60</v>
      </c>
      <c r="BQ96" s="2132">
        <v>0.21</v>
      </c>
      <c r="BR96" s="357">
        <v>0</v>
      </c>
    </row>
    <row r="97" spans="1:70" ht="15.75">
      <c r="A97" s="2219"/>
      <c r="B97" s="2220"/>
      <c r="C97" s="2220"/>
      <c r="D97" s="2219"/>
      <c r="E97" s="2220"/>
      <c r="F97" s="2220"/>
      <c r="G97" s="2220"/>
      <c r="H97" s="2220"/>
      <c r="I97" s="2220"/>
      <c r="J97" s="2220"/>
      <c r="K97" s="2220"/>
      <c r="L97" s="2220"/>
      <c r="M97" s="2220"/>
      <c r="N97" s="2220"/>
      <c r="O97" s="2220"/>
      <c r="P97" s="2220"/>
      <c r="Q97" s="2220"/>
      <c r="R97" s="2220"/>
      <c r="S97" s="2219"/>
      <c r="T97" s="2221"/>
      <c r="U97" s="2220"/>
      <c r="V97" s="2220"/>
      <c r="W97" s="2220"/>
      <c r="X97" s="2220"/>
      <c r="Y97" s="2220"/>
      <c r="Z97" s="1405"/>
      <c r="AA97" s="1405"/>
      <c r="AB97" s="816"/>
      <c r="AC97" s="816"/>
      <c r="AD97" s="1350"/>
      <c r="AE97" s="1406"/>
      <c r="AF97" s="1406"/>
      <c r="AG97" s="1406"/>
      <c r="AH97" s="1406"/>
      <c r="AI97" s="1406"/>
      <c r="AJ97" s="1406"/>
      <c r="AK97" s="1406"/>
      <c r="AL97" s="1406"/>
      <c r="AM97" s="1406"/>
      <c r="AN97" s="1406"/>
      <c r="AO97" s="1406"/>
      <c r="AP97" s="1406"/>
      <c r="AQ97" s="1406"/>
      <c r="AR97" s="1406"/>
      <c r="AS97" s="1406"/>
      <c r="AT97" s="1406"/>
      <c r="AU97" s="1406"/>
      <c r="AV97" s="1406"/>
      <c r="AW97" s="1406"/>
      <c r="AX97" s="1406"/>
      <c r="AY97" s="1406"/>
      <c r="AZ97" s="1406"/>
      <c r="BA97" s="1406"/>
      <c r="BB97" s="1406"/>
      <c r="BC97" s="1406"/>
      <c r="BD97" s="1406"/>
      <c r="BE97" s="1406"/>
      <c r="BF97" s="1406"/>
      <c r="BG97" s="1406"/>
      <c r="BH97" s="1968" t="s">
        <v>1520</v>
      </c>
      <c r="BI97" s="1421">
        <v>185</v>
      </c>
      <c r="BJ97" s="1421">
        <v>135</v>
      </c>
      <c r="BK97" s="1421">
        <v>10</v>
      </c>
      <c r="BL97" s="1421">
        <v>13.5</v>
      </c>
      <c r="BM97" s="1421">
        <v>13.5</v>
      </c>
      <c r="BN97" s="1421">
        <v>0</v>
      </c>
      <c r="BO97" s="1421">
        <v>0</v>
      </c>
      <c r="BP97" s="2131">
        <v>30</v>
      </c>
      <c r="BQ97" s="2134">
        <v>0.16</v>
      </c>
      <c r="BR97" s="357">
        <v>0</v>
      </c>
    </row>
    <row r="98" spans="1:70" ht="15.75">
      <c r="A98" s="2219"/>
      <c r="B98" s="2220"/>
      <c r="C98" s="2220"/>
      <c r="D98" s="2219"/>
      <c r="E98" s="2220"/>
      <c r="F98" s="2220"/>
      <c r="G98" s="2220"/>
      <c r="H98" s="2220"/>
      <c r="I98" s="2220"/>
      <c r="J98" s="2220"/>
      <c r="K98" s="2220"/>
      <c r="L98" s="2220"/>
      <c r="M98" s="2220"/>
      <c r="N98" s="2220"/>
      <c r="O98" s="2220"/>
      <c r="P98" s="2220"/>
      <c r="Q98" s="2220"/>
      <c r="R98" s="2220"/>
      <c r="S98" s="2219"/>
      <c r="T98" s="2221"/>
      <c r="U98" s="2220"/>
      <c r="V98" s="2220"/>
      <c r="W98" s="2220"/>
      <c r="X98" s="2220"/>
      <c r="Y98" s="2220"/>
      <c r="Z98" s="1405"/>
      <c r="AA98" s="1405"/>
      <c r="AB98" s="816"/>
      <c r="AC98" s="816"/>
      <c r="AD98" s="816"/>
      <c r="AE98" s="1406"/>
      <c r="AF98" s="1406"/>
      <c r="AG98" s="1406"/>
      <c r="AH98" s="1406"/>
      <c r="AI98" s="1406"/>
      <c r="AJ98" s="1406"/>
      <c r="AK98" s="1406"/>
      <c r="AL98" s="1406"/>
      <c r="AM98" s="1406"/>
      <c r="AN98" s="1406"/>
      <c r="AO98" s="1406"/>
      <c r="AP98" s="1406"/>
      <c r="AQ98" s="1406"/>
      <c r="AR98" s="1406"/>
      <c r="AS98" s="1406"/>
      <c r="AT98" s="1406"/>
      <c r="AU98" s="1406"/>
      <c r="AV98" s="1406"/>
      <c r="AW98" s="1406"/>
      <c r="AX98" s="1406"/>
      <c r="AY98" s="1406"/>
      <c r="AZ98" s="1406"/>
      <c r="BA98" s="1406"/>
      <c r="BB98" s="1406"/>
      <c r="BC98" s="1406"/>
      <c r="BD98" s="1406"/>
      <c r="BE98" s="1406"/>
      <c r="BF98" s="1406"/>
      <c r="BG98" s="1406"/>
      <c r="BH98" s="1968" t="s">
        <v>1521</v>
      </c>
      <c r="BI98" s="1421">
        <v>200</v>
      </c>
      <c r="BJ98" s="1421">
        <v>185</v>
      </c>
      <c r="BK98" s="1421">
        <v>10</v>
      </c>
      <c r="BL98" s="1421">
        <v>18.5</v>
      </c>
      <c r="BM98" s="1421">
        <v>18.5</v>
      </c>
      <c r="BN98" s="1421">
        <v>0</v>
      </c>
      <c r="BO98" s="1421">
        <v>0</v>
      </c>
      <c r="BP98" s="2133">
        <v>60</v>
      </c>
      <c r="BQ98" s="2134">
        <v>0.14000000000000001</v>
      </c>
      <c r="BR98" s="357">
        <v>0</v>
      </c>
    </row>
    <row r="99" spans="1:70" ht="15.75">
      <c r="A99" s="2219"/>
      <c r="B99" s="2220"/>
      <c r="C99" s="2220"/>
      <c r="D99" s="2219"/>
      <c r="E99" s="2220"/>
      <c r="F99" s="2220"/>
      <c r="G99" s="2220"/>
      <c r="H99" s="2220"/>
      <c r="I99" s="2220"/>
      <c r="J99" s="2220"/>
      <c r="K99" s="2220"/>
      <c r="L99" s="2220"/>
      <c r="M99" s="2220"/>
      <c r="N99" s="2220"/>
      <c r="O99" s="2220"/>
      <c r="P99" s="2220"/>
      <c r="Q99" s="2220"/>
      <c r="R99" s="2220"/>
      <c r="S99" s="2219"/>
      <c r="T99" s="2221"/>
      <c r="U99" s="2220"/>
      <c r="V99" s="2220"/>
      <c r="W99" s="2220"/>
      <c r="X99" s="2220"/>
      <c r="Y99" s="2220"/>
      <c r="Z99" s="1405"/>
      <c r="AA99" s="1405"/>
      <c r="AB99" s="816"/>
      <c r="AC99" s="816"/>
      <c r="AD99" s="816"/>
      <c r="AE99" s="1406"/>
      <c r="AF99" s="1406"/>
      <c r="AG99" s="1406"/>
      <c r="AH99" s="1406"/>
      <c r="AI99" s="1406"/>
      <c r="AJ99" s="1406"/>
      <c r="AK99" s="1406"/>
      <c r="AL99" s="1406"/>
      <c r="AM99" s="1406"/>
      <c r="AN99" s="1406"/>
      <c r="AO99" s="1406"/>
      <c r="AP99" s="1406"/>
      <c r="AQ99" s="1406"/>
      <c r="AR99" s="1406"/>
      <c r="AS99" s="1406"/>
      <c r="AT99" s="1406"/>
      <c r="AU99" s="1406"/>
      <c r="AV99" s="1406"/>
      <c r="AW99" s="1406"/>
      <c r="AX99" s="1406"/>
      <c r="AY99" s="1406"/>
      <c r="AZ99" s="1406"/>
      <c r="BA99" s="1406"/>
      <c r="BB99" s="1406"/>
      <c r="BC99" s="1406"/>
      <c r="BD99" s="1406"/>
      <c r="BE99" s="1406"/>
      <c r="BF99" s="1406"/>
      <c r="BG99" s="1406"/>
      <c r="BH99" s="1968" t="s">
        <v>1522</v>
      </c>
      <c r="BI99" s="1421">
        <v>190</v>
      </c>
      <c r="BJ99" s="1421">
        <v>120</v>
      </c>
      <c r="BK99" s="1421">
        <v>10</v>
      </c>
      <c r="BL99" s="1421">
        <v>12</v>
      </c>
      <c r="BM99" s="1421">
        <v>12</v>
      </c>
      <c r="BN99" s="1421">
        <v>0</v>
      </c>
      <c r="BO99" s="1421">
        <v>0</v>
      </c>
      <c r="BP99" s="2131">
        <v>30</v>
      </c>
      <c r="BQ99" s="2132">
        <v>0.1</v>
      </c>
      <c r="BR99" s="357">
        <v>0</v>
      </c>
    </row>
    <row r="100" spans="1:70" ht="15.75">
      <c r="A100" s="2219"/>
      <c r="B100" s="2220"/>
      <c r="C100" s="2220"/>
      <c r="D100" s="2219"/>
      <c r="E100" s="2220"/>
      <c r="F100" s="2220"/>
      <c r="G100" s="2220"/>
      <c r="H100" s="2220"/>
      <c r="I100" s="2220"/>
      <c r="J100" s="2220"/>
      <c r="K100" s="2220"/>
      <c r="L100" s="2220"/>
      <c r="M100" s="2220"/>
      <c r="N100" s="2220"/>
      <c r="O100" s="2220"/>
      <c r="P100" s="2220"/>
      <c r="Q100" s="2220"/>
      <c r="R100" s="2220"/>
      <c r="S100" s="2219"/>
      <c r="T100" s="2221"/>
      <c r="U100" s="2220"/>
      <c r="V100" s="2220"/>
      <c r="W100" s="2220"/>
      <c r="X100" s="2220"/>
      <c r="Y100" s="2220"/>
      <c r="Z100" s="1405"/>
      <c r="AA100" s="1405"/>
      <c r="AB100" s="816"/>
      <c r="AC100" s="816"/>
      <c r="AD100" s="816"/>
      <c r="AE100" s="1406"/>
      <c r="AF100" s="1406"/>
      <c r="AG100" s="1406"/>
      <c r="AH100" s="1406"/>
      <c r="AI100" s="1406"/>
      <c r="AJ100" s="1406"/>
      <c r="AK100" s="1406"/>
      <c r="AL100" s="1406"/>
      <c r="AM100" s="1406"/>
      <c r="AN100" s="1406"/>
      <c r="AO100" s="1406"/>
      <c r="AP100" s="1406"/>
      <c r="AQ100" s="1406"/>
      <c r="AR100" s="1406"/>
      <c r="AS100" s="1406"/>
      <c r="AT100" s="1406"/>
      <c r="AU100" s="1406"/>
      <c r="AV100" s="1406"/>
      <c r="AW100" s="1406"/>
      <c r="AX100" s="1406"/>
      <c r="AY100" s="1406"/>
      <c r="AZ100" s="1406"/>
      <c r="BA100" s="1406"/>
      <c r="BB100" s="1406"/>
      <c r="BC100" s="1406"/>
      <c r="BD100" s="1406"/>
      <c r="BE100" s="1406"/>
      <c r="BF100" s="1406"/>
      <c r="BG100" s="1406"/>
      <c r="BH100" s="1968" t="s">
        <v>1523</v>
      </c>
      <c r="BI100" s="1421">
        <v>80</v>
      </c>
      <c r="BJ100" s="1421">
        <v>85</v>
      </c>
      <c r="BK100" s="1421">
        <v>10</v>
      </c>
      <c r="BL100" s="1421">
        <v>8.5</v>
      </c>
      <c r="BM100" s="1421">
        <v>8.5</v>
      </c>
      <c r="BN100" s="1421">
        <v>0</v>
      </c>
      <c r="BO100" s="1421">
        <v>0</v>
      </c>
      <c r="BP100" s="2131">
        <v>30</v>
      </c>
      <c r="BQ100" s="2134">
        <v>0.28250000000000003</v>
      </c>
      <c r="BR100" s="357">
        <v>0</v>
      </c>
    </row>
    <row r="101" spans="1:70" ht="15.75">
      <c r="A101" s="2219"/>
      <c r="B101" s="2220"/>
      <c r="C101" s="2220"/>
      <c r="D101" s="2219"/>
      <c r="E101" s="2220"/>
      <c r="F101" s="2220"/>
      <c r="G101" s="2220"/>
      <c r="H101" s="2220"/>
      <c r="I101" s="2220"/>
      <c r="J101" s="2220"/>
      <c r="K101" s="2220"/>
      <c r="L101" s="2220"/>
      <c r="M101" s="2220"/>
      <c r="N101" s="2220"/>
      <c r="O101" s="2220"/>
      <c r="P101" s="2220"/>
      <c r="Q101" s="2220"/>
      <c r="R101" s="2220"/>
      <c r="S101" s="2219"/>
      <c r="T101" s="2221"/>
      <c r="U101" s="2220"/>
      <c r="V101" s="2220"/>
      <c r="W101" s="2220"/>
      <c r="X101" s="2220"/>
      <c r="Y101" s="2220"/>
      <c r="Z101" s="1405"/>
      <c r="AA101" s="1405"/>
      <c r="AB101" s="816"/>
      <c r="AC101" s="816"/>
      <c r="AD101" s="816"/>
      <c r="AE101" s="1406"/>
      <c r="AF101" s="1406"/>
      <c r="AG101" s="1406"/>
      <c r="AH101" s="1406"/>
      <c r="AI101" s="1406"/>
      <c r="AJ101" s="1406"/>
      <c r="AK101" s="1406"/>
      <c r="AL101" s="1406"/>
      <c r="AM101" s="1406"/>
      <c r="AN101" s="1406"/>
      <c r="AO101" s="1406"/>
      <c r="AP101" s="1406"/>
      <c r="AQ101" s="1406"/>
      <c r="AR101" s="1406"/>
      <c r="AS101" s="1406"/>
      <c r="AT101" s="1406"/>
      <c r="AU101" s="1406"/>
      <c r="AV101" s="1406"/>
      <c r="AW101" s="1406"/>
      <c r="AX101" s="1406"/>
      <c r="AY101" s="1406"/>
      <c r="AZ101" s="1406"/>
      <c r="BA101" s="1406"/>
      <c r="BB101" s="1406"/>
      <c r="BC101" s="1406"/>
      <c r="BD101" s="1406"/>
      <c r="BE101" s="1406"/>
      <c r="BF101" s="1406"/>
      <c r="BG101" s="1406"/>
      <c r="BH101" s="1968" t="s">
        <v>1524</v>
      </c>
      <c r="BI101" s="1421">
        <v>80</v>
      </c>
      <c r="BJ101" s="1421">
        <v>85</v>
      </c>
      <c r="BK101" s="1421">
        <v>10</v>
      </c>
      <c r="BL101" s="1421">
        <v>8.5</v>
      </c>
      <c r="BM101" s="1421">
        <v>8.5</v>
      </c>
      <c r="BN101" s="1421">
        <v>0</v>
      </c>
      <c r="BO101" s="1421">
        <v>0</v>
      </c>
      <c r="BP101" s="2131">
        <v>30</v>
      </c>
      <c r="BQ101" s="2134">
        <v>0.17</v>
      </c>
      <c r="BR101" s="357">
        <v>0</v>
      </c>
    </row>
    <row r="102" spans="1:70" ht="15.75">
      <c r="A102" s="2219"/>
      <c r="B102" s="2220"/>
      <c r="C102" s="2220"/>
      <c r="D102" s="2219"/>
      <c r="E102" s="2220"/>
      <c r="F102" s="2220"/>
      <c r="G102" s="2220"/>
      <c r="H102" s="2220"/>
      <c r="I102" s="2220"/>
      <c r="J102" s="2220"/>
      <c r="K102" s="2220"/>
      <c r="L102" s="2220"/>
      <c r="M102" s="2220"/>
      <c r="N102" s="2220"/>
      <c r="O102" s="2220"/>
      <c r="P102" s="2220"/>
      <c r="Q102" s="2220"/>
      <c r="R102" s="2220"/>
      <c r="S102" s="2219"/>
      <c r="T102" s="2221"/>
      <c r="U102" s="2220"/>
      <c r="V102" s="2220"/>
      <c r="W102" s="2220"/>
      <c r="X102" s="2220"/>
      <c r="Y102" s="2220"/>
      <c r="Z102" s="1408"/>
      <c r="AA102" s="1408"/>
      <c r="AB102" s="816"/>
      <c r="AC102" s="816"/>
      <c r="AD102" s="816"/>
      <c r="AE102" s="1406"/>
      <c r="AF102" s="1406"/>
      <c r="AG102" s="1406"/>
      <c r="AH102" s="1406"/>
      <c r="AI102" s="1406"/>
      <c r="AJ102" s="1406"/>
      <c r="AK102" s="1406"/>
      <c r="AL102" s="1406"/>
      <c r="AM102" s="1406"/>
      <c r="AN102" s="1406"/>
      <c r="AO102" s="1406"/>
      <c r="AP102" s="1406"/>
      <c r="AQ102" s="1406"/>
      <c r="AR102" s="1406"/>
      <c r="AS102" s="1406"/>
      <c r="AT102" s="1406"/>
      <c r="AU102" s="1406"/>
      <c r="AV102" s="1406"/>
      <c r="AW102" s="1406"/>
      <c r="AX102" s="1406"/>
      <c r="AY102" s="1406"/>
      <c r="AZ102" s="1406"/>
      <c r="BA102" s="1406"/>
      <c r="BB102" s="1406"/>
      <c r="BC102" s="1406"/>
      <c r="BD102" s="1406"/>
      <c r="BE102" s="1406"/>
      <c r="BF102" s="1406"/>
      <c r="BG102" s="1406"/>
      <c r="BH102" s="1968" t="s">
        <v>1525</v>
      </c>
      <c r="BI102" s="1421">
        <v>120</v>
      </c>
      <c r="BJ102" s="1421">
        <v>100</v>
      </c>
      <c r="BK102" s="1421">
        <v>10</v>
      </c>
      <c r="BL102" s="1421">
        <v>5</v>
      </c>
      <c r="BM102" s="1421">
        <v>5</v>
      </c>
      <c r="BN102" s="1421">
        <v>0</v>
      </c>
      <c r="BO102" s="1421">
        <v>0</v>
      </c>
      <c r="BP102" s="2131">
        <v>30</v>
      </c>
      <c r="BQ102" s="2134">
        <v>0.14000000000000001</v>
      </c>
      <c r="BR102" s="357">
        <v>0</v>
      </c>
    </row>
    <row r="103" spans="1:70" ht="15.75">
      <c r="A103" s="2219"/>
      <c r="B103" s="2220"/>
      <c r="C103" s="2220"/>
      <c r="D103" s="2219"/>
      <c r="E103" s="2220"/>
      <c r="F103" s="2220"/>
      <c r="G103" s="2220"/>
      <c r="H103" s="2220"/>
      <c r="I103" s="2220"/>
      <c r="J103" s="2220"/>
      <c r="K103" s="2220"/>
      <c r="L103" s="2220"/>
      <c r="M103" s="2220"/>
      <c r="N103" s="2220"/>
      <c r="O103" s="2220"/>
      <c r="P103" s="2220"/>
      <c r="Q103" s="2220"/>
      <c r="R103" s="2220"/>
      <c r="S103" s="2219"/>
      <c r="T103" s="2221"/>
      <c r="U103" s="2220"/>
      <c r="V103" s="2220"/>
      <c r="W103" s="2220"/>
      <c r="X103" s="2220"/>
      <c r="Y103" s="2220"/>
      <c r="Z103" s="1408"/>
      <c r="AA103" s="1408"/>
      <c r="AB103" s="816"/>
      <c r="AC103" s="816"/>
      <c r="AD103" s="816"/>
      <c r="AE103" s="1406"/>
      <c r="AF103" s="1406"/>
      <c r="AG103" s="1406"/>
      <c r="AH103" s="1406"/>
      <c r="AI103" s="1406"/>
      <c r="AJ103" s="1406"/>
      <c r="AK103" s="1406"/>
      <c r="AL103" s="1406"/>
      <c r="AM103" s="1406"/>
      <c r="AN103" s="1406"/>
      <c r="AO103" s="1406"/>
      <c r="AP103" s="1406"/>
      <c r="AQ103" s="1406"/>
      <c r="AR103" s="1406"/>
      <c r="AS103" s="1406"/>
      <c r="AT103" s="1406"/>
      <c r="AU103" s="1406"/>
      <c r="AV103" s="1406"/>
      <c r="AW103" s="1406"/>
      <c r="AX103" s="1406"/>
      <c r="AY103" s="1406"/>
      <c r="AZ103" s="1406"/>
      <c r="BA103" s="1406"/>
      <c r="BB103" s="1406"/>
      <c r="BC103" s="1406"/>
      <c r="BD103" s="1406"/>
      <c r="BE103" s="1406"/>
      <c r="BF103" s="1406"/>
      <c r="BG103" s="1406"/>
      <c r="BH103" s="1968" t="s">
        <v>1526</v>
      </c>
      <c r="BI103" s="1421">
        <v>20</v>
      </c>
      <c r="BJ103" s="1421">
        <v>80</v>
      </c>
      <c r="BK103" s="1421">
        <v>10</v>
      </c>
      <c r="BL103" s="1421">
        <v>8</v>
      </c>
      <c r="BM103" s="1421">
        <v>8</v>
      </c>
      <c r="BN103" s="1421">
        <v>0</v>
      </c>
      <c r="BO103" s="1421">
        <v>0</v>
      </c>
      <c r="BP103" s="2136">
        <v>60</v>
      </c>
      <c r="BQ103" s="2134">
        <v>2.15</v>
      </c>
      <c r="BR103" s="357">
        <v>0</v>
      </c>
    </row>
    <row r="104" spans="1:70" ht="15.75">
      <c r="A104" s="2219"/>
      <c r="B104" s="2220"/>
      <c r="C104" s="2220"/>
      <c r="D104" s="2219"/>
      <c r="E104" s="2220"/>
      <c r="F104" s="2220"/>
      <c r="G104" s="2220"/>
      <c r="H104" s="2220"/>
      <c r="I104" s="2220"/>
      <c r="J104" s="2220"/>
      <c r="K104" s="2220"/>
      <c r="L104" s="2220"/>
      <c r="M104" s="2220"/>
      <c r="N104" s="2220"/>
      <c r="O104" s="2220"/>
      <c r="P104" s="2220"/>
      <c r="Q104" s="2220"/>
      <c r="R104" s="2220"/>
      <c r="S104" s="2219"/>
      <c r="T104" s="2221"/>
      <c r="U104" s="2220"/>
      <c r="V104" s="2220"/>
      <c r="W104" s="2220"/>
      <c r="X104" s="2220"/>
      <c r="Y104" s="2220"/>
      <c r="Z104" s="1408"/>
      <c r="AA104" s="1408"/>
      <c r="AB104" s="816"/>
      <c r="AC104" s="816"/>
      <c r="AD104" s="1350"/>
      <c r="AE104" s="1406"/>
      <c r="AF104" s="1406"/>
      <c r="AG104" s="1406"/>
      <c r="AH104" s="1406"/>
      <c r="AI104" s="1406"/>
      <c r="AJ104" s="1406"/>
      <c r="AK104" s="1406"/>
      <c r="AL104" s="1406"/>
      <c r="AM104" s="1406"/>
      <c r="AN104" s="1406"/>
      <c r="AO104" s="1406"/>
      <c r="AP104" s="1406"/>
      <c r="AQ104" s="1406"/>
      <c r="AR104" s="1406"/>
      <c r="AS104" s="1406"/>
      <c r="AT104" s="1406"/>
      <c r="AU104" s="1406"/>
      <c r="AV104" s="1406"/>
      <c r="AW104" s="1406"/>
      <c r="AX104" s="1406"/>
      <c r="AY104" s="1406"/>
      <c r="AZ104" s="1406"/>
      <c r="BA104" s="1406"/>
      <c r="BB104" s="1406"/>
      <c r="BC104" s="1406"/>
      <c r="BD104" s="1406"/>
      <c r="BE104" s="1406"/>
      <c r="BF104" s="1406"/>
      <c r="BG104" s="1406"/>
      <c r="BH104" s="1968" t="s">
        <v>1527</v>
      </c>
      <c r="BI104" s="1421">
        <v>20</v>
      </c>
      <c r="BJ104" s="1421">
        <v>80</v>
      </c>
      <c r="BK104" s="1421">
        <v>10</v>
      </c>
      <c r="BL104" s="1421">
        <v>8</v>
      </c>
      <c r="BM104" s="1421">
        <v>8</v>
      </c>
      <c r="BN104" s="1421">
        <v>0</v>
      </c>
      <c r="BO104" s="1421">
        <v>0</v>
      </c>
      <c r="BP104" s="2136">
        <v>60</v>
      </c>
      <c r="BQ104" s="2132">
        <v>1.1000000000000001</v>
      </c>
      <c r="BR104" s="357">
        <v>0</v>
      </c>
    </row>
    <row r="105" spans="1:70" ht="15.75">
      <c r="A105" s="2219"/>
      <c r="B105" s="2220"/>
      <c r="C105" s="2220"/>
      <c r="D105" s="2219"/>
      <c r="E105" s="2220"/>
      <c r="F105" s="2220"/>
      <c r="G105" s="2220"/>
      <c r="H105" s="2220"/>
      <c r="I105" s="2220"/>
      <c r="J105" s="2220"/>
      <c r="K105" s="2220"/>
      <c r="L105" s="2220"/>
      <c r="M105" s="2220"/>
      <c r="N105" s="2220"/>
      <c r="O105" s="2220"/>
      <c r="P105" s="2220"/>
      <c r="Q105" s="2220"/>
      <c r="R105" s="2220"/>
      <c r="S105" s="2219"/>
      <c r="T105" s="2221"/>
      <c r="U105" s="2220"/>
      <c r="V105" s="2220"/>
      <c r="W105" s="2220"/>
      <c r="X105" s="2220"/>
      <c r="Y105" s="2220"/>
      <c r="Z105" s="1408"/>
      <c r="AA105" s="1408"/>
      <c r="AB105" s="816"/>
      <c r="AC105" s="816"/>
      <c r="AD105" s="1350"/>
      <c r="AE105" s="1406"/>
      <c r="AF105" s="1406"/>
      <c r="AG105" s="1406"/>
      <c r="AH105" s="1406"/>
      <c r="AI105" s="1406"/>
      <c r="AJ105" s="1406"/>
      <c r="AK105" s="1406"/>
      <c r="AL105" s="1406"/>
      <c r="AM105" s="1406"/>
      <c r="AN105" s="1406"/>
      <c r="AO105" s="1406"/>
      <c r="AP105" s="1406"/>
      <c r="AQ105" s="1406"/>
      <c r="AR105" s="1406"/>
      <c r="AS105" s="1406"/>
      <c r="AT105" s="1406"/>
      <c r="AU105" s="1406"/>
      <c r="AV105" s="1406"/>
      <c r="AW105" s="1406"/>
      <c r="AX105" s="1406"/>
      <c r="AY105" s="1406"/>
      <c r="AZ105" s="1406"/>
      <c r="BA105" s="1406"/>
      <c r="BB105" s="1406"/>
      <c r="BC105" s="1406"/>
      <c r="BD105" s="1406"/>
      <c r="BE105" s="1406"/>
      <c r="BF105" s="1406"/>
      <c r="BG105" s="1406"/>
      <c r="BH105" s="1968" t="s">
        <v>1528</v>
      </c>
      <c r="BI105" s="1421">
        <v>200</v>
      </c>
      <c r="BJ105" s="1421">
        <v>115</v>
      </c>
      <c r="BK105" s="1421">
        <v>10</v>
      </c>
      <c r="BL105" s="1421">
        <v>11.5</v>
      </c>
      <c r="BM105" s="1421">
        <v>11.5</v>
      </c>
      <c r="BN105" s="1421">
        <v>0</v>
      </c>
      <c r="BO105" s="1421">
        <v>0</v>
      </c>
      <c r="BP105" s="2131">
        <v>30</v>
      </c>
      <c r="BQ105" s="2132">
        <v>0.1</v>
      </c>
      <c r="BR105" s="357">
        <v>0</v>
      </c>
    </row>
    <row r="106" spans="1:70" ht="15.75">
      <c r="A106" s="2219"/>
      <c r="B106" s="2220"/>
      <c r="C106" s="2220"/>
      <c r="D106" s="2219"/>
      <c r="E106" s="2220"/>
      <c r="F106" s="2220"/>
      <c r="G106" s="2220"/>
      <c r="H106" s="2220"/>
      <c r="I106" s="2220"/>
      <c r="J106" s="2220"/>
      <c r="K106" s="2220"/>
      <c r="L106" s="2220"/>
      <c r="M106" s="2220"/>
      <c r="N106" s="2220"/>
      <c r="O106" s="2220"/>
      <c r="P106" s="2220"/>
      <c r="Q106" s="2220"/>
      <c r="R106" s="2220"/>
      <c r="S106" s="2219"/>
      <c r="T106" s="2221"/>
      <c r="U106" s="2220"/>
      <c r="V106" s="2220"/>
      <c r="W106" s="2220"/>
      <c r="X106" s="2220"/>
      <c r="Y106" s="2220"/>
      <c r="Z106" s="1408"/>
      <c r="AA106" s="1408"/>
      <c r="AB106" s="816"/>
      <c r="AC106" s="816"/>
      <c r="AD106" s="1350"/>
      <c r="AE106" s="1406"/>
      <c r="AF106" s="1406"/>
      <c r="AG106" s="1406"/>
      <c r="AH106" s="1406"/>
      <c r="AI106" s="1406"/>
      <c r="AJ106" s="1406"/>
      <c r="AK106" s="1406"/>
      <c r="AL106" s="1406"/>
      <c r="AM106" s="1406"/>
      <c r="AN106" s="1406"/>
      <c r="AO106" s="1406"/>
      <c r="AP106" s="1406"/>
      <c r="AQ106" s="1406"/>
      <c r="AR106" s="1406"/>
      <c r="AS106" s="1406"/>
      <c r="AT106" s="1406"/>
      <c r="AU106" s="1406"/>
      <c r="AV106" s="1406"/>
      <c r="AW106" s="1406"/>
      <c r="AX106" s="1406"/>
      <c r="AY106" s="1406"/>
      <c r="AZ106" s="1406"/>
      <c r="BA106" s="1406"/>
      <c r="BB106" s="1406"/>
      <c r="BC106" s="1406"/>
      <c r="BD106" s="1406"/>
      <c r="BE106" s="1406"/>
      <c r="BF106" s="1406"/>
      <c r="BG106" s="1406"/>
      <c r="BH106" s="1968" t="s">
        <v>1529</v>
      </c>
      <c r="BI106" s="1421">
        <v>70</v>
      </c>
      <c r="BJ106" s="1421">
        <v>160</v>
      </c>
      <c r="BK106" s="1421">
        <v>10</v>
      </c>
      <c r="BL106" s="1421">
        <v>16</v>
      </c>
      <c r="BM106" s="1421">
        <v>16</v>
      </c>
      <c r="BN106" s="1421">
        <v>0</v>
      </c>
      <c r="BO106" s="1421">
        <v>0</v>
      </c>
      <c r="BP106" s="2131">
        <v>30</v>
      </c>
      <c r="BQ106" s="2134">
        <v>0.32</v>
      </c>
      <c r="BR106" s="357">
        <v>0</v>
      </c>
    </row>
    <row r="107" spans="1:70" ht="15.75">
      <c r="A107" s="2219"/>
      <c r="B107" s="2220"/>
      <c r="C107" s="2220"/>
      <c r="D107" s="2219"/>
      <c r="E107" s="2220"/>
      <c r="F107" s="2220"/>
      <c r="G107" s="2220"/>
      <c r="H107" s="2220"/>
      <c r="I107" s="2220"/>
      <c r="J107" s="2220"/>
      <c r="K107" s="2220"/>
      <c r="L107" s="2220"/>
      <c r="M107" s="2220"/>
      <c r="N107" s="2220"/>
      <c r="O107" s="2220"/>
      <c r="P107" s="2220"/>
      <c r="Q107" s="2220"/>
      <c r="R107" s="2220"/>
      <c r="S107" s="2219"/>
      <c r="T107" s="2221"/>
      <c r="U107" s="2220"/>
      <c r="V107" s="2220"/>
      <c r="W107" s="2220"/>
      <c r="X107" s="2220"/>
      <c r="Y107" s="2220"/>
      <c r="Z107" s="1405"/>
      <c r="AA107" s="1405"/>
      <c r="AB107" s="816"/>
      <c r="AC107" s="816"/>
      <c r="AD107" s="1350"/>
      <c r="AE107" s="1406"/>
      <c r="AF107" s="1406"/>
      <c r="AG107" s="1406"/>
      <c r="AH107" s="1406"/>
      <c r="AI107" s="1406"/>
      <c r="AJ107" s="1406"/>
      <c r="AK107" s="1406"/>
      <c r="AL107" s="1406"/>
      <c r="AM107" s="1406"/>
      <c r="AN107" s="1406"/>
      <c r="AO107" s="1406"/>
      <c r="AP107" s="1406"/>
      <c r="AQ107" s="1406"/>
      <c r="AR107" s="1406"/>
      <c r="AS107" s="1406"/>
      <c r="AT107" s="1406"/>
      <c r="AU107" s="1406"/>
      <c r="AV107" s="1406"/>
      <c r="AW107" s="1406"/>
      <c r="AX107" s="1406"/>
      <c r="AY107" s="1406"/>
      <c r="AZ107" s="1406"/>
      <c r="BA107" s="1406"/>
      <c r="BB107" s="1406"/>
      <c r="BC107" s="1406"/>
      <c r="BD107" s="1406"/>
      <c r="BE107" s="1406"/>
      <c r="BF107" s="1406"/>
      <c r="BG107" s="1406"/>
      <c r="BH107" s="1968" t="s">
        <v>1530</v>
      </c>
      <c r="BI107" s="1421">
        <v>70</v>
      </c>
      <c r="BJ107" s="1421">
        <v>160</v>
      </c>
      <c r="BK107" s="1421">
        <v>10</v>
      </c>
      <c r="BL107" s="1421">
        <v>16</v>
      </c>
      <c r="BM107" s="1421">
        <v>16</v>
      </c>
      <c r="BN107" s="1421">
        <v>0</v>
      </c>
      <c r="BO107" s="1421">
        <v>0</v>
      </c>
      <c r="BP107" s="2131">
        <v>30</v>
      </c>
      <c r="BQ107" s="2132">
        <v>0.19</v>
      </c>
      <c r="BR107" s="357">
        <v>0</v>
      </c>
    </row>
    <row r="108" spans="1:70" ht="15.75">
      <c r="A108" s="2219"/>
      <c r="B108" s="2220"/>
      <c r="C108" s="2220"/>
      <c r="D108" s="2219"/>
      <c r="E108" s="2220"/>
      <c r="F108" s="2220"/>
      <c r="G108" s="2220"/>
      <c r="H108" s="2220"/>
      <c r="I108" s="2220"/>
      <c r="J108" s="2220"/>
      <c r="K108" s="2220"/>
      <c r="L108" s="2220"/>
      <c r="M108" s="2220"/>
      <c r="N108" s="2220"/>
      <c r="O108" s="2220"/>
      <c r="P108" s="2220"/>
      <c r="Q108" s="2220"/>
      <c r="R108" s="2220"/>
      <c r="S108" s="2219"/>
      <c r="T108" s="2221"/>
      <c r="U108" s="2220"/>
      <c r="V108" s="2220"/>
      <c r="W108" s="2220"/>
      <c r="X108" s="2220"/>
      <c r="Y108" s="2220"/>
      <c r="Z108" s="1344"/>
      <c r="AA108" s="1344"/>
      <c r="AB108" s="816"/>
      <c r="AC108" s="816"/>
      <c r="AD108" s="1350"/>
      <c r="AE108" s="1406"/>
      <c r="AF108" s="1406"/>
      <c r="AG108" s="1406"/>
      <c r="AH108" s="1406"/>
      <c r="AI108" s="1406"/>
      <c r="AJ108" s="1406"/>
      <c r="AK108" s="1406"/>
      <c r="AL108" s="1406"/>
      <c r="AM108" s="1406"/>
      <c r="AN108" s="1406"/>
      <c r="AO108" s="1406"/>
      <c r="AP108" s="1406"/>
      <c r="AQ108" s="1406"/>
      <c r="AR108" s="1406"/>
      <c r="AS108" s="1406"/>
      <c r="AT108" s="1406"/>
      <c r="AU108" s="1406"/>
      <c r="AV108" s="1406"/>
      <c r="AW108" s="1406"/>
      <c r="AX108" s="1406"/>
      <c r="AY108" s="1406"/>
      <c r="AZ108" s="1406"/>
      <c r="BA108" s="1406"/>
      <c r="BB108" s="1406"/>
      <c r="BC108" s="1406"/>
      <c r="BD108" s="1406"/>
      <c r="BE108" s="1406"/>
      <c r="BF108" s="1406"/>
      <c r="BG108" s="1406"/>
      <c r="BH108" s="1968" t="s">
        <v>1531</v>
      </c>
      <c r="BI108" s="1421">
        <v>95</v>
      </c>
      <c r="BJ108" s="1421">
        <v>40</v>
      </c>
      <c r="BK108" s="1421">
        <v>9.5</v>
      </c>
      <c r="BL108" s="1421">
        <v>2</v>
      </c>
      <c r="BM108" s="1421">
        <v>2</v>
      </c>
      <c r="BN108" s="1421">
        <v>0</v>
      </c>
      <c r="BO108" s="1421">
        <v>0</v>
      </c>
      <c r="BP108" s="2133">
        <v>30</v>
      </c>
      <c r="BQ108" s="2134">
        <v>0.12</v>
      </c>
      <c r="BR108" s="357">
        <v>0</v>
      </c>
    </row>
    <row r="109" spans="1:70" ht="15.75">
      <c r="A109" s="2219"/>
      <c r="B109" s="2220"/>
      <c r="C109" s="2220"/>
      <c r="D109" s="2219"/>
      <c r="E109" s="2220"/>
      <c r="F109" s="2220"/>
      <c r="G109" s="2220"/>
      <c r="H109" s="2220"/>
      <c r="I109" s="2220"/>
      <c r="J109" s="2220"/>
      <c r="K109" s="2220"/>
      <c r="L109" s="2220"/>
      <c r="M109" s="2220"/>
      <c r="N109" s="2220"/>
      <c r="O109" s="2220"/>
      <c r="P109" s="2220"/>
      <c r="Q109" s="2220"/>
      <c r="R109" s="2220"/>
      <c r="S109" s="2219"/>
      <c r="T109" s="2221"/>
      <c r="U109" s="2220"/>
      <c r="V109" s="2220"/>
      <c r="W109" s="2220"/>
      <c r="X109" s="2220"/>
      <c r="Y109" s="2220"/>
      <c r="Z109" s="1344"/>
      <c r="AA109" s="1344"/>
      <c r="AB109" s="816"/>
      <c r="AC109" s="816"/>
      <c r="AD109" s="816"/>
      <c r="AE109" s="1403"/>
      <c r="AF109" s="1403"/>
      <c r="AG109" s="1403"/>
      <c r="AH109" s="1403"/>
      <c r="AI109" s="1403"/>
      <c r="AJ109" s="1403"/>
      <c r="AK109" s="1403"/>
      <c r="AL109" s="1403"/>
      <c r="AM109" s="1403"/>
      <c r="AN109" s="1403"/>
      <c r="AO109" s="1403"/>
      <c r="AP109" s="1403"/>
      <c r="AQ109" s="1403"/>
      <c r="AR109" s="1403"/>
      <c r="AS109" s="1403"/>
      <c r="AT109" s="1403"/>
      <c r="AU109" s="1403"/>
      <c r="AV109" s="1403"/>
      <c r="AW109" s="1403"/>
      <c r="AX109" s="1403"/>
      <c r="AY109" s="1403"/>
      <c r="AZ109" s="1403"/>
      <c r="BA109" s="1403"/>
      <c r="BB109" s="1403"/>
      <c r="BC109" s="1403"/>
      <c r="BD109" s="1403"/>
      <c r="BE109" s="1403"/>
      <c r="BF109" s="1403"/>
      <c r="BG109" s="1403"/>
      <c r="BH109" s="1968" t="s">
        <v>1532</v>
      </c>
      <c r="BI109" s="1421">
        <v>25</v>
      </c>
      <c r="BJ109" s="1421">
        <v>30</v>
      </c>
      <c r="BK109" s="1421">
        <v>10</v>
      </c>
      <c r="BL109" s="1421">
        <v>2</v>
      </c>
      <c r="BM109" s="1421">
        <v>2</v>
      </c>
      <c r="BN109" s="1421">
        <v>0</v>
      </c>
      <c r="BO109" s="1421">
        <v>0</v>
      </c>
      <c r="BP109" s="2133">
        <v>30</v>
      </c>
      <c r="BQ109" s="2134">
        <v>0.22</v>
      </c>
      <c r="BR109" s="357">
        <v>0</v>
      </c>
    </row>
    <row r="110" spans="1:70" ht="15.75">
      <c r="A110" s="2219"/>
      <c r="B110" s="2220"/>
      <c r="C110" s="2220"/>
      <c r="D110" s="2219"/>
      <c r="E110" s="2220"/>
      <c r="F110" s="2220"/>
      <c r="G110" s="2220"/>
      <c r="H110" s="2220"/>
      <c r="I110" s="2220"/>
      <c r="J110" s="2220"/>
      <c r="K110" s="2220"/>
      <c r="L110" s="2220"/>
      <c r="M110" s="2220"/>
      <c r="N110" s="2220"/>
      <c r="O110" s="2220"/>
      <c r="P110" s="2220"/>
      <c r="Q110" s="2220"/>
      <c r="R110" s="2220"/>
      <c r="S110" s="2219"/>
      <c r="T110" s="2221"/>
      <c r="U110" s="2220"/>
      <c r="V110" s="2220"/>
      <c r="W110" s="2220"/>
      <c r="X110" s="2220"/>
      <c r="Y110" s="2220"/>
      <c r="Z110" s="1344"/>
      <c r="AA110" s="1344"/>
      <c r="AB110" s="816"/>
      <c r="AC110" s="816"/>
      <c r="AD110" s="1350"/>
      <c r="AE110" s="1406"/>
      <c r="AF110" s="1406"/>
      <c r="AG110" s="1406"/>
      <c r="AH110" s="1406"/>
      <c r="AI110" s="1406"/>
      <c r="AJ110" s="1406"/>
      <c r="AK110" s="1406"/>
      <c r="AL110" s="1406"/>
      <c r="AM110" s="1406"/>
      <c r="AN110" s="1406"/>
      <c r="AO110" s="1406"/>
      <c r="AP110" s="1406"/>
      <c r="AQ110" s="1406"/>
      <c r="AR110" s="1406"/>
      <c r="AS110" s="1406"/>
      <c r="AT110" s="1406"/>
      <c r="AU110" s="1406"/>
      <c r="AV110" s="1406"/>
      <c r="AW110" s="1406"/>
      <c r="AX110" s="1406"/>
      <c r="AY110" s="1406"/>
      <c r="AZ110" s="1406"/>
      <c r="BA110" s="1406"/>
      <c r="BB110" s="1406"/>
      <c r="BC110" s="1406"/>
      <c r="BD110" s="1406"/>
      <c r="BE110" s="1406"/>
      <c r="BF110" s="1406"/>
      <c r="BG110" s="1406"/>
      <c r="BH110" s="1968" t="s">
        <v>1533</v>
      </c>
      <c r="BI110" s="1421">
        <v>20</v>
      </c>
      <c r="BJ110" s="1421">
        <v>110</v>
      </c>
      <c r="BK110" s="1421">
        <v>10</v>
      </c>
      <c r="BL110" s="1421">
        <v>11</v>
      </c>
      <c r="BM110" s="1421">
        <v>11</v>
      </c>
      <c r="BN110" s="1421">
        <v>0</v>
      </c>
      <c r="BO110" s="1421">
        <v>0</v>
      </c>
      <c r="BP110" s="2136">
        <v>60</v>
      </c>
      <c r="BQ110" s="2134">
        <v>2.7249999999999996</v>
      </c>
      <c r="BR110" s="357">
        <v>0</v>
      </c>
    </row>
    <row r="111" spans="1:70" ht="15.75">
      <c r="A111" s="2219"/>
      <c r="B111" s="2220"/>
      <c r="C111" s="2220"/>
      <c r="D111" s="2219"/>
      <c r="E111" s="2220"/>
      <c r="F111" s="2220"/>
      <c r="G111" s="2220"/>
      <c r="H111" s="2220"/>
      <c r="I111" s="2220"/>
      <c r="J111" s="2220"/>
      <c r="K111" s="2220"/>
      <c r="L111" s="2220"/>
      <c r="M111" s="2220"/>
      <c r="N111" s="2220"/>
      <c r="O111" s="2220"/>
      <c r="P111" s="2220"/>
      <c r="Q111" s="2220"/>
      <c r="R111" s="2220"/>
      <c r="S111" s="2219"/>
      <c r="T111" s="2221"/>
      <c r="U111" s="2220"/>
      <c r="V111" s="2220"/>
      <c r="W111" s="2220"/>
      <c r="X111" s="2220"/>
      <c r="Y111" s="2220"/>
      <c r="Z111" s="1405"/>
      <c r="AA111" s="1405"/>
      <c r="AB111" s="1327"/>
      <c r="AC111" s="1327"/>
      <c r="AD111" s="1327"/>
      <c r="AE111" s="1409"/>
      <c r="AF111" s="1409"/>
      <c r="AG111" s="1409"/>
      <c r="AH111" s="1409"/>
      <c r="AI111" s="1410"/>
      <c r="AJ111" s="1410"/>
      <c r="AK111" s="1410"/>
      <c r="AL111" s="1410"/>
      <c r="AM111" s="1410"/>
      <c r="AN111" s="1410"/>
      <c r="AO111" s="1410"/>
      <c r="AP111" s="1410"/>
      <c r="AQ111" s="1410"/>
      <c r="AR111" s="1410"/>
      <c r="AS111" s="1410"/>
      <c r="AT111" s="1410"/>
      <c r="AU111" s="1410"/>
      <c r="AV111" s="1410"/>
      <c r="AW111" s="1410"/>
      <c r="AX111" s="1410"/>
      <c r="AY111" s="1410"/>
      <c r="AZ111" s="1410"/>
      <c r="BA111" s="1410"/>
      <c r="BB111" s="1410"/>
      <c r="BC111" s="1410"/>
      <c r="BD111" s="1410"/>
      <c r="BE111" s="1410"/>
      <c r="BF111" s="1410"/>
      <c r="BG111" s="1410"/>
      <c r="BH111" s="1968" t="s">
        <v>1534</v>
      </c>
      <c r="BI111" s="1421">
        <v>20</v>
      </c>
      <c r="BJ111" s="1421">
        <v>110</v>
      </c>
      <c r="BK111" s="1421">
        <v>10</v>
      </c>
      <c r="BL111" s="1421">
        <v>11</v>
      </c>
      <c r="BM111" s="1421">
        <v>11</v>
      </c>
      <c r="BN111" s="1421">
        <v>0</v>
      </c>
      <c r="BO111" s="1421">
        <v>0</v>
      </c>
      <c r="BP111" s="2136">
        <v>60</v>
      </c>
      <c r="BQ111" s="2134">
        <v>1.1499999999999999</v>
      </c>
      <c r="BR111" s="357">
        <v>0</v>
      </c>
    </row>
    <row r="112" spans="1:70" ht="15.75">
      <c r="A112" s="2219"/>
      <c r="B112" s="2220"/>
      <c r="C112" s="2220"/>
      <c r="D112" s="2219"/>
      <c r="E112" s="2220"/>
      <c r="F112" s="2220"/>
      <c r="G112" s="2220"/>
      <c r="H112" s="2220"/>
      <c r="I112" s="2220"/>
      <c r="J112" s="2220"/>
      <c r="K112" s="2220"/>
      <c r="L112" s="2220"/>
      <c r="M112" s="2220"/>
      <c r="N112" s="2220"/>
      <c r="O112" s="2220"/>
      <c r="P112" s="2220"/>
      <c r="Q112" s="2220"/>
      <c r="R112" s="2220"/>
      <c r="S112" s="2219"/>
      <c r="T112" s="2221"/>
      <c r="U112" s="2220"/>
      <c r="V112" s="2220"/>
      <c r="W112" s="2220"/>
      <c r="X112" s="2220"/>
      <c r="Y112" s="2220"/>
      <c r="Z112" s="1405"/>
      <c r="AA112" s="1405"/>
      <c r="AB112" s="1327"/>
      <c r="AC112" s="1327"/>
      <c r="AD112" s="1327"/>
      <c r="AE112" s="1409"/>
      <c r="AF112" s="1409"/>
      <c r="AG112" s="1409"/>
      <c r="AH112" s="1409"/>
      <c r="AI112" s="1410"/>
      <c r="AJ112" s="1410"/>
      <c r="AK112" s="1410"/>
      <c r="AL112" s="1410"/>
      <c r="AM112" s="1410"/>
      <c r="AN112" s="1410"/>
      <c r="AO112" s="1410"/>
      <c r="AP112" s="1410"/>
      <c r="AQ112" s="1410"/>
      <c r="AR112" s="1410"/>
      <c r="AS112" s="1410"/>
      <c r="AT112" s="1410"/>
      <c r="AU112" s="1410"/>
      <c r="AV112" s="1410"/>
      <c r="AW112" s="1410"/>
      <c r="AX112" s="1410"/>
      <c r="AY112" s="1410"/>
      <c r="AZ112" s="1410"/>
      <c r="BA112" s="1410"/>
      <c r="BB112" s="1410"/>
      <c r="BC112" s="1410"/>
      <c r="BD112" s="1410"/>
      <c r="BE112" s="1410"/>
      <c r="BF112" s="1410"/>
      <c r="BG112" s="1410"/>
      <c r="BH112" s="1968" t="s">
        <v>1535</v>
      </c>
      <c r="BI112" s="1421">
        <v>23</v>
      </c>
      <c r="BJ112" s="1421">
        <v>120</v>
      </c>
      <c r="BK112" s="1421">
        <v>10</v>
      </c>
      <c r="BL112" s="1421">
        <v>12</v>
      </c>
      <c r="BM112" s="1421">
        <v>12</v>
      </c>
      <c r="BN112" s="1421">
        <v>0</v>
      </c>
      <c r="BO112" s="1421">
        <v>0</v>
      </c>
      <c r="BP112" s="2131">
        <v>60</v>
      </c>
      <c r="BQ112" s="2134">
        <v>2.7021739130434779</v>
      </c>
      <c r="BR112" s="357">
        <v>0</v>
      </c>
    </row>
    <row r="113" spans="1:70">
      <c r="A113" s="2219"/>
      <c r="B113" s="2220"/>
      <c r="C113" s="2220"/>
      <c r="D113" s="2219"/>
      <c r="E113" s="2220"/>
      <c r="F113" s="2220"/>
      <c r="G113" s="2220"/>
      <c r="H113" s="2220"/>
      <c r="I113" s="2220"/>
      <c r="J113" s="2220"/>
      <c r="K113" s="2220"/>
      <c r="L113" s="2220"/>
      <c r="M113" s="2220"/>
      <c r="N113" s="2220"/>
      <c r="O113" s="2220"/>
      <c r="P113" s="2220"/>
      <c r="Q113" s="2220"/>
      <c r="R113" s="2220"/>
      <c r="S113" s="2219"/>
      <c r="T113" s="2221"/>
      <c r="U113" s="2220"/>
      <c r="V113" s="2220"/>
      <c r="W113" s="2220"/>
      <c r="X113" s="2220"/>
      <c r="Y113" s="2220"/>
      <c r="Z113" s="1327"/>
      <c r="AA113" s="1327"/>
      <c r="AB113" s="1327"/>
      <c r="AC113" s="1327"/>
      <c r="AD113" s="1327"/>
      <c r="AE113" s="1327"/>
      <c r="AF113" s="1327"/>
      <c r="AG113" s="1327"/>
      <c r="AH113" s="1327"/>
      <c r="BH113" s="1968" t="s">
        <v>1536</v>
      </c>
      <c r="BI113" s="1421">
        <v>23</v>
      </c>
      <c r="BJ113" s="1421">
        <v>120</v>
      </c>
      <c r="BK113" s="1421">
        <v>10</v>
      </c>
      <c r="BL113" s="1421">
        <v>12</v>
      </c>
      <c r="BM113" s="1421">
        <v>12</v>
      </c>
      <c r="BN113" s="1421">
        <v>0</v>
      </c>
      <c r="BO113" s="1421">
        <v>0</v>
      </c>
      <c r="BP113" s="2131">
        <v>60</v>
      </c>
      <c r="BQ113" s="2132">
        <v>1.1499999999999999</v>
      </c>
      <c r="BR113" s="357">
        <v>0</v>
      </c>
    </row>
    <row r="114" spans="1:70" ht="15.75">
      <c r="A114" s="2219"/>
      <c r="B114" s="2220"/>
      <c r="C114" s="2220"/>
      <c r="D114" s="2219"/>
      <c r="E114" s="2220"/>
      <c r="F114" s="2220"/>
      <c r="G114" s="2220"/>
      <c r="H114" s="2220"/>
      <c r="I114" s="2220"/>
      <c r="J114" s="2220"/>
      <c r="K114" s="2220"/>
      <c r="L114" s="2220"/>
      <c r="M114" s="2220"/>
      <c r="N114" s="2220"/>
      <c r="O114" s="2220"/>
      <c r="P114" s="2220"/>
      <c r="Q114" s="2220"/>
      <c r="R114" s="2220"/>
      <c r="S114" s="2219"/>
      <c r="T114" s="2221"/>
      <c r="U114" s="2220"/>
      <c r="V114" s="2220"/>
      <c r="W114" s="2220"/>
      <c r="X114" s="2220"/>
      <c r="Y114" s="2220"/>
      <c r="Z114" s="1327"/>
      <c r="AA114" s="1327"/>
      <c r="AB114" s="1327"/>
      <c r="AC114" s="1327"/>
      <c r="AD114" s="1411"/>
      <c r="AE114" s="1412"/>
      <c r="AF114" s="1412"/>
      <c r="AG114" s="1412"/>
      <c r="AH114" s="1412"/>
      <c r="AI114" s="1413"/>
      <c r="AJ114" s="1413"/>
      <c r="AK114" s="1413"/>
      <c r="AL114" s="1413"/>
      <c r="AM114" s="1413"/>
      <c r="AN114" s="1413"/>
      <c r="AO114" s="1413"/>
      <c r="AP114" s="1413"/>
      <c r="AQ114" s="1413"/>
      <c r="AR114" s="1413"/>
      <c r="AS114" s="1413"/>
      <c r="AT114" s="1413"/>
      <c r="AU114" s="1413"/>
      <c r="AV114" s="1413"/>
      <c r="AW114" s="1413"/>
      <c r="AX114" s="1413"/>
      <c r="AY114" s="1413"/>
      <c r="AZ114" s="1413"/>
      <c r="BA114" s="1413"/>
      <c r="BB114" s="1413"/>
      <c r="BC114" s="1413"/>
      <c r="BD114" s="1413"/>
      <c r="BE114" s="1413"/>
      <c r="BF114" s="1413"/>
      <c r="BG114" s="1413"/>
      <c r="BH114" s="1968" t="s">
        <v>1537</v>
      </c>
      <c r="BI114" s="1421">
        <v>0</v>
      </c>
      <c r="BJ114" s="1421">
        <v>20</v>
      </c>
      <c r="BK114" s="1421">
        <v>10</v>
      </c>
      <c r="BL114" s="1421">
        <v>1</v>
      </c>
      <c r="BM114" s="1421">
        <v>1</v>
      </c>
      <c r="BN114" s="1421">
        <v>0</v>
      </c>
      <c r="BO114" s="1421">
        <v>0</v>
      </c>
      <c r="BP114" s="2133">
        <v>60</v>
      </c>
      <c r="BQ114" s="2134">
        <v>1.1499999999999999</v>
      </c>
      <c r="BR114" s="357">
        <v>0</v>
      </c>
    </row>
    <row r="115" spans="1:70" ht="15.75">
      <c r="A115" s="2219"/>
      <c r="B115" s="2220"/>
      <c r="C115" s="2220"/>
      <c r="D115" s="2219"/>
      <c r="E115" s="2220"/>
      <c r="F115" s="2220"/>
      <c r="G115" s="2220"/>
      <c r="H115" s="2220"/>
      <c r="I115" s="2220"/>
      <c r="J115" s="2220"/>
      <c r="K115" s="2220"/>
      <c r="L115" s="2220"/>
      <c r="M115" s="2220"/>
      <c r="N115" s="2220"/>
      <c r="O115" s="2220"/>
      <c r="P115" s="2220"/>
      <c r="Q115" s="2220"/>
      <c r="R115" s="2220"/>
      <c r="S115" s="2219"/>
      <c r="T115" s="2221"/>
      <c r="U115" s="2220"/>
      <c r="V115" s="2220"/>
      <c r="W115" s="2220"/>
      <c r="X115" s="2220"/>
      <c r="Y115" s="2220"/>
      <c r="Z115" s="1327"/>
      <c r="AA115" s="1327"/>
      <c r="AB115" s="1327"/>
      <c r="AC115" s="1327"/>
      <c r="AD115" s="1411"/>
      <c r="AE115" s="820"/>
      <c r="AF115" s="820"/>
      <c r="AG115" s="820"/>
      <c r="AH115" s="820"/>
      <c r="AI115" s="1386"/>
      <c r="AJ115" s="1386"/>
      <c r="AK115" s="1386"/>
      <c r="AL115" s="1386"/>
      <c r="AM115" s="1386"/>
      <c r="AN115" s="1386"/>
      <c r="AO115" s="1386"/>
      <c r="AP115" s="1386"/>
      <c r="AQ115" s="1386"/>
      <c r="AR115" s="1386"/>
      <c r="AS115" s="1386"/>
      <c r="AT115" s="1386"/>
      <c r="AU115" s="1386"/>
      <c r="AV115" s="1386"/>
      <c r="AW115" s="1386"/>
      <c r="AX115" s="1386"/>
      <c r="AY115" s="1386"/>
      <c r="AZ115" s="1386"/>
      <c r="BA115" s="1386"/>
      <c r="BB115" s="1386"/>
      <c r="BC115" s="1386"/>
      <c r="BD115" s="1386"/>
      <c r="BE115" s="1386"/>
      <c r="BF115" s="1386"/>
      <c r="BG115" s="1386"/>
      <c r="BH115" s="1968" t="s">
        <v>1538</v>
      </c>
      <c r="BI115" s="1421">
        <v>25</v>
      </c>
      <c r="BJ115" s="1421">
        <v>90</v>
      </c>
      <c r="BK115" s="1421">
        <v>10</v>
      </c>
      <c r="BL115" s="1421">
        <v>9</v>
      </c>
      <c r="BM115" s="1421">
        <v>9</v>
      </c>
      <c r="BN115" s="1421">
        <v>0</v>
      </c>
      <c r="BO115" s="1421">
        <v>0</v>
      </c>
      <c r="BP115" s="2136">
        <v>60</v>
      </c>
      <c r="BQ115" s="2132">
        <v>0.13</v>
      </c>
      <c r="BR115" s="357">
        <v>0</v>
      </c>
    </row>
    <row r="116" spans="1:70" ht="15.75">
      <c r="A116" s="2219"/>
      <c r="B116" s="2220"/>
      <c r="C116" s="2220"/>
      <c r="D116" s="2219"/>
      <c r="E116" s="2220"/>
      <c r="F116" s="2220"/>
      <c r="G116" s="2220"/>
      <c r="H116" s="2220"/>
      <c r="I116" s="2220"/>
      <c r="J116" s="2220"/>
      <c r="K116" s="2220"/>
      <c r="L116" s="2220"/>
      <c r="M116" s="2220"/>
      <c r="N116" s="2220"/>
      <c r="O116" s="2220"/>
      <c r="P116" s="2220"/>
      <c r="Q116" s="2220"/>
      <c r="R116" s="2220"/>
      <c r="S116" s="2219"/>
      <c r="T116" s="2221"/>
      <c r="U116" s="2220"/>
      <c r="V116" s="2220"/>
      <c r="W116" s="2220"/>
      <c r="X116" s="2220"/>
      <c r="Y116" s="2220"/>
      <c r="Z116" s="1327"/>
      <c r="AA116" s="1327"/>
      <c r="AB116" s="1327"/>
      <c r="AC116" s="1327"/>
      <c r="AD116" s="1411"/>
      <c r="AE116" s="820"/>
      <c r="AF116" s="820"/>
      <c r="AG116" s="820"/>
      <c r="AH116" s="820"/>
      <c r="AI116" s="1386"/>
      <c r="AJ116" s="1386"/>
      <c r="AK116" s="1386"/>
      <c r="AL116" s="1386"/>
      <c r="AM116" s="1386"/>
      <c r="AN116" s="1386"/>
      <c r="AO116" s="1386"/>
      <c r="AP116" s="1386"/>
      <c r="AQ116" s="1386"/>
      <c r="AR116" s="1386"/>
      <c r="AS116" s="1386"/>
      <c r="AT116" s="1386"/>
      <c r="AU116" s="1386"/>
      <c r="AV116" s="1386"/>
      <c r="AW116" s="1386"/>
      <c r="AX116" s="1386"/>
      <c r="AY116" s="1386"/>
      <c r="AZ116" s="1386"/>
      <c r="BA116" s="1386"/>
      <c r="BB116" s="1386"/>
      <c r="BC116" s="1386"/>
      <c r="BD116" s="1386"/>
      <c r="BE116" s="1386"/>
      <c r="BF116" s="1386"/>
      <c r="BG116" s="1386"/>
      <c r="BH116" s="1968" t="s">
        <v>1539</v>
      </c>
      <c r="BI116" s="1421">
        <v>550</v>
      </c>
      <c r="BJ116" s="1421">
        <v>245</v>
      </c>
      <c r="BK116" s="1421">
        <v>10</v>
      </c>
      <c r="BL116" s="1421">
        <v>25</v>
      </c>
      <c r="BM116" s="1421">
        <v>25</v>
      </c>
      <c r="BN116" s="1421">
        <v>0</v>
      </c>
      <c r="BO116" s="1421">
        <v>0</v>
      </c>
      <c r="BP116" s="2131">
        <v>60</v>
      </c>
      <c r="BQ116" s="2132">
        <v>0.11</v>
      </c>
      <c r="BR116" s="357">
        <v>0</v>
      </c>
    </row>
    <row r="117" spans="1:70" ht="15.75">
      <c r="A117" s="2219"/>
      <c r="B117" s="2220"/>
      <c r="C117" s="2220"/>
      <c r="D117" s="2219"/>
      <c r="E117" s="2220"/>
      <c r="F117" s="2220"/>
      <c r="G117" s="2220"/>
      <c r="H117" s="2220"/>
      <c r="I117" s="2220"/>
      <c r="J117" s="2220"/>
      <c r="K117" s="2220"/>
      <c r="L117" s="2220"/>
      <c r="M117" s="2220"/>
      <c r="N117" s="2220"/>
      <c r="O117" s="2220"/>
      <c r="P117" s="2220"/>
      <c r="Q117" s="2220"/>
      <c r="R117" s="2220"/>
      <c r="S117" s="2219"/>
      <c r="T117" s="2221"/>
      <c r="U117" s="2220"/>
      <c r="V117" s="2220"/>
      <c r="W117" s="2220"/>
      <c r="X117" s="2220"/>
      <c r="Y117" s="2220"/>
      <c r="Z117" s="1327"/>
      <c r="AA117" s="1327"/>
      <c r="AB117" s="1327"/>
      <c r="AC117" s="1327"/>
      <c r="AD117" s="1411"/>
      <c r="AE117" s="820"/>
      <c r="AF117" s="820"/>
      <c r="AG117" s="820"/>
      <c r="AH117" s="820"/>
      <c r="AI117" s="1386"/>
      <c r="AJ117" s="1386"/>
      <c r="AK117" s="1386"/>
      <c r="AL117" s="1386"/>
      <c r="AM117" s="1386"/>
      <c r="AN117" s="1386"/>
      <c r="AO117" s="1386"/>
      <c r="AP117" s="1386"/>
      <c r="AQ117" s="1386"/>
      <c r="AR117" s="1386"/>
      <c r="AS117" s="1386"/>
      <c r="AT117" s="1386"/>
      <c r="AU117" s="1386"/>
      <c r="AV117" s="1386"/>
      <c r="AW117" s="1386"/>
      <c r="AX117" s="1386"/>
      <c r="AY117" s="1386"/>
      <c r="AZ117" s="1386"/>
      <c r="BA117" s="1386"/>
      <c r="BB117" s="1386"/>
      <c r="BC117" s="1386"/>
      <c r="BD117" s="1386"/>
      <c r="BE117" s="1386"/>
      <c r="BF117" s="1386"/>
      <c r="BG117" s="1386"/>
      <c r="BH117" s="1968" t="s">
        <v>1540</v>
      </c>
      <c r="BI117" s="1421">
        <v>550</v>
      </c>
      <c r="BJ117" s="1421">
        <v>245</v>
      </c>
      <c r="BK117" s="1421">
        <v>10</v>
      </c>
      <c r="BL117" s="1421">
        <v>25</v>
      </c>
      <c r="BM117" s="1421">
        <v>25</v>
      </c>
      <c r="BN117" s="1421">
        <v>0</v>
      </c>
      <c r="BO117" s="1421">
        <v>0</v>
      </c>
      <c r="BP117" s="2131">
        <v>60</v>
      </c>
      <c r="BQ117" s="2132">
        <v>0.65416666666666667</v>
      </c>
      <c r="BR117" s="357">
        <v>0</v>
      </c>
    </row>
    <row r="118" spans="1:70" ht="15.75">
      <c r="A118" s="2219"/>
      <c r="B118" s="2220"/>
      <c r="C118" s="2220"/>
      <c r="D118" s="2219"/>
      <c r="E118" s="2220"/>
      <c r="F118" s="2220"/>
      <c r="G118" s="2220"/>
      <c r="H118" s="2220"/>
      <c r="I118" s="2220"/>
      <c r="J118" s="2220"/>
      <c r="K118" s="2220"/>
      <c r="L118" s="2220"/>
      <c r="M118" s="2220"/>
      <c r="N118" s="2220"/>
      <c r="O118" s="2220"/>
      <c r="P118" s="2220"/>
      <c r="Q118" s="2220"/>
      <c r="R118" s="2220"/>
      <c r="S118" s="2219"/>
      <c r="T118" s="2221"/>
      <c r="U118" s="2220"/>
      <c r="V118" s="2220"/>
      <c r="W118" s="2220"/>
      <c r="X118" s="2220"/>
      <c r="Y118" s="2220"/>
      <c r="Z118" s="1327"/>
      <c r="AA118" s="1327"/>
      <c r="AB118" s="1327"/>
      <c r="AC118" s="1327"/>
      <c r="AD118" s="1411"/>
      <c r="AE118" s="1355"/>
      <c r="AF118" s="1355"/>
      <c r="AG118" s="1355"/>
      <c r="AH118" s="1355"/>
      <c r="AI118" s="1414"/>
      <c r="AJ118" s="1414"/>
      <c r="AK118" s="1414"/>
      <c r="AL118" s="1414"/>
      <c r="AM118" s="1414"/>
      <c r="AN118" s="1414"/>
      <c r="AO118" s="1414"/>
      <c r="AP118" s="1414"/>
      <c r="AQ118" s="1414"/>
      <c r="AR118" s="1414"/>
      <c r="AS118" s="1414"/>
      <c r="AT118" s="1414"/>
      <c r="AU118" s="1414"/>
      <c r="AV118" s="1414"/>
      <c r="AW118" s="1414"/>
      <c r="AX118" s="1414"/>
      <c r="AY118" s="1414"/>
      <c r="AZ118" s="1414"/>
      <c r="BA118" s="1414"/>
      <c r="BB118" s="1414"/>
      <c r="BC118" s="1414"/>
      <c r="BD118" s="1414"/>
      <c r="BE118" s="1414"/>
      <c r="BF118" s="1414"/>
      <c r="BG118" s="1414"/>
      <c r="BH118" s="1421" t="s">
        <v>1541</v>
      </c>
      <c r="BI118" s="1421">
        <v>120</v>
      </c>
      <c r="BJ118" s="1421">
        <v>245</v>
      </c>
      <c r="BK118" s="1421">
        <v>10</v>
      </c>
      <c r="BL118" s="1421">
        <v>25</v>
      </c>
      <c r="BM118" s="1421">
        <v>25</v>
      </c>
      <c r="BN118" s="1421">
        <v>0</v>
      </c>
      <c r="BO118" s="1421">
        <v>0</v>
      </c>
      <c r="BP118" s="2131">
        <v>60</v>
      </c>
      <c r="BQ118" s="2132">
        <v>0.15</v>
      </c>
      <c r="BR118" s="357">
        <v>0</v>
      </c>
    </row>
    <row r="119" spans="1:70" ht="15.75">
      <c r="A119" s="2219"/>
      <c r="B119" s="2220"/>
      <c r="C119" s="2220"/>
      <c r="D119" s="2219"/>
      <c r="E119" s="2220"/>
      <c r="F119" s="2220"/>
      <c r="G119" s="2220"/>
      <c r="H119" s="2220"/>
      <c r="I119" s="2220"/>
      <c r="J119" s="2220"/>
      <c r="K119" s="2220"/>
      <c r="L119" s="2220"/>
      <c r="M119" s="2220"/>
      <c r="N119" s="2220"/>
      <c r="O119" s="2220"/>
      <c r="P119" s="2220"/>
      <c r="Q119" s="2220"/>
      <c r="R119" s="2220"/>
      <c r="S119" s="2219"/>
      <c r="T119" s="2221"/>
      <c r="U119" s="2220"/>
      <c r="V119" s="2220"/>
      <c r="W119" s="2220"/>
      <c r="X119" s="2220"/>
      <c r="Y119" s="2220"/>
      <c r="Z119" s="1405"/>
      <c r="AA119" s="1405"/>
      <c r="AB119" s="1327"/>
      <c r="AC119" s="816"/>
      <c r="AD119" s="1411"/>
      <c r="AE119" s="1355"/>
      <c r="AF119" s="1355"/>
      <c r="AG119" s="1355"/>
      <c r="AH119" s="1355"/>
      <c r="AI119" s="1414"/>
      <c r="AJ119" s="1414"/>
      <c r="AK119" s="1414"/>
      <c r="AL119" s="1414"/>
      <c r="AM119" s="1414"/>
      <c r="AN119" s="1414"/>
      <c r="AO119" s="1414"/>
      <c r="AP119" s="1414"/>
      <c r="AQ119" s="1414"/>
      <c r="AR119" s="1414"/>
      <c r="AS119" s="1414"/>
      <c r="AT119" s="1414"/>
      <c r="AU119" s="1414"/>
      <c r="AV119" s="1414"/>
      <c r="AW119" s="1414"/>
      <c r="AX119" s="1414"/>
      <c r="AY119" s="1414"/>
      <c r="AZ119" s="1414"/>
      <c r="BA119" s="1414"/>
      <c r="BB119" s="1414"/>
      <c r="BC119" s="1414"/>
      <c r="BD119" s="1414"/>
      <c r="BE119" s="1414"/>
      <c r="BF119" s="1414"/>
      <c r="BG119" s="1414"/>
      <c r="BH119" s="1421" t="s">
        <v>1542</v>
      </c>
      <c r="BI119" s="1421">
        <v>30</v>
      </c>
      <c r="BJ119" s="1421">
        <v>100</v>
      </c>
      <c r="BK119" s="1421">
        <v>10</v>
      </c>
      <c r="BL119" s="1421">
        <v>5</v>
      </c>
      <c r="BM119" s="1421">
        <v>5</v>
      </c>
      <c r="BN119" s="1421">
        <v>0</v>
      </c>
      <c r="BO119" s="1421">
        <v>0</v>
      </c>
      <c r="BP119" s="2135">
        <v>30</v>
      </c>
      <c r="BQ119" s="2132">
        <v>0.21</v>
      </c>
      <c r="BR119" s="357">
        <v>0</v>
      </c>
    </row>
    <row r="120" spans="1:70" ht="15.75">
      <c r="A120" s="2219"/>
      <c r="B120" s="2220"/>
      <c r="C120" s="2220"/>
      <c r="D120" s="2219"/>
      <c r="E120" s="2220"/>
      <c r="F120" s="2220"/>
      <c r="G120" s="2220"/>
      <c r="H120" s="2220"/>
      <c r="I120" s="2220"/>
      <c r="J120" s="2220"/>
      <c r="K120" s="2220"/>
      <c r="L120" s="2220"/>
      <c r="M120" s="2220"/>
      <c r="N120" s="2220"/>
      <c r="O120" s="2220"/>
      <c r="P120" s="2220"/>
      <c r="Q120" s="2220"/>
      <c r="R120" s="2220"/>
      <c r="S120" s="2219"/>
      <c r="T120" s="2221"/>
      <c r="U120" s="2220"/>
      <c r="V120" s="2220"/>
      <c r="W120" s="2220"/>
      <c r="X120" s="2220"/>
      <c r="Y120" s="2220"/>
      <c r="Z120" s="1405"/>
      <c r="AA120" s="1405"/>
      <c r="AB120" s="1327"/>
      <c r="AC120" s="816"/>
      <c r="AD120" s="1411"/>
      <c r="AE120" s="1355"/>
      <c r="AF120" s="1355"/>
      <c r="AG120" s="1355"/>
      <c r="AH120" s="1355"/>
      <c r="AI120" s="1414"/>
      <c r="AJ120" s="1414"/>
      <c r="AK120" s="1414"/>
      <c r="AL120" s="1414"/>
      <c r="AM120" s="1414"/>
      <c r="AN120" s="1414"/>
      <c r="AO120" s="1414"/>
      <c r="AP120" s="1414"/>
      <c r="AQ120" s="1414"/>
      <c r="AR120" s="1414"/>
      <c r="AS120" s="1414"/>
      <c r="AT120" s="1414"/>
      <c r="AU120" s="1414"/>
      <c r="AV120" s="1414"/>
      <c r="AW120" s="1414"/>
      <c r="AX120" s="1414"/>
      <c r="AY120" s="1414"/>
      <c r="AZ120" s="1414"/>
      <c r="BA120" s="1414"/>
      <c r="BB120" s="1414"/>
      <c r="BC120" s="1414"/>
      <c r="BD120" s="1414"/>
      <c r="BE120" s="1414"/>
      <c r="BF120" s="1414"/>
      <c r="BG120" s="1414"/>
      <c r="BH120" s="1421" t="s">
        <v>1543</v>
      </c>
      <c r="BI120" s="1421">
        <v>275</v>
      </c>
      <c r="BJ120" s="2137">
        <v>135</v>
      </c>
      <c r="BK120" s="1421">
        <v>10</v>
      </c>
      <c r="BL120" s="1421">
        <v>14</v>
      </c>
      <c r="BM120" s="1421">
        <v>14</v>
      </c>
      <c r="BN120" s="1421">
        <v>0</v>
      </c>
      <c r="BO120" s="1421">
        <v>0</v>
      </c>
      <c r="BP120" s="2136">
        <v>60</v>
      </c>
      <c r="BQ120" s="2132">
        <v>0.11</v>
      </c>
      <c r="BR120" s="357">
        <v>0</v>
      </c>
    </row>
    <row r="121" spans="1:70" ht="15.75">
      <c r="A121" s="2219"/>
      <c r="B121" s="2220"/>
      <c r="C121" s="2220"/>
      <c r="D121" s="2219"/>
      <c r="E121" s="2220"/>
      <c r="F121" s="2220"/>
      <c r="G121" s="2220"/>
      <c r="H121" s="2220"/>
      <c r="I121" s="2220"/>
      <c r="J121" s="2220"/>
      <c r="K121" s="2220"/>
      <c r="L121" s="2220"/>
      <c r="M121" s="2220"/>
      <c r="N121" s="2220"/>
      <c r="O121" s="2220"/>
      <c r="P121" s="2220"/>
      <c r="Q121" s="2220"/>
      <c r="R121" s="2220"/>
      <c r="S121" s="2219"/>
      <c r="T121" s="2221"/>
      <c r="U121" s="2220"/>
      <c r="V121" s="2220"/>
      <c r="W121" s="2220"/>
      <c r="X121" s="2220"/>
      <c r="Y121" s="2220"/>
      <c r="Z121" s="1327"/>
      <c r="AA121" s="1327"/>
      <c r="AB121" s="1327"/>
      <c r="AC121" s="1327"/>
      <c r="AD121" s="1411"/>
      <c r="AE121" s="820"/>
      <c r="AF121" s="820"/>
      <c r="AG121" s="820"/>
      <c r="AH121" s="820"/>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421" t="s">
        <v>1544</v>
      </c>
      <c r="BI121" s="1421">
        <v>100</v>
      </c>
      <c r="BJ121" s="2137">
        <v>70</v>
      </c>
      <c r="BK121" s="1421">
        <v>10</v>
      </c>
      <c r="BL121" s="1421">
        <v>7</v>
      </c>
      <c r="BM121" s="1421">
        <v>7</v>
      </c>
      <c r="BN121" s="1421">
        <v>0</v>
      </c>
      <c r="BO121" s="1421">
        <v>0</v>
      </c>
      <c r="BP121" s="2131">
        <v>60</v>
      </c>
      <c r="BQ121" s="2132">
        <v>0.2</v>
      </c>
      <c r="BR121" s="357">
        <v>0</v>
      </c>
    </row>
    <row r="122" spans="1:70" ht="15.75">
      <c r="A122" s="2219"/>
      <c r="B122" s="2220"/>
      <c r="C122" s="2220"/>
      <c r="D122" s="2219"/>
      <c r="E122" s="2220"/>
      <c r="F122" s="2220"/>
      <c r="G122" s="2220"/>
      <c r="H122" s="2220"/>
      <c r="I122" s="2220"/>
      <c r="J122" s="2220"/>
      <c r="K122" s="2220"/>
      <c r="L122" s="2220"/>
      <c r="M122" s="2220"/>
      <c r="N122" s="2220"/>
      <c r="O122" s="2220"/>
      <c r="P122" s="2220"/>
      <c r="Q122" s="2220"/>
      <c r="R122" s="2220"/>
      <c r="S122" s="2219"/>
      <c r="T122" s="2221"/>
      <c r="U122" s="2220"/>
      <c r="V122" s="2220"/>
      <c r="W122" s="2220"/>
      <c r="X122" s="2220"/>
      <c r="Y122" s="2220"/>
      <c r="Z122" s="1327"/>
      <c r="AA122" s="1327"/>
      <c r="AB122" s="1327"/>
      <c r="AC122" s="1327"/>
      <c r="AD122" s="1411"/>
      <c r="AE122" s="1355"/>
      <c r="AF122" s="1355"/>
      <c r="AG122" s="1355"/>
      <c r="AH122" s="1355"/>
      <c r="AI122" s="1414"/>
      <c r="AJ122" s="1414"/>
      <c r="AK122" s="1414"/>
      <c r="AL122" s="1414"/>
      <c r="AM122" s="1414"/>
      <c r="AN122" s="1414"/>
      <c r="AO122" s="1414"/>
      <c r="AP122" s="1414"/>
      <c r="AQ122" s="1414"/>
      <c r="AR122" s="1414"/>
      <c r="AS122" s="1414"/>
      <c r="AT122" s="1414"/>
      <c r="AU122" s="1414"/>
      <c r="AV122" s="1414"/>
      <c r="AW122" s="1414"/>
      <c r="AX122" s="1414"/>
      <c r="AY122" s="1414"/>
      <c r="AZ122" s="1414"/>
      <c r="BA122" s="1414"/>
      <c r="BB122" s="1414"/>
      <c r="BC122" s="1414"/>
      <c r="BD122" s="1414"/>
      <c r="BE122" s="1414"/>
      <c r="BF122" s="1414"/>
      <c r="BG122" s="1414"/>
      <c r="BH122" s="1421" t="s">
        <v>1545</v>
      </c>
      <c r="BI122" s="1421">
        <v>200</v>
      </c>
      <c r="BJ122" s="2137">
        <v>135</v>
      </c>
      <c r="BK122" s="1421">
        <v>10</v>
      </c>
      <c r="BL122" s="1421">
        <v>14</v>
      </c>
      <c r="BM122" s="1421">
        <v>14</v>
      </c>
      <c r="BN122" s="1421">
        <v>0</v>
      </c>
      <c r="BO122" s="1421">
        <v>0</v>
      </c>
      <c r="BP122" s="2131">
        <v>30</v>
      </c>
      <c r="BQ122" s="2132">
        <v>0.14000000000000001</v>
      </c>
      <c r="BR122" s="357">
        <v>0</v>
      </c>
    </row>
    <row r="123" spans="1:70" ht="15.75">
      <c r="A123" s="2219"/>
      <c r="B123" s="2220"/>
      <c r="C123" s="2220"/>
      <c r="D123" s="2219"/>
      <c r="E123" s="2220"/>
      <c r="F123" s="2220"/>
      <c r="G123" s="2220"/>
      <c r="H123" s="2220"/>
      <c r="I123" s="2220"/>
      <c r="J123" s="2220"/>
      <c r="K123" s="2220"/>
      <c r="L123" s="2220"/>
      <c r="M123" s="2220"/>
      <c r="N123" s="2220"/>
      <c r="O123" s="2220"/>
      <c r="P123" s="2220"/>
      <c r="Q123" s="2220"/>
      <c r="R123" s="2220"/>
      <c r="S123" s="2219"/>
      <c r="T123" s="2221"/>
      <c r="U123" s="2220"/>
      <c r="V123" s="2220"/>
      <c r="W123" s="2220"/>
      <c r="X123" s="2220"/>
      <c r="Y123" s="2220"/>
      <c r="Z123" s="1327"/>
      <c r="AA123" s="1327"/>
      <c r="AB123" s="1327"/>
      <c r="AC123" s="1327"/>
      <c r="AD123" s="1411"/>
      <c r="AE123" s="1355"/>
      <c r="AF123" s="1355"/>
      <c r="AG123" s="1355"/>
      <c r="AH123" s="1355"/>
      <c r="AI123" s="1414"/>
      <c r="AJ123" s="1414"/>
      <c r="AK123" s="1414"/>
      <c r="AL123" s="1414"/>
      <c r="AM123" s="1414"/>
      <c r="AN123" s="1414"/>
      <c r="AO123" s="1414"/>
      <c r="AP123" s="1414"/>
      <c r="AQ123" s="1414"/>
      <c r="AR123" s="1414"/>
      <c r="AS123" s="1414"/>
      <c r="AT123" s="1414"/>
      <c r="AU123" s="1414"/>
      <c r="AV123" s="1414"/>
      <c r="AW123" s="1414"/>
      <c r="AX123" s="1414"/>
      <c r="AY123" s="1414"/>
      <c r="AZ123" s="1414"/>
      <c r="BA123" s="1414"/>
      <c r="BB123" s="1414"/>
      <c r="BC123" s="1414"/>
      <c r="BD123" s="1414"/>
      <c r="BE123" s="1414"/>
      <c r="BF123" s="1414"/>
      <c r="BG123" s="1414"/>
      <c r="BH123" s="1421" t="s">
        <v>1546</v>
      </c>
      <c r="BI123" s="1421">
        <v>500</v>
      </c>
      <c r="BJ123" s="1967">
        <v>215</v>
      </c>
      <c r="BK123" s="1421">
        <v>10</v>
      </c>
      <c r="BL123" s="1421">
        <v>21.5</v>
      </c>
      <c r="BM123" s="1421">
        <v>21.5</v>
      </c>
      <c r="BN123" s="1421">
        <v>0</v>
      </c>
      <c r="BO123" s="1421">
        <v>0</v>
      </c>
      <c r="BP123" s="2131">
        <v>60</v>
      </c>
      <c r="BQ123" s="2132">
        <v>0.16</v>
      </c>
      <c r="BR123" s="357">
        <v>0</v>
      </c>
    </row>
    <row r="124" spans="1:70" ht="15.75">
      <c r="A124" s="2219"/>
      <c r="B124" s="2220"/>
      <c r="C124" s="2220"/>
      <c r="D124" s="2219"/>
      <c r="E124" s="2220"/>
      <c r="F124" s="2220"/>
      <c r="G124" s="2220"/>
      <c r="H124" s="2220"/>
      <c r="I124" s="2220"/>
      <c r="J124" s="2220"/>
      <c r="K124" s="2220"/>
      <c r="L124" s="2220"/>
      <c r="M124" s="2220"/>
      <c r="N124" s="2220"/>
      <c r="O124" s="2220"/>
      <c r="P124" s="2220"/>
      <c r="Q124" s="2220"/>
      <c r="R124" s="2220"/>
      <c r="S124" s="2219"/>
      <c r="T124" s="2221"/>
      <c r="U124" s="2220"/>
      <c r="V124" s="2220"/>
      <c r="W124" s="2220"/>
      <c r="X124" s="2220"/>
      <c r="Y124" s="2220"/>
      <c r="Z124" s="1327"/>
      <c r="AA124" s="1327"/>
      <c r="AB124" s="1327"/>
      <c r="AC124" s="1327"/>
      <c r="AD124" s="1411"/>
      <c r="AE124" s="1355"/>
      <c r="AF124" s="1355"/>
      <c r="AG124" s="1355"/>
      <c r="AH124" s="1355"/>
      <c r="AI124" s="1414"/>
      <c r="AJ124" s="1414"/>
      <c r="AK124" s="1414"/>
      <c r="AL124" s="1414"/>
      <c r="AM124" s="1414"/>
      <c r="AN124" s="1414"/>
      <c r="AO124" s="1414"/>
      <c r="AP124" s="1414"/>
      <c r="AQ124" s="1414"/>
      <c r="AR124" s="1414"/>
      <c r="AS124" s="1414"/>
      <c r="AT124" s="1414"/>
      <c r="AU124" s="1414"/>
      <c r="AV124" s="1414"/>
      <c r="AW124" s="1414"/>
      <c r="AX124" s="1414"/>
      <c r="AY124" s="1414"/>
      <c r="AZ124" s="1414"/>
      <c r="BA124" s="1414"/>
      <c r="BB124" s="1414"/>
      <c r="BC124" s="1414"/>
      <c r="BD124" s="1414"/>
      <c r="BE124" s="1414"/>
      <c r="BF124" s="1414"/>
      <c r="BG124" s="1414"/>
      <c r="BH124" s="1421" t="s">
        <v>1547</v>
      </c>
      <c r="BI124" s="1421">
        <v>100</v>
      </c>
      <c r="BJ124" s="1967">
        <v>235</v>
      </c>
      <c r="BK124" s="1421">
        <v>10</v>
      </c>
      <c r="BL124" s="1421">
        <v>23.5</v>
      </c>
      <c r="BM124" s="1421">
        <v>23.5</v>
      </c>
      <c r="BN124" s="1421">
        <v>0</v>
      </c>
      <c r="BO124" s="1421">
        <v>0</v>
      </c>
      <c r="BP124" s="2131">
        <v>60</v>
      </c>
      <c r="BQ124" s="2132">
        <v>0.88</v>
      </c>
      <c r="BR124" s="357">
        <v>0</v>
      </c>
    </row>
    <row r="125" spans="1:70" ht="15.75">
      <c r="A125" s="2219"/>
      <c r="B125" s="2220"/>
      <c r="C125" s="2220"/>
      <c r="D125" s="2219"/>
      <c r="E125" s="2220"/>
      <c r="F125" s="2220"/>
      <c r="G125" s="2220"/>
      <c r="H125" s="2220"/>
      <c r="I125" s="2220"/>
      <c r="J125" s="2220"/>
      <c r="K125" s="2220"/>
      <c r="L125" s="2220"/>
      <c r="M125" s="2220"/>
      <c r="N125" s="2220"/>
      <c r="O125" s="2220"/>
      <c r="P125" s="2220"/>
      <c r="Q125" s="2220"/>
      <c r="R125" s="2220"/>
      <c r="S125" s="2219"/>
      <c r="T125" s="2221"/>
      <c r="U125" s="2220"/>
      <c r="V125" s="2220"/>
      <c r="W125" s="2220"/>
      <c r="X125" s="2220"/>
      <c r="Y125" s="2220"/>
      <c r="Z125" s="1327"/>
      <c r="AA125" s="1327"/>
      <c r="AB125" s="1327"/>
      <c r="AC125" s="1327"/>
      <c r="AD125" s="1411"/>
      <c r="AE125" s="1355"/>
      <c r="AF125" s="1355"/>
      <c r="AG125" s="1355"/>
      <c r="AH125" s="1355"/>
      <c r="AI125" s="1414"/>
      <c r="AJ125" s="1414"/>
      <c r="AK125" s="1414"/>
      <c r="AL125" s="1414"/>
      <c r="AM125" s="1414"/>
      <c r="AN125" s="1414"/>
      <c r="AO125" s="1414"/>
      <c r="AP125" s="1414"/>
      <c r="AQ125" s="1414"/>
      <c r="AR125" s="1414"/>
      <c r="AS125" s="1414"/>
      <c r="AT125" s="1414"/>
      <c r="AU125" s="1414"/>
      <c r="AV125" s="1414"/>
      <c r="AW125" s="1414"/>
      <c r="AX125" s="1414"/>
      <c r="AY125" s="1414"/>
      <c r="AZ125" s="1414"/>
      <c r="BA125" s="1414"/>
      <c r="BB125" s="1414"/>
      <c r="BC125" s="1414"/>
      <c r="BD125" s="1414"/>
      <c r="BE125" s="1414"/>
      <c r="BF125" s="1414"/>
      <c r="BG125" s="1414"/>
      <c r="BH125" s="1421" t="s">
        <v>1548</v>
      </c>
      <c r="BI125" s="1421">
        <v>100</v>
      </c>
      <c r="BJ125" s="1967">
        <v>235</v>
      </c>
      <c r="BK125" s="1421">
        <v>10</v>
      </c>
      <c r="BL125" s="1421">
        <v>23.5</v>
      </c>
      <c r="BM125" s="1421">
        <v>23.5</v>
      </c>
      <c r="BN125" s="1421">
        <v>0</v>
      </c>
      <c r="BO125" s="1421">
        <v>0</v>
      </c>
      <c r="BP125" s="2131">
        <v>60</v>
      </c>
      <c r="BQ125" s="2132">
        <v>0.16</v>
      </c>
      <c r="BR125" s="357">
        <v>0</v>
      </c>
    </row>
    <row r="126" spans="1:70" ht="15.75">
      <c r="A126" s="2219"/>
      <c r="B126" s="2220"/>
      <c r="C126" s="2220"/>
      <c r="D126" s="2219"/>
      <c r="E126" s="2220"/>
      <c r="F126" s="2220"/>
      <c r="G126" s="2220"/>
      <c r="H126" s="2220"/>
      <c r="I126" s="2220"/>
      <c r="J126" s="2220"/>
      <c r="K126" s="2220"/>
      <c r="L126" s="2220"/>
      <c r="M126" s="2220"/>
      <c r="N126" s="2220"/>
      <c r="O126" s="2220"/>
      <c r="P126" s="2220"/>
      <c r="Q126" s="2220"/>
      <c r="R126" s="2220"/>
      <c r="S126" s="2219"/>
      <c r="T126" s="2221"/>
      <c r="U126" s="2220"/>
      <c r="V126" s="2220"/>
      <c r="W126" s="2220"/>
      <c r="X126" s="2220"/>
      <c r="Y126" s="2220"/>
      <c r="Z126" s="1327"/>
      <c r="AA126" s="1327"/>
      <c r="AB126" s="1327"/>
      <c r="AC126" s="1327"/>
      <c r="AD126" s="1411"/>
      <c r="AE126" s="1355"/>
      <c r="AF126" s="1355"/>
      <c r="AG126" s="1355"/>
      <c r="AH126" s="1355"/>
      <c r="AI126" s="1414"/>
      <c r="AJ126" s="1414"/>
      <c r="AK126" s="1414"/>
      <c r="AL126" s="1414"/>
      <c r="AM126" s="1414"/>
      <c r="AN126" s="1414"/>
      <c r="AO126" s="1414"/>
      <c r="AP126" s="1414"/>
      <c r="AQ126" s="1414"/>
      <c r="AR126" s="1414"/>
      <c r="AS126" s="1414"/>
      <c r="AT126" s="1414"/>
      <c r="AU126" s="1414"/>
      <c r="AV126" s="1414"/>
      <c r="AW126" s="1414"/>
      <c r="AX126" s="1414"/>
      <c r="AY126" s="1414"/>
      <c r="AZ126" s="1414"/>
      <c r="BA126" s="1414"/>
      <c r="BB126" s="1414"/>
      <c r="BC126" s="1414"/>
      <c r="BD126" s="1414"/>
      <c r="BE126" s="1414"/>
      <c r="BF126" s="1414"/>
      <c r="BG126" s="1414"/>
      <c r="BH126" s="1421" t="s">
        <v>1549</v>
      </c>
      <c r="BI126" s="1421">
        <v>280</v>
      </c>
      <c r="BJ126" s="1967">
        <v>105</v>
      </c>
      <c r="BK126" s="1421">
        <v>10</v>
      </c>
      <c r="BL126" s="1421">
        <v>5</v>
      </c>
      <c r="BM126" s="1421">
        <v>5</v>
      </c>
      <c r="BN126" s="1421">
        <v>0</v>
      </c>
      <c r="BO126" s="1421">
        <v>0</v>
      </c>
      <c r="BP126" s="2133">
        <v>60</v>
      </c>
      <c r="BQ126" s="2134">
        <v>0.12</v>
      </c>
      <c r="BR126" s="357">
        <v>0</v>
      </c>
    </row>
    <row r="127" spans="1:70" ht="15.75">
      <c r="A127" s="2219"/>
      <c r="B127" s="2220"/>
      <c r="C127" s="2220"/>
      <c r="D127" s="2219"/>
      <c r="E127" s="2220"/>
      <c r="F127" s="2220"/>
      <c r="G127" s="2220"/>
      <c r="H127" s="2220"/>
      <c r="I127" s="2220"/>
      <c r="J127" s="2220"/>
      <c r="K127" s="2220"/>
      <c r="L127" s="2220"/>
      <c r="M127" s="2220"/>
      <c r="N127" s="2220"/>
      <c r="O127" s="2220"/>
      <c r="P127" s="2220"/>
      <c r="Q127" s="2220"/>
      <c r="R127" s="2220"/>
      <c r="S127" s="2219"/>
      <c r="T127" s="2221"/>
      <c r="U127" s="2220"/>
      <c r="V127" s="2220"/>
      <c r="W127" s="2220"/>
      <c r="X127" s="2220"/>
      <c r="Y127" s="2220"/>
      <c r="Z127" s="1327"/>
      <c r="AA127" s="1327"/>
      <c r="AB127" s="1327"/>
      <c r="AC127" s="1327"/>
      <c r="AD127" s="1411"/>
      <c r="AE127" s="1355"/>
      <c r="AF127" s="1355"/>
      <c r="AG127" s="1355"/>
      <c r="AH127" s="1355"/>
      <c r="AI127" s="1414"/>
      <c r="AJ127" s="1414"/>
      <c r="AK127" s="1414"/>
      <c r="AL127" s="1414"/>
      <c r="AM127" s="1414"/>
      <c r="AN127" s="1414"/>
      <c r="AO127" s="1414"/>
      <c r="AP127" s="1414"/>
      <c r="AQ127" s="1414"/>
      <c r="AR127" s="1414"/>
      <c r="AS127" s="1414"/>
      <c r="AT127" s="1414"/>
      <c r="AU127" s="1414"/>
      <c r="AV127" s="1414"/>
      <c r="AW127" s="1414"/>
      <c r="AX127" s="1414"/>
      <c r="AY127" s="1414"/>
      <c r="AZ127" s="1414"/>
      <c r="BA127" s="1414"/>
      <c r="BB127" s="1414"/>
      <c r="BC127" s="1414"/>
      <c r="BD127" s="1414"/>
      <c r="BE127" s="1414"/>
      <c r="BF127" s="1414"/>
      <c r="BG127" s="1414"/>
      <c r="BH127" s="1421" t="s">
        <v>1550</v>
      </c>
      <c r="BI127" s="1421">
        <v>15</v>
      </c>
      <c r="BJ127" s="1967">
        <v>100</v>
      </c>
      <c r="BK127" s="1421">
        <v>10</v>
      </c>
      <c r="BL127" s="1421">
        <v>10</v>
      </c>
      <c r="BM127" s="1421">
        <v>10</v>
      </c>
      <c r="BN127" s="1421">
        <v>0</v>
      </c>
      <c r="BO127" s="1421">
        <v>0</v>
      </c>
      <c r="BP127" s="2133">
        <v>60</v>
      </c>
      <c r="BQ127" s="2132">
        <v>3.2666666666666666</v>
      </c>
      <c r="BR127" s="357">
        <v>0</v>
      </c>
    </row>
    <row r="128" spans="1:70" ht="15.75">
      <c r="A128" s="2219"/>
      <c r="B128" s="2220"/>
      <c r="C128" s="2220"/>
      <c r="D128" s="2219"/>
      <c r="E128" s="2220"/>
      <c r="F128" s="2220"/>
      <c r="G128" s="2220"/>
      <c r="H128" s="2220"/>
      <c r="I128" s="2220"/>
      <c r="J128" s="2220"/>
      <c r="K128" s="2220"/>
      <c r="L128" s="2220"/>
      <c r="M128" s="2220"/>
      <c r="N128" s="2220"/>
      <c r="O128" s="2220"/>
      <c r="P128" s="2220"/>
      <c r="Q128" s="2220"/>
      <c r="R128" s="2220"/>
      <c r="S128" s="2219"/>
      <c r="T128" s="2221"/>
      <c r="U128" s="2220"/>
      <c r="V128" s="2220"/>
      <c r="W128" s="2220"/>
      <c r="X128" s="2220"/>
      <c r="Y128" s="2220"/>
      <c r="Z128" s="1327"/>
      <c r="AA128" s="1327"/>
      <c r="AB128" s="1327"/>
      <c r="AC128" s="1327"/>
      <c r="AD128" s="1411"/>
      <c r="AE128" s="1355"/>
      <c r="AF128" s="1355"/>
      <c r="AG128" s="1355"/>
      <c r="AH128" s="1355"/>
      <c r="AI128" s="1414"/>
      <c r="AJ128" s="1414"/>
      <c r="AK128" s="1414"/>
      <c r="AL128" s="1414"/>
      <c r="AM128" s="1414"/>
      <c r="AN128" s="1414"/>
      <c r="AO128" s="1414"/>
      <c r="AP128" s="1414"/>
      <c r="AQ128" s="1414"/>
      <c r="AR128" s="1414"/>
      <c r="AS128" s="1414"/>
      <c r="AT128" s="1414"/>
      <c r="AU128" s="1414"/>
      <c r="AV128" s="1414"/>
      <c r="AW128" s="1414"/>
      <c r="AX128" s="1414"/>
      <c r="AY128" s="1414"/>
      <c r="AZ128" s="1414"/>
      <c r="BA128" s="1414"/>
      <c r="BB128" s="1414"/>
      <c r="BC128" s="1414"/>
      <c r="BD128" s="1414"/>
      <c r="BE128" s="1414"/>
      <c r="BF128" s="1414"/>
      <c r="BG128" s="1414"/>
      <c r="BH128" s="1421" t="s">
        <v>1551</v>
      </c>
      <c r="BI128" s="1421">
        <v>15</v>
      </c>
      <c r="BJ128" s="1967">
        <v>100</v>
      </c>
      <c r="BK128" s="1421">
        <v>10</v>
      </c>
      <c r="BL128" s="1421">
        <v>10</v>
      </c>
      <c r="BM128" s="1421">
        <v>10</v>
      </c>
      <c r="BN128" s="1421">
        <v>0</v>
      </c>
      <c r="BO128" s="1421">
        <v>0</v>
      </c>
      <c r="BP128" s="2133">
        <v>60</v>
      </c>
      <c r="BQ128" s="2132">
        <v>1.1200000000000001</v>
      </c>
      <c r="BR128" s="357">
        <v>0</v>
      </c>
    </row>
    <row r="129" spans="1:70" ht="15.75">
      <c r="A129" s="2219"/>
      <c r="B129" s="2220"/>
      <c r="C129" s="2220"/>
      <c r="D129" s="2219"/>
      <c r="E129" s="2220"/>
      <c r="F129" s="2220"/>
      <c r="G129" s="2220"/>
      <c r="H129" s="2220"/>
      <c r="I129" s="2220"/>
      <c r="J129" s="2220"/>
      <c r="K129" s="2220"/>
      <c r="L129" s="2220"/>
      <c r="M129" s="2220"/>
      <c r="N129" s="2220"/>
      <c r="O129" s="2220"/>
      <c r="P129" s="2220"/>
      <c r="Q129" s="2220"/>
      <c r="R129" s="2220"/>
      <c r="S129" s="2219"/>
      <c r="T129" s="2221"/>
      <c r="U129" s="2220"/>
      <c r="V129" s="2220"/>
      <c r="W129" s="2220"/>
      <c r="X129" s="2220"/>
      <c r="Y129" s="2220"/>
      <c r="Z129" s="1327"/>
      <c r="AA129" s="1327"/>
      <c r="AB129" s="1327"/>
      <c r="AC129" s="1327"/>
      <c r="AD129" s="1411"/>
      <c r="AE129" s="1355"/>
      <c r="AF129" s="1355"/>
      <c r="AG129" s="1355"/>
      <c r="AH129" s="1355"/>
      <c r="AI129" s="1414"/>
      <c r="AJ129" s="1414"/>
      <c r="AK129" s="1414"/>
      <c r="AL129" s="1414"/>
      <c r="AM129" s="1414"/>
      <c r="AN129" s="1414"/>
      <c r="AO129" s="1414"/>
      <c r="AP129" s="1414"/>
      <c r="AQ129" s="1414"/>
      <c r="AR129" s="1414"/>
      <c r="AS129" s="1414"/>
      <c r="AT129" s="1414"/>
      <c r="AU129" s="1414"/>
      <c r="AV129" s="1414"/>
      <c r="AW129" s="1414"/>
      <c r="AX129" s="1414"/>
      <c r="AY129" s="1414"/>
      <c r="AZ129" s="1414"/>
      <c r="BA129" s="1414"/>
      <c r="BB129" s="1414"/>
      <c r="BC129" s="1414"/>
      <c r="BD129" s="1414"/>
      <c r="BE129" s="1414"/>
      <c r="BF129" s="1414"/>
      <c r="BG129" s="1414"/>
      <c r="BH129" s="1421" t="s">
        <v>1552</v>
      </c>
      <c r="BI129" s="1421">
        <v>200</v>
      </c>
      <c r="BJ129" s="1967">
        <v>255</v>
      </c>
      <c r="BK129" s="1421">
        <v>10</v>
      </c>
      <c r="BL129" s="1421">
        <v>26</v>
      </c>
      <c r="BM129" s="1421">
        <v>26</v>
      </c>
      <c r="BN129" s="1421">
        <v>0</v>
      </c>
      <c r="BO129" s="1421">
        <v>0</v>
      </c>
      <c r="BP129" s="2131">
        <v>60</v>
      </c>
      <c r="BQ129" s="2132">
        <v>0.34499999999999997</v>
      </c>
      <c r="BR129" s="357">
        <v>0</v>
      </c>
    </row>
    <row r="130" spans="1:70" ht="15.75">
      <c r="A130" s="2219"/>
      <c r="B130" s="2220"/>
      <c r="C130" s="2220"/>
      <c r="D130" s="2219"/>
      <c r="E130" s="2220"/>
      <c r="F130" s="2220"/>
      <c r="G130" s="2220"/>
      <c r="H130" s="2220"/>
      <c r="I130" s="2220"/>
      <c r="J130" s="2220"/>
      <c r="K130" s="2220"/>
      <c r="L130" s="2220"/>
      <c r="M130" s="2220"/>
      <c r="N130" s="2220"/>
      <c r="O130" s="2220"/>
      <c r="P130" s="2220"/>
      <c r="Q130" s="2220"/>
      <c r="R130" s="2220"/>
      <c r="S130" s="2219"/>
      <c r="T130" s="2221"/>
      <c r="U130" s="2220"/>
      <c r="V130" s="2220"/>
      <c r="W130" s="2220"/>
      <c r="X130" s="2220"/>
      <c r="Y130" s="2220"/>
      <c r="Z130" s="1327"/>
      <c r="AA130" s="1327"/>
      <c r="AB130" s="1327"/>
      <c r="AC130" s="1327"/>
      <c r="AD130" s="1411"/>
      <c r="AE130" s="1355"/>
      <c r="AF130" s="1355"/>
      <c r="AG130" s="1355"/>
      <c r="AH130" s="1355"/>
      <c r="AI130" s="1414"/>
      <c r="AJ130" s="1414"/>
      <c r="AK130" s="1414"/>
      <c r="AL130" s="1414"/>
      <c r="AM130" s="1414"/>
      <c r="AN130" s="1414"/>
      <c r="AO130" s="1414"/>
      <c r="AP130" s="1414"/>
      <c r="AQ130" s="1414"/>
      <c r="AR130" s="1414"/>
      <c r="AS130" s="1414"/>
      <c r="AT130" s="1414"/>
      <c r="AU130" s="1414"/>
      <c r="AV130" s="1414"/>
      <c r="AW130" s="1414"/>
      <c r="AX130" s="1414"/>
      <c r="AY130" s="1414"/>
      <c r="AZ130" s="1414"/>
      <c r="BA130" s="1414"/>
      <c r="BB130" s="1414"/>
      <c r="BC130" s="1414"/>
      <c r="BD130" s="1414"/>
      <c r="BE130" s="1414"/>
      <c r="BF130" s="1414"/>
      <c r="BG130" s="1414"/>
      <c r="BH130" s="1421" t="s">
        <v>1553</v>
      </c>
      <c r="BI130" s="1421">
        <v>200</v>
      </c>
      <c r="BJ130" s="1967">
        <v>255</v>
      </c>
      <c r="BK130" s="1421">
        <v>10</v>
      </c>
      <c r="BL130" s="1421">
        <v>26</v>
      </c>
      <c r="BM130" s="1421">
        <v>26</v>
      </c>
      <c r="BN130" s="1421">
        <v>0</v>
      </c>
      <c r="BO130" s="1421">
        <v>0</v>
      </c>
      <c r="BP130" s="2131">
        <v>60</v>
      </c>
      <c r="BQ130" s="2132">
        <v>0.22</v>
      </c>
      <c r="BR130" s="357">
        <v>0</v>
      </c>
    </row>
    <row r="131" spans="1:70" ht="15.75">
      <c r="A131" s="2219"/>
      <c r="B131" s="2220"/>
      <c r="C131" s="2220"/>
      <c r="D131" s="2219"/>
      <c r="E131" s="2220"/>
      <c r="F131" s="2220"/>
      <c r="G131" s="2220"/>
      <c r="H131" s="2220"/>
      <c r="I131" s="2220"/>
      <c r="J131" s="2220"/>
      <c r="K131" s="2220"/>
      <c r="L131" s="2220"/>
      <c r="M131" s="2220"/>
      <c r="N131" s="2220"/>
      <c r="O131" s="2220"/>
      <c r="P131" s="2220"/>
      <c r="Q131" s="2220"/>
      <c r="R131" s="2220"/>
      <c r="S131" s="2219"/>
      <c r="T131" s="2221"/>
      <c r="U131" s="2220"/>
      <c r="V131" s="2220"/>
      <c r="W131" s="2220"/>
      <c r="X131" s="2220"/>
      <c r="Y131" s="2220"/>
      <c r="Z131" s="1327"/>
      <c r="AA131" s="1327"/>
      <c r="AB131" s="1327"/>
      <c r="AC131" s="1327"/>
      <c r="AD131" s="1411"/>
      <c r="AE131" s="1355"/>
      <c r="AF131" s="1355"/>
      <c r="AG131" s="1355"/>
      <c r="AH131" s="1355"/>
      <c r="AI131" s="1414"/>
      <c r="AJ131" s="1414"/>
      <c r="AK131" s="1414"/>
      <c r="AL131" s="1414"/>
      <c r="AM131" s="1414"/>
      <c r="AN131" s="1414"/>
      <c r="AO131" s="1414"/>
      <c r="AP131" s="1414"/>
      <c r="AQ131" s="1414"/>
      <c r="AR131" s="1414"/>
      <c r="AS131" s="1414"/>
      <c r="AT131" s="1414"/>
      <c r="AU131" s="1414"/>
      <c r="AV131" s="1414"/>
      <c r="AW131" s="1414"/>
      <c r="AX131" s="1414"/>
      <c r="AY131" s="1414"/>
      <c r="AZ131" s="1414"/>
      <c r="BA131" s="1414"/>
      <c r="BB131" s="1414"/>
      <c r="BC131" s="1414"/>
      <c r="BD131" s="1414"/>
      <c r="BE131" s="1414"/>
      <c r="BF131" s="1414"/>
      <c r="BG131" s="1414"/>
      <c r="BH131" s="1421" t="s">
        <v>1554</v>
      </c>
      <c r="BI131" s="1421">
        <v>35</v>
      </c>
      <c r="BJ131" s="1967">
        <v>40</v>
      </c>
      <c r="BK131" s="1421">
        <v>10</v>
      </c>
      <c r="BL131" s="1421">
        <v>2</v>
      </c>
      <c r="BM131" s="1421">
        <v>2</v>
      </c>
      <c r="BN131" s="1421">
        <v>0</v>
      </c>
      <c r="BO131" s="1421">
        <v>0</v>
      </c>
      <c r="BP131" s="2133">
        <v>30</v>
      </c>
      <c r="BQ131" s="2134">
        <v>0.45428571428571429</v>
      </c>
      <c r="BR131" s="357">
        <v>0</v>
      </c>
    </row>
    <row r="132" spans="1:70" ht="15.75">
      <c r="A132" s="2219"/>
      <c r="B132" s="2220"/>
      <c r="C132" s="2220"/>
      <c r="D132" s="2219"/>
      <c r="E132" s="2220"/>
      <c r="F132" s="2220"/>
      <c r="G132" s="2220"/>
      <c r="H132" s="2220"/>
      <c r="I132" s="2220"/>
      <c r="J132" s="2220"/>
      <c r="K132" s="2220"/>
      <c r="L132" s="2220"/>
      <c r="M132" s="2220"/>
      <c r="N132" s="2220"/>
      <c r="O132" s="2220"/>
      <c r="P132" s="2220"/>
      <c r="Q132" s="2220"/>
      <c r="R132" s="2220"/>
      <c r="S132" s="2219"/>
      <c r="T132" s="2221"/>
      <c r="U132" s="2220"/>
      <c r="V132" s="2220"/>
      <c r="W132" s="2220"/>
      <c r="X132" s="2220"/>
      <c r="Y132" s="2220"/>
      <c r="Z132" s="1327"/>
      <c r="AA132" s="1327"/>
      <c r="AB132" s="1327"/>
      <c r="AC132" s="1327"/>
      <c r="AD132" s="1411"/>
      <c r="AE132" s="1355"/>
      <c r="AF132" s="1355"/>
      <c r="AG132" s="1355"/>
      <c r="AH132" s="1355"/>
      <c r="AI132" s="1414"/>
      <c r="AJ132" s="1414"/>
      <c r="AK132" s="1414"/>
      <c r="AL132" s="1414"/>
      <c r="AM132" s="1414"/>
      <c r="AN132" s="1414"/>
      <c r="AO132" s="1414"/>
      <c r="AP132" s="1414"/>
      <c r="AQ132" s="1414"/>
      <c r="AR132" s="1414"/>
      <c r="AS132" s="1414"/>
      <c r="AT132" s="1414"/>
      <c r="AU132" s="1414"/>
      <c r="AV132" s="1414"/>
      <c r="AW132" s="1414"/>
      <c r="AX132" s="1414"/>
      <c r="AY132" s="1414"/>
      <c r="AZ132" s="1414"/>
      <c r="BA132" s="1414"/>
      <c r="BB132" s="1414"/>
      <c r="BC132" s="1414"/>
      <c r="BD132" s="1414"/>
      <c r="BE132" s="1414"/>
      <c r="BF132" s="1414"/>
      <c r="BG132" s="1414"/>
      <c r="BH132" s="1421" t="s">
        <v>1555</v>
      </c>
      <c r="BI132" s="1421">
        <v>35</v>
      </c>
      <c r="BJ132" s="1967">
        <v>40</v>
      </c>
      <c r="BK132" s="1421">
        <v>10</v>
      </c>
      <c r="BL132" s="1421">
        <v>2</v>
      </c>
      <c r="BM132" s="1421">
        <v>2</v>
      </c>
      <c r="BN132" s="1421">
        <v>0</v>
      </c>
      <c r="BO132" s="1421">
        <v>0</v>
      </c>
      <c r="BP132" s="2133">
        <v>30</v>
      </c>
      <c r="BQ132" s="2134">
        <v>0.28000000000000003</v>
      </c>
      <c r="BR132" s="357">
        <v>0</v>
      </c>
    </row>
    <row r="133" spans="1:70" ht="15.75">
      <c r="A133" s="2219"/>
      <c r="B133" s="2220"/>
      <c r="C133" s="2220"/>
      <c r="D133" s="2219"/>
      <c r="E133" s="2220"/>
      <c r="F133" s="2220"/>
      <c r="G133" s="2220"/>
      <c r="H133" s="2220"/>
      <c r="I133" s="2220"/>
      <c r="J133" s="2220"/>
      <c r="K133" s="2220"/>
      <c r="L133" s="2220"/>
      <c r="M133" s="2220"/>
      <c r="N133" s="2220"/>
      <c r="O133" s="2220"/>
      <c r="P133" s="2220"/>
      <c r="Q133" s="2220"/>
      <c r="R133" s="2220"/>
      <c r="S133" s="2219"/>
      <c r="T133" s="2221"/>
      <c r="U133" s="2220"/>
      <c r="V133" s="2220"/>
      <c r="W133" s="2220"/>
      <c r="X133" s="2220"/>
      <c r="Y133" s="2220"/>
      <c r="Z133" s="1327"/>
      <c r="AA133" s="1327"/>
      <c r="AB133" s="1327"/>
      <c r="AC133" s="1327"/>
      <c r="AD133" s="1411"/>
      <c r="AE133" s="1355"/>
      <c r="AF133" s="1355"/>
      <c r="AG133" s="1355"/>
      <c r="AH133" s="1355"/>
      <c r="AI133" s="1414"/>
      <c r="AJ133" s="1414"/>
      <c r="AK133" s="1414"/>
      <c r="AL133" s="1414"/>
      <c r="AM133" s="1414"/>
      <c r="AN133" s="1414"/>
      <c r="AO133" s="1414"/>
      <c r="AP133" s="1414"/>
      <c r="AQ133" s="1414"/>
      <c r="AR133" s="1414"/>
      <c r="AS133" s="1414"/>
      <c r="AT133" s="1414"/>
      <c r="AU133" s="1414"/>
      <c r="AV133" s="1414"/>
      <c r="AW133" s="1414"/>
      <c r="AX133" s="1414"/>
      <c r="AY133" s="1414"/>
      <c r="AZ133" s="1414"/>
      <c r="BA133" s="1414"/>
      <c r="BB133" s="1414"/>
      <c r="BC133" s="1414"/>
      <c r="BD133" s="1414"/>
      <c r="BE133" s="1414"/>
      <c r="BF133" s="1414"/>
      <c r="BG133" s="1414"/>
      <c r="BH133" s="1421" t="s">
        <v>1556</v>
      </c>
      <c r="BI133" s="1421">
        <v>150</v>
      </c>
      <c r="BJ133" s="1967">
        <v>90</v>
      </c>
      <c r="BK133" s="1421">
        <v>10</v>
      </c>
      <c r="BL133" s="1421">
        <v>5</v>
      </c>
      <c r="BM133" s="1421">
        <v>5</v>
      </c>
      <c r="BN133" s="1421">
        <v>0</v>
      </c>
      <c r="BO133" s="1421">
        <v>0</v>
      </c>
      <c r="BP133" s="2131">
        <v>30</v>
      </c>
      <c r="BQ133" s="2132">
        <v>0.11</v>
      </c>
      <c r="BR133" s="357">
        <v>0</v>
      </c>
    </row>
    <row r="134" spans="1:70" ht="15.75">
      <c r="A134" s="2219"/>
      <c r="B134" s="2220"/>
      <c r="C134" s="2220"/>
      <c r="D134" s="2219"/>
      <c r="E134" s="2220"/>
      <c r="F134" s="2220"/>
      <c r="G134" s="2220"/>
      <c r="H134" s="2220"/>
      <c r="I134" s="2220"/>
      <c r="J134" s="2220"/>
      <c r="K134" s="2220"/>
      <c r="L134" s="2220"/>
      <c r="M134" s="2220"/>
      <c r="N134" s="2220"/>
      <c r="O134" s="2220"/>
      <c r="P134" s="2220"/>
      <c r="Q134" s="2220"/>
      <c r="R134" s="2220"/>
      <c r="S134" s="2219"/>
      <c r="T134" s="2221"/>
      <c r="U134" s="2220"/>
      <c r="V134" s="2220"/>
      <c r="W134" s="2220"/>
      <c r="X134" s="2220"/>
      <c r="Y134" s="2220"/>
      <c r="Z134" s="1327"/>
      <c r="AA134" s="1327"/>
      <c r="AB134" s="1327"/>
      <c r="AC134" s="1327"/>
      <c r="AD134" s="1411"/>
      <c r="AE134" s="1355"/>
      <c r="AF134" s="1355"/>
      <c r="AG134" s="1355"/>
      <c r="AH134" s="1355"/>
      <c r="AI134" s="1414"/>
      <c r="AJ134" s="1414"/>
      <c r="AK134" s="1414"/>
      <c r="AL134" s="1414"/>
      <c r="AM134" s="1414"/>
      <c r="AN134" s="1414"/>
      <c r="AO134" s="1414"/>
      <c r="AP134" s="1414"/>
      <c r="AQ134" s="1414"/>
      <c r="AR134" s="1414"/>
      <c r="AS134" s="1414"/>
      <c r="AT134" s="1414"/>
      <c r="AU134" s="1414"/>
      <c r="AV134" s="1414"/>
      <c r="AW134" s="1414"/>
      <c r="AX134" s="1414"/>
      <c r="AY134" s="1414"/>
      <c r="AZ134" s="1414"/>
      <c r="BA134" s="1414"/>
      <c r="BB134" s="1414"/>
      <c r="BC134" s="1414"/>
      <c r="BD134" s="1414"/>
      <c r="BE134" s="1414"/>
      <c r="BF134" s="1414"/>
      <c r="BG134" s="1414"/>
      <c r="BH134" s="1421" t="s">
        <v>1557</v>
      </c>
      <c r="BI134" s="1421">
        <v>25</v>
      </c>
      <c r="BJ134" s="1967">
        <v>80</v>
      </c>
      <c r="BK134" s="1421">
        <v>10</v>
      </c>
      <c r="BL134" s="1421">
        <v>8</v>
      </c>
      <c r="BM134" s="1421">
        <v>8</v>
      </c>
      <c r="BN134" s="1421">
        <v>0</v>
      </c>
      <c r="BO134" s="1421">
        <v>0</v>
      </c>
      <c r="BP134" s="2131">
        <v>60</v>
      </c>
      <c r="BQ134" s="2134">
        <v>1.9019999999999999</v>
      </c>
      <c r="BR134" s="357">
        <v>0</v>
      </c>
    </row>
    <row r="135" spans="1:70">
      <c r="A135" s="2219"/>
      <c r="B135" s="2220"/>
      <c r="C135" s="2220"/>
      <c r="D135" s="2219"/>
      <c r="E135" s="2220"/>
      <c r="F135" s="2220"/>
      <c r="G135" s="2220"/>
      <c r="H135" s="2220"/>
      <c r="I135" s="2220"/>
      <c r="J135" s="2220"/>
      <c r="K135" s="2220"/>
      <c r="L135" s="2220"/>
      <c r="M135" s="2220"/>
      <c r="N135" s="2220"/>
      <c r="O135" s="2220"/>
      <c r="P135" s="2220"/>
      <c r="Q135" s="2220"/>
      <c r="R135" s="2220"/>
      <c r="S135" s="2219"/>
      <c r="T135" s="2221"/>
      <c r="U135" s="2220"/>
      <c r="V135" s="2220"/>
      <c r="W135" s="2220"/>
      <c r="X135" s="2220"/>
      <c r="Y135" s="2220"/>
      <c r="Z135" s="1327"/>
      <c r="AA135" s="1327"/>
      <c r="AB135" s="1327"/>
      <c r="AC135" s="1327"/>
      <c r="AD135" s="1327"/>
      <c r="AE135" s="1327"/>
      <c r="AF135" s="1327"/>
      <c r="AG135" s="1327"/>
      <c r="AH135" s="1327"/>
      <c r="BH135" s="1421" t="s">
        <v>1558</v>
      </c>
      <c r="BI135" s="1421">
        <v>25</v>
      </c>
      <c r="BJ135" s="1967">
        <v>80</v>
      </c>
      <c r="BK135" s="1421">
        <v>10</v>
      </c>
      <c r="BL135" s="1421">
        <v>8</v>
      </c>
      <c r="BM135" s="1421">
        <v>8</v>
      </c>
      <c r="BN135" s="1421">
        <v>0</v>
      </c>
      <c r="BO135" s="1421">
        <v>0</v>
      </c>
      <c r="BP135" s="2131">
        <v>60</v>
      </c>
      <c r="BQ135" s="2132">
        <v>0.95</v>
      </c>
      <c r="BR135" s="357">
        <v>0</v>
      </c>
    </row>
    <row r="136" spans="1:70">
      <c r="A136" s="2219"/>
      <c r="B136" s="2220"/>
      <c r="C136" s="2220"/>
      <c r="D136" s="2219"/>
      <c r="E136" s="2220"/>
      <c r="F136" s="2220"/>
      <c r="G136" s="2220"/>
      <c r="H136" s="2220"/>
      <c r="I136" s="2220"/>
      <c r="J136" s="2220"/>
      <c r="K136" s="2220"/>
      <c r="L136" s="2220"/>
      <c r="M136" s="2220"/>
      <c r="N136" s="2220"/>
      <c r="O136" s="2220"/>
      <c r="P136" s="2220"/>
      <c r="Q136" s="2220"/>
      <c r="R136" s="2220"/>
      <c r="S136" s="2219"/>
      <c r="T136" s="2221"/>
      <c r="U136" s="2220"/>
      <c r="V136" s="2220"/>
      <c r="W136" s="2220"/>
      <c r="X136" s="2220"/>
      <c r="Y136" s="2220"/>
      <c r="Z136" s="1327"/>
      <c r="AA136" s="1327"/>
      <c r="AB136" s="1327"/>
      <c r="AC136" s="1327"/>
      <c r="AD136" s="1327"/>
      <c r="AE136" s="1327"/>
      <c r="AF136" s="1327"/>
      <c r="AG136" s="1327"/>
      <c r="AH136" s="1327"/>
      <c r="BH136" s="1421" t="s">
        <v>1559</v>
      </c>
      <c r="BI136" s="1421">
        <v>300</v>
      </c>
      <c r="BJ136" s="1967">
        <v>165</v>
      </c>
      <c r="BK136" s="1421">
        <v>10</v>
      </c>
      <c r="BL136" s="1421">
        <v>17</v>
      </c>
      <c r="BM136" s="1421">
        <v>17</v>
      </c>
      <c r="BN136" s="1421">
        <v>0</v>
      </c>
      <c r="BO136" s="1421">
        <v>0</v>
      </c>
      <c r="BP136" s="2131">
        <v>60</v>
      </c>
      <c r="BQ136" s="2134">
        <v>0.16</v>
      </c>
      <c r="BR136" s="357">
        <v>0</v>
      </c>
    </row>
    <row r="137" spans="1:70">
      <c r="A137" s="2219"/>
      <c r="B137" s="2220"/>
      <c r="C137" s="2220"/>
      <c r="D137" s="2219"/>
      <c r="E137" s="2220"/>
      <c r="F137" s="2220"/>
      <c r="G137" s="2220"/>
      <c r="H137" s="2220"/>
      <c r="I137" s="2220"/>
      <c r="J137" s="2220"/>
      <c r="K137" s="2220"/>
      <c r="L137" s="2220"/>
      <c r="M137" s="2220"/>
      <c r="N137" s="2220"/>
      <c r="O137" s="2220"/>
      <c r="P137" s="2220"/>
      <c r="Q137" s="2220"/>
      <c r="R137" s="2220"/>
      <c r="S137" s="2219"/>
      <c r="T137" s="2221"/>
      <c r="U137" s="2220"/>
      <c r="V137" s="2220"/>
      <c r="W137" s="2220"/>
      <c r="X137" s="2220"/>
      <c r="Y137" s="2220"/>
      <c r="Z137" s="1327"/>
      <c r="AA137" s="1327"/>
      <c r="AB137" s="1327"/>
      <c r="AC137" s="1327"/>
      <c r="AD137" s="1327"/>
      <c r="AE137" s="1327"/>
      <c r="AF137" s="1327"/>
      <c r="AG137" s="1327"/>
      <c r="AH137" s="1327"/>
      <c r="BH137" s="1421" t="s">
        <v>1560</v>
      </c>
      <c r="BI137" s="1421">
        <v>120</v>
      </c>
      <c r="BJ137" s="1967">
        <v>95</v>
      </c>
      <c r="BK137" s="1421">
        <v>10</v>
      </c>
      <c r="BL137" s="1421">
        <v>5</v>
      </c>
      <c r="BM137" s="1421">
        <v>5</v>
      </c>
      <c r="BN137" s="1421">
        <v>0</v>
      </c>
      <c r="BO137" s="1421">
        <v>0</v>
      </c>
      <c r="BP137" s="2131">
        <v>60</v>
      </c>
      <c r="BQ137" s="2132">
        <v>0.16</v>
      </c>
      <c r="BR137" s="357">
        <v>0</v>
      </c>
    </row>
    <row r="138" spans="1:70">
      <c r="A138" s="2219"/>
      <c r="B138" s="2220"/>
      <c r="C138" s="2220"/>
      <c r="D138" s="2219"/>
      <c r="E138" s="2220"/>
      <c r="F138" s="2220"/>
      <c r="G138" s="2220"/>
      <c r="H138" s="2220"/>
      <c r="I138" s="2220"/>
      <c r="J138" s="2220"/>
      <c r="K138" s="2220"/>
      <c r="L138" s="2220"/>
      <c r="M138" s="2220"/>
      <c r="N138" s="2220"/>
      <c r="O138" s="2220"/>
      <c r="P138" s="2220"/>
      <c r="Q138" s="2220"/>
      <c r="R138" s="2220"/>
      <c r="S138" s="2219"/>
      <c r="T138" s="2221"/>
      <c r="U138" s="2220"/>
      <c r="V138" s="2220"/>
      <c r="W138" s="2220"/>
      <c r="X138" s="2220"/>
      <c r="Y138" s="2220"/>
      <c r="BH138" s="1421" t="s">
        <v>1561</v>
      </c>
      <c r="BI138" s="1421">
        <v>250</v>
      </c>
      <c r="BJ138" s="1967">
        <v>170</v>
      </c>
      <c r="BK138" s="1421">
        <v>10</v>
      </c>
      <c r="BL138" s="1421">
        <v>17</v>
      </c>
      <c r="BM138" s="1421">
        <v>17</v>
      </c>
      <c r="BN138" s="1421">
        <v>0</v>
      </c>
      <c r="BO138" s="1421">
        <v>0</v>
      </c>
      <c r="BP138" s="2131">
        <v>60</v>
      </c>
      <c r="BQ138" s="2132">
        <v>0.14000000000000001</v>
      </c>
      <c r="BR138" s="357">
        <v>0</v>
      </c>
    </row>
    <row r="139" spans="1:70">
      <c r="A139" s="2219"/>
      <c r="B139" s="2220"/>
      <c r="C139" s="2220"/>
      <c r="D139" s="2219"/>
      <c r="E139" s="2220"/>
      <c r="F139" s="2220"/>
      <c r="G139" s="2220"/>
      <c r="H139" s="2220"/>
      <c r="I139" s="2220"/>
      <c r="J139" s="2220"/>
      <c r="K139" s="2220"/>
      <c r="L139" s="2220"/>
      <c r="M139" s="2220"/>
      <c r="N139" s="2220"/>
      <c r="O139" s="2220"/>
      <c r="P139" s="2220"/>
      <c r="Q139" s="2220"/>
      <c r="R139" s="2220"/>
      <c r="S139" s="2219"/>
      <c r="T139" s="2221"/>
      <c r="U139" s="2220"/>
      <c r="V139" s="2220"/>
      <c r="W139" s="2220"/>
      <c r="X139" s="2220"/>
      <c r="Y139" s="2220"/>
      <c r="BH139" s="1421" t="s">
        <v>1562</v>
      </c>
      <c r="BI139" s="1421">
        <v>15</v>
      </c>
      <c r="BJ139" s="1967">
        <v>100</v>
      </c>
      <c r="BK139" s="1421">
        <v>10</v>
      </c>
      <c r="BL139" s="1421">
        <v>10</v>
      </c>
      <c r="BM139" s="1421">
        <v>10</v>
      </c>
      <c r="BN139" s="1421">
        <v>0</v>
      </c>
      <c r="BO139" s="1421">
        <v>0</v>
      </c>
      <c r="BP139" s="2131">
        <v>60</v>
      </c>
      <c r="BQ139" s="2134">
        <v>2.4266666666666672</v>
      </c>
      <c r="BR139" s="357">
        <v>0</v>
      </c>
    </row>
    <row r="140" spans="1:70">
      <c r="A140" s="2219"/>
      <c r="B140" s="2220"/>
      <c r="C140" s="2220"/>
      <c r="D140" s="2219"/>
      <c r="E140" s="2220"/>
      <c r="F140" s="2220"/>
      <c r="G140" s="2220"/>
      <c r="H140" s="2220"/>
      <c r="I140" s="2220"/>
      <c r="J140" s="2220"/>
      <c r="K140" s="2220"/>
      <c r="L140" s="2220"/>
      <c r="M140" s="2220"/>
      <c r="N140" s="2220"/>
      <c r="O140" s="2220"/>
      <c r="P140" s="2220"/>
      <c r="Q140" s="2220"/>
      <c r="R140" s="2220"/>
      <c r="S140" s="2219"/>
      <c r="T140" s="2221"/>
      <c r="U140" s="2220"/>
      <c r="V140" s="2220"/>
      <c r="W140" s="2220"/>
      <c r="X140" s="2220"/>
      <c r="Y140" s="2220"/>
      <c r="BH140" s="1421" t="s">
        <v>1563</v>
      </c>
      <c r="BI140" s="1421">
        <v>15</v>
      </c>
      <c r="BJ140" s="1967">
        <v>100</v>
      </c>
      <c r="BK140" s="1421">
        <v>10</v>
      </c>
      <c r="BL140" s="1421">
        <v>10</v>
      </c>
      <c r="BM140" s="1421">
        <v>10</v>
      </c>
      <c r="BN140" s="1421">
        <v>0</v>
      </c>
      <c r="BO140" s="1421">
        <v>0</v>
      </c>
      <c r="BP140" s="2131">
        <v>60</v>
      </c>
      <c r="BQ140" s="2132">
        <v>1.1200000000000001</v>
      </c>
      <c r="BR140" s="357">
        <v>0</v>
      </c>
    </row>
    <row r="141" spans="1:70">
      <c r="A141" s="2219"/>
      <c r="B141" s="2220"/>
      <c r="C141" s="2220"/>
      <c r="D141" s="2219"/>
      <c r="E141" s="2220"/>
      <c r="F141" s="2220"/>
      <c r="G141" s="2220"/>
      <c r="H141" s="2220"/>
      <c r="I141" s="2220"/>
      <c r="J141" s="2220"/>
      <c r="K141" s="2220"/>
      <c r="L141" s="2220"/>
      <c r="M141" s="2220"/>
      <c r="N141" s="2220"/>
      <c r="O141" s="2220"/>
      <c r="P141" s="2220"/>
      <c r="Q141" s="2220"/>
      <c r="R141" s="2220"/>
      <c r="S141" s="2219"/>
      <c r="T141" s="2221"/>
      <c r="U141" s="2220"/>
      <c r="V141" s="2220"/>
      <c r="W141" s="2220"/>
      <c r="X141" s="2220"/>
      <c r="Y141" s="2220"/>
      <c r="BH141" s="1421" t="s">
        <v>1564</v>
      </c>
      <c r="BI141" s="1421">
        <v>150</v>
      </c>
      <c r="BJ141" s="1967">
        <v>115</v>
      </c>
      <c r="BK141" s="1421">
        <v>10</v>
      </c>
      <c r="BL141" s="1421">
        <v>12</v>
      </c>
      <c r="BM141" s="1421">
        <v>12</v>
      </c>
      <c r="BN141" s="1421">
        <v>0</v>
      </c>
      <c r="BO141" s="1421">
        <v>0</v>
      </c>
      <c r="BP141" s="2133">
        <v>30</v>
      </c>
      <c r="BQ141" s="2134">
        <v>0.29333333333333333</v>
      </c>
      <c r="BR141" s="357">
        <v>0</v>
      </c>
    </row>
    <row r="142" spans="1:70">
      <c r="A142" s="2219"/>
      <c r="B142" s="2220"/>
      <c r="C142" s="2220"/>
      <c r="D142" s="2219"/>
      <c r="E142" s="2220"/>
      <c r="F142" s="2220"/>
      <c r="G142" s="2220"/>
      <c r="H142" s="2220"/>
      <c r="I142" s="2220"/>
      <c r="J142" s="2220"/>
      <c r="K142" s="2220"/>
      <c r="L142" s="2220"/>
      <c r="M142" s="2220"/>
      <c r="N142" s="2220"/>
      <c r="O142" s="2220"/>
      <c r="P142" s="2220"/>
      <c r="Q142" s="2220"/>
      <c r="R142" s="2220"/>
      <c r="S142" s="2219"/>
      <c r="T142" s="2221"/>
      <c r="U142" s="2220"/>
      <c r="V142" s="2220"/>
      <c r="W142" s="2220"/>
      <c r="X142" s="2220"/>
      <c r="Y142" s="2220"/>
      <c r="BH142" s="1421" t="s">
        <v>1565</v>
      </c>
      <c r="BI142" s="1421">
        <v>150</v>
      </c>
      <c r="BJ142" s="1967">
        <v>115</v>
      </c>
      <c r="BK142" s="1421">
        <v>10</v>
      </c>
      <c r="BL142" s="1421">
        <v>12</v>
      </c>
      <c r="BM142" s="1421">
        <v>12</v>
      </c>
      <c r="BN142" s="1421">
        <v>0</v>
      </c>
      <c r="BO142" s="1421">
        <v>0</v>
      </c>
      <c r="BP142" s="2133">
        <v>30</v>
      </c>
      <c r="BQ142" s="2134">
        <v>0.18</v>
      </c>
      <c r="BR142" s="357">
        <v>0</v>
      </c>
    </row>
    <row r="143" spans="1:70">
      <c r="A143" s="2219"/>
      <c r="B143" s="2220"/>
      <c r="C143" s="2220"/>
      <c r="D143" s="2219"/>
      <c r="E143" s="2220"/>
      <c r="F143" s="2220"/>
      <c r="G143" s="2220"/>
      <c r="H143" s="2220"/>
      <c r="I143" s="2220"/>
      <c r="J143" s="2220"/>
      <c r="K143" s="2220"/>
      <c r="L143" s="2220"/>
      <c r="M143" s="2220"/>
      <c r="N143" s="2220"/>
      <c r="O143" s="2220"/>
      <c r="P143" s="2220"/>
      <c r="Q143" s="2220"/>
      <c r="R143" s="2220"/>
      <c r="S143" s="2219"/>
      <c r="T143" s="2221"/>
      <c r="U143" s="2220"/>
      <c r="V143" s="2220"/>
      <c r="W143" s="2220"/>
      <c r="X143" s="2220"/>
      <c r="Y143" s="2220"/>
      <c r="BH143" s="1421" t="s">
        <v>1566</v>
      </c>
      <c r="BI143" s="1421">
        <v>160</v>
      </c>
      <c r="BJ143" s="1967">
        <v>100</v>
      </c>
      <c r="BK143" s="1421">
        <v>10</v>
      </c>
      <c r="BL143" s="1421">
        <v>10</v>
      </c>
      <c r="BM143" s="1421">
        <v>10</v>
      </c>
      <c r="BN143" s="1421">
        <v>0</v>
      </c>
      <c r="BO143" s="1421">
        <v>0</v>
      </c>
      <c r="BP143" s="2133">
        <v>60</v>
      </c>
      <c r="BQ143" s="2134">
        <v>0.15</v>
      </c>
      <c r="BR143" s="357">
        <v>0</v>
      </c>
    </row>
    <row r="144" spans="1:70">
      <c r="A144" s="2219"/>
      <c r="B144" s="2220"/>
      <c r="C144" s="2220"/>
      <c r="D144" s="2219"/>
      <c r="E144" s="2220"/>
      <c r="F144" s="2220"/>
      <c r="G144" s="2220"/>
      <c r="H144" s="2220"/>
      <c r="I144" s="2220"/>
      <c r="J144" s="2220"/>
      <c r="K144" s="2220"/>
      <c r="L144" s="2220"/>
      <c r="M144" s="2220"/>
      <c r="N144" s="2220"/>
      <c r="O144" s="2220"/>
      <c r="P144" s="2220"/>
      <c r="Q144" s="2220"/>
      <c r="R144" s="2220"/>
      <c r="S144" s="2219"/>
      <c r="T144" s="2221"/>
      <c r="U144" s="2220"/>
      <c r="V144" s="2220"/>
      <c r="W144" s="2220"/>
      <c r="X144" s="2220"/>
      <c r="Y144" s="2220"/>
      <c r="BH144" s="1421" t="s">
        <v>1567</v>
      </c>
      <c r="BI144" s="1421">
        <v>120</v>
      </c>
      <c r="BJ144" s="1967">
        <v>100</v>
      </c>
      <c r="BK144" s="1421">
        <v>10</v>
      </c>
      <c r="BL144" s="1421">
        <v>5</v>
      </c>
      <c r="BM144" s="1421">
        <v>5</v>
      </c>
      <c r="BN144" s="1421">
        <v>0</v>
      </c>
      <c r="BO144" s="1421">
        <v>0</v>
      </c>
      <c r="BP144" s="2131">
        <v>30</v>
      </c>
      <c r="BQ144" s="2132">
        <v>0.14000000000000001</v>
      </c>
      <c r="BR144" s="357">
        <v>0</v>
      </c>
    </row>
    <row r="145" spans="1:70">
      <c r="A145" s="2219"/>
      <c r="B145" s="2220"/>
      <c r="C145" s="2220"/>
      <c r="D145" s="2219"/>
      <c r="E145" s="2220"/>
      <c r="F145" s="2220"/>
      <c r="G145" s="2220"/>
      <c r="H145" s="2220"/>
      <c r="I145" s="2220"/>
      <c r="J145" s="2220"/>
      <c r="K145" s="2220"/>
      <c r="L145" s="2220"/>
      <c r="M145" s="2220"/>
      <c r="N145" s="2220"/>
      <c r="O145" s="2220"/>
      <c r="P145" s="2220"/>
      <c r="Q145" s="2220"/>
      <c r="R145" s="2220"/>
      <c r="S145" s="2219"/>
      <c r="T145" s="2221"/>
      <c r="U145" s="2220"/>
      <c r="V145" s="2220"/>
      <c r="W145" s="2220"/>
      <c r="X145" s="2220"/>
      <c r="Y145" s="2220"/>
      <c r="BH145" s="1421" t="s">
        <v>1568</v>
      </c>
      <c r="BI145" s="1421">
        <v>50</v>
      </c>
      <c r="BJ145" s="1967">
        <v>115</v>
      </c>
      <c r="BK145" s="1421">
        <v>10</v>
      </c>
      <c r="BL145" s="1421">
        <v>12</v>
      </c>
      <c r="BM145" s="1421">
        <v>12</v>
      </c>
      <c r="BN145" s="1421">
        <v>0</v>
      </c>
      <c r="BO145" s="1421">
        <v>0</v>
      </c>
      <c r="BP145" s="2133">
        <v>60</v>
      </c>
      <c r="BQ145" s="2134">
        <v>0.15</v>
      </c>
      <c r="BR145" s="357">
        <v>0</v>
      </c>
    </row>
    <row r="146" spans="1:70">
      <c r="A146" s="2219"/>
      <c r="B146" s="2220"/>
      <c r="C146" s="2220"/>
      <c r="D146" s="2219"/>
      <c r="E146" s="2220"/>
      <c r="F146" s="2220"/>
      <c r="G146" s="2220"/>
      <c r="H146" s="2220"/>
      <c r="I146" s="2220"/>
      <c r="J146" s="2220"/>
      <c r="K146" s="2220"/>
      <c r="L146" s="2220"/>
      <c r="M146" s="2220"/>
      <c r="N146" s="2220"/>
      <c r="O146" s="2220"/>
      <c r="P146" s="2220"/>
      <c r="Q146" s="2220"/>
      <c r="R146" s="2220"/>
      <c r="S146" s="2219"/>
      <c r="T146" s="2221"/>
      <c r="U146" s="2220"/>
      <c r="V146" s="2220"/>
      <c r="W146" s="2220"/>
      <c r="X146" s="2220"/>
      <c r="Y146" s="2220"/>
      <c r="BH146" s="1421" t="s">
        <v>1569</v>
      </c>
      <c r="BI146" s="1421">
        <v>130</v>
      </c>
      <c r="BJ146" s="1967">
        <v>115</v>
      </c>
      <c r="BK146" s="1421">
        <v>10</v>
      </c>
      <c r="BL146" s="1421">
        <v>12</v>
      </c>
      <c r="BM146" s="1421">
        <v>12</v>
      </c>
      <c r="BN146" s="1421">
        <v>0</v>
      </c>
      <c r="BO146" s="1421">
        <v>0</v>
      </c>
      <c r="BP146" s="2133">
        <v>60</v>
      </c>
      <c r="BQ146" s="2138">
        <v>0.2076923076923077</v>
      </c>
      <c r="BR146" s="357">
        <v>0</v>
      </c>
    </row>
    <row r="147" spans="1:70">
      <c r="A147" s="2219"/>
      <c r="B147" s="2220"/>
      <c r="C147" s="2220"/>
      <c r="D147" s="2219"/>
      <c r="E147" s="2220"/>
      <c r="F147" s="2220"/>
      <c r="G147" s="2220"/>
      <c r="H147" s="2220"/>
      <c r="I147" s="2220"/>
      <c r="J147" s="2220"/>
      <c r="K147" s="2220"/>
      <c r="L147" s="2220"/>
      <c r="M147" s="2220"/>
      <c r="N147" s="2220"/>
      <c r="O147" s="2220"/>
      <c r="P147" s="2220"/>
      <c r="Q147" s="2220"/>
      <c r="R147" s="2220"/>
      <c r="S147" s="2219"/>
      <c r="T147" s="2221"/>
      <c r="U147" s="2220"/>
      <c r="V147" s="2220"/>
      <c r="W147" s="2220"/>
      <c r="X147" s="2220"/>
      <c r="Y147" s="2220"/>
      <c r="BH147" s="1421" t="s">
        <v>1570</v>
      </c>
      <c r="BI147" s="1421">
        <v>130</v>
      </c>
      <c r="BJ147" s="1967">
        <v>115</v>
      </c>
      <c r="BK147" s="1421">
        <v>10</v>
      </c>
      <c r="BL147" s="1421">
        <v>12</v>
      </c>
      <c r="BM147" s="1421">
        <v>12</v>
      </c>
      <c r="BN147" s="1421">
        <v>0</v>
      </c>
      <c r="BO147" s="1421">
        <v>0</v>
      </c>
      <c r="BP147" s="2133">
        <v>60</v>
      </c>
      <c r="BQ147" s="2138">
        <v>0.15</v>
      </c>
      <c r="BR147" s="357">
        <v>0</v>
      </c>
    </row>
    <row r="148" spans="1:70">
      <c r="A148" s="2219"/>
      <c r="B148" s="2220"/>
      <c r="C148" s="2220"/>
      <c r="D148" s="2219"/>
      <c r="E148" s="2220"/>
      <c r="F148" s="2220"/>
      <c r="G148" s="2220"/>
      <c r="H148" s="2220"/>
      <c r="I148" s="2220"/>
      <c r="J148" s="2220"/>
      <c r="K148" s="2220"/>
      <c r="L148" s="2220"/>
      <c r="M148" s="2220"/>
      <c r="N148" s="2220"/>
      <c r="O148" s="2220"/>
      <c r="P148" s="2220"/>
      <c r="Q148" s="2220"/>
      <c r="R148" s="2220"/>
      <c r="S148" s="2219"/>
      <c r="T148" s="2221"/>
      <c r="U148" s="2220"/>
      <c r="V148" s="2220"/>
      <c r="W148" s="2220"/>
      <c r="X148" s="2220"/>
      <c r="Y148" s="2220"/>
      <c r="BH148" s="1421" t="s">
        <v>1571</v>
      </c>
      <c r="BI148" s="1421">
        <v>240</v>
      </c>
      <c r="BJ148" s="1967">
        <v>160</v>
      </c>
      <c r="BK148" s="1421">
        <v>10</v>
      </c>
      <c r="BL148" s="1421">
        <v>16</v>
      </c>
      <c r="BM148" s="1421">
        <v>16</v>
      </c>
      <c r="BN148" s="1421">
        <v>0</v>
      </c>
      <c r="BO148" s="1421">
        <v>0</v>
      </c>
      <c r="BP148" s="2131">
        <v>60</v>
      </c>
      <c r="BQ148" s="2132">
        <v>0.12</v>
      </c>
      <c r="BR148" s="357">
        <v>0</v>
      </c>
    </row>
    <row r="149" spans="1:70">
      <c r="A149" s="2219"/>
      <c r="B149" s="2220"/>
      <c r="C149" s="2220"/>
      <c r="D149" s="2219"/>
      <c r="E149" s="2220"/>
      <c r="F149" s="2220"/>
      <c r="G149" s="2220"/>
      <c r="H149" s="2220"/>
      <c r="I149" s="2220"/>
      <c r="J149" s="2220"/>
      <c r="K149" s="2220"/>
      <c r="L149" s="2220"/>
      <c r="M149" s="2220"/>
      <c r="N149" s="2220"/>
      <c r="O149" s="2220"/>
      <c r="P149" s="2220"/>
      <c r="Q149" s="2220"/>
      <c r="R149" s="2220"/>
      <c r="S149" s="2219"/>
      <c r="T149" s="2221"/>
      <c r="U149" s="2220"/>
      <c r="V149" s="2220"/>
      <c r="W149" s="2220"/>
      <c r="X149" s="2220"/>
      <c r="Y149" s="2220"/>
      <c r="BH149" s="1421" t="s">
        <v>1572</v>
      </c>
      <c r="BI149" s="1421">
        <v>160</v>
      </c>
      <c r="BJ149" s="1967">
        <v>100</v>
      </c>
      <c r="BK149" s="1421">
        <v>10</v>
      </c>
      <c r="BL149" s="1421">
        <v>5</v>
      </c>
      <c r="BM149" s="1421">
        <v>5</v>
      </c>
      <c r="BN149" s="1421">
        <v>0</v>
      </c>
      <c r="BO149" s="1421">
        <v>0</v>
      </c>
      <c r="BP149" s="2131">
        <v>60</v>
      </c>
      <c r="BQ149" s="2132">
        <v>0.12</v>
      </c>
      <c r="BR149" s="357">
        <v>0</v>
      </c>
    </row>
    <row r="150" spans="1:70">
      <c r="A150" s="2219"/>
      <c r="B150" s="2220"/>
      <c r="C150" s="2220"/>
      <c r="D150" s="2219"/>
      <c r="E150" s="2220"/>
      <c r="F150" s="2220"/>
      <c r="G150" s="2220"/>
      <c r="H150" s="2220"/>
      <c r="I150" s="2220"/>
      <c r="J150" s="2220"/>
      <c r="K150" s="2220"/>
      <c r="L150" s="2220"/>
      <c r="M150" s="2220"/>
      <c r="N150" s="2220"/>
      <c r="O150" s="2220"/>
      <c r="P150" s="2220"/>
      <c r="Q150" s="2220"/>
      <c r="R150" s="2220"/>
      <c r="S150" s="2219"/>
      <c r="T150" s="2221"/>
      <c r="U150" s="2220"/>
      <c r="V150" s="2220"/>
      <c r="W150" s="2220"/>
      <c r="X150" s="2220"/>
      <c r="Y150" s="2220"/>
      <c r="BH150" s="1421" t="s">
        <v>1573</v>
      </c>
      <c r="BI150" s="1421">
        <v>500</v>
      </c>
      <c r="BJ150" s="1967">
        <v>285</v>
      </c>
      <c r="BK150" s="1421">
        <v>10</v>
      </c>
      <c r="BL150" s="1421">
        <v>29</v>
      </c>
      <c r="BM150" s="1421">
        <v>14</v>
      </c>
      <c r="BN150" s="1421">
        <v>0</v>
      </c>
      <c r="BO150" s="1421">
        <v>0</v>
      </c>
      <c r="BP150" s="2133">
        <v>60</v>
      </c>
      <c r="BQ150" s="2134">
        <v>0.13</v>
      </c>
      <c r="BR150" s="357">
        <v>0</v>
      </c>
    </row>
    <row r="151" spans="1:70">
      <c r="A151" s="2219"/>
      <c r="B151" s="2220"/>
      <c r="C151" s="2220"/>
      <c r="D151" s="2219"/>
      <c r="E151" s="2220"/>
      <c r="F151" s="2220"/>
      <c r="G151" s="2220"/>
      <c r="H151" s="2220"/>
      <c r="I151" s="2220"/>
      <c r="J151" s="2220"/>
      <c r="K151" s="2220"/>
      <c r="L151" s="2220"/>
      <c r="M151" s="2220"/>
      <c r="N151" s="2220"/>
      <c r="O151" s="2220"/>
      <c r="P151" s="2220"/>
      <c r="Q151" s="2220"/>
      <c r="R151" s="2220"/>
      <c r="S151" s="2219"/>
      <c r="T151" s="2221"/>
      <c r="U151" s="2220"/>
      <c r="V151" s="2220"/>
      <c r="W151" s="2220"/>
      <c r="X151" s="2220"/>
      <c r="Y151" s="2220"/>
      <c r="BH151" s="1421" t="s">
        <v>1574</v>
      </c>
      <c r="BI151" s="1421">
        <v>400</v>
      </c>
      <c r="BJ151" s="1967">
        <v>210</v>
      </c>
      <c r="BK151" s="1421">
        <v>10</v>
      </c>
      <c r="BL151" s="1421">
        <v>21</v>
      </c>
      <c r="BM151" s="1421">
        <v>21</v>
      </c>
      <c r="BN151" s="1421">
        <v>0</v>
      </c>
      <c r="BO151" s="1421">
        <v>0</v>
      </c>
      <c r="BP151" s="2131">
        <v>30</v>
      </c>
      <c r="BQ151" s="2132">
        <v>0.11</v>
      </c>
      <c r="BR151" s="357">
        <v>0</v>
      </c>
    </row>
    <row r="152" spans="1:70">
      <c r="A152" s="2219"/>
      <c r="B152" s="2220"/>
      <c r="C152" s="2220"/>
      <c r="D152" s="2219"/>
      <c r="E152" s="2220"/>
      <c r="F152" s="2220"/>
      <c r="G152" s="2220"/>
      <c r="H152" s="2220"/>
      <c r="I152" s="2220"/>
      <c r="J152" s="2220"/>
      <c r="K152" s="2220"/>
      <c r="L152" s="2220"/>
      <c r="M152" s="2220"/>
      <c r="N152" s="2220"/>
      <c r="O152" s="2220"/>
      <c r="P152" s="2220"/>
      <c r="Q152" s="2220"/>
      <c r="R152" s="2220"/>
      <c r="S152" s="2219"/>
      <c r="T152" s="2221"/>
      <c r="U152" s="2220"/>
      <c r="V152" s="2220"/>
      <c r="W152" s="2220"/>
      <c r="X152" s="2220"/>
      <c r="Y152" s="2220"/>
      <c r="BH152" s="1421" t="s">
        <v>1575</v>
      </c>
      <c r="BI152" s="1421">
        <v>600</v>
      </c>
      <c r="BJ152" s="1967">
        <v>215</v>
      </c>
      <c r="BK152" s="1421">
        <v>10</v>
      </c>
      <c r="BL152" s="1421">
        <v>22</v>
      </c>
      <c r="BM152" s="1421">
        <v>22</v>
      </c>
      <c r="BN152" s="1421">
        <v>0</v>
      </c>
      <c r="BO152" s="1421">
        <v>0</v>
      </c>
      <c r="BP152" s="2135">
        <v>60</v>
      </c>
      <c r="BQ152" s="2132">
        <v>7.0000000000000007E-2</v>
      </c>
      <c r="BR152" s="357">
        <v>0</v>
      </c>
    </row>
    <row r="153" spans="1:70">
      <c r="A153" s="2219"/>
      <c r="B153" s="2220"/>
      <c r="C153" s="2220"/>
      <c r="D153" s="2219"/>
      <c r="E153" s="2220"/>
      <c r="F153" s="2220"/>
      <c r="G153" s="2220"/>
      <c r="H153" s="2220"/>
      <c r="I153" s="2220"/>
      <c r="J153" s="2220"/>
      <c r="K153" s="2220"/>
      <c r="L153" s="2220"/>
      <c r="M153" s="2220"/>
      <c r="N153" s="2220"/>
      <c r="O153" s="2220"/>
      <c r="P153" s="2220"/>
      <c r="Q153" s="2220"/>
      <c r="R153" s="2220"/>
      <c r="S153" s="2219"/>
      <c r="T153" s="2221"/>
      <c r="U153" s="2220"/>
      <c r="V153" s="2220"/>
      <c r="W153" s="2220"/>
      <c r="X153" s="2220"/>
      <c r="Y153" s="2220"/>
      <c r="BH153" s="1421" t="s">
        <v>1576</v>
      </c>
      <c r="BI153" s="1421">
        <v>50</v>
      </c>
      <c r="BJ153" s="1421">
        <v>185</v>
      </c>
      <c r="BK153" s="1421">
        <v>10</v>
      </c>
      <c r="BL153" s="1421">
        <v>19</v>
      </c>
      <c r="BM153" s="1421">
        <v>19</v>
      </c>
      <c r="BN153" s="1421">
        <v>0</v>
      </c>
      <c r="BO153" s="1421">
        <v>0</v>
      </c>
      <c r="BP153" s="2131">
        <v>60</v>
      </c>
      <c r="BQ153" s="2132">
        <v>0.75000000000000011</v>
      </c>
      <c r="BR153" s="357">
        <v>0</v>
      </c>
    </row>
    <row r="154" spans="1:70">
      <c r="A154" s="2219"/>
      <c r="B154" s="2220"/>
      <c r="C154" s="2220"/>
      <c r="D154" s="2219"/>
      <c r="E154" s="2220"/>
      <c r="F154" s="2220"/>
      <c r="G154" s="2220"/>
      <c r="H154" s="2220"/>
      <c r="I154" s="2220"/>
      <c r="J154" s="2220"/>
      <c r="K154" s="2220"/>
      <c r="L154" s="2220"/>
      <c r="M154" s="2220"/>
      <c r="N154" s="2220"/>
      <c r="O154" s="2220"/>
      <c r="P154" s="2220"/>
      <c r="Q154" s="2220"/>
      <c r="R154" s="2220"/>
      <c r="S154" s="2219"/>
      <c r="T154" s="2221"/>
      <c r="U154" s="2220"/>
      <c r="V154" s="2220"/>
      <c r="W154" s="2220"/>
      <c r="X154" s="2220"/>
      <c r="Y154" s="2220"/>
      <c r="BH154" s="1421" t="s">
        <v>1577</v>
      </c>
      <c r="BI154" s="1421">
        <v>50</v>
      </c>
      <c r="BJ154" s="1421">
        <v>185</v>
      </c>
      <c r="BK154" s="1421">
        <v>10</v>
      </c>
      <c r="BL154" s="1421">
        <v>19</v>
      </c>
      <c r="BM154" s="1421">
        <v>19</v>
      </c>
      <c r="BN154" s="1421">
        <v>0</v>
      </c>
      <c r="BO154" s="1421">
        <v>0</v>
      </c>
      <c r="BP154" s="2131">
        <v>60</v>
      </c>
      <c r="BQ154" s="2132">
        <v>0.12</v>
      </c>
      <c r="BR154" s="357">
        <v>0</v>
      </c>
    </row>
    <row r="155" spans="1:70">
      <c r="A155" s="2219"/>
      <c r="B155" s="2220"/>
      <c r="C155" s="2220"/>
      <c r="D155" s="2219"/>
      <c r="E155" s="2220"/>
      <c r="F155" s="2220"/>
      <c r="G155" s="2220"/>
      <c r="H155" s="2220"/>
      <c r="I155" s="2220"/>
      <c r="J155" s="2220"/>
      <c r="K155" s="2220"/>
      <c r="L155" s="2220"/>
      <c r="M155" s="2220"/>
      <c r="N155" s="2220"/>
      <c r="O155" s="2220"/>
      <c r="P155" s="2220"/>
      <c r="Q155" s="2220"/>
      <c r="R155" s="2220"/>
      <c r="S155" s="2219"/>
      <c r="T155" s="2221"/>
      <c r="U155" s="2220"/>
      <c r="V155" s="2220"/>
      <c r="W155" s="2220"/>
      <c r="X155" s="2220"/>
      <c r="Y155" s="2220"/>
      <c r="BH155" s="1421" t="s">
        <v>1578</v>
      </c>
      <c r="BI155" s="1421">
        <v>50</v>
      </c>
      <c r="BJ155" s="1421">
        <v>50</v>
      </c>
      <c r="BK155" s="1421">
        <v>10</v>
      </c>
      <c r="BL155" s="1421">
        <v>3</v>
      </c>
      <c r="BM155" s="1421">
        <v>3</v>
      </c>
      <c r="BN155" s="1421">
        <v>0</v>
      </c>
      <c r="BO155" s="1421">
        <v>0</v>
      </c>
      <c r="BP155" s="2133">
        <v>60</v>
      </c>
      <c r="BQ155" s="2134">
        <v>0.15</v>
      </c>
      <c r="BR155" s="357">
        <v>0</v>
      </c>
    </row>
    <row r="156" spans="1:70">
      <c r="A156" s="2219"/>
      <c r="B156" s="2220"/>
      <c r="C156" s="2220"/>
      <c r="D156" s="2219"/>
      <c r="E156" s="2220"/>
      <c r="F156" s="2220"/>
      <c r="G156" s="2220"/>
      <c r="H156" s="2220"/>
      <c r="I156" s="2220"/>
      <c r="J156" s="2220"/>
      <c r="K156" s="2220"/>
      <c r="L156" s="2220"/>
      <c r="M156" s="2220"/>
      <c r="N156" s="2220"/>
      <c r="O156" s="2220"/>
      <c r="P156" s="2220"/>
      <c r="Q156" s="2220"/>
      <c r="R156" s="2220"/>
      <c r="S156" s="2219"/>
      <c r="T156" s="2221"/>
      <c r="U156" s="2220"/>
      <c r="V156" s="2220"/>
      <c r="W156" s="2220"/>
      <c r="X156" s="2220"/>
      <c r="Y156" s="2220"/>
      <c r="BH156" s="1421" t="s">
        <v>1579</v>
      </c>
      <c r="BI156" s="1421">
        <v>80</v>
      </c>
      <c r="BJ156" s="1421">
        <v>65</v>
      </c>
      <c r="BK156" s="1421">
        <v>10</v>
      </c>
      <c r="BL156" s="1421">
        <v>7</v>
      </c>
      <c r="BM156" s="1421">
        <v>7</v>
      </c>
      <c r="BN156" s="1421">
        <v>0</v>
      </c>
      <c r="BO156" s="1421">
        <v>0</v>
      </c>
      <c r="BP156" s="2131">
        <v>30</v>
      </c>
      <c r="BQ156" s="2132">
        <v>0.09</v>
      </c>
      <c r="BR156" s="357">
        <v>0</v>
      </c>
    </row>
    <row r="157" spans="1:70">
      <c r="A157" s="2219"/>
      <c r="B157" s="2220"/>
      <c r="C157" s="2220"/>
      <c r="D157" s="2219"/>
      <c r="E157" s="2220"/>
      <c r="F157" s="2220"/>
      <c r="G157" s="2220"/>
      <c r="H157" s="2220"/>
      <c r="I157" s="2220"/>
      <c r="J157" s="2220"/>
      <c r="K157" s="2220"/>
      <c r="L157" s="2220"/>
      <c r="M157" s="2220"/>
      <c r="N157" s="2220"/>
      <c r="O157" s="2220"/>
      <c r="P157" s="2220"/>
      <c r="Q157" s="2220"/>
      <c r="R157" s="2220"/>
      <c r="S157" s="2219"/>
      <c r="T157" s="2221"/>
      <c r="U157" s="2220"/>
      <c r="V157" s="2220"/>
      <c r="W157" s="2220"/>
      <c r="X157" s="2220"/>
      <c r="Y157" s="2220"/>
      <c r="BH157" s="1421" t="s">
        <v>1580</v>
      </c>
      <c r="BI157" s="1421">
        <v>200</v>
      </c>
      <c r="BJ157" s="1421">
        <v>175</v>
      </c>
      <c r="BK157" s="1421">
        <v>10</v>
      </c>
      <c r="BL157" s="1421">
        <v>18</v>
      </c>
      <c r="BM157" s="1421">
        <v>18</v>
      </c>
      <c r="BN157" s="1421">
        <v>0</v>
      </c>
      <c r="BO157" s="1421">
        <v>0</v>
      </c>
      <c r="BP157" s="2131">
        <v>60</v>
      </c>
      <c r="BQ157" s="2132">
        <v>0.28400000000000003</v>
      </c>
      <c r="BR157" s="357">
        <v>0</v>
      </c>
    </row>
    <row r="158" spans="1:70">
      <c r="A158" s="2219"/>
      <c r="B158" s="2220"/>
      <c r="C158" s="2220"/>
      <c r="D158" s="2219"/>
      <c r="E158" s="2220"/>
      <c r="F158" s="2220"/>
      <c r="G158" s="2220"/>
      <c r="H158" s="2220"/>
      <c r="I158" s="2220"/>
      <c r="J158" s="2220"/>
      <c r="K158" s="2220"/>
      <c r="L158" s="2220"/>
      <c r="M158" s="2220"/>
      <c r="N158" s="2220"/>
      <c r="O158" s="2220"/>
      <c r="P158" s="2220"/>
      <c r="Q158" s="2220"/>
      <c r="R158" s="2220"/>
      <c r="S158" s="2219"/>
      <c r="T158" s="2221"/>
      <c r="U158" s="2220"/>
      <c r="V158" s="2220"/>
      <c r="W158" s="2220"/>
      <c r="X158" s="2220"/>
      <c r="Y158" s="2220"/>
      <c r="BH158" s="1421" t="s">
        <v>1581</v>
      </c>
      <c r="BI158" s="1421">
        <v>200</v>
      </c>
      <c r="BJ158" s="1421">
        <v>175</v>
      </c>
      <c r="BK158" s="1421">
        <v>10</v>
      </c>
      <c r="BL158" s="1421">
        <v>18</v>
      </c>
      <c r="BM158" s="1421">
        <v>18</v>
      </c>
      <c r="BN158" s="1421">
        <v>0</v>
      </c>
      <c r="BO158" s="1421">
        <v>0</v>
      </c>
      <c r="BP158" s="2131">
        <v>60</v>
      </c>
      <c r="BQ158" s="2132">
        <v>0.13</v>
      </c>
      <c r="BR158" s="357">
        <v>0</v>
      </c>
    </row>
    <row r="159" spans="1:70">
      <c r="A159" s="2219"/>
      <c r="B159" s="2220"/>
      <c r="C159" s="2220"/>
      <c r="D159" s="2219"/>
      <c r="E159" s="2220"/>
      <c r="F159" s="2220"/>
      <c r="G159" s="2220"/>
      <c r="H159" s="2220"/>
      <c r="I159" s="2220"/>
      <c r="J159" s="2220"/>
      <c r="K159" s="2220"/>
      <c r="L159" s="2220"/>
      <c r="M159" s="2220"/>
      <c r="N159" s="2220"/>
      <c r="O159" s="2220"/>
      <c r="P159" s="2220"/>
      <c r="Q159" s="2220"/>
      <c r="R159" s="2220"/>
      <c r="S159" s="2219"/>
      <c r="T159" s="2221"/>
      <c r="U159" s="2220"/>
      <c r="V159" s="2220"/>
      <c r="W159" s="2220"/>
      <c r="X159" s="2220"/>
      <c r="Y159" s="2220"/>
      <c r="BH159" s="1421" t="s">
        <v>1582</v>
      </c>
      <c r="BI159" s="1421">
        <v>350</v>
      </c>
      <c r="BJ159" s="1421">
        <v>210</v>
      </c>
      <c r="BK159" s="1421">
        <v>10</v>
      </c>
      <c r="BL159" s="1421">
        <v>21</v>
      </c>
      <c r="BM159" s="1421">
        <v>21</v>
      </c>
      <c r="BN159" s="1421">
        <v>0</v>
      </c>
      <c r="BO159" s="1421">
        <v>0</v>
      </c>
      <c r="BP159" s="2131">
        <v>60</v>
      </c>
      <c r="BQ159" s="2132">
        <v>0.11</v>
      </c>
      <c r="BR159" s="357">
        <v>0</v>
      </c>
    </row>
    <row r="160" spans="1:70">
      <c r="A160" s="2219"/>
      <c r="B160" s="2220"/>
      <c r="C160" s="2220"/>
      <c r="D160" s="2219"/>
      <c r="E160" s="2220"/>
      <c r="F160" s="2220"/>
      <c r="G160" s="2220"/>
      <c r="H160" s="2220"/>
      <c r="I160" s="2220"/>
      <c r="J160" s="2220"/>
      <c r="K160" s="2220"/>
      <c r="L160" s="2220"/>
      <c r="M160" s="2220"/>
      <c r="N160" s="2220"/>
      <c r="O160" s="2220"/>
      <c r="P160" s="2220"/>
      <c r="Q160" s="2220"/>
      <c r="R160" s="2220"/>
      <c r="S160" s="2219"/>
      <c r="T160" s="2221"/>
      <c r="U160" s="2220"/>
      <c r="V160" s="2220"/>
      <c r="W160" s="2220"/>
      <c r="X160" s="2220"/>
      <c r="Y160" s="2220"/>
      <c r="BH160" s="1421" t="s">
        <v>1583</v>
      </c>
      <c r="BI160" s="1421">
        <v>80</v>
      </c>
      <c r="BJ160" s="1421">
        <v>110</v>
      </c>
      <c r="BK160" s="1421">
        <v>10</v>
      </c>
      <c r="BL160" s="1421">
        <v>11</v>
      </c>
      <c r="BM160" s="1421">
        <v>11</v>
      </c>
      <c r="BN160" s="1421">
        <v>0</v>
      </c>
      <c r="BO160" s="1421">
        <v>0</v>
      </c>
      <c r="BP160" s="2131">
        <v>30</v>
      </c>
      <c r="BQ160" s="2132">
        <v>0.38</v>
      </c>
      <c r="BR160" s="357">
        <v>0</v>
      </c>
    </row>
    <row r="161" spans="1:70">
      <c r="A161" s="2219"/>
      <c r="B161" s="2220"/>
      <c r="C161" s="2220"/>
      <c r="D161" s="2219"/>
      <c r="E161" s="2220"/>
      <c r="F161" s="2220"/>
      <c r="G161" s="2220"/>
      <c r="H161" s="2220"/>
      <c r="I161" s="2220"/>
      <c r="J161" s="2220"/>
      <c r="K161" s="2220"/>
      <c r="L161" s="2220"/>
      <c r="M161" s="2220"/>
      <c r="N161" s="2220"/>
      <c r="O161" s="2220"/>
      <c r="P161" s="2220"/>
      <c r="Q161" s="2220"/>
      <c r="R161" s="2220"/>
      <c r="S161" s="2219"/>
      <c r="T161" s="2221"/>
      <c r="U161" s="2220"/>
      <c r="V161" s="2220"/>
      <c r="W161" s="2220"/>
      <c r="X161" s="2220"/>
      <c r="Y161" s="2220"/>
      <c r="BH161" s="1421" t="s">
        <v>1584</v>
      </c>
      <c r="BI161" s="1421">
        <v>80</v>
      </c>
      <c r="BJ161" s="1421">
        <v>110</v>
      </c>
      <c r="BK161" s="1421">
        <v>10</v>
      </c>
      <c r="BL161" s="1421">
        <v>11</v>
      </c>
      <c r="BM161" s="1421">
        <v>11</v>
      </c>
      <c r="BN161" s="1421">
        <v>0</v>
      </c>
      <c r="BO161" s="1421">
        <v>0</v>
      </c>
      <c r="BP161" s="2131">
        <v>30</v>
      </c>
      <c r="BQ161" s="2132">
        <v>0.23</v>
      </c>
      <c r="BR161" s="357">
        <v>0</v>
      </c>
    </row>
    <row r="162" spans="1:70">
      <c r="A162" s="2219"/>
      <c r="B162" s="2220"/>
      <c r="C162" s="2220"/>
      <c r="D162" s="2219"/>
      <c r="E162" s="2220"/>
      <c r="F162" s="2220"/>
      <c r="G162" s="2220"/>
      <c r="H162" s="2220"/>
      <c r="I162" s="2220"/>
      <c r="J162" s="2220"/>
      <c r="K162" s="2220"/>
      <c r="L162" s="2220"/>
      <c r="M162" s="2220"/>
      <c r="N162" s="2220"/>
      <c r="O162" s="2220"/>
      <c r="P162" s="2220"/>
      <c r="Q162" s="2220"/>
      <c r="R162" s="2220"/>
      <c r="S162" s="2219"/>
      <c r="T162" s="2221"/>
      <c r="U162" s="2220"/>
      <c r="V162" s="2220"/>
      <c r="W162" s="2220"/>
      <c r="X162" s="2220"/>
      <c r="Y162" s="2220"/>
      <c r="BH162" s="1421" t="s">
        <v>1585</v>
      </c>
      <c r="BI162" s="1421">
        <v>100</v>
      </c>
      <c r="BJ162" s="1421">
        <v>100</v>
      </c>
      <c r="BK162" s="1421">
        <v>10</v>
      </c>
      <c r="BL162" s="1421">
        <v>10</v>
      </c>
      <c r="BM162" s="1421">
        <v>10</v>
      </c>
      <c r="BN162" s="1421">
        <v>0</v>
      </c>
      <c r="BO162" s="1421">
        <v>0</v>
      </c>
      <c r="BP162" s="2135">
        <v>60</v>
      </c>
      <c r="BQ162" s="2132">
        <v>0.28000000000000003</v>
      </c>
      <c r="BR162" s="357">
        <v>0</v>
      </c>
    </row>
    <row r="163" spans="1:70">
      <c r="A163" s="2219"/>
      <c r="B163" s="2220"/>
      <c r="C163" s="2220"/>
      <c r="D163" s="2219"/>
      <c r="E163" s="2220"/>
      <c r="F163" s="2220"/>
      <c r="G163" s="2220"/>
      <c r="H163" s="2220"/>
      <c r="I163" s="2220"/>
      <c r="J163" s="2220"/>
      <c r="K163" s="2220"/>
      <c r="L163" s="2220"/>
      <c r="M163" s="2220"/>
      <c r="N163" s="2220"/>
      <c r="O163" s="2220"/>
      <c r="P163" s="2220"/>
      <c r="Q163" s="2220"/>
      <c r="R163" s="2220"/>
      <c r="S163" s="2219"/>
      <c r="T163" s="2221"/>
      <c r="U163" s="2220"/>
      <c r="V163" s="2220"/>
      <c r="W163" s="2220"/>
      <c r="X163" s="2220"/>
      <c r="Y163" s="2220"/>
      <c r="BH163" s="1421" t="s">
        <v>1586</v>
      </c>
      <c r="BI163" s="1421">
        <v>100</v>
      </c>
      <c r="BJ163" s="1421">
        <v>100</v>
      </c>
      <c r="BK163" s="1421">
        <v>10</v>
      </c>
      <c r="BL163" s="1421">
        <v>10</v>
      </c>
      <c r="BM163" s="1421">
        <v>10</v>
      </c>
      <c r="BN163" s="1421">
        <v>0</v>
      </c>
      <c r="BO163" s="1421">
        <v>0</v>
      </c>
      <c r="BP163" s="2131">
        <v>60</v>
      </c>
      <c r="BQ163" s="2132">
        <v>0.21</v>
      </c>
      <c r="BR163" s="357">
        <v>0</v>
      </c>
    </row>
    <row r="164" spans="1:70">
      <c r="A164" s="2219"/>
      <c r="B164" s="2220"/>
      <c r="C164" s="2220"/>
      <c r="D164" s="2219"/>
      <c r="E164" s="2220"/>
      <c r="F164" s="2220"/>
      <c r="G164" s="2220"/>
      <c r="H164" s="2220"/>
      <c r="I164" s="2220"/>
      <c r="J164" s="2220"/>
      <c r="K164" s="2220"/>
      <c r="L164" s="2220"/>
      <c r="M164" s="2220"/>
      <c r="N164" s="2220"/>
      <c r="O164" s="2220"/>
      <c r="P164" s="2220"/>
      <c r="Q164" s="2220"/>
      <c r="R164" s="2220"/>
      <c r="S164" s="2219"/>
      <c r="T164" s="2221"/>
      <c r="U164" s="2220"/>
      <c r="V164" s="2220"/>
      <c r="W164" s="2220"/>
      <c r="X164" s="2220"/>
      <c r="Y164" s="2220"/>
      <c r="BH164" s="1421" t="s">
        <v>1587</v>
      </c>
      <c r="BI164" s="1421">
        <v>300</v>
      </c>
      <c r="BJ164" s="1421">
        <v>130</v>
      </c>
      <c r="BK164" s="1421">
        <v>10</v>
      </c>
      <c r="BL164" s="1421">
        <v>13</v>
      </c>
      <c r="BM164" s="1421">
        <v>13</v>
      </c>
      <c r="BN164" s="1421">
        <v>0</v>
      </c>
      <c r="BO164" s="1421">
        <v>0</v>
      </c>
      <c r="BP164" s="2131">
        <v>60</v>
      </c>
      <c r="BQ164" s="2132">
        <v>0.08</v>
      </c>
      <c r="BR164" s="357">
        <v>0</v>
      </c>
    </row>
    <row r="165" spans="1:70">
      <c r="A165" s="2219"/>
      <c r="B165" s="2220"/>
      <c r="C165" s="2220"/>
      <c r="D165" s="2219"/>
      <c r="E165" s="2220"/>
      <c r="F165" s="2220"/>
      <c r="G165" s="2220"/>
      <c r="H165" s="2220"/>
      <c r="I165" s="2220"/>
      <c r="J165" s="2220"/>
      <c r="K165" s="2220"/>
      <c r="L165" s="2220"/>
      <c r="M165" s="2220"/>
      <c r="N165" s="2220"/>
      <c r="O165" s="2220"/>
      <c r="P165" s="2220"/>
      <c r="Q165" s="2220"/>
      <c r="R165" s="2220"/>
      <c r="S165" s="2219"/>
      <c r="T165" s="2221"/>
      <c r="U165" s="2220"/>
      <c r="V165" s="2220"/>
      <c r="W165" s="2220"/>
      <c r="X165" s="2220"/>
      <c r="Y165" s="2220"/>
      <c r="BH165" s="1421" t="s">
        <v>1588</v>
      </c>
      <c r="BI165" s="1421">
        <v>350</v>
      </c>
      <c r="BJ165" s="1421">
        <v>180</v>
      </c>
      <c r="BK165" s="1421">
        <v>10</v>
      </c>
      <c r="BL165" s="1421">
        <v>18</v>
      </c>
      <c r="BM165" s="1421">
        <v>18</v>
      </c>
      <c r="BN165" s="1421">
        <v>0</v>
      </c>
      <c r="BO165" s="1421">
        <v>0</v>
      </c>
      <c r="BP165" s="2131">
        <v>60</v>
      </c>
      <c r="BQ165" s="2132">
        <v>0.16</v>
      </c>
      <c r="BR165" s="357">
        <v>0</v>
      </c>
    </row>
    <row r="166" spans="1:70">
      <c r="A166" s="2219"/>
      <c r="B166" s="2220"/>
      <c r="C166" s="2220"/>
      <c r="D166" s="2219"/>
      <c r="E166" s="2220"/>
      <c r="F166" s="2220"/>
      <c r="G166" s="2220"/>
      <c r="H166" s="2220"/>
      <c r="I166" s="2220"/>
      <c r="J166" s="2220"/>
      <c r="K166" s="2220"/>
      <c r="L166" s="2220"/>
      <c r="M166" s="2220"/>
      <c r="N166" s="2220"/>
      <c r="O166" s="2220"/>
      <c r="P166" s="2220"/>
      <c r="Q166" s="2220"/>
      <c r="R166" s="2220"/>
      <c r="S166" s="2219"/>
      <c r="T166" s="2221"/>
      <c r="U166" s="2220"/>
      <c r="V166" s="2220"/>
      <c r="W166" s="2220"/>
      <c r="X166" s="2220"/>
      <c r="Y166" s="2220"/>
      <c r="BH166" s="1421" t="s">
        <v>1589</v>
      </c>
      <c r="BI166" s="1421">
        <v>150</v>
      </c>
      <c r="BJ166" s="1421">
        <v>95</v>
      </c>
      <c r="BK166" s="1421">
        <v>10</v>
      </c>
      <c r="BL166" s="1421">
        <v>5</v>
      </c>
      <c r="BM166" s="1421">
        <v>5</v>
      </c>
      <c r="BN166" s="1421">
        <v>0</v>
      </c>
      <c r="BO166" s="1421">
        <v>0</v>
      </c>
      <c r="BP166" s="2133">
        <v>60</v>
      </c>
      <c r="BQ166" s="2134">
        <v>0.09</v>
      </c>
      <c r="BR166" s="357">
        <v>0</v>
      </c>
    </row>
    <row r="167" spans="1:70">
      <c r="A167" s="2219"/>
      <c r="B167" s="2220"/>
      <c r="C167" s="2220"/>
      <c r="D167" s="2219"/>
      <c r="E167" s="2220"/>
      <c r="F167" s="2220"/>
      <c r="G167" s="2220"/>
      <c r="H167" s="2220"/>
      <c r="I167" s="2220"/>
      <c r="J167" s="2220"/>
      <c r="K167" s="2220"/>
      <c r="L167" s="2220"/>
      <c r="M167" s="2220"/>
      <c r="N167" s="2220"/>
      <c r="O167" s="2220"/>
      <c r="P167" s="2220"/>
      <c r="Q167" s="2220"/>
      <c r="R167" s="2220"/>
      <c r="S167" s="2219"/>
      <c r="T167" s="2221"/>
      <c r="U167" s="2220"/>
      <c r="V167" s="2220"/>
      <c r="W167" s="2220"/>
      <c r="X167" s="2220"/>
      <c r="Y167" s="2220"/>
      <c r="BH167" s="1421" t="s">
        <v>1590</v>
      </c>
      <c r="BI167" s="1421">
        <v>25</v>
      </c>
      <c r="BJ167" s="1421">
        <v>95</v>
      </c>
      <c r="BK167" s="1421">
        <v>10</v>
      </c>
      <c r="BL167" s="1421">
        <v>5</v>
      </c>
      <c r="BM167" s="1421">
        <v>5</v>
      </c>
      <c r="BN167" s="1421">
        <v>0</v>
      </c>
      <c r="BO167" s="1421">
        <v>0</v>
      </c>
      <c r="BP167" s="2133">
        <v>60</v>
      </c>
      <c r="BQ167" s="2134">
        <v>0.51</v>
      </c>
      <c r="BR167" s="357">
        <v>0</v>
      </c>
    </row>
    <row r="168" spans="1:70">
      <c r="A168" s="2219"/>
      <c r="B168" s="2220"/>
      <c r="C168" s="2220"/>
      <c r="D168" s="2219"/>
      <c r="E168" s="2220"/>
      <c r="F168" s="2220"/>
      <c r="G168" s="2220"/>
      <c r="H168" s="2220"/>
      <c r="I168" s="2220"/>
      <c r="J168" s="2220"/>
      <c r="K168" s="2220"/>
      <c r="L168" s="2220"/>
      <c r="M168" s="2220"/>
      <c r="N168" s="2220"/>
      <c r="O168" s="2220"/>
      <c r="P168" s="2220"/>
      <c r="Q168" s="2220"/>
      <c r="R168" s="2220"/>
      <c r="S168" s="2219"/>
      <c r="T168" s="2221"/>
      <c r="U168" s="2220"/>
      <c r="V168" s="2220"/>
      <c r="W168" s="2220"/>
      <c r="X168" s="2220"/>
      <c r="Y168" s="2220"/>
      <c r="BH168" s="1421" t="s">
        <v>1591</v>
      </c>
      <c r="BI168" s="1421">
        <v>25</v>
      </c>
      <c r="BJ168" s="1421">
        <v>95</v>
      </c>
      <c r="BK168" s="1421">
        <v>10</v>
      </c>
      <c r="BL168" s="1421">
        <v>5</v>
      </c>
      <c r="BM168" s="1421">
        <v>5</v>
      </c>
      <c r="BN168" s="1421">
        <v>0</v>
      </c>
      <c r="BO168" s="1421">
        <v>0</v>
      </c>
      <c r="BP168" s="2133">
        <v>60</v>
      </c>
      <c r="BQ168" s="2134">
        <v>0.12</v>
      </c>
      <c r="BR168" s="357">
        <v>0</v>
      </c>
    </row>
    <row r="169" spans="1:70">
      <c r="A169" s="2219"/>
      <c r="B169" s="2220"/>
      <c r="C169" s="2220"/>
      <c r="D169" s="2219"/>
      <c r="E169" s="2220"/>
      <c r="F169" s="2220"/>
      <c r="G169" s="2220"/>
      <c r="H169" s="2220"/>
      <c r="I169" s="2220"/>
      <c r="J169" s="2220"/>
      <c r="K169" s="2220"/>
      <c r="L169" s="2220"/>
      <c r="M169" s="2220"/>
      <c r="N169" s="2220"/>
      <c r="O169" s="2220"/>
      <c r="P169" s="2220"/>
      <c r="Q169" s="2220"/>
      <c r="R169" s="2220"/>
      <c r="S169" s="2219"/>
      <c r="T169" s="2221"/>
      <c r="U169" s="2220"/>
      <c r="V169" s="2220"/>
      <c r="W169" s="2220"/>
      <c r="X169" s="2220"/>
      <c r="Y169" s="2220"/>
      <c r="BH169" s="1421" t="s">
        <v>1592</v>
      </c>
      <c r="BI169" s="1421">
        <v>120</v>
      </c>
      <c r="BJ169" s="1421">
        <v>105</v>
      </c>
      <c r="BK169" s="1421">
        <v>10</v>
      </c>
      <c r="BL169" s="1421">
        <v>11</v>
      </c>
      <c r="BM169" s="1421">
        <v>11</v>
      </c>
      <c r="BN169" s="1421">
        <v>0</v>
      </c>
      <c r="BO169" s="1421">
        <v>0</v>
      </c>
      <c r="BP169" s="2131">
        <v>30</v>
      </c>
      <c r="BQ169" s="2132">
        <v>0.15</v>
      </c>
      <c r="BR169" s="357">
        <v>0</v>
      </c>
    </row>
    <row r="170" spans="1:70">
      <c r="A170" s="2219"/>
      <c r="B170" s="2220"/>
      <c r="C170" s="2220"/>
      <c r="D170" s="2219"/>
      <c r="E170" s="2220"/>
      <c r="F170" s="2220"/>
      <c r="G170" s="2220"/>
      <c r="H170" s="2220"/>
      <c r="I170" s="2220"/>
      <c r="J170" s="2220"/>
      <c r="K170" s="2220"/>
      <c r="L170" s="2220"/>
      <c r="M170" s="2220"/>
      <c r="N170" s="2220"/>
      <c r="O170" s="2220"/>
      <c r="P170" s="2220"/>
      <c r="Q170" s="2220"/>
      <c r="R170" s="2220"/>
      <c r="S170" s="2219"/>
      <c r="T170" s="2221"/>
      <c r="U170" s="2220"/>
      <c r="V170" s="2220"/>
      <c r="W170" s="2220"/>
      <c r="X170" s="2220"/>
      <c r="Y170" s="2220"/>
      <c r="BH170" s="1421" t="s">
        <v>1593</v>
      </c>
      <c r="BI170" s="1421">
        <v>120</v>
      </c>
      <c r="BJ170" s="1421">
        <v>105</v>
      </c>
      <c r="BK170" s="1421">
        <v>10</v>
      </c>
      <c r="BL170" s="1421">
        <v>10</v>
      </c>
      <c r="BM170" s="1421">
        <v>10</v>
      </c>
      <c r="BN170" s="1421">
        <v>0</v>
      </c>
      <c r="BO170" s="1421">
        <v>0</v>
      </c>
      <c r="BP170" s="2131">
        <v>30</v>
      </c>
      <c r="BQ170" s="2132">
        <v>0.28541666666666665</v>
      </c>
      <c r="BR170" s="357">
        <v>0</v>
      </c>
    </row>
    <row r="171" spans="1:70">
      <c r="A171" s="2219"/>
      <c r="B171" s="2220"/>
      <c r="C171" s="2220"/>
      <c r="D171" s="2219"/>
      <c r="E171" s="2220"/>
      <c r="F171" s="2220"/>
      <c r="G171" s="2220"/>
      <c r="H171" s="2220"/>
      <c r="I171" s="2220"/>
      <c r="J171" s="2220"/>
      <c r="K171" s="2220"/>
      <c r="L171" s="2220"/>
      <c r="M171" s="2220"/>
      <c r="N171" s="2220"/>
      <c r="O171" s="2220"/>
      <c r="P171" s="2220"/>
      <c r="Q171" s="2220"/>
      <c r="R171" s="2220"/>
      <c r="S171" s="2219"/>
      <c r="T171" s="2221"/>
      <c r="U171" s="2220"/>
      <c r="V171" s="2220"/>
      <c r="W171" s="2220"/>
      <c r="X171" s="2220"/>
      <c r="Y171" s="2220"/>
      <c r="BH171" s="1421" t="s">
        <v>1594</v>
      </c>
      <c r="BI171" s="1421">
        <v>200</v>
      </c>
      <c r="BJ171" s="1421">
        <v>145</v>
      </c>
      <c r="BK171" s="1421">
        <v>10</v>
      </c>
      <c r="BL171" s="1421">
        <v>7</v>
      </c>
      <c r="BM171" s="1421">
        <v>7</v>
      </c>
      <c r="BN171" s="1421">
        <v>0</v>
      </c>
      <c r="BO171" s="1421">
        <v>0</v>
      </c>
      <c r="BP171" s="2135">
        <v>60</v>
      </c>
      <c r="BQ171" s="2134">
        <v>0.09</v>
      </c>
      <c r="BR171" s="357">
        <v>0</v>
      </c>
    </row>
    <row r="172" spans="1:70">
      <c r="A172" s="2219"/>
      <c r="B172" s="2220"/>
      <c r="C172" s="2220"/>
      <c r="D172" s="2219"/>
      <c r="E172" s="2220"/>
      <c r="F172" s="2220"/>
      <c r="G172" s="2220"/>
      <c r="H172" s="2220"/>
      <c r="I172" s="2220"/>
      <c r="J172" s="2220"/>
      <c r="K172" s="2220"/>
      <c r="L172" s="2220"/>
      <c r="M172" s="2220"/>
      <c r="N172" s="2220"/>
      <c r="O172" s="2220"/>
      <c r="P172" s="2220"/>
      <c r="Q172" s="2220"/>
      <c r="R172" s="2220"/>
      <c r="S172" s="2219"/>
      <c r="T172" s="2221"/>
      <c r="U172" s="2220"/>
      <c r="V172" s="2220"/>
      <c r="W172" s="2220"/>
      <c r="X172" s="2220"/>
      <c r="Y172" s="2220"/>
      <c r="BH172" s="1421" t="s">
        <v>1595</v>
      </c>
      <c r="BI172" s="1421">
        <v>300</v>
      </c>
      <c r="BJ172" s="1421">
        <v>210</v>
      </c>
      <c r="BK172" s="1421">
        <v>10</v>
      </c>
      <c r="BL172" s="1421">
        <v>21</v>
      </c>
      <c r="BM172" s="1421">
        <v>21</v>
      </c>
      <c r="BN172" s="1421">
        <v>0</v>
      </c>
      <c r="BO172" s="1421">
        <v>0</v>
      </c>
      <c r="BP172" s="2131">
        <v>60</v>
      </c>
      <c r="BQ172" s="2132">
        <v>0.13700000000000001</v>
      </c>
      <c r="BR172" s="357">
        <v>0</v>
      </c>
    </row>
    <row r="173" spans="1:70">
      <c r="A173" s="2219"/>
      <c r="B173" s="2220"/>
      <c r="C173" s="2220"/>
      <c r="D173" s="2219"/>
      <c r="E173" s="2220"/>
      <c r="F173" s="2220"/>
      <c r="G173" s="2220"/>
      <c r="H173" s="2220"/>
      <c r="I173" s="2220"/>
      <c r="J173" s="2220"/>
      <c r="K173" s="2220"/>
      <c r="L173" s="2220"/>
      <c r="M173" s="2220"/>
      <c r="N173" s="2220"/>
      <c r="O173" s="2220"/>
      <c r="P173" s="2220"/>
      <c r="Q173" s="2220"/>
      <c r="R173" s="2220"/>
      <c r="S173" s="2219"/>
      <c r="T173" s="2221"/>
      <c r="U173" s="2220"/>
      <c r="V173" s="2220"/>
      <c r="W173" s="2220"/>
      <c r="X173" s="2220"/>
      <c r="Y173" s="2220"/>
      <c r="BH173" s="1421" t="s">
        <v>1596</v>
      </c>
      <c r="BI173" s="1421">
        <v>200</v>
      </c>
      <c r="BJ173" s="1421">
        <v>180</v>
      </c>
      <c r="BK173" s="1421">
        <v>10</v>
      </c>
      <c r="BL173" s="1421">
        <v>18</v>
      </c>
      <c r="BM173" s="1421">
        <v>9</v>
      </c>
      <c r="BN173" s="1421">
        <v>0</v>
      </c>
      <c r="BO173" s="1421">
        <v>0</v>
      </c>
      <c r="BP173" s="2131">
        <v>60</v>
      </c>
      <c r="BQ173" s="2132">
        <v>0.13700000000000001</v>
      </c>
      <c r="BR173" s="357">
        <v>0</v>
      </c>
    </row>
    <row r="174" spans="1:70">
      <c r="A174" s="2219"/>
      <c r="B174" s="2220"/>
      <c r="C174" s="2220"/>
      <c r="D174" s="2219"/>
      <c r="E174" s="2220"/>
      <c r="F174" s="2220"/>
      <c r="G174" s="2220"/>
      <c r="H174" s="2220"/>
      <c r="I174" s="2220"/>
      <c r="J174" s="2220"/>
      <c r="K174" s="2220"/>
      <c r="L174" s="2220"/>
      <c r="M174" s="2220"/>
      <c r="N174" s="2220"/>
      <c r="O174" s="2220"/>
      <c r="P174" s="2220"/>
      <c r="Q174" s="2220"/>
      <c r="R174" s="2220"/>
      <c r="S174" s="2219"/>
      <c r="T174" s="2221"/>
      <c r="U174" s="2220"/>
      <c r="V174" s="2220"/>
      <c r="W174" s="2220"/>
      <c r="X174" s="2220"/>
      <c r="Y174" s="2220"/>
      <c r="BH174" s="1421" t="s">
        <v>1597</v>
      </c>
      <c r="BI174" s="1421">
        <v>500</v>
      </c>
      <c r="BJ174" s="1421">
        <v>310</v>
      </c>
      <c r="BK174" s="1421">
        <v>10</v>
      </c>
      <c r="BL174" s="1421">
        <v>31</v>
      </c>
      <c r="BM174" s="1421">
        <v>31</v>
      </c>
      <c r="BN174" s="1421">
        <v>0</v>
      </c>
      <c r="BO174" s="1421">
        <v>0</v>
      </c>
      <c r="BP174" s="2136">
        <v>60</v>
      </c>
      <c r="BQ174" s="2134">
        <v>0.13700000000000001</v>
      </c>
      <c r="BR174" s="357">
        <v>0</v>
      </c>
    </row>
    <row r="175" spans="1:70">
      <c r="A175" s="2219"/>
      <c r="B175" s="2220"/>
      <c r="C175" s="2220"/>
      <c r="D175" s="2219"/>
      <c r="E175" s="2220"/>
      <c r="F175" s="2220"/>
      <c r="G175" s="2220"/>
      <c r="H175" s="2220"/>
      <c r="I175" s="2220"/>
      <c r="J175" s="2220"/>
      <c r="K175" s="2220"/>
      <c r="L175" s="2220"/>
      <c r="M175" s="2220"/>
      <c r="N175" s="2220"/>
      <c r="O175" s="2220"/>
      <c r="P175" s="2220"/>
      <c r="Q175" s="2220"/>
      <c r="R175" s="2220"/>
      <c r="S175" s="2219"/>
      <c r="T175" s="2221"/>
      <c r="U175" s="2220"/>
      <c r="V175" s="2220"/>
      <c r="W175" s="2220"/>
      <c r="X175" s="2220"/>
      <c r="Y175" s="2220"/>
      <c r="BH175" s="1421" t="s">
        <v>1598</v>
      </c>
      <c r="BI175" s="1421">
        <v>280</v>
      </c>
      <c r="BJ175" s="1421">
        <v>240</v>
      </c>
      <c r="BK175" s="1421">
        <v>10</v>
      </c>
      <c r="BL175" s="1421">
        <v>24</v>
      </c>
      <c r="BM175" s="1421">
        <v>12</v>
      </c>
      <c r="BN175" s="1421">
        <v>0</v>
      </c>
      <c r="BO175" s="1421">
        <v>0</v>
      </c>
      <c r="BP175" s="2131">
        <v>60</v>
      </c>
      <c r="BQ175" s="2132">
        <v>0.13700000000000001</v>
      </c>
      <c r="BR175" s="357">
        <v>0</v>
      </c>
    </row>
    <row r="176" spans="1:70">
      <c r="A176" s="2219"/>
      <c r="B176" s="2220"/>
      <c r="C176" s="2220"/>
      <c r="D176" s="2219"/>
      <c r="E176" s="2220"/>
      <c r="F176" s="2220"/>
      <c r="G176" s="2220"/>
      <c r="H176" s="2220"/>
      <c r="I176" s="2220"/>
      <c r="J176" s="2220"/>
      <c r="K176" s="2220"/>
      <c r="L176" s="2220"/>
      <c r="M176" s="2220"/>
      <c r="N176" s="2220"/>
      <c r="O176" s="2220"/>
      <c r="P176" s="2220"/>
      <c r="Q176" s="2220"/>
      <c r="R176" s="2220"/>
      <c r="S176" s="2219"/>
      <c r="T176" s="2221"/>
      <c r="U176" s="2220"/>
      <c r="V176" s="2220"/>
      <c r="W176" s="2220"/>
      <c r="X176" s="2220"/>
      <c r="Y176" s="2220"/>
      <c r="BH176" s="1421" t="s">
        <v>1599</v>
      </c>
      <c r="BI176" s="1421">
        <v>300</v>
      </c>
      <c r="BJ176" s="1421">
        <v>160</v>
      </c>
      <c r="BK176" s="1421">
        <v>10</v>
      </c>
      <c r="BL176" s="1421">
        <v>16</v>
      </c>
      <c r="BM176" s="1421">
        <v>16</v>
      </c>
      <c r="BN176" s="1421">
        <v>0</v>
      </c>
      <c r="BO176" s="1421">
        <v>0</v>
      </c>
      <c r="BP176" s="2131">
        <v>60</v>
      </c>
      <c r="BQ176" s="2132">
        <v>0.11</v>
      </c>
      <c r="BR176" s="357">
        <v>0</v>
      </c>
    </row>
    <row r="177" spans="1:70">
      <c r="A177" s="2219"/>
      <c r="B177" s="2220"/>
      <c r="C177" s="2220"/>
      <c r="D177" s="2219"/>
      <c r="E177" s="2220"/>
      <c r="F177" s="2220"/>
      <c r="G177" s="2220"/>
      <c r="H177" s="2220"/>
      <c r="I177" s="2220"/>
      <c r="J177" s="2220"/>
      <c r="K177" s="2220"/>
      <c r="L177" s="2220"/>
      <c r="M177" s="2220"/>
      <c r="N177" s="2220"/>
      <c r="O177" s="2220"/>
      <c r="P177" s="2220"/>
      <c r="Q177" s="2220"/>
      <c r="R177" s="2220"/>
      <c r="S177" s="2219"/>
      <c r="T177" s="2221"/>
      <c r="U177" s="2220"/>
      <c r="V177" s="2220"/>
      <c r="W177" s="2220"/>
      <c r="X177" s="2220"/>
      <c r="Y177" s="2220"/>
      <c r="BH177" s="1421" t="s">
        <v>1600</v>
      </c>
      <c r="BI177" s="1421">
        <v>15</v>
      </c>
      <c r="BJ177" s="1421">
        <v>105</v>
      </c>
      <c r="BK177" s="1421">
        <v>10</v>
      </c>
      <c r="BL177" s="1421">
        <v>5</v>
      </c>
      <c r="BM177" s="1421">
        <v>5</v>
      </c>
      <c r="BN177" s="1421">
        <v>0</v>
      </c>
      <c r="BO177" s="1421">
        <v>0</v>
      </c>
      <c r="BP177" s="2131">
        <v>60</v>
      </c>
      <c r="BQ177" s="2132">
        <v>2</v>
      </c>
      <c r="BR177" s="357">
        <v>0</v>
      </c>
    </row>
    <row r="178" spans="1:70">
      <c r="A178" s="2219"/>
      <c r="B178" s="2220"/>
      <c r="C178" s="2220"/>
      <c r="D178" s="2219"/>
      <c r="E178" s="2220"/>
      <c r="F178" s="2220"/>
      <c r="G178" s="2220"/>
      <c r="H178" s="2220"/>
      <c r="I178" s="2220"/>
      <c r="J178" s="2220"/>
      <c r="K178" s="2220"/>
      <c r="L178" s="2220"/>
      <c r="M178" s="2220"/>
      <c r="N178" s="2220"/>
      <c r="O178" s="2220"/>
      <c r="P178" s="2220"/>
      <c r="Q178" s="2220"/>
      <c r="R178" s="2220"/>
      <c r="S178" s="2219"/>
      <c r="T178" s="2221"/>
      <c r="U178" s="2220"/>
      <c r="V178" s="2220"/>
      <c r="W178" s="2220"/>
      <c r="X178" s="2220"/>
      <c r="Y178" s="2220"/>
      <c r="BH178" s="1421" t="s">
        <v>1601</v>
      </c>
      <c r="BI178" s="1421">
        <v>15</v>
      </c>
      <c r="BJ178" s="1421">
        <v>105</v>
      </c>
      <c r="BK178" s="1421">
        <v>10</v>
      </c>
      <c r="BL178" s="1421">
        <v>5</v>
      </c>
      <c r="BM178" s="1421">
        <v>5</v>
      </c>
      <c r="BN178" s="1421">
        <v>0</v>
      </c>
      <c r="BO178" s="1421">
        <v>0</v>
      </c>
      <c r="BP178" s="2131">
        <v>60</v>
      </c>
      <c r="BQ178" s="2132">
        <v>1.71</v>
      </c>
      <c r="BR178" s="357">
        <v>0</v>
      </c>
    </row>
    <row r="179" spans="1:70">
      <c r="A179" s="2219"/>
      <c r="B179" s="2220"/>
      <c r="C179" s="2220"/>
      <c r="D179" s="2219"/>
      <c r="E179" s="2220"/>
      <c r="F179" s="2220"/>
      <c r="G179" s="2220"/>
      <c r="H179" s="2220"/>
      <c r="I179" s="2220"/>
      <c r="J179" s="2220"/>
      <c r="K179" s="2220"/>
      <c r="L179" s="2220"/>
      <c r="M179" s="2220"/>
      <c r="N179" s="2220"/>
      <c r="O179" s="2220"/>
      <c r="P179" s="2220"/>
      <c r="Q179" s="2220"/>
      <c r="R179" s="2220"/>
      <c r="S179" s="2219"/>
      <c r="T179" s="2221"/>
      <c r="U179" s="2220"/>
      <c r="V179" s="2220"/>
      <c r="W179" s="2220"/>
      <c r="X179" s="2220"/>
      <c r="Y179" s="2220"/>
      <c r="BH179" s="1421" t="s">
        <v>1602</v>
      </c>
      <c r="BI179" s="1421">
        <v>50</v>
      </c>
      <c r="BJ179" s="1421">
        <v>50</v>
      </c>
      <c r="BK179" s="1421">
        <v>10</v>
      </c>
      <c r="BL179" s="1421">
        <v>3</v>
      </c>
      <c r="BM179" s="1421">
        <v>3</v>
      </c>
      <c r="BN179" s="1421">
        <v>0</v>
      </c>
      <c r="BO179" s="1421">
        <v>0</v>
      </c>
      <c r="BP179" s="2133">
        <v>60</v>
      </c>
      <c r="BQ179" s="2134">
        <v>0.08</v>
      </c>
      <c r="BR179" s="357">
        <v>0</v>
      </c>
    </row>
    <row r="180" spans="1:70">
      <c r="A180" s="2219"/>
      <c r="B180" s="2220"/>
      <c r="C180" s="2220"/>
      <c r="D180" s="2219"/>
      <c r="E180" s="2220"/>
      <c r="F180" s="2220"/>
      <c r="G180" s="2220"/>
      <c r="H180" s="2220"/>
      <c r="I180" s="2220"/>
      <c r="J180" s="2220"/>
      <c r="K180" s="2220"/>
      <c r="L180" s="2220"/>
      <c r="M180" s="2220"/>
      <c r="N180" s="2220"/>
      <c r="O180" s="2220"/>
      <c r="P180" s="2220"/>
      <c r="Q180" s="2220"/>
      <c r="R180" s="2220"/>
      <c r="S180" s="2219"/>
      <c r="T180" s="2221"/>
      <c r="U180" s="2220"/>
      <c r="V180" s="2220"/>
      <c r="W180" s="2220"/>
      <c r="X180" s="2220"/>
      <c r="Y180" s="2220"/>
      <c r="BH180" s="1421" t="s">
        <v>1603</v>
      </c>
      <c r="BI180" s="1421">
        <v>50</v>
      </c>
      <c r="BJ180" s="1421">
        <v>50</v>
      </c>
      <c r="BK180" s="1421">
        <v>10</v>
      </c>
      <c r="BL180" s="1421">
        <v>3</v>
      </c>
      <c r="BM180" s="1421">
        <v>3</v>
      </c>
      <c r="BN180" s="1421">
        <v>0</v>
      </c>
      <c r="BO180" s="1421">
        <v>0</v>
      </c>
      <c r="BP180" s="2133">
        <v>60</v>
      </c>
      <c r="BQ180" s="2134">
        <v>0.09</v>
      </c>
      <c r="BR180" s="357">
        <v>0</v>
      </c>
    </row>
    <row r="181" spans="1:70">
      <c r="A181" s="2219"/>
      <c r="B181" s="2220"/>
      <c r="C181" s="2220"/>
      <c r="D181" s="2219"/>
      <c r="E181" s="2220"/>
      <c r="F181" s="2220"/>
      <c r="G181" s="2220"/>
      <c r="H181" s="2220"/>
      <c r="I181" s="2220"/>
      <c r="J181" s="2220"/>
      <c r="K181" s="2220"/>
      <c r="L181" s="2220"/>
      <c r="M181" s="2220"/>
      <c r="N181" s="2220"/>
      <c r="O181" s="2220"/>
      <c r="P181" s="2220"/>
      <c r="Q181" s="2220"/>
      <c r="R181" s="2220"/>
      <c r="S181" s="2219"/>
      <c r="T181" s="2221"/>
      <c r="U181" s="2220"/>
      <c r="V181" s="2220"/>
      <c r="W181" s="2220"/>
      <c r="X181" s="2220"/>
      <c r="Y181" s="2220"/>
      <c r="BH181" s="1421" t="s">
        <v>1604</v>
      </c>
      <c r="BI181" s="1421">
        <v>550</v>
      </c>
      <c r="BJ181" s="1421">
        <v>245</v>
      </c>
      <c r="BK181" s="1421">
        <v>10</v>
      </c>
      <c r="BL181" s="1421">
        <v>25</v>
      </c>
      <c r="BM181" s="1421">
        <v>25</v>
      </c>
      <c r="BN181" s="1421">
        <v>0</v>
      </c>
      <c r="BO181" s="1421">
        <v>0</v>
      </c>
      <c r="BP181" s="2135">
        <v>60</v>
      </c>
      <c r="BQ181" s="2132">
        <v>0.11</v>
      </c>
      <c r="BR181" s="357">
        <v>0</v>
      </c>
    </row>
    <row r="182" spans="1:70">
      <c r="A182" s="2219"/>
      <c r="B182" s="2220"/>
      <c r="C182" s="2220"/>
      <c r="D182" s="2219"/>
      <c r="E182" s="2220"/>
      <c r="F182" s="2220"/>
      <c r="G182" s="2220"/>
      <c r="H182" s="2220"/>
      <c r="I182" s="2220"/>
      <c r="J182" s="2220"/>
      <c r="K182" s="2220"/>
      <c r="L182" s="2220"/>
      <c r="M182" s="2220"/>
      <c r="N182" s="2220"/>
      <c r="O182" s="2220"/>
      <c r="P182" s="2220"/>
      <c r="Q182" s="2220"/>
      <c r="R182" s="2220"/>
      <c r="S182" s="2219"/>
      <c r="T182" s="2221"/>
      <c r="U182" s="2220"/>
      <c r="V182" s="2220"/>
      <c r="W182" s="2220"/>
      <c r="X182" s="2220"/>
      <c r="Y182" s="2220"/>
      <c r="BH182" s="1421" t="s">
        <v>1605</v>
      </c>
      <c r="BI182" s="1421">
        <v>9</v>
      </c>
      <c r="BJ182" s="1421">
        <v>65</v>
      </c>
      <c r="BK182" s="1421">
        <v>10</v>
      </c>
      <c r="BL182" s="1421">
        <v>7</v>
      </c>
      <c r="BM182" s="1421">
        <v>7</v>
      </c>
      <c r="BN182" s="1421">
        <v>0</v>
      </c>
      <c r="BO182" s="1421">
        <v>0</v>
      </c>
      <c r="BP182" s="2131">
        <v>60</v>
      </c>
      <c r="BQ182" s="2134">
        <v>2.0644444444444443</v>
      </c>
      <c r="BR182" s="357">
        <v>0</v>
      </c>
    </row>
    <row r="183" spans="1:70">
      <c r="A183" s="2219"/>
      <c r="B183" s="2220"/>
      <c r="C183" s="2220"/>
      <c r="D183" s="2219"/>
      <c r="E183" s="2220"/>
      <c r="F183" s="2220"/>
      <c r="G183" s="2220"/>
      <c r="H183" s="2220"/>
      <c r="I183" s="2220"/>
      <c r="J183" s="2220"/>
      <c r="K183" s="2220"/>
      <c r="L183" s="2220"/>
      <c r="M183" s="2220"/>
      <c r="N183" s="2220"/>
      <c r="O183" s="2220"/>
      <c r="P183" s="2220"/>
      <c r="Q183" s="2220"/>
      <c r="R183" s="2220"/>
      <c r="S183" s="2219"/>
      <c r="T183" s="2221"/>
      <c r="U183" s="2220"/>
      <c r="V183" s="2220"/>
      <c r="W183" s="2220"/>
      <c r="X183" s="2220"/>
      <c r="Y183" s="2220"/>
      <c r="BH183" s="1421" t="s">
        <v>1606</v>
      </c>
      <c r="BI183" s="1421">
        <v>9</v>
      </c>
      <c r="BJ183" s="1421">
        <v>65</v>
      </c>
      <c r="BK183" s="1421">
        <v>10</v>
      </c>
      <c r="BL183" s="1421">
        <v>7</v>
      </c>
      <c r="BM183" s="1421">
        <v>7</v>
      </c>
      <c r="BN183" s="1421">
        <v>0</v>
      </c>
      <c r="BO183" s="1421">
        <v>0</v>
      </c>
      <c r="BP183" s="2131">
        <v>60</v>
      </c>
      <c r="BQ183" s="2134">
        <v>1.53</v>
      </c>
      <c r="BR183" s="357">
        <v>0</v>
      </c>
    </row>
    <row r="184" spans="1:70">
      <c r="A184" s="2219"/>
      <c r="B184" s="2220"/>
      <c r="C184" s="2220"/>
      <c r="D184" s="2219"/>
      <c r="E184" s="2220"/>
      <c r="F184" s="2220"/>
      <c r="G184" s="2220"/>
      <c r="H184" s="2220"/>
      <c r="I184" s="2220"/>
      <c r="J184" s="2220"/>
      <c r="K184" s="2220"/>
      <c r="L184" s="2220"/>
      <c r="M184" s="2220"/>
      <c r="N184" s="2220"/>
      <c r="O184" s="2220"/>
      <c r="P184" s="2220"/>
      <c r="Q184" s="2220"/>
      <c r="R184" s="2220"/>
      <c r="S184" s="2219"/>
      <c r="T184" s="2221"/>
      <c r="U184" s="2220"/>
      <c r="V184" s="2220"/>
      <c r="W184" s="2220"/>
      <c r="X184" s="2220"/>
      <c r="Y184" s="2220"/>
      <c r="BH184" s="1421" t="s">
        <v>1607</v>
      </c>
      <c r="BI184" s="1421">
        <v>15</v>
      </c>
      <c r="BJ184" s="1421">
        <v>135</v>
      </c>
      <c r="BK184" s="1421">
        <v>10</v>
      </c>
      <c r="BL184" s="1421">
        <v>14</v>
      </c>
      <c r="BM184" s="1421">
        <v>14</v>
      </c>
      <c r="BN184" s="1421">
        <v>0</v>
      </c>
      <c r="BO184" s="1421">
        <v>0</v>
      </c>
      <c r="BP184" s="2131">
        <v>60</v>
      </c>
      <c r="BQ184" s="2134">
        <v>3.3699999999999997</v>
      </c>
      <c r="BR184" s="357">
        <v>0</v>
      </c>
    </row>
    <row r="185" spans="1:70">
      <c r="A185" s="2219"/>
      <c r="B185" s="2220"/>
      <c r="C185" s="2220"/>
      <c r="D185" s="2219"/>
      <c r="E185" s="2220"/>
      <c r="F185" s="2220"/>
      <c r="G185" s="2220"/>
      <c r="H185" s="2220"/>
      <c r="I185" s="2220"/>
      <c r="J185" s="2220"/>
      <c r="K185" s="2220"/>
      <c r="L185" s="2220"/>
      <c r="M185" s="2220"/>
      <c r="N185" s="2220"/>
      <c r="O185" s="2220"/>
      <c r="P185" s="2220"/>
      <c r="Q185" s="2220"/>
      <c r="R185" s="2220"/>
      <c r="S185" s="2219"/>
      <c r="T185" s="2221"/>
      <c r="U185" s="2220"/>
      <c r="V185" s="2220"/>
      <c r="W185" s="2220"/>
      <c r="X185" s="2220"/>
      <c r="Y185" s="2220"/>
      <c r="BH185" s="1421" t="s">
        <v>1608</v>
      </c>
      <c r="BI185" s="1421">
        <v>15</v>
      </c>
      <c r="BJ185" s="1421">
        <v>135</v>
      </c>
      <c r="BK185" s="1421">
        <v>10</v>
      </c>
      <c r="BL185" s="1421">
        <v>14</v>
      </c>
      <c r="BM185" s="1421">
        <v>14</v>
      </c>
      <c r="BN185" s="1421">
        <v>0</v>
      </c>
      <c r="BO185" s="1421">
        <v>0</v>
      </c>
      <c r="BP185" s="2131">
        <v>60</v>
      </c>
      <c r="BQ185" s="2132">
        <v>1.77</v>
      </c>
      <c r="BR185" s="357">
        <v>0</v>
      </c>
    </row>
    <row r="186" spans="1:70">
      <c r="A186" s="2219"/>
      <c r="B186" s="2220"/>
      <c r="C186" s="2220"/>
      <c r="D186" s="2219"/>
      <c r="E186" s="2220"/>
      <c r="F186" s="2220"/>
      <c r="G186" s="2220"/>
      <c r="H186" s="2220"/>
      <c r="I186" s="2220"/>
      <c r="J186" s="2220"/>
      <c r="K186" s="2220"/>
      <c r="L186" s="2220"/>
      <c r="M186" s="2220"/>
      <c r="N186" s="2220"/>
      <c r="O186" s="2220"/>
      <c r="P186" s="2220"/>
      <c r="Q186" s="2220"/>
      <c r="R186" s="2220"/>
      <c r="S186" s="2219"/>
      <c r="T186" s="2221"/>
      <c r="U186" s="2220"/>
      <c r="V186" s="2220"/>
      <c r="W186" s="2220"/>
      <c r="X186" s="2220"/>
      <c r="Y186" s="2220"/>
      <c r="BH186" s="1421" t="s">
        <v>1609</v>
      </c>
      <c r="BI186" s="1421">
        <v>12</v>
      </c>
      <c r="BJ186" s="1421">
        <v>80</v>
      </c>
      <c r="BK186" s="1421">
        <v>10</v>
      </c>
      <c r="BL186" s="1421">
        <v>8</v>
      </c>
      <c r="BM186" s="1421">
        <v>8</v>
      </c>
      <c r="BN186" s="1421">
        <v>0</v>
      </c>
      <c r="BO186" s="1421">
        <v>0</v>
      </c>
      <c r="BP186" s="2133">
        <v>60</v>
      </c>
      <c r="BQ186" s="2134">
        <v>2.7099999999999995</v>
      </c>
      <c r="BR186" s="357">
        <v>0</v>
      </c>
    </row>
    <row r="187" spans="1:70">
      <c r="A187" s="2219"/>
      <c r="B187" s="2220"/>
      <c r="C187" s="2220"/>
      <c r="D187" s="2219"/>
      <c r="E187" s="2220"/>
      <c r="F187" s="2220"/>
      <c r="G187" s="2220"/>
      <c r="H187" s="2220"/>
      <c r="I187" s="2220"/>
      <c r="J187" s="2220"/>
      <c r="K187" s="2220"/>
      <c r="L187" s="2220"/>
      <c r="M187" s="2220"/>
      <c r="N187" s="2220"/>
      <c r="O187" s="2220"/>
      <c r="P187" s="2220"/>
      <c r="Q187" s="2220"/>
      <c r="R187" s="2220"/>
      <c r="S187" s="2219"/>
      <c r="T187" s="2221"/>
      <c r="U187" s="2220"/>
      <c r="V187" s="2220"/>
      <c r="W187" s="2220"/>
      <c r="X187" s="2220"/>
      <c r="Y187" s="2220"/>
      <c r="BH187" s="1421" t="s">
        <v>1610</v>
      </c>
      <c r="BI187" s="1421">
        <v>12</v>
      </c>
      <c r="BJ187" s="1421">
        <v>80</v>
      </c>
      <c r="BK187" s="1421">
        <v>10</v>
      </c>
      <c r="BL187" s="1421">
        <v>8</v>
      </c>
      <c r="BM187" s="1421">
        <v>8</v>
      </c>
      <c r="BN187" s="1421">
        <v>0</v>
      </c>
      <c r="BO187" s="1421">
        <v>0</v>
      </c>
      <c r="BP187" s="2133">
        <v>60</v>
      </c>
      <c r="BQ187" s="2134">
        <v>1.81</v>
      </c>
      <c r="BR187" s="357">
        <v>0</v>
      </c>
    </row>
    <row r="188" spans="1:70">
      <c r="A188" s="2219"/>
      <c r="B188" s="2220"/>
      <c r="C188" s="2220"/>
      <c r="D188" s="2219"/>
      <c r="E188" s="2220"/>
      <c r="F188" s="2220"/>
      <c r="G188" s="2220"/>
      <c r="H188" s="2220"/>
      <c r="I188" s="2220"/>
      <c r="J188" s="2220"/>
      <c r="K188" s="2220"/>
      <c r="L188" s="2220"/>
      <c r="M188" s="2220"/>
      <c r="N188" s="2220"/>
      <c r="O188" s="2220"/>
      <c r="P188" s="2220"/>
      <c r="Q188" s="2220"/>
      <c r="R188" s="2220"/>
      <c r="S188" s="2219"/>
      <c r="T188" s="2221"/>
      <c r="U188" s="2220"/>
      <c r="V188" s="2220"/>
      <c r="W188" s="2220"/>
      <c r="X188" s="2220"/>
      <c r="Y188" s="2220"/>
      <c r="BH188" s="1421" t="s">
        <v>1611</v>
      </c>
      <c r="BI188" s="1421">
        <v>500</v>
      </c>
      <c r="BJ188" s="1421">
        <v>150</v>
      </c>
      <c r="BK188" s="1421">
        <v>10</v>
      </c>
      <c r="BL188" s="1421">
        <v>15</v>
      </c>
      <c r="BM188" s="1421">
        <v>15</v>
      </c>
      <c r="BN188" s="1421">
        <v>0</v>
      </c>
      <c r="BO188" s="1421">
        <v>0</v>
      </c>
      <c r="BP188" s="2131">
        <v>60</v>
      </c>
      <c r="BQ188" s="2132">
        <v>0.1</v>
      </c>
      <c r="BR188" s="357">
        <v>0</v>
      </c>
    </row>
    <row r="189" spans="1:70">
      <c r="A189" s="2219"/>
      <c r="B189" s="2220"/>
      <c r="C189" s="2220"/>
      <c r="D189" s="2219"/>
      <c r="E189" s="2220"/>
      <c r="F189" s="2220"/>
      <c r="G189" s="2220"/>
      <c r="H189" s="2220"/>
      <c r="I189" s="2220"/>
      <c r="J189" s="2220"/>
      <c r="K189" s="2220"/>
      <c r="L189" s="2220"/>
      <c r="M189" s="2220"/>
      <c r="N189" s="2220"/>
      <c r="O189" s="2220"/>
      <c r="P189" s="2220"/>
      <c r="Q189" s="2220"/>
      <c r="R189" s="2220"/>
      <c r="S189" s="2219"/>
      <c r="T189" s="2221"/>
      <c r="U189" s="2220"/>
      <c r="V189" s="2220"/>
      <c r="W189" s="2220"/>
      <c r="X189" s="2220"/>
      <c r="Y189" s="2220"/>
      <c r="BH189" s="1421" t="s">
        <v>1612</v>
      </c>
      <c r="BI189" s="1421">
        <v>50</v>
      </c>
      <c r="BJ189" s="1421">
        <v>75</v>
      </c>
      <c r="BK189" s="1421">
        <v>10</v>
      </c>
      <c r="BL189" s="1421">
        <v>4</v>
      </c>
      <c r="BM189" s="1421">
        <v>4</v>
      </c>
      <c r="BN189" s="1421">
        <v>0</v>
      </c>
      <c r="BO189" s="1421">
        <v>0</v>
      </c>
      <c r="BP189" s="2131">
        <v>60</v>
      </c>
      <c r="BQ189" s="2132">
        <v>0.12</v>
      </c>
      <c r="BR189" s="357">
        <v>0</v>
      </c>
    </row>
    <row r="190" spans="1:70">
      <c r="A190" s="2219"/>
      <c r="B190" s="2220"/>
      <c r="C190" s="2220"/>
      <c r="D190" s="2219"/>
      <c r="E190" s="2220"/>
      <c r="F190" s="2220"/>
      <c r="G190" s="2220"/>
      <c r="H190" s="2220"/>
      <c r="I190" s="2220"/>
      <c r="J190" s="2220"/>
      <c r="K190" s="2220"/>
      <c r="L190" s="2220"/>
      <c r="M190" s="2220"/>
      <c r="N190" s="2220"/>
      <c r="O190" s="2220"/>
      <c r="P190" s="2220"/>
      <c r="Q190" s="2220"/>
      <c r="R190" s="2220"/>
      <c r="S190" s="2219"/>
      <c r="T190" s="2221"/>
      <c r="U190" s="2220"/>
      <c r="V190" s="2220"/>
      <c r="W190" s="2220"/>
      <c r="X190" s="2220"/>
      <c r="Y190" s="2220"/>
      <c r="BH190" s="1421" t="s">
        <v>1613</v>
      </c>
      <c r="BI190" s="1421">
        <v>20</v>
      </c>
      <c r="BJ190" s="1421">
        <v>75</v>
      </c>
      <c r="BK190" s="1421">
        <v>10</v>
      </c>
      <c r="BL190" s="1421">
        <v>4</v>
      </c>
      <c r="BM190" s="1421">
        <v>4</v>
      </c>
      <c r="BN190" s="1421">
        <v>0</v>
      </c>
      <c r="BO190" s="1421">
        <v>0</v>
      </c>
      <c r="BP190" s="2131">
        <v>60</v>
      </c>
      <c r="BQ190" s="2134">
        <v>0.5</v>
      </c>
      <c r="BR190" s="357">
        <v>0</v>
      </c>
    </row>
    <row r="191" spans="1:70">
      <c r="A191" s="2219"/>
      <c r="B191" s="2220"/>
      <c r="C191" s="2220"/>
      <c r="D191" s="2219"/>
      <c r="E191" s="2220"/>
      <c r="F191" s="2220"/>
      <c r="G191" s="2220"/>
      <c r="H191" s="2220"/>
      <c r="I191" s="2220"/>
      <c r="J191" s="2220"/>
      <c r="K191" s="2220"/>
      <c r="L191" s="2220"/>
      <c r="M191" s="2220"/>
      <c r="N191" s="2220"/>
      <c r="O191" s="2220"/>
      <c r="P191" s="2220"/>
      <c r="Q191" s="2220"/>
      <c r="R191" s="2220"/>
      <c r="S191" s="2219"/>
      <c r="T191" s="2221"/>
      <c r="U191" s="2220"/>
      <c r="V191" s="2220"/>
      <c r="W191" s="2220"/>
      <c r="X191" s="2220"/>
      <c r="Y191" s="2220"/>
      <c r="BH191" s="1421" t="s">
        <v>1614</v>
      </c>
      <c r="BI191" s="1421">
        <v>20</v>
      </c>
      <c r="BJ191" s="1421">
        <v>75</v>
      </c>
      <c r="BK191" s="1421">
        <v>10</v>
      </c>
      <c r="BL191" s="1421">
        <v>4</v>
      </c>
      <c r="BM191" s="1421">
        <v>4</v>
      </c>
      <c r="BN191" s="1421">
        <v>0</v>
      </c>
      <c r="BO191" s="1421">
        <v>0</v>
      </c>
      <c r="BP191" s="2131">
        <v>60</v>
      </c>
      <c r="BQ191" s="2132">
        <v>0.2</v>
      </c>
      <c r="BR191" s="357">
        <v>0</v>
      </c>
    </row>
    <row r="192" spans="1:70">
      <c r="A192" s="2219"/>
      <c r="B192" s="2220"/>
      <c r="C192" s="2220"/>
      <c r="D192" s="2219"/>
      <c r="E192" s="2220"/>
      <c r="F192" s="2220"/>
      <c r="G192" s="2220"/>
      <c r="H192" s="2220"/>
      <c r="I192" s="2220"/>
      <c r="J192" s="2220"/>
      <c r="K192" s="2220"/>
      <c r="L192" s="2220"/>
      <c r="M192" s="2220"/>
      <c r="N192" s="2220"/>
      <c r="O192" s="2220"/>
      <c r="P192" s="2220"/>
      <c r="Q192" s="2220"/>
      <c r="R192" s="2220"/>
      <c r="S192" s="2219"/>
      <c r="T192" s="2221"/>
      <c r="U192" s="2220"/>
      <c r="V192" s="2220"/>
      <c r="W192" s="2220"/>
      <c r="X192" s="2220"/>
      <c r="Y192" s="2220"/>
      <c r="BH192" s="1421" t="s">
        <v>1615</v>
      </c>
      <c r="BI192" s="1421">
        <v>7</v>
      </c>
      <c r="BJ192" s="1421">
        <v>75</v>
      </c>
      <c r="BK192" s="1421">
        <v>10</v>
      </c>
      <c r="BL192" s="1421">
        <v>4</v>
      </c>
      <c r="BM192" s="1421">
        <v>4</v>
      </c>
      <c r="BN192" s="1421">
        <v>0</v>
      </c>
      <c r="BO192" s="1421">
        <v>0</v>
      </c>
      <c r="BP192" s="2131">
        <v>60</v>
      </c>
      <c r="BQ192" s="2134">
        <v>1.0571428571428572</v>
      </c>
      <c r="BR192" s="357">
        <v>0</v>
      </c>
    </row>
    <row r="193" spans="1:70">
      <c r="A193" s="2219"/>
      <c r="B193" s="2220"/>
      <c r="C193" s="2220"/>
      <c r="D193" s="2219"/>
      <c r="E193" s="2220"/>
      <c r="F193" s="2220"/>
      <c r="G193" s="2220"/>
      <c r="H193" s="2220"/>
      <c r="I193" s="2220"/>
      <c r="J193" s="2220"/>
      <c r="K193" s="2220"/>
      <c r="L193" s="2220"/>
      <c r="M193" s="2220"/>
      <c r="N193" s="2220"/>
      <c r="O193" s="2220"/>
      <c r="P193" s="2220"/>
      <c r="Q193" s="2220"/>
      <c r="R193" s="2220"/>
      <c r="S193" s="2219"/>
      <c r="T193" s="2221"/>
      <c r="U193" s="2220"/>
      <c r="V193" s="2220"/>
      <c r="W193" s="2220"/>
      <c r="X193" s="2220"/>
      <c r="Y193" s="2220"/>
      <c r="BH193" s="1421" t="s">
        <v>1616</v>
      </c>
      <c r="BI193" s="1421">
        <v>7</v>
      </c>
      <c r="BJ193" s="1421">
        <v>75</v>
      </c>
      <c r="BK193" s="1421">
        <v>10</v>
      </c>
      <c r="BL193" s="1421">
        <v>4</v>
      </c>
      <c r="BM193" s="1421">
        <v>4</v>
      </c>
      <c r="BN193" s="1421">
        <v>0</v>
      </c>
      <c r="BO193" s="1421">
        <v>0</v>
      </c>
      <c r="BP193" s="2131">
        <v>60</v>
      </c>
      <c r="BQ193" s="2132">
        <v>0.2</v>
      </c>
      <c r="BR193" s="357">
        <v>0</v>
      </c>
    </row>
    <row r="194" spans="1:70">
      <c r="A194" s="2219"/>
      <c r="B194" s="2220"/>
      <c r="C194" s="2220"/>
      <c r="D194" s="2219"/>
      <c r="E194" s="2220"/>
      <c r="F194" s="2220"/>
      <c r="G194" s="2220"/>
      <c r="H194" s="2220"/>
      <c r="I194" s="2220"/>
      <c r="J194" s="2220"/>
      <c r="K194" s="2220"/>
      <c r="L194" s="2220"/>
      <c r="M194" s="2220"/>
      <c r="N194" s="2220"/>
      <c r="O194" s="2220"/>
      <c r="P194" s="2220"/>
      <c r="Q194" s="2220"/>
      <c r="R194" s="2220"/>
      <c r="S194" s="2219"/>
      <c r="T194" s="2221"/>
      <c r="U194" s="2220"/>
      <c r="V194" s="2220"/>
      <c r="W194" s="2220"/>
      <c r="X194" s="2220"/>
      <c r="Y194" s="2220"/>
      <c r="BH194" s="1421" t="s">
        <v>1617</v>
      </c>
      <c r="BI194" s="1421">
        <v>300</v>
      </c>
      <c r="BJ194" s="1421">
        <v>180</v>
      </c>
      <c r="BK194" s="1421">
        <v>10</v>
      </c>
      <c r="BL194" s="1421">
        <v>18</v>
      </c>
      <c r="BM194" s="1421">
        <v>18</v>
      </c>
      <c r="BN194" s="1421">
        <v>0</v>
      </c>
      <c r="BO194" s="1421">
        <v>0</v>
      </c>
      <c r="BP194" s="2131">
        <v>60</v>
      </c>
      <c r="BQ194" s="2132">
        <v>0.1</v>
      </c>
      <c r="BR194" s="357">
        <v>0</v>
      </c>
    </row>
    <row r="195" spans="1:70">
      <c r="A195" s="2219"/>
      <c r="B195" s="2220"/>
      <c r="C195" s="2220"/>
      <c r="D195" s="2219"/>
      <c r="E195" s="2220"/>
      <c r="F195" s="2220"/>
      <c r="G195" s="2220"/>
      <c r="H195" s="2220"/>
      <c r="I195" s="2220"/>
      <c r="J195" s="2220"/>
      <c r="K195" s="2220"/>
      <c r="L195" s="2220"/>
      <c r="M195" s="2220"/>
      <c r="N195" s="2220"/>
      <c r="O195" s="2220"/>
      <c r="P195" s="2220"/>
      <c r="Q195" s="2220"/>
      <c r="R195" s="2220"/>
      <c r="S195" s="2219"/>
      <c r="T195" s="2221"/>
      <c r="U195" s="2220"/>
      <c r="V195" s="2220"/>
      <c r="W195" s="2220"/>
      <c r="X195" s="2220"/>
      <c r="Y195" s="2220"/>
      <c r="BH195" s="1421" t="s">
        <v>1618</v>
      </c>
      <c r="BI195" s="1421">
        <v>150</v>
      </c>
      <c r="BJ195" s="1421">
        <v>180</v>
      </c>
      <c r="BK195" s="1421">
        <v>10</v>
      </c>
      <c r="BL195" s="1421">
        <v>18</v>
      </c>
      <c r="BM195" s="1421">
        <v>18</v>
      </c>
      <c r="BN195" s="1421">
        <v>0</v>
      </c>
      <c r="BO195" s="1421">
        <v>0</v>
      </c>
      <c r="BP195" s="2131">
        <v>60</v>
      </c>
      <c r="BQ195" s="2134">
        <v>0.34</v>
      </c>
      <c r="BR195" s="357">
        <v>0</v>
      </c>
    </row>
    <row r="196" spans="1:70">
      <c r="A196" s="2219"/>
      <c r="B196" s="2220"/>
      <c r="C196" s="2220"/>
      <c r="D196" s="2219"/>
      <c r="E196" s="2220"/>
      <c r="F196" s="2220"/>
      <c r="G196" s="2220"/>
      <c r="H196" s="2220"/>
      <c r="I196" s="2220"/>
      <c r="J196" s="2220"/>
      <c r="K196" s="2220"/>
      <c r="L196" s="2220"/>
      <c r="M196" s="2220"/>
      <c r="N196" s="2220"/>
      <c r="O196" s="2220"/>
      <c r="P196" s="2220"/>
      <c r="Q196" s="2220"/>
      <c r="R196" s="2220"/>
      <c r="S196" s="2219"/>
      <c r="T196" s="2221"/>
      <c r="U196" s="2220"/>
      <c r="V196" s="2220"/>
      <c r="W196" s="2220"/>
      <c r="X196" s="2220"/>
      <c r="Y196" s="2220"/>
      <c r="BH196" s="1421" t="s">
        <v>1619</v>
      </c>
      <c r="BI196" s="1421">
        <v>150</v>
      </c>
      <c r="BJ196" s="1421">
        <v>180</v>
      </c>
      <c r="BK196" s="1421">
        <v>10</v>
      </c>
      <c r="BL196" s="1421">
        <v>18</v>
      </c>
      <c r="BM196" s="1421">
        <v>18</v>
      </c>
      <c r="BN196" s="1421">
        <v>0</v>
      </c>
      <c r="BO196" s="1421">
        <v>0</v>
      </c>
      <c r="BP196" s="2131">
        <v>60</v>
      </c>
      <c r="BQ196" s="2132">
        <v>0.14000000000000001</v>
      </c>
      <c r="BR196" s="357">
        <v>0</v>
      </c>
    </row>
    <row r="197" spans="1:70">
      <c r="A197" s="2219"/>
      <c r="B197" s="2220"/>
      <c r="C197" s="2220"/>
      <c r="D197" s="2219"/>
      <c r="E197" s="2220"/>
      <c r="F197" s="2220"/>
      <c r="G197" s="2220"/>
      <c r="H197" s="2220"/>
      <c r="I197" s="2220"/>
      <c r="J197" s="2220"/>
      <c r="K197" s="2220"/>
      <c r="L197" s="2220"/>
      <c r="M197" s="2220"/>
      <c r="N197" s="2220"/>
      <c r="O197" s="2220"/>
      <c r="P197" s="2220"/>
      <c r="Q197" s="2220"/>
      <c r="R197" s="2220"/>
      <c r="S197" s="2219"/>
      <c r="T197" s="2221"/>
      <c r="U197" s="2220"/>
      <c r="V197" s="2220"/>
      <c r="W197" s="2220"/>
      <c r="X197" s="2220"/>
      <c r="Y197" s="2220"/>
      <c r="BH197" s="1421" t="s">
        <v>1620</v>
      </c>
      <c r="BI197" s="1421">
        <v>50</v>
      </c>
      <c r="BJ197" s="1421">
        <v>180</v>
      </c>
      <c r="BK197" s="1421">
        <v>10</v>
      </c>
      <c r="BL197" s="1421">
        <v>18</v>
      </c>
      <c r="BM197" s="1421">
        <v>18</v>
      </c>
      <c r="BN197" s="1421">
        <v>0</v>
      </c>
      <c r="BO197" s="1421">
        <v>0</v>
      </c>
      <c r="BP197" s="2131">
        <v>60</v>
      </c>
      <c r="BQ197" s="2134">
        <v>0.74</v>
      </c>
      <c r="BR197" s="357">
        <v>0</v>
      </c>
    </row>
    <row r="198" spans="1:70">
      <c r="A198" s="2219"/>
      <c r="B198" s="2220"/>
      <c r="C198" s="2220"/>
      <c r="D198" s="2219"/>
      <c r="E198" s="2220"/>
      <c r="F198" s="2220"/>
      <c r="G198" s="2220"/>
      <c r="H198" s="2220"/>
      <c r="I198" s="2220"/>
      <c r="J198" s="2220"/>
      <c r="K198" s="2220"/>
      <c r="L198" s="2220"/>
      <c r="M198" s="2220"/>
      <c r="N198" s="2220"/>
      <c r="O198" s="2220"/>
      <c r="P198" s="2220"/>
      <c r="Q198" s="2220"/>
      <c r="R198" s="2220"/>
      <c r="S198" s="2219"/>
      <c r="T198" s="2221"/>
      <c r="U198" s="2220"/>
      <c r="V198" s="2220"/>
      <c r="W198" s="2220"/>
      <c r="X198" s="2220"/>
      <c r="Y198" s="2220"/>
      <c r="BH198" s="1421" t="s">
        <v>1621</v>
      </c>
      <c r="BI198" s="1421">
        <v>50</v>
      </c>
      <c r="BJ198" s="1421">
        <v>180</v>
      </c>
      <c r="BK198" s="1421">
        <v>10</v>
      </c>
      <c r="BL198" s="1421">
        <v>18</v>
      </c>
      <c r="BM198" s="1421">
        <v>18</v>
      </c>
      <c r="BN198" s="1421">
        <v>0</v>
      </c>
      <c r="BO198" s="1421">
        <v>0</v>
      </c>
      <c r="BP198" s="2131">
        <v>60</v>
      </c>
      <c r="BQ198" s="2132">
        <v>0.14000000000000001</v>
      </c>
      <c r="BR198" s="357">
        <v>0</v>
      </c>
    </row>
    <row r="199" spans="1:70">
      <c r="A199" s="2219"/>
      <c r="B199" s="2220"/>
      <c r="C199" s="2220"/>
      <c r="D199" s="2219"/>
      <c r="E199" s="2220"/>
      <c r="F199" s="2220"/>
      <c r="G199" s="2220"/>
      <c r="H199" s="2220"/>
      <c r="I199" s="2220"/>
      <c r="J199" s="2220"/>
      <c r="K199" s="2220"/>
      <c r="L199" s="2220"/>
      <c r="M199" s="2220"/>
      <c r="N199" s="2220"/>
      <c r="O199" s="2220"/>
      <c r="P199" s="2220"/>
      <c r="Q199" s="2220"/>
      <c r="R199" s="2220"/>
      <c r="S199" s="2219"/>
      <c r="T199" s="2221"/>
      <c r="U199" s="2220"/>
      <c r="V199" s="2220"/>
      <c r="W199" s="2220"/>
      <c r="X199" s="2220"/>
      <c r="Y199" s="2220"/>
      <c r="BH199" s="1421" t="s">
        <v>1622</v>
      </c>
      <c r="BI199" s="1421">
        <v>300</v>
      </c>
      <c r="BJ199" s="1421">
        <v>215</v>
      </c>
      <c r="BK199" s="1421">
        <v>10</v>
      </c>
      <c r="BL199" s="1421">
        <v>22</v>
      </c>
      <c r="BM199" s="1421">
        <v>22</v>
      </c>
      <c r="BN199" s="1421">
        <v>0</v>
      </c>
      <c r="BO199" s="1421">
        <v>0</v>
      </c>
      <c r="BP199" s="2131">
        <v>60</v>
      </c>
      <c r="BQ199" s="2132">
        <v>0.13</v>
      </c>
      <c r="BR199" s="357">
        <v>0</v>
      </c>
    </row>
    <row r="200" spans="1:70">
      <c r="A200" s="2219"/>
      <c r="B200" s="2220"/>
      <c r="C200" s="2220"/>
      <c r="D200" s="2219"/>
      <c r="E200" s="2220"/>
      <c r="F200" s="2220"/>
      <c r="G200" s="2220"/>
      <c r="H200" s="2220"/>
      <c r="I200" s="2220"/>
      <c r="J200" s="2220"/>
      <c r="K200" s="2220"/>
      <c r="L200" s="2220"/>
      <c r="M200" s="2220"/>
      <c r="N200" s="2220"/>
      <c r="O200" s="2220"/>
      <c r="P200" s="2220"/>
      <c r="Q200" s="2220"/>
      <c r="R200" s="2220"/>
      <c r="S200" s="2219"/>
      <c r="T200" s="2221"/>
      <c r="U200" s="2220"/>
      <c r="V200" s="2220"/>
      <c r="W200" s="2220"/>
      <c r="X200" s="2220"/>
      <c r="Y200" s="2220"/>
      <c r="BH200" s="1421" t="s">
        <v>1623</v>
      </c>
      <c r="BI200" s="1421">
        <v>150</v>
      </c>
      <c r="BJ200" s="1421">
        <v>215</v>
      </c>
      <c r="BK200" s="1421">
        <v>10</v>
      </c>
      <c r="BL200" s="1421">
        <v>22</v>
      </c>
      <c r="BM200" s="1421">
        <v>22</v>
      </c>
      <c r="BN200" s="1421">
        <v>0</v>
      </c>
      <c r="BO200" s="1421">
        <v>0</v>
      </c>
      <c r="BP200" s="2131">
        <v>60</v>
      </c>
      <c r="BQ200" s="2134">
        <v>0.4</v>
      </c>
      <c r="BR200" s="357">
        <v>0</v>
      </c>
    </row>
    <row r="201" spans="1:70">
      <c r="A201" s="2219"/>
      <c r="B201" s="2220"/>
      <c r="C201" s="2220"/>
      <c r="D201" s="2219"/>
      <c r="E201" s="2220"/>
      <c r="F201" s="2220"/>
      <c r="G201" s="2220"/>
      <c r="H201" s="2220"/>
      <c r="I201" s="2220"/>
      <c r="J201" s="2220"/>
      <c r="K201" s="2220"/>
      <c r="L201" s="2220"/>
      <c r="M201" s="2220"/>
      <c r="N201" s="2220"/>
      <c r="O201" s="2220"/>
      <c r="P201" s="2220"/>
      <c r="Q201" s="2220"/>
      <c r="R201" s="2220"/>
      <c r="S201" s="2219"/>
      <c r="T201" s="2221"/>
      <c r="U201" s="2220"/>
      <c r="V201" s="2220"/>
      <c r="W201" s="2220"/>
      <c r="X201" s="2220"/>
      <c r="Y201" s="2220"/>
      <c r="BH201" s="1421" t="s">
        <v>1624</v>
      </c>
      <c r="BI201" s="1421">
        <v>150</v>
      </c>
      <c r="BJ201" s="1421">
        <v>215</v>
      </c>
      <c r="BK201" s="1421">
        <v>10</v>
      </c>
      <c r="BL201" s="1421">
        <v>22</v>
      </c>
      <c r="BM201" s="1421">
        <v>22</v>
      </c>
      <c r="BN201" s="1421">
        <v>0</v>
      </c>
      <c r="BO201" s="1421">
        <v>0</v>
      </c>
      <c r="BP201" s="2131">
        <v>60</v>
      </c>
      <c r="BQ201" s="2132">
        <v>0.14000000000000001</v>
      </c>
      <c r="BR201" s="357">
        <v>0</v>
      </c>
    </row>
    <row r="202" spans="1:70">
      <c r="A202" s="2219"/>
      <c r="B202" s="2220"/>
      <c r="C202" s="2220"/>
      <c r="D202" s="2219"/>
      <c r="E202" s="2220"/>
      <c r="F202" s="2220"/>
      <c r="G202" s="2220"/>
      <c r="H202" s="2220"/>
      <c r="I202" s="2220"/>
      <c r="J202" s="2220"/>
      <c r="K202" s="2220"/>
      <c r="L202" s="2220"/>
      <c r="M202" s="2220"/>
      <c r="N202" s="2220"/>
      <c r="O202" s="2220"/>
      <c r="P202" s="2220"/>
      <c r="Q202" s="2220"/>
      <c r="R202" s="2220"/>
      <c r="S202" s="2219"/>
      <c r="T202" s="2221"/>
      <c r="U202" s="2220"/>
      <c r="V202" s="2220"/>
      <c r="W202" s="2220"/>
      <c r="X202" s="2220"/>
      <c r="Y202" s="2220"/>
      <c r="BH202" s="1421" t="s">
        <v>1625</v>
      </c>
      <c r="BI202" s="1421">
        <v>50</v>
      </c>
      <c r="BJ202" s="1421">
        <v>215</v>
      </c>
      <c r="BK202" s="1421">
        <v>10</v>
      </c>
      <c r="BL202" s="1421">
        <v>22</v>
      </c>
      <c r="BM202" s="1421">
        <v>22</v>
      </c>
      <c r="BN202" s="1421">
        <v>0</v>
      </c>
      <c r="BO202" s="1421">
        <v>0</v>
      </c>
      <c r="BP202" s="2131">
        <v>60</v>
      </c>
      <c r="BQ202" s="2134">
        <v>0.92</v>
      </c>
      <c r="BR202" s="357">
        <v>0</v>
      </c>
    </row>
    <row r="203" spans="1:70">
      <c r="A203" s="2219"/>
      <c r="B203" s="2220"/>
      <c r="C203" s="2220"/>
      <c r="D203" s="2219"/>
      <c r="E203" s="2220"/>
      <c r="F203" s="2220"/>
      <c r="G203" s="2220"/>
      <c r="H203" s="2220"/>
      <c r="I203" s="2220"/>
      <c r="J203" s="2220"/>
      <c r="K203" s="2220"/>
      <c r="L203" s="2220"/>
      <c r="M203" s="2220"/>
      <c r="N203" s="2220"/>
      <c r="O203" s="2220"/>
      <c r="P203" s="2220"/>
      <c r="Q203" s="2220"/>
      <c r="R203" s="2220"/>
      <c r="S203" s="2219"/>
      <c r="T203" s="2221"/>
      <c r="U203" s="2220"/>
      <c r="V203" s="2220"/>
      <c r="W203" s="2220"/>
      <c r="X203" s="2220"/>
      <c r="Y203" s="2220"/>
      <c r="BH203" s="1421" t="s">
        <v>1626</v>
      </c>
      <c r="BI203" s="1421">
        <v>50</v>
      </c>
      <c r="BJ203" s="1421">
        <v>215</v>
      </c>
      <c r="BK203" s="1421">
        <v>10</v>
      </c>
      <c r="BL203" s="1421">
        <v>22</v>
      </c>
      <c r="BM203" s="1421">
        <v>22</v>
      </c>
      <c r="BN203" s="1421">
        <v>0</v>
      </c>
      <c r="BO203" s="1421">
        <v>0</v>
      </c>
      <c r="BP203" s="2131">
        <v>60</v>
      </c>
      <c r="BQ203" s="2132">
        <v>0.14000000000000001</v>
      </c>
      <c r="BR203" s="357">
        <v>0</v>
      </c>
    </row>
    <row r="204" spans="1:70">
      <c r="A204" s="2219"/>
      <c r="B204" s="2220"/>
      <c r="C204" s="2220"/>
      <c r="D204" s="2219"/>
      <c r="E204" s="2220"/>
      <c r="F204" s="2220"/>
      <c r="G204" s="2220"/>
      <c r="H204" s="2220"/>
      <c r="I204" s="2220"/>
      <c r="J204" s="2220"/>
      <c r="K204" s="2220"/>
      <c r="L204" s="2220"/>
      <c r="M204" s="2220"/>
      <c r="N204" s="2220"/>
      <c r="O204" s="2220"/>
      <c r="P204" s="2220"/>
      <c r="Q204" s="2220"/>
      <c r="R204" s="2220"/>
      <c r="S204" s="2219"/>
      <c r="T204" s="2221"/>
      <c r="U204" s="2220"/>
      <c r="V204" s="2220"/>
      <c r="W204" s="2220"/>
      <c r="X204" s="2220"/>
      <c r="Y204" s="2220"/>
      <c r="BH204" s="1421" t="s">
        <v>1627</v>
      </c>
      <c r="BI204" s="1421">
        <v>350</v>
      </c>
      <c r="BJ204" s="1421">
        <v>185</v>
      </c>
      <c r="BK204" s="1421">
        <v>10</v>
      </c>
      <c r="BL204" s="1421">
        <v>19</v>
      </c>
      <c r="BM204" s="1421">
        <v>19</v>
      </c>
      <c r="BN204" s="1421">
        <v>0</v>
      </c>
      <c r="BO204" s="1421">
        <v>0</v>
      </c>
      <c r="BP204" s="2131">
        <v>60</v>
      </c>
      <c r="BQ204" s="2134">
        <v>0.12</v>
      </c>
      <c r="BR204" s="357">
        <v>0</v>
      </c>
    </row>
    <row r="205" spans="1:70">
      <c r="A205" s="2219"/>
      <c r="B205" s="2220"/>
      <c r="C205" s="2220"/>
      <c r="D205" s="2219"/>
      <c r="E205" s="2220"/>
      <c r="F205" s="2220"/>
      <c r="G205" s="2220"/>
      <c r="H205" s="2220"/>
      <c r="I205" s="2220"/>
      <c r="J205" s="2220"/>
      <c r="K205" s="2220"/>
      <c r="L205" s="2220"/>
      <c r="M205" s="2220"/>
      <c r="N205" s="2220"/>
      <c r="O205" s="2220"/>
      <c r="P205" s="2220"/>
      <c r="Q205" s="2220"/>
      <c r="R205" s="2220"/>
      <c r="S205" s="2219"/>
      <c r="T205" s="2221"/>
      <c r="U205" s="2220"/>
      <c r="V205" s="2220"/>
      <c r="W205" s="2220"/>
      <c r="X205" s="2220"/>
      <c r="Y205" s="2220"/>
      <c r="BH205" s="1421" t="s">
        <v>1628</v>
      </c>
      <c r="BI205" s="1421">
        <v>350</v>
      </c>
      <c r="BJ205" s="1421">
        <v>225</v>
      </c>
      <c r="BK205" s="1421">
        <v>10</v>
      </c>
      <c r="BL205" s="1421">
        <v>23</v>
      </c>
      <c r="BM205" s="1421">
        <v>23</v>
      </c>
      <c r="BN205" s="1421">
        <v>0</v>
      </c>
      <c r="BO205" s="1421">
        <v>0</v>
      </c>
      <c r="BP205" s="2136">
        <v>30</v>
      </c>
      <c r="BQ205" s="2132">
        <v>0.14000000000000001</v>
      </c>
      <c r="BR205" s="357">
        <v>0</v>
      </c>
    </row>
    <row r="206" spans="1:70">
      <c r="A206" s="2219"/>
      <c r="B206" s="2220"/>
      <c r="C206" s="2220"/>
      <c r="D206" s="2219"/>
      <c r="E206" s="2220"/>
      <c r="F206" s="2220"/>
      <c r="G206" s="2220"/>
      <c r="H206" s="2220"/>
      <c r="I206" s="2220"/>
      <c r="J206" s="2220"/>
      <c r="K206" s="2220"/>
      <c r="L206" s="2220"/>
      <c r="M206" s="2220"/>
      <c r="N206" s="2220"/>
      <c r="O206" s="2220"/>
      <c r="P206" s="2220"/>
      <c r="Q206" s="2220"/>
      <c r="R206" s="2220"/>
      <c r="S206" s="2219"/>
      <c r="T206" s="2221"/>
      <c r="U206" s="2220"/>
      <c r="V206" s="2220"/>
      <c r="W206" s="2220"/>
      <c r="X206" s="2220"/>
      <c r="Y206" s="2220"/>
      <c r="BH206" s="1421" t="s">
        <v>1629</v>
      </c>
      <c r="BI206" s="1421">
        <v>350</v>
      </c>
      <c r="BJ206" s="1421">
        <v>225</v>
      </c>
      <c r="BK206" s="1421">
        <v>10</v>
      </c>
      <c r="BL206" s="1421">
        <v>23</v>
      </c>
      <c r="BM206" s="1421">
        <v>23</v>
      </c>
      <c r="BN206" s="1421">
        <v>0</v>
      </c>
      <c r="BO206" s="1421">
        <v>0</v>
      </c>
      <c r="BP206" s="2136">
        <v>30</v>
      </c>
      <c r="BQ206" s="2134">
        <v>0.14000000000000001</v>
      </c>
      <c r="BR206" s="357">
        <v>0</v>
      </c>
    </row>
    <row r="207" spans="1:70">
      <c r="A207" s="2219"/>
      <c r="B207" s="2220"/>
      <c r="C207" s="2220"/>
      <c r="D207" s="2219"/>
      <c r="E207" s="2220"/>
      <c r="F207" s="2220"/>
      <c r="G207" s="2220"/>
      <c r="H207" s="2220"/>
      <c r="I207" s="2220"/>
      <c r="J207" s="2220"/>
      <c r="K207" s="2220"/>
      <c r="L207" s="2220"/>
      <c r="M207" s="2220"/>
      <c r="N207" s="2220"/>
      <c r="O207" s="2220"/>
      <c r="P207" s="2220"/>
      <c r="Q207" s="2220"/>
      <c r="R207" s="2220"/>
      <c r="S207" s="2219"/>
      <c r="T207" s="2221"/>
      <c r="U207" s="2220"/>
      <c r="V207" s="2220"/>
      <c r="W207" s="2220"/>
      <c r="X207" s="2220"/>
      <c r="Y207" s="2220"/>
      <c r="BH207" s="1421" t="s">
        <v>1630</v>
      </c>
      <c r="BI207" s="1421">
        <v>80</v>
      </c>
      <c r="BJ207" s="1421">
        <v>45</v>
      </c>
      <c r="BK207" s="1421">
        <v>10</v>
      </c>
      <c r="BL207" s="1421">
        <v>2</v>
      </c>
      <c r="BM207" s="1421">
        <v>2</v>
      </c>
      <c r="BN207" s="1421">
        <v>0</v>
      </c>
      <c r="BO207" s="1421">
        <v>0</v>
      </c>
      <c r="BP207" s="2133">
        <v>30</v>
      </c>
      <c r="BQ207" s="2134">
        <v>0.09</v>
      </c>
      <c r="BR207" s="357">
        <v>0</v>
      </c>
    </row>
    <row r="208" spans="1:70">
      <c r="A208" s="2219"/>
      <c r="B208" s="2220"/>
      <c r="C208" s="2220"/>
      <c r="D208" s="2219"/>
      <c r="E208" s="2220"/>
      <c r="F208" s="2220"/>
      <c r="G208" s="2220"/>
      <c r="H208" s="2220"/>
      <c r="I208" s="2220"/>
      <c r="J208" s="2220"/>
      <c r="K208" s="2220"/>
      <c r="L208" s="2220"/>
      <c r="M208" s="2220"/>
      <c r="N208" s="2220"/>
      <c r="O208" s="2220"/>
      <c r="P208" s="2220"/>
      <c r="Q208" s="2220"/>
      <c r="R208" s="2220"/>
      <c r="S208" s="2219"/>
      <c r="T208" s="2221"/>
      <c r="U208" s="2220"/>
      <c r="V208" s="2220"/>
      <c r="W208" s="2220"/>
      <c r="X208" s="2220"/>
      <c r="Y208" s="2220"/>
      <c r="BH208" s="1421" t="s">
        <v>1631</v>
      </c>
      <c r="BI208" s="1421">
        <v>150</v>
      </c>
      <c r="BJ208" s="1421">
        <v>100</v>
      </c>
      <c r="BK208" s="1421">
        <v>10</v>
      </c>
      <c r="BL208" s="1421">
        <v>5</v>
      </c>
      <c r="BM208" s="1421">
        <v>5</v>
      </c>
      <c r="BN208" s="1421">
        <v>0</v>
      </c>
      <c r="BO208" s="1421">
        <v>0</v>
      </c>
      <c r="BP208" s="2131">
        <v>60</v>
      </c>
      <c r="BQ208" s="2132">
        <v>0.12</v>
      </c>
      <c r="BR208" s="357">
        <v>0</v>
      </c>
    </row>
    <row r="209" spans="1:70">
      <c r="A209" s="2219"/>
      <c r="B209" s="2220"/>
      <c r="C209" s="2220"/>
      <c r="D209" s="2219"/>
      <c r="E209" s="2220"/>
      <c r="F209" s="2220"/>
      <c r="G209" s="2220"/>
      <c r="H209" s="2220"/>
      <c r="I209" s="2220"/>
      <c r="J209" s="2220"/>
      <c r="K209" s="2220"/>
      <c r="L209" s="2220"/>
      <c r="M209" s="2220"/>
      <c r="N209" s="2220"/>
      <c r="O209" s="2220"/>
      <c r="P209" s="2220"/>
      <c r="Q209" s="2220"/>
      <c r="R209" s="2220"/>
      <c r="S209" s="2219"/>
      <c r="T209" s="2221"/>
      <c r="U209" s="2220"/>
      <c r="V209" s="2220"/>
      <c r="W209" s="2220"/>
      <c r="X209" s="2220"/>
      <c r="Y209" s="2220"/>
      <c r="BH209" s="1421" t="s">
        <v>1632</v>
      </c>
      <c r="BI209" s="1421">
        <v>120</v>
      </c>
      <c r="BJ209" s="1421">
        <v>130</v>
      </c>
      <c r="BK209" s="1421">
        <v>10</v>
      </c>
      <c r="BL209" s="1421">
        <v>13</v>
      </c>
      <c r="BM209" s="1421">
        <v>13</v>
      </c>
      <c r="BN209" s="1421">
        <v>0</v>
      </c>
      <c r="BO209" s="1421">
        <v>0</v>
      </c>
      <c r="BP209" s="2131">
        <v>60</v>
      </c>
      <c r="BQ209" s="2132">
        <v>0.46</v>
      </c>
      <c r="BR209" s="357">
        <v>0</v>
      </c>
    </row>
    <row r="210" spans="1:70">
      <c r="A210" s="2219"/>
      <c r="B210" s="2220"/>
      <c r="C210" s="2220"/>
      <c r="D210" s="2219"/>
      <c r="E210" s="2220"/>
      <c r="F210" s="2220"/>
      <c r="G210" s="2220"/>
      <c r="H210" s="2220"/>
      <c r="I210" s="2220"/>
      <c r="J210" s="2220"/>
      <c r="K210" s="2220"/>
      <c r="L210" s="2220"/>
      <c r="M210" s="2220"/>
      <c r="N210" s="2220"/>
      <c r="O210" s="2220"/>
      <c r="P210" s="2220"/>
      <c r="Q210" s="2220"/>
      <c r="R210" s="2220"/>
      <c r="S210" s="2219"/>
      <c r="T210" s="2221"/>
      <c r="U210" s="2220"/>
      <c r="V210" s="2220"/>
      <c r="W210" s="2220"/>
      <c r="X210" s="2220"/>
      <c r="Y210" s="2220"/>
      <c r="BH210" s="1421" t="s">
        <v>1633</v>
      </c>
      <c r="BI210" s="1421">
        <v>40</v>
      </c>
      <c r="BJ210" s="1421">
        <v>150</v>
      </c>
      <c r="BK210" s="1421">
        <v>10</v>
      </c>
      <c r="BL210" s="1421">
        <v>15</v>
      </c>
      <c r="BM210" s="1421">
        <v>15</v>
      </c>
      <c r="BN210" s="1421">
        <v>0</v>
      </c>
      <c r="BO210" s="1421">
        <v>0</v>
      </c>
      <c r="BP210" s="2131">
        <v>60</v>
      </c>
      <c r="BQ210" s="2132">
        <v>1.2</v>
      </c>
      <c r="BR210" s="357">
        <v>0</v>
      </c>
    </row>
    <row r="211" spans="1:70">
      <c r="A211" s="2219"/>
      <c r="B211" s="2220"/>
      <c r="C211" s="2220"/>
      <c r="D211" s="2219"/>
      <c r="E211" s="2220"/>
      <c r="F211" s="2220"/>
      <c r="G211" s="2220"/>
      <c r="H211" s="2220"/>
      <c r="I211" s="2220"/>
      <c r="J211" s="2220"/>
      <c r="K211" s="2220"/>
      <c r="L211" s="2220"/>
      <c r="M211" s="2220"/>
      <c r="N211" s="2220"/>
      <c r="O211" s="2220"/>
      <c r="P211" s="2220"/>
      <c r="Q211" s="2220"/>
      <c r="R211" s="2220"/>
      <c r="S211" s="2219"/>
      <c r="T211" s="2221"/>
      <c r="U211" s="2220"/>
      <c r="V211" s="2220"/>
      <c r="W211" s="2220"/>
      <c r="X211" s="2220"/>
      <c r="Y211" s="2220"/>
      <c r="BH211" s="1421" t="s">
        <v>1634</v>
      </c>
      <c r="BI211" s="1421">
        <v>40</v>
      </c>
      <c r="BJ211" s="1421">
        <v>150</v>
      </c>
      <c r="BK211" s="1421">
        <v>10</v>
      </c>
      <c r="BL211" s="1421">
        <v>15</v>
      </c>
      <c r="BM211" s="1421">
        <v>15</v>
      </c>
      <c r="BN211" s="1421">
        <v>0</v>
      </c>
      <c r="BO211" s="1421">
        <v>0</v>
      </c>
      <c r="BP211" s="2131">
        <v>60</v>
      </c>
      <c r="BQ211" s="2132">
        <v>0.25</v>
      </c>
      <c r="BR211" s="357">
        <v>0</v>
      </c>
    </row>
    <row r="212" spans="1:70">
      <c r="A212" s="2219"/>
      <c r="B212" s="2220"/>
      <c r="C212" s="2220"/>
      <c r="D212" s="2219"/>
      <c r="E212" s="2220"/>
      <c r="F212" s="2220"/>
      <c r="G212" s="2220"/>
      <c r="H212" s="2220"/>
      <c r="I212" s="2220"/>
      <c r="J212" s="2220"/>
      <c r="K212" s="2220"/>
      <c r="L212" s="2220"/>
      <c r="M212" s="2220"/>
      <c r="N212" s="2220"/>
      <c r="O212" s="2220"/>
      <c r="P212" s="2220"/>
      <c r="Q212" s="2220"/>
      <c r="R212" s="2220"/>
      <c r="S212" s="2219"/>
      <c r="T212" s="2221"/>
      <c r="U212" s="2220"/>
      <c r="V212" s="2220"/>
      <c r="W212" s="2220"/>
      <c r="X212" s="2220"/>
      <c r="Y212" s="2220"/>
      <c r="BH212" s="1421" t="s">
        <v>1635</v>
      </c>
      <c r="BI212" s="1421">
        <v>300</v>
      </c>
      <c r="BJ212" s="1421">
        <v>135</v>
      </c>
      <c r="BK212" s="1421">
        <v>10</v>
      </c>
      <c r="BL212" s="1421">
        <v>14</v>
      </c>
      <c r="BM212" s="1421">
        <v>14</v>
      </c>
      <c r="BN212" s="1421">
        <v>0</v>
      </c>
      <c r="BO212" s="1421">
        <v>0</v>
      </c>
      <c r="BP212" s="2131">
        <v>60</v>
      </c>
      <c r="BQ212" s="2132">
        <v>0.17</v>
      </c>
      <c r="BR212" s="357">
        <v>0</v>
      </c>
    </row>
    <row r="213" spans="1:70">
      <c r="A213" s="2219"/>
      <c r="B213" s="2220"/>
      <c r="C213" s="2220"/>
      <c r="D213" s="2219"/>
      <c r="E213" s="2220"/>
      <c r="F213" s="2220"/>
      <c r="G213" s="2220"/>
      <c r="H213" s="2220"/>
      <c r="I213" s="2220"/>
      <c r="J213" s="2220"/>
      <c r="K213" s="2220"/>
      <c r="L213" s="2220"/>
      <c r="M213" s="2220"/>
      <c r="N213" s="2220"/>
      <c r="O213" s="2220"/>
      <c r="P213" s="2220"/>
      <c r="Q213" s="2220"/>
      <c r="R213" s="2220"/>
      <c r="S213" s="2219"/>
      <c r="T213" s="2221"/>
      <c r="U213" s="2220"/>
      <c r="V213" s="2220"/>
      <c r="W213" s="2220"/>
      <c r="X213" s="2220"/>
      <c r="Y213" s="2220"/>
      <c r="BH213" s="1421" t="s">
        <v>1636</v>
      </c>
      <c r="BI213" s="1421">
        <v>100</v>
      </c>
      <c r="BJ213" s="1421">
        <v>80</v>
      </c>
      <c r="BK213" s="1421">
        <v>10</v>
      </c>
      <c r="BL213" s="1421">
        <v>4</v>
      </c>
      <c r="BM213" s="1421">
        <v>4</v>
      </c>
      <c r="BN213" s="1421">
        <v>0</v>
      </c>
      <c r="BO213" s="1421">
        <v>0</v>
      </c>
      <c r="BP213" s="2131">
        <v>30</v>
      </c>
      <c r="BQ213" s="2139">
        <v>0.1</v>
      </c>
      <c r="BR213" s="357">
        <v>0</v>
      </c>
    </row>
    <row r="214" spans="1:70">
      <c r="A214" s="2219"/>
      <c r="B214" s="2220"/>
      <c r="C214" s="2220"/>
      <c r="D214" s="2219"/>
      <c r="E214" s="2220"/>
      <c r="F214" s="2220"/>
      <c r="G214" s="2220"/>
      <c r="H214" s="2220"/>
      <c r="I214" s="2220"/>
      <c r="J214" s="2220"/>
      <c r="K214" s="2220"/>
      <c r="L214" s="2220"/>
      <c r="M214" s="2220"/>
      <c r="N214" s="2220"/>
      <c r="O214" s="2220"/>
      <c r="P214" s="2220"/>
      <c r="Q214" s="2220"/>
      <c r="R214" s="2220"/>
      <c r="S214" s="2219"/>
      <c r="T214" s="2221"/>
      <c r="U214" s="2220"/>
      <c r="V214" s="2220"/>
      <c r="W214" s="2220"/>
      <c r="X214" s="2220"/>
      <c r="Y214" s="2220"/>
      <c r="BH214" s="1421" t="s">
        <v>1637</v>
      </c>
      <c r="BI214" s="1421">
        <v>800</v>
      </c>
      <c r="BJ214" s="1421">
        <v>440</v>
      </c>
      <c r="BK214" s="1421">
        <v>10</v>
      </c>
      <c r="BL214" s="1421">
        <v>44</v>
      </c>
      <c r="BM214" s="1421">
        <v>44</v>
      </c>
      <c r="BN214" s="1421">
        <v>0</v>
      </c>
      <c r="BO214" s="1421">
        <v>0</v>
      </c>
      <c r="BP214" s="2136">
        <v>60</v>
      </c>
      <c r="BQ214" s="2132">
        <v>0.13700000000000001</v>
      </c>
      <c r="BR214" s="357">
        <v>0</v>
      </c>
    </row>
    <row r="215" spans="1:70">
      <c r="A215" s="2219"/>
      <c r="B215" s="2220"/>
      <c r="C215" s="2220"/>
      <c r="D215" s="2219"/>
      <c r="E215" s="2220"/>
      <c r="F215" s="2220"/>
      <c r="G215" s="2220"/>
      <c r="H215" s="2220"/>
      <c r="I215" s="2220"/>
      <c r="J215" s="2220"/>
      <c r="K215" s="2220"/>
      <c r="L215" s="2220"/>
      <c r="M215" s="2220"/>
      <c r="N215" s="2220"/>
      <c r="O215" s="2220"/>
      <c r="P215" s="2220"/>
      <c r="Q215" s="2220"/>
      <c r="R215" s="2220"/>
      <c r="S215" s="2219"/>
      <c r="T215" s="2221"/>
      <c r="U215" s="2220"/>
      <c r="V215" s="2220"/>
      <c r="W215" s="2220"/>
      <c r="X215" s="2220"/>
      <c r="Y215" s="2220"/>
      <c r="BH215" s="1421" t="s">
        <v>1638</v>
      </c>
      <c r="BI215" s="1421">
        <v>150</v>
      </c>
      <c r="BJ215" s="1421">
        <v>105</v>
      </c>
      <c r="BK215" s="1421">
        <v>10</v>
      </c>
      <c r="BL215" s="1421">
        <v>5</v>
      </c>
      <c r="BM215" s="1421">
        <v>5</v>
      </c>
      <c r="BN215" s="1421">
        <v>0</v>
      </c>
      <c r="BO215" s="1421">
        <v>0</v>
      </c>
      <c r="BP215" s="2133">
        <v>60</v>
      </c>
      <c r="BQ215" s="2132">
        <v>0.1</v>
      </c>
      <c r="BR215" s="357">
        <v>0</v>
      </c>
    </row>
    <row r="216" spans="1:70">
      <c r="A216" s="2219"/>
      <c r="B216" s="2220"/>
      <c r="C216" s="2220"/>
      <c r="D216" s="2219"/>
      <c r="E216" s="2220"/>
      <c r="F216" s="2220"/>
      <c r="G216" s="2220"/>
      <c r="H216" s="2220"/>
      <c r="I216" s="2220"/>
      <c r="J216" s="2220"/>
      <c r="K216" s="2220"/>
      <c r="L216" s="2220"/>
      <c r="M216" s="2220"/>
      <c r="N216" s="2220"/>
      <c r="O216" s="2220"/>
      <c r="P216" s="2220"/>
      <c r="Q216" s="2220"/>
      <c r="R216" s="2220"/>
      <c r="S216" s="2219"/>
      <c r="T216" s="2221"/>
      <c r="U216" s="2220"/>
      <c r="V216" s="2220"/>
      <c r="W216" s="2220"/>
      <c r="X216" s="2220"/>
      <c r="Y216" s="2220"/>
      <c r="BH216" s="1421" t="s">
        <v>1639</v>
      </c>
      <c r="BI216" s="1421">
        <v>300</v>
      </c>
      <c r="BJ216" s="1421">
        <v>185</v>
      </c>
      <c r="BK216" s="1421">
        <v>10</v>
      </c>
      <c r="BL216" s="1421">
        <v>19</v>
      </c>
      <c r="BM216" s="1421">
        <v>19</v>
      </c>
      <c r="BN216" s="1421">
        <v>0</v>
      </c>
      <c r="BO216" s="1421">
        <v>0</v>
      </c>
      <c r="BP216" s="2135">
        <v>60</v>
      </c>
      <c r="BQ216" s="2132">
        <v>0.14000000000000001</v>
      </c>
      <c r="BR216" s="357">
        <v>0</v>
      </c>
    </row>
    <row r="217" spans="1:70">
      <c r="A217" s="2219"/>
      <c r="B217" s="2220"/>
      <c r="C217" s="2220"/>
      <c r="D217" s="2219"/>
      <c r="E217" s="2220"/>
      <c r="F217" s="2220"/>
      <c r="G217" s="2220"/>
      <c r="H217" s="2220"/>
      <c r="I217" s="2220"/>
      <c r="J217" s="2220"/>
      <c r="K217" s="2220"/>
      <c r="L217" s="2220"/>
      <c r="M217" s="2220"/>
      <c r="N217" s="2220"/>
      <c r="O217" s="2220"/>
      <c r="P217" s="2220"/>
      <c r="Q217" s="2220"/>
      <c r="R217" s="2220"/>
      <c r="S217" s="2219"/>
      <c r="T217" s="2221"/>
      <c r="U217" s="2220"/>
      <c r="V217" s="2220"/>
      <c r="W217" s="2220"/>
      <c r="X217" s="2220"/>
      <c r="Y217" s="2220"/>
      <c r="BH217" s="1421" t="s">
        <v>1640</v>
      </c>
      <c r="BI217" s="1421">
        <v>265</v>
      </c>
      <c r="BJ217" s="1421">
        <v>155</v>
      </c>
      <c r="BK217" s="1421">
        <v>10</v>
      </c>
      <c r="BL217" s="1421">
        <v>16</v>
      </c>
      <c r="BM217" s="1421">
        <v>16</v>
      </c>
      <c r="BN217" s="1421">
        <v>0</v>
      </c>
      <c r="BO217" s="1421">
        <v>0</v>
      </c>
      <c r="BP217" s="2135">
        <v>60</v>
      </c>
      <c r="BQ217" s="2132">
        <v>0.14000000000000001</v>
      </c>
      <c r="BR217" s="357">
        <v>0</v>
      </c>
    </row>
    <row r="218" spans="1:70">
      <c r="A218" s="2219"/>
      <c r="B218" s="2220"/>
      <c r="C218" s="2220"/>
      <c r="D218" s="2219"/>
      <c r="E218" s="2220"/>
      <c r="F218" s="2220"/>
      <c r="G218" s="2220"/>
      <c r="H218" s="2220"/>
      <c r="I218" s="2220"/>
      <c r="J218" s="2220"/>
      <c r="K218" s="2220"/>
      <c r="L218" s="2220"/>
      <c r="M218" s="2220"/>
      <c r="N218" s="2220"/>
      <c r="O218" s="2220"/>
      <c r="P218" s="2220"/>
      <c r="Q218" s="2220"/>
      <c r="R218" s="2220"/>
      <c r="S218" s="2219"/>
      <c r="T218" s="2221"/>
      <c r="U218" s="2220"/>
      <c r="V218" s="2220"/>
      <c r="W218" s="2220"/>
      <c r="X218" s="2220"/>
      <c r="Y218" s="2220"/>
      <c r="BH218" s="1968"/>
      <c r="BI218" s="1421"/>
      <c r="BJ218" s="1421"/>
      <c r="BK218" s="1421"/>
      <c r="BL218" s="1421"/>
      <c r="BM218" s="1421"/>
      <c r="BN218" s="1421"/>
      <c r="BO218" s="1421"/>
      <c r="BP218" s="2131"/>
      <c r="BQ218" s="2132"/>
    </row>
    <row r="219" spans="1:70">
      <c r="A219" s="2219"/>
      <c r="B219" s="2220"/>
      <c r="C219" s="2220"/>
      <c r="D219" s="2219"/>
      <c r="E219" s="2220"/>
      <c r="F219" s="2220"/>
      <c r="G219" s="2220"/>
      <c r="H219" s="2220"/>
      <c r="I219" s="2220"/>
      <c r="J219" s="2220"/>
      <c r="K219" s="2220"/>
      <c r="L219" s="2220"/>
      <c r="M219" s="2220"/>
      <c r="N219" s="2220"/>
      <c r="O219" s="2220"/>
      <c r="P219" s="2220"/>
      <c r="Q219" s="2220"/>
      <c r="R219" s="2220"/>
      <c r="S219" s="2219"/>
      <c r="T219" s="2221"/>
      <c r="U219" s="2220"/>
      <c r="V219" s="2220"/>
      <c r="W219" s="2220"/>
      <c r="X219" s="2220"/>
      <c r="Y219" s="2220"/>
      <c r="BH219" s="1968"/>
      <c r="BI219" s="1421"/>
      <c r="BJ219" s="1421"/>
      <c r="BK219" s="1421"/>
      <c r="BL219" s="1421"/>
      <c r="BM219" s="1421"/>
      <c r="BN219" s="1421"/>
      <c r="BO219" s="1421"/>
      <c r="BP219" s="2131"/>
      <c r="BQ219" s="2134"/>
    </row>
    <row r="220" spans="1:70">
      <c r="A220" s="2219"/>
      <c r="B220" s="2220"/>
      <c r="C220" s="2220"/>
      <c r="D220" s="2219"/>
      <c r="E220" s="2220"/>
      <c r="F220" s="2220"/>
      <c r="G220" s="2220"/>
      <c r="H220" s="2220"/>
      <c r="I220" s="2220"/>
      <c r="J220" s="2220"/>
      <c r="K220" s="2220"/>
      <c r="L220" s="2220"/>
      <c r="M220" s="2220"/>
      <c r="N220" s="2220"/>
      <c r="O220" s="2220"/>
      <c r="P220" s="2220"/>
      <c r="Q220" s="2220"/>
      <c r="R220" s="2220"/>
      <c r="S220" s="2219"/>
      <c r="T220" s="2221"/>
      <c r="U220" s="2220"/>
      <c r="V220" s="2220"/>
      <c r="W220" s="2220"/>
      <c r="X220" s="2220"/>
      <c r="Y220" s="2220"/>
      <c r="BH220" s="1968"/>
      <c r="BI220" s="1421"/>
      <c r="BJ220" s="1421"/>
      <c r="BK220" s="1421"/>
      <c r="BL220" s="1421"/>
      <c r="BM220" s="1421"/>
      <c r="BN220" s="1421"/>
      <c r="BO220" s="1421"/>
      <c r="BP220" s="2131"/>
      <c r="BQ220" s="2134"/>
    </row>
    <row r="221" spans="1:70">
      <c r="A221" s="2219"/>
      <c r="B221" s="2220"/>
      <c r="C221" s="2220"/>
      <c r="D221" s="2219"/>
      <c r="E221" s="2220"/>
      <c r="F221" s="2220"/>
      <c r="G221" s="2220"/>
      <c r="H221" s="2220"/>
      <c r="I221" s="2220"/>
      <c r="J221" s="2220"/>
      <c r="K221" s="2220"/>
      <c r="L221" s="2220"/>
      <c r="M221" s="2220"/>
      <c r="N221" s="2220"/>
      <c r="O221" s="2220"/>
      <c r="P221" s="2220"/>
      <c r="Q221" s="2220"/>
      <c r="R221" s="2220"/>
      <c r="S221" s="2219"/>
      <c r="T221" s="2221"/>
      <c r="U221" s="2220"/>
      <c r="V221" s="2220"/>
      <c r="W221" s="2220"/>
      <c r="X221" s="2220"/>
      <c r="Y221" s="2220"/>
      <c r="BH221" s="1968"/>
      <c r="BI221" s="1421"/>
      <c r="BJ221" s="1421"/>
      <c r="BK221" s="1421"/>
      <c r="BL221" s="1421"/>
      <c r="BM221" s="1421"/>
      <c r="BN221" s="1421"/>
      <c r="BO221" s="1421"/>
      <c r="BP221" s="2133"/>
      <c r="BQ221" s="2134"/>
    </row>
    <row r="222" spans="1:70">
      <c r="A222" s="2219"/>
      <c r="B222" s="2220"/>
      <c r="C222" s="2220"/>
      <c r="D222" s="2219"/>
      <c r="E222" s="2220"/>
      <c r="F222" s="2220"/>
      <c r="G222" s="2220"/>
      <c r="H222" s="2220"/>
      <c r="I222" s="2220"/>
      <c r="J222" s="2220"/>
      <c r="K222" s="2220"/>
      <c r="L222" s="2220"/>
      <c r="M222" s="2220"/>
      <c r="N222" s="2220"/>
      <c r="O222" s="2220"/>
      <c r="P222" s="2220"/>
      <c r="Q222" s="2220"/>
      <c r="R222" s="2220"/>
      <c r="S222" s="2219"/>
      <c r="T222" s="2221"/>
      <c r="U222" s="2220"/>
      <c r="V222" s="2220"/>
      <c r="W222" s="2220"/>
      <c r="X222" s="2220"/>
      <c r="Y222" s="2220"/>
      <c r="BH222" s="1968"/>
      <c r="BI222" s="1421"/>
      <c r="BJ222" s="1421"/>
      <c r="BK222" s="1421"/>
      <c r="BL222" s="1421"/>
      <c r="BM222" s="1421"/>
      <c r="BN222" s="1421"/>
      <c r="BO222" s="1421"/>
      <c r="BP222" s="2133"/>
      <c r="BQ222" s="2134"/>
    </row>
    <row r="223" spans="1:70">
      <c r="A223" s="2219"/>
      <c r="B223" s="2220"/>
      <c r="C223" s="2220"/>
      <c r="D223" s="2219"/>
      <c r="E223" s="2220"/>
      <c r="F223" s="2220"/>
      <c r="G223" s="2220"/>
      <c r="H223" s="2220"/>
      <c r="I223" s="2220"/>
      <c r="J223" s="2220"/>
      <c r="K223" s="2220"/>
      <c r="L223" s="2220"/>
      <c r="M223" s="2220"/>
      <c r="N223" s="2220"/>
      <c r="O223" s="2220"/>
      <c r="P223" s="2220"/>
      <c r="Q223" s="2220"/>
      <c r="R223" s="2220"/>
      <c r="S223" s="2219"/>
      <c r="T223" s="2221"/>
      <c r="U223" s="2220"/>
      <c r="V223" s="2220"/>
      <c r="W223" s="2220"/>
      <c r="X223" s="2220"/>
      <c r="Y223" s="2220"/>
      <c r="BH223" s="1968"/>
      <c r="BI223" s="1421"/>
      <c r="BJ223" s="1421"/>
      <c r="BK223" s="1421"/>
      <c r="BL223" s="1421"/>
      <c r="BM223" s="1421"/>
      <c r="BN223" s="1421"/>
      <c r="BO223" s="1421"/>
      <c r="BP223" s="2131"/>
      <c r="BQ223" s="2132"/>
    </row>
    <row r="224" spans="1:70">
      <c r="A224" s="2219"/>
      <c r="B224" s="2220"/>
      <c r="C224" s="2220"/>
      <c r="D224" s="2219"/>
      <c r="E224" s="2220"/>
      <c r="F224" s="2220"/>
      <c r="G224" s="2220"/>
      <c r="H224" s="2220"/>
      <c r="I224" s="2220"/>
      <c r="J224" s="2220"/>
      <c r="K224" s="2220"/>
      <c r="L224" s="2220"/>
      <c r="M224" s="2220"/>
      <c r="N224" s="2220"/>
      <c r="O224" s="2220"/>
      <c r="P224" s="2220"/>
      <c r="Q224" s="2220"/>
      <c r="R224" s="2220"/>
      <c r="S224" s="2219"/>
      <c r="T224" s="2221"/>
      <c r="U224" s="2220"/>
      <c r="V224" s="2220"/>
      <c r="W224" s="2220"/>
      <c r="X224" s="2220"/>
      <c r="Y224" s="2220"/>
      <c r="BH224" s="1968"/>
      <c r="BI224" s="1421"/>
      <c r="BJ224" s="1421"/>
      <c r="BK224" s="1421"/>
      <c r="BL224" s="1421"/>
      <c r="BM224" s="1421"/>
      <c r="BN224" s="1421"/>
      <c r="BO224" s="1421"/>
      <c r="BP224" s="2133"/>
      <c r="BQ224" s="2134"/>
    </row>
    <row r="225" spans="1:69">
      <c r="A225" s="2219"/>
      <c r="B225" s="2220"/>
      <c r="C225" s="2220"/>
      <c r="D225" s="2219"/>
      <c r="E225" s="2220"/>
      <c r="F225" s="2220"/>
      <c r="G225" s="2220"/>
      <c r="H225" s="2220"/>
      <c r="I225" s="2220"/>
      <c r="J225" s="2220"/>
      <c r="K225" s="2220"/>
      <c r="L225" s="2220"/>
      <c r="M225" s="2220"/>
      <c r="N225" s="2220"/>
      <c r="O225" s="2220"/>
      <c r="P225" s="2220"/>
      <c r="Q225" s="2220"/>
      <c r="R225" s="2220"/>
      <c r="S225" s="2219"/>
      <c r="T225" s="2221"/>
      <c r="U225" s="2220"/>
      <c r="V225" s="2220"/>
      <c r="W225" s="2220"/>
      <c r="X225" s="2220"/>
      <c r="Y225" s="2220"/>
      <c r="BH225" s="1968"/>
      <c r="BI225" s="1421"/>
      <c r="BJ225" s="1421"/>
      <c r="BK225" s="1421"/>
      <c r="BL225" s="1421"/>
      <c r="BM225" s="1421"/>
      <c r="BN225" s="1421"/>
      <c r="BO225" s="1421"/>
      <c r="BP225" s="2133"/>
      <c r="BQ225" s="2134"/>
    </row>
    <row r="226" spans="1:69">
      <c r="A226" s="2219"/>
      <c r="B226" s="2220"/>
      <c r="C226" s="2220"/>
      <c r="D226" s="2219"/>
      <c r="E226" s="2220"/>
      <c r="F226" s="2220"/>
      <c r="G226" s="2220"/>
      <c r="H226" s="2220"/>
      <c r="I226" s="2220"/>
      <c r="J226" s="2220"/>
      <c r="K226" s="2220"/>
      <c r="L226" s="2220"/>
      <c r="M226" s="2220"/>
      <c r="N226" s="2220"/>
      <c r="O226" s="2220"/>
      <c r="P226" s="2220"/>
      <c r="Q226" s="2220"/>
      <c r="R226" s="2220"/>
      <c r="S226" s="2219"/>
      <c r="T226" s="2221"/>
      <c r="U226" s="2220"/>
      <c r="V226" s="2220"/>
      <c r="W226" s="2220"/>
      <c r="X226" s="2220"/>
      <c r="Y226" s="2220"/>
      <c r="BH226" s="1968"/>
      <c r="BI226" s="1421"/>
      <c r="BJ226" s="1421"/>
      <c r="BK226" s="1421"/>
      <c r="BL226" s="1421"/>
      <c r="BM226" s="1421"/>
      <c r="BN226" s="1421"/>
      <c r="BO226" s="1421"/>
      <c r="BP226" s="2131"/>
      <c r="BQ226" s="2132"/>
    </row>
    <row r="227" spans="1:69">
      <c r="A227" s="2219"/>
      <c r="B227" s="2220"/>
      <c r="C227" s="2220"/>
      <c r="D227" s="2219"/>
      <c r="E227" s="2220"/>
      <c r="F227" s="2220"/>
      <c r="G227" s="2220"/>
      <c r="H227" s="2220"/>
      <c r="I227" s="2220"/>
      <c r="J227" s="2220"/>
      <c r="K227" s="2220"/>
      <c r="L227" s="2220"/>
      <c r="M227" s="2220"/>
      <c r="N227" s="2220"/>
      <c r="O227" s="2220"/>
      <c r="P227" s="2220"/>
      <c r="Q227" s="2220"/>
      <c r="R227" s="2220"/>
      <c r="S227" s="2219"/>
      <c r="T227" s="2221"/>
      <c r="U227" s="2220"/>
      <c r="V227" s="2220"/>
      <c r="W227" s="2220"/>
      <c r="X227" s="2220"/>
      <c r="Y227" s="2220"/>
      <c r="BH227" s="1968"/>
      <c r="BI227" s="1421"/>
      <c r="BJ227" s="1421"/>
      <c r="BK227" s="1421"/>
      <c r="BL227" s="1421"/>
      <c r="BM227" s="1421"/>
      <c r="BN227" s="1421"/>
      <c r="BO227" s="1421"/>
      <c r="BP227" s="2136"/>
      <c r="BQ227" s="2134"/>
    </row>
    <row r="228" spans="1:69">
      <c r="A228" s="2219"/>
      <c r="B228" s="2220"/>
      <c r="C228" s="2220"/>
      <c r="D228" s="2219"/>
      <c r="E228" s="2220"/>
      <c r="F228" s="2220"/>
      <c r="G228" s="2220"/>
      <c r="H228" s="2220"/>
      <c r="I228" s="2220"/>
      <c r="J228" s="2220"/>
      <c r="K228" s="2220"/>
      <c r="L228" s="2220"/>
      <c r="M228" s="2220"/>
      <c r="N228" s="2220"/>
      <c r="O228" s="2220"/>
      <c r="P228" s="2220"/>
      <c r="Q228" s="2220"/>
      <c r="R228" s="2220"/>
      <c r="S228" s="2219"/>
      <c r="T228" s="2221"/>
      <c r="U228" s="2220"/>
      <c r="V228" s="2220"/>
      <c r="W228" s="2220"/>
      <c r="X228" s="2220"/>
      <c r="Y228" s="2220"/>
      <c r="BH228" s="1968"/>
      <c r="BI228" s="1421"/>
      <c r="BJ228" s="1421"/>
      <c r="BK228" s="1421"/>
      <c r="BL228" s="1421"/>
      <c r="BM228" s="1421"/>
      <c r="BN228" s="1421"/>
      <c r="BO228" s="1421"/>
      <c r="BP228" s="2136"/>
      <c r="BQ228" s="2134"/>
    </row>
    <row r="229" spans="1:69">
      <c r="A229" s="2219"/>
      <c r="B229" s="2220"/>
      <c r="C229" s="2220"/>
      <c r="D229" s="2219"/>
      <c r="E229" s="2220"/>
      <c r="F229" s="2220"/>
      <c r="G229" s="2220"/>
      <c r="H229" s="2220"/>
      <c r="I229" s="2220"/>
      <c r="J229" s="2220"/>
      <c r="K229" s="2220"/>
      <c r="L229" s="2220"/>
      <c r="M229" s="2220"/>
      <c r="N229" s="2220"/>
      <c r="O229" s="2220"/>
      <c r="P229" s="2220"/>
      <c r="Q229" s="2220"/>
      <c r="R229" s="2220"/>
      <c r="S229" s="2219"/>
      <c r="T229" s="2221"/>
      <c r="U229" s="2220"/>
      <c r="V229" s="2220"/>
      <c r="W229" s="2220"/>
      <c r="X229" s="2220"/>
      <c r="Y229" s="2220"/>
      <c r="BH229" s="1968"/>
      <c r="BI229" s="1421"/>
      <c r="BJ229" s="1421"/>
      <c r="BK229" s="1421"/>
      <c r="BL229" s="1421"/>
      <c r="BM229" s="1421"/>
      <c r="BN229" s="1421"/>
      <c r="BO229" s="1421"/>
      <c r="BP229" s="2136"/>
      <c r="BQ229" s="2134"/>
    </row>
    <row r="230" spans="1:69">
      <c r="A230" s="2219"/>
      <c r="B230" s="2220"/>
      <c r="C230" s="2220"/>
      <c r="D230" s="2219"/>
      <c r="E230" s="2220"/>
      <c r="F230" s="2220"/>
      <c r="G230" s="2220"/>
      <c r="H230" s="2220"/>
      <c r="I230" s="2220"/>
      <c r="J230" s="2220"/>
      <c r="K230" s="2220"/>
      <c r="L230" s="2220"/>
      <c r="M230" s="2220"/>
      <c r="N230" s="2220"/>
      <c r="O230" s="2220"/>
      <c r="P230" s="2220"/>
      <c r="Q230" s="2220"/>
      <c r="R230" s="2220"/>
      <c r="S230" s="2219"/>
      <c r="T230" s="2221"/>
      <c r="U230" s="2220"/>
      <c r="V230" s="2220"/>
      <c r="W230" s="2220"/>
      <c r="X230" s="2220"/>
      <c r="Y230" s="2220"/>
      <c r="BH230" s="1968"/>
      <c r="BI230" s="1421"/>
      <c r="BJ230" s="1421"/>
      <c r="BK230" s="1421"/>
      <c r="BL230" s="1421"/>
      <c r="BM230" s="1421"/>
      <c r="BN230" s="1421"/>
      <c r="BO230" s="1421"/>
      <c r="BP230" s="2136"/>
      <c r="BQ230" s="2132"/>
    </row>
    <row r="231" spans="1:69">
      <c r="A231" s="2219"/>
      <c r="B231" s="2220"/>
      <c r="C231" s="2220"/>
      <c r="D231" s="2219"/>
      <c r="E231" s="2220"/>
      <c r="F231" s="2220"/>
      <c r="G231" s="2220"/>
      <c r="H231" s="2220"/>
      <c r="I231" s="2220"/>
      <c r="J231" s="2220"/>
      <c r="K231" s="2220"/>
      <c r="L231" s="2220"/>
      <c r="M231" s="2220"/>
      <c r="N231" s="2220"/>
      <c r="O231" s="2220"/>
      <c r="P231" s="2220"/>
      <c r="Q231" s="2220"/>
      <c r="R231" s="2220"/>
      <c r="S231" s="2219"/>
      <c r="T231" s="2221"/>
      <c r="U231" s="2220"/>
      <c r="V231" s="2220"/>
      <c r="W231" s="2220"/>
      <c r="X231" s="2220"/>
      <c r="Y231" s="2220"/>
      <c r="BH231" s="1968"/>
      <c r="BI231" s="1421"/>
      <c r="BJ231" s="1421"/>
      <c r="BK231" s="1421"/>
      <c r="BL231" s="1421"/>
      <c r="BM231" s="1421"/>
      <c r="BN231" s="1421"/>
      <c r="BO231" s="1421"/>
      <c r="BP231" s="2131"/>
      <c r="BQ231" s="2134"/>
    </row>
    <row r="232" spans="1:69">
      <c r="A232" s="2219"/>
      <c r="B232" s="2220"/>
      <c r="C232" s="2220"/>
      <c r="D232" s="2219"/>
      <c r="E232" s="2220"/>
      <c r="F232" s="2220"/>
      <c r="G232" s="2220"/>
      <c r="H232" s="2220"/>
      <c r="I232" s="2220"/>
      <c r="J232" s="2220"/>
      <c r="K232" s="2220"/>
      <c r="L232" s="2220"/>
      <c r="M232" s="2220"/>
      <c r="N232" s="2220"/>
      <c r="O232" s="2220"/>
      <c r="P232" s="2220"/>
      <c r="Q232" s="2220"/>
      <c r="R232" s="2220"/>
      <c r="S232" s="2219"/>
      <c r="T232" s="2221"/>
      <c r="U232" s="2220"/>
      <c r="V232" s="2220"/>
      <c r="W232" s="2220"/>
      <c r="X232" s="2220"/>
      <c r="Y232" s="2220"/>
      <c r="BH232" s="1968"/>
      <c r="BI232" s="1421"/>
      <c r="BJ232" s="1421"/>
      <c r="BK232" s="1421"/>
      <c r="BL232" s="1421"/>
      <c r="BM232" s="1421"/>
      <c r="BN232" s="1421"/>
      <c r="BO232" s="1421"/>
      <c r="BP232" s="2133"/>
      <c r="BQ232" s="2134"/>
    </row>
    <row r="233" spans="1:69">
      <c r="A233" s="2219"/>
      <c r="B233" s="2220"/>
      <c r="C233" s="2220"/>
      <c r="D233" s="2219"/>
      <c r="E233" s="2220"/>
      <c r="F233" s="2220"/>
      <c r="G233" s="2220"/>
      <c r="H233" s="2220"/>
      <c r="I233" s="2220"/>
      <c r="J233" s="2220"/>
      <c r="K233" s="2220"/>
      <c r="L233" s="2220"/>
      <c r="M233" s="2220"/>
      <c r="N233" s="2220"/>
      <c r="O233" s="2220"/>
      <c r="P233" s="2220"/>
      <c r="Q233" s="2220"/>
      <c r="R233" s="2220"/>
      <c r="S233" s="2219"/>
      <c r="T233" s="2221"/>
      <c r="U233" s="2220"/>
      <c r="V233" s="2220"/>
      <c r="W233" s="2220"/>
      <c r="X233" s="2220"/>
      <c r="Y233" s="2220"/>
      <c r="BH233" s="1968"/>
      <c r="BI233" s="1421"/>
      <c r="BJ233" s="1421"/>
      <c r="BK233" s="1421"/>
      <c r="BL233" s="1421"/>
      <c r="BM233" s="1421"/>
      <c r="BN233" s="1421"/>
      <c r="BO233" s="1421"/>
      <c r="BP233" s="2131"/>
      <c r="BQ233" s="2132"/>
    </row>
    <row r="234" spans="1:69">
      <c r="A234" s="2219"/>
      <c r="B234" s="2220"/>
      <c r="C234" s="2220"/>
      <c r="D234" s="2219"/>
      <c r="E234" s="2220"/>
      <c r="F234" s="2220"/>
      <c r="G234" s="2220"/>
      <c r="H234" s="2220"/>
      <c r="I234" s="2220"/>
      <c r="J234" s="2220"/>
      <c r="K234" s="2220"/>
      <c r="L234" s="2220"/>
      <c r="M234" s="2220"/>
      <c r="N234" s="2220"/>
      <c r="O234" s="2220"/>
      <c r="P234" s="2220"/>
      <c r="Q234" s="2220"/>
      <c r="R234" s="2220"/>
      <c r="S234" s="2219"/>
      <c r="T234" s="2221"/>
      <c r="U234" s="2220"/>
      <c r="V234" s="2220"/>
      <c r="W234" s="2220"/>
      <c r="X234" s="2220"/>
      <c r="Y234" s="2220"/>
      <c r="BH234" s="1968"/>
      <c r="BI234" s="1421"/>
      <c r="BJ234" s="1421"/>
      <c r="BK234" s="1421"/>
      <c r="BL234" s="1421"/>
      <c r="BM234" s="1421"/>
      <c r="BN234" s="1421"/>
      <c r="BO234" s="1421"/>
      <c r="BP234" s="2131"/>
      <c r="BQ234" s="2134"/>
    </row>
    <row r="235" spans="1:69">
      <c r="A235" s="2219"/>
      <c r="B235" s="2220"/>
      <c r="C235" s="2220"/>
      <c r="D235" s="2219"/>
      <c r="E235" s="2220"/>
      <c r="F235" s="2220"/>
      <c r="G235" s="2220"/>
      <c r="H235" s="2220"/>
      <c r="I235" s="2220"/>
      <c r="J235" s="2220"/>
      <c r="K235" s="2220"/>
      <c r="L235" s="2220"/>
      <c r="M235" s="2220"/>
      <c r="N235" s="2220"/>
      <c r="O235" s="2220"/>
      <c r="P235" s="2220"/>
      <c r="Q235" s="2220"/>
      <c r="R235" s="2220"/>
      <c r="S235" s="2219"/>
      <c r="T235" s="2221"/>
      <c r="U235" s="2220"/>
      <c r="V235" s="2220"/>
      <c r="W235" s="2220"/>
      <c r="X235" s="2220"/>
      <c r="Y235" s="2220"/>
      <c r="BH235" s="1968"/>
      <c r="BI235" s="1421"/>
      <c r="BJ235" s="1421"/>
      <c r="BK235" s="1421"/>
      <c r="BL235" s="1421"/>
      <c r="BM235" s="1421"/>
      <c r="BN235" s="1421"/>
      <c r="BO235" s="1421"/>
      <c r="BP235" s="2131"/>
      <c r="BQ235" s="2134"/>
    </row>
    <row r="236" spans="1:69">
      <c r="A236" s="2219"/>
      <c r="B236" s="2220"/>
      <c r="C236" s="2220"/>
      <c r="D236" s="2219"/>
      <c r="E236" s="2220"/>
      <c r="F236" s="2220"/>
      <c r="G236" s="2220"/>
      <c r="H236" s="2220"/>
      <c r="I236" s="2220"/>
      <c r="J236" s="2220"/>
      <c r="K236" s="2220"/>
      <c r="L236" s="2220"/>
      <c r="M236" s="2220"/>
      <c r="N236" s="2220"/>
      <c r="O236" s="2220"/>
      <c r="P236" s="2220"/>
      <c r="Q236" s="2220"/>
      <c r="R236" s="2220"/>
      <c r="S236" s="2219"/>
      <c r="T236" s="2221"/>
      <c r="U236" s="2220"/>
      <c r="V236" s="2220"/>
      <c r="W236" s="2220"/>
      <c r="X236" s="2220"/>
      <c r="Y236" s="2220"/>
      <c r="BH236" s="1968"/>
      <c r="BI236" s="1421"/>
      <c r="BJ236" s="1421"/>
      <c r="BK236" s="1421"/>
      <c r="BL236" s="1421"/>
      <c r="BM236" s="1421"/>
      <c r="BN236" s="1421"/>
      <c r="BO236" s="1421"/>
      <c r="BP236" s="2131"/>
      <c r="BQ236" s="2134"/>
    </row>
    <row r="237" spans="1:69">
      <c r="A237" s="2219"/>
      <c r="B237" s="2220"/>
      <c r="C237" s="2220"/>
      <c r="D237" s="2219"/>
      <c r="E237" s="2220"/>
      <c r="F237" s="2220"/>
      <c r="G237" s="2220"/>
      <c r="H237" s="2220"/>
      <c r="I237" s="2220"/>
      <c r="J237" s="2220"/>
      <c r="K237" s="2220"/>
      <c r="L237" s="2220"/>
      <c r="M237" s="2220"/>
      <c r="N237" s="2220"/>
      <c r="O237" s="2220"/>
      <c r="P237" s="2220"/>
      <c r="Q237" s="2220"/>
      <c r="R237" s="2220"/>
      <c r="S237" s="2219"/>
      <c r="T237" s="2221"/>
      <c r="U237" s="2220"/>
      <c r="V237" s="2220"/>
      <c r="W237" s="2220"/>
      <c r="X237" s="2220"/>
      <c r="Y237" s="2220"/>
      <c r="BH237" s="1968"/>
      <c r="BI237" s="1421"/>
      <c r="BJ237" s="1421"/>
      <c r="BK237" s="1421"/>
      <c r="BL237" s="1421"/>
      <c r="BM237" s="1421"/>
      <c r="BN237" s="1421"/>
      <c r="BO237" s="1421"/>
      <c r="BP237" s="2136"/>
      <c r="BQ237" s="2134"/>
    </row>
    <row r="238" spans="1:69">
      <c r="A238" s="2219"/>
      <c r="B238" s="2220"/>
      <c r="C238" s="2220"/>
      <c r="D238" s="2219"/>
      <c r="E238" s="2220"/>
      <c r="F238" s="2220"/>
      <c r="G238" s="2220"/>
      <c r="H238" s="2220"/>
      <c r="I238" s="2220"/>
      <c r="J238" s="2220"/>
      <c r="K238" s="2220"/>
      <c r="L238" s="2220"/>
      <c r="M238" s="2220"/>
      <c r="N238" s="2220"/>
      <c r="O238" s="2220"/>
      <c r="P238" s="2220"/>
      <c r="Q238" s="2220"/>
      <c r="R238" s="2220"/>
      <c r="S238" s="2219"/>
      <c r="T238" s="2221"/>
      <c r="U238" s="2220"/>
      <c r="V238" s="2220"/>
      <c r="W238" s="2220"/>
      <c r="X238" s="2220"/>
      <c r="Y238" s="2220"/>
      <c r="BH238" s="1968"/>
      <c r="BI238" s="1421"/>
      <c r="BJ238" s="1421"/>
      <c r="BK238" s="1421"/>
      <c r="BL238" s="1421"/>
      <c r="BM238" s="1421"/>
      <c r="BN238" s="1421"/>
      <c r="BO238" s="1421"/>
      <c r="BP238" s="2136"/>
      <c r="BQ238" s="2132"/>
    </row>
    <row r="239" spans="1:69">
      <c r="A239" s="2219"/>
      <c r="B239" s="2220"/>
      <c r="C239" s="2220"/>
      <c r="D239" s="2219"/>
      <c r="E239" s="2220"/>
      <c r="F239" s="2220"/>
      <c r="G239" s="2220"/>
      <c r="H239" s="2220"/>
      <c r="I239" s="2220"/>
      <c r="J239" s="2220"/>
      <c r="K239" s="2220"/>
      <c r="L239" s="2220"/>
      <c r="M239" s="2220"/>
      <c r="N239" s="2220"/>
      <c r="O239" s="2220"/>
      <c r="P239" s="2220"/>
      <c r="Q239" s="2220"/>
      <c r="R239" s="2220"/>
      <c r="S239" s="2219"/>
      <c r="T239" s="2221"/>
      <c r="U239" s="2220"/>
      <c r="V239" s="2220"/>
      <c r="W239" s="2220"/>
      <c r="X239" s="2220"/>
      <c r="Y239" s="2220"/>
      <c r="BH239" s="1968"/>
      <c r="BI239" s="1421"/>
      <c r="BJ239" s="1421"/>
      <c r="BK239" s="1421"/>
      <c r="BL239" s="1421"/>
      <c r="BM239" s="1421"/>
      <c r="BN239" s="1421"/>
      <c r="BO239" s="1421"/>
      <c r="BP239" s="2131"/>
      <c r="BQ239" s="2132"/>
    </row>
    <row r="240" spans="1:69">
      <c r="A240" s="2219"/>
      <c r="B240" s="2220"/>
      <c r="C240" s="2220"/>
      <c r="D240" s="2219"/>
      <c r="E240" s="2220"/>
      <c r="F240" s="2220"/>
      <c r="G240" s="2220"/>
      <c r="H240" s="2220"/>
      <c r="I240" s="2220"/>
      <c r="J240" s="2220"/>
      <c r="K240" s="2220"/>
      <c r="L240" s="2220"/>
      <c r="M240" s="2220"/>
      <c r="N240" s="2220"/>
      <c r="O240" s="2220"/>
      <c r="P240" s="2220"/>
      <c r="Q240" s="2220"/>
      <c r="R240" s="2220"/>
      <c r="S240" s="2219"/>
      <c r="T240" s="2221"/>
      <c r="U240" s="2220"/>
      <c r="V240" s="2220"/>
      <c r="W240" s="2220"/>
      <c r="X240" s="2220"/>
      <c r="Y240" s="2220"/>
      <c r="BH240" s="1968"/>
      <c r="BI240" s="1421"/>
      <c r="BJ240" s="1421"/>
      <c r="BK240" s="1421"/>
      <c r="BL240" s="1421"/>
      <c r="BM240" s="1421"/>
      <c r="BN240" s="1421"/>
      <c r="BO240" s="1421"/>
      <c r="BP240" s="2131"/>
      <c r="BQ240" s="2134"/>
    </row>
    <row r="241" spans="1:69">
      <c r="A241" s="2219"/>
      <c r="B241" s="2220"/>
      <c r="C241" s="2220"/>
      <c r="D241" s="2219"/>
      <c r="E241" s="2220"/>
      <c r="F241" s="2220"/>
      <c r="G241" s="2220"/>
      <c r="H241" s="2220"/>
      <c r="I241" s="2220"/>
      <c r="J241" s="2220"/>
      <c r="K241" s="2220"/>
      <c r="L241" s="2220"/>
      <c r="M241" s="2220"/>
      <c r="N241" s="2220"/>
      <c r="O241" s="2220"/>
      <c r="P241" s="2220"/>
      <c r="Q241" s="2220"/>
      <c r="R241" s="2220"/>
      <c r="S241" s="2219"/>
      <c r="T241" s="2221"/>
      <c r="U241" s="2220"/>
      <c r="V241" s="2220"/>
      <c r="W241" s="2220"/>
      <c r="X241" s="2220"/>
      <c r="Y241" s="2220"/>
      <c r="BH241" s="1968"/>
      <c r="BI241" s="1421"/>
      <c r="BJ241" s="1421"/>
      <c r="BK241" s="1421"/>
      <c r="BL241" s="1421"/>
      <c r="BM241" s="1421"/>
      <c r="BN241" s="1421"/>
      <c r="BO241" s="1421"/>
      <c r="BP241" s="2131"/>
      <c r="BQ241" s="2132"/>
    </row>
    <row r="242" spans="1:69">
      <c r="A242" s="2219"/>
      <c r="B242" s="2220"/>
      <c r="C242" s="2220"/>
      <c r="D242" s="2219"/>
      <c r="E242" s="2220"/>
      <c r="F242" s="2220"/>
      <c r="G242" s="2220"/>
      <c r="H242" s="2220"/>
      <c r="I242" s="2220"/>
      <c r="J242" s="2220"/>
      <c r="K242" s="2220"/>
      <c r="L242" s="2220"/>
      <c r="M242" s="2220"/>
      <c r="N242" s="2220"/>
      <c r="O242" s="2220"/>
      <c r="P242" s="2220"/>
      <c r="Q242" s="2220"/>
      <c r="R242" s="2220"/>
      <c r="S242" s="2219"/>
      <c r="T242" s="2221"/>
      <c r="U242" s="2220"/>
      <c r="V242" s="2220"/>
      <c r="W242" s="2220"/>
      <c r="X242" s="2220"/>
      <c r="Y242" s="2220"/>
      <c r="BH242" s="1968"/>
      <c r="BI242" s="1421"/>
      <c r="BJ242" s="1421"/>
      <c r="BK242" s="1421"/>
      <c r="BL242" s="1421"/>
      <c r="BM242" s="1421"/>
      <c r="BN242" s="1421"/>
      <c r="BO242" s="1421"/>
      <c r="BP242" s="2133"/>
      <c r="BQ242" s="2134"/>
    </row>
    <row r="243" spans="1:69">
      <c r="A243" s="2219"/>
      <c r="B243" s="2220"/>
      <c r="C243" s="2220"/>
      <c r="D243" s="2219"/>
      <c r="E243" s="2220"/>
      <c r="F243" s="2220"/>
      <c r="G243" s="2220"/>
      <c r="H243" s="2220"/>
      <c r="I243" s="2220"/>
      <c r="J243" s="2220"/>
      <c r="K243" s="2220"/>
      <c r="L243" s="2220"/>
      <c r="M243" s="2220"/>
      <c r="N243" s="2220"/>
      <c r="O243" s="2220"/>
      <c r="P243" s="2220"/>
      <c r="Q243" s="2220"/>
      <c r="R243" s="2220"/>
      <c r="S243" s="2219"/>
      <c r="T243" s="2221"/>
      <c r="U243" s="2220"/>
      <c r="V243" s="2220"/>
      <c r="W243" s="2220"/>
      <c r="X243" s="2220"/>
      <c r="Y243" s="2220"/>
      <c r="BH243" s="1968"/>
      <c r="BI243" s="1421"/>
      <c r="BJ243" s="1421"/>
      <c r="BK243" s="1421"/>
      <c r="BL243" s="1421"/>
      <c r="BM243" s="1421"/>
      <c r="BN243" s="1421"/>
      <c r="BO243" s="1421"/>
      <c r="BP243" s="2133"/>
      <c r="BQ243" s="2134"/>
    </row>
    <row r="244" spans="1:69">
      <c r="A244" s="2219"/>
      <c r="B244" s="2220"/>
      <c r="C244" s="2220"/>
      <c r="D244" s="2219"/>
      <c r="E244" s="2220"/>
      <c r="F244" s="2220"/>
      <c r="G244" s="2220"/>
      <c r="H244" s="2220"/>
      <c r="I244" s="2220"/>
      <c r="J244" s="2220"/>
      <c r="K244" s="2220"/>
      <c r="L244" s="2220"/>
      <c r="M244" s="2220"/>
      <c r="N244" s="2220"/>
      <c r="O244" s="2220"/>
      <c r="P244" s="2220"/>
      <c r="Q244" s="2220"/>
      <c r="R244" s="2220"/>
      <c r="S244" s="2219"/>
      <c r="T244" s="2221"/>
      <c r="U244" s="2220"/>
      <c r="V244" s="2220"/>
      <c r="W244" s="2220"/>
      <c r="X244" s="2220"/>
      <c r="Y244" s="2220"/>
      <c r="BH244" s="1968"/>
      <c r="BI244" s="1421"/>
      <c r="BJ244" s="1421"/>
      <c r="BK244" s="1421"/>
      <c r="BL244" s="1421"/>
      <c r="BM244" s="1421"/>
      <c r="BN244" s="1421"/>
      <c r="BO244" s="1421"/>
      <c r="BP244" s="2136"/>
      <c r="BQ244" s="2134"/>
    </row>
    <row r="245" spans="1:69">
      <c r="A245" s="2219"/>
      <c r="B245" s="2220"/>
      <c r="C245" s="2220"/>
      <c r="D245" s="2219"/>
      <c r="E245" s="2220"/>
      <c r="F245" s="2220"/>
      <c r="G245" s="2220"/>
      <c r="H245" s="2220"/>
      <c r="I245" s="2220"/>
      <c r="J245" s="2220"/>
      <c r="K245" s="2220"/>
      <c r="L245" s="2220"/>
      <c r="M245" s="2220"/>
      <c r="N245" s="2220"/>
      <c r="O245" s="2220"/>
      <c r="P245" s="2220"/>
      <c r="Q245" s="2220"/>
      <c r="R245" s="2220"/>
      <c r="S245" s="2219"/>
      <c r="T245" s="2221"/>
      <c r="U245" s="2220"/>
      <c r="V245" s="2220"/>
      <c r="W245" s="2220"/>
      <c r="X245" s="2220"/>
      <c r="Y245" s="2220"/>
      <c r="BH245" s="1968"/>
      <c r="BI245" s="1421"/>
      <c r="BJ245" s="1421"/>
      <c r="BK245" s="1421"/>
      <c r="BL245" s="1421"/>
      <c r="BM245" s="1421"/>
      <c r="BN245" s="1421"/>
      <c r="BO245" s="1421"/>
      <c r="BP245" s="2136"/>
      <c r="BQ245" s="2134"/>
    </row>
    <row r="246" spans="1:69">
      <c r="A246" s="2219"/>
      <c r="B246" s="2220"/>
      <c r="C246" s="2220"/>
      <c r="D246" s="2219"/>
      <c r="E246" s="2220"/>
      <c r="F246" s="2220"/>
      <c r="G246" s="2220"/>
      <c r="H246" s="2220"/>
      <c r="I246" s="2220"/>
      <c r="J246" s="2220"/>
      <c r="K246" s="2220"/>
      <c r="L246" s="2220"/>
      <c r="M246" s="2220"/>
      <c r="N246" s="2220"/>
      <c r="O246" s="2220"/>
      <c r="P246" s="2220"/>
      <c r="Q246" s="2220"/>
      <c r="R246" s="2220"/>
      <c r="S246" s="2219"/>
      <c r="T246" s="2221"/>
      <c r="U246" s="2220"/>
      <c r="V246" s="2220"/>
      <c r="W246" s="2220"/>
      <c r="X246" s="2220"/>
      <c r="Y246" s="2220"/>
      <c r="BH246" s="1968"/>
      <c r="BI246" s="1421"/>
      <c r="BJ246" s="1421"/>
      <c r="BK246" s="1421"/>
      <c r="BL246" s="1421"/>
      <c r="BM246" s="1421"/>
      <c r="BN246" s="1421"/>
      <c r="BO246" s="1421"/>
      <c r="BP246" s="2131"/>
      <c r="BQ246" s="2134"/>
    </row>
    <row r="247" spans="1:69">
      <c r="A247" s="2219"/>
      <c r="B247" s="2220"/>
      <c r="C247" s="2220"/>
      <c r="D247" s="2219"/>
      <c r="E247" s="2220"/>
      <c r="F247" s="2220"/>
      <c r="G247" s="2220"/>
      <c r="H247" s="2220"/>
      <c r="I247" s="2220"/>
      <c r="J247" s="2220"/>
      <c r="K247" s="2220"/>
      <c r="L247" s="2220"/>
      <c r="M247" s="2220"/>
      <c r="N247" s="2220"/>
      <c r="O247" s="2220"/>
      <c r="P247" s="2220"/>
      <c r="Q247" s="2220"/>
      <c r="R247" s="2220"/>
      <c r="S247" s="2219"/>
      <c r="T247" s="2221"/>
      <c r="U247" s="2220"/>
      <c r="V247" s="2220"/>
      <c r="W247" s="2220"/>
      <c r="X247" s="2220"/>
      <c r="Y247" s="2220"/>
      <c r="BH247" s="1968"/>
      <c r="BI247" s="1421"/>
      <c r="BJ247" s="1421"/>
      <c r="BK247" s="1421"/>
      <c r="BL247" s="1421"/>
      <c r="BM247" s="1421"/>
      <c r="BN247" s="1421"/>
      <c r="BO247" s="1421"/>
      <c r="BP247" s="2131"/>
      <c r="BQ247" s="2132"/>
    </row>
    <row r="248" spans="1:69">
      <c r="A248" s="2219"/>
      <c r="B248" s="2220"/>
      <c r="C248" s="2220"/>
      <c r="D248" s="2219"/>
      <c r="E248" s="2220"/>
      <c r="F248" s="2220"/>
      <c r="G248" s="2220"/>
      <c r="H248" s="2220"/>
      <c r="I248" s="2220"/>
      <c r="J248" s="2220"/>
      <c r="K248" s="2220"/>
      <c r="L248" s="2220"/>
      <c r="M248" s="2220"/>
      <c r="N248" s="2220"/>
      <c r="O248" s="2220"/>
      <c r="P248" s="2220"/>
      <c r="Q248" s="2220"/>
      <c r="R248" s="2220"/>
      <c r="S248" s="2219"/>
      <c r="T248" s="2221"/>
      <c r="U248" s="2220"/>
      <c r="V248" s="2220"/>
      <c r="W248" s="2220"/>
      <c r="X248" s="2220"/>
      <c r="Y248" s="2220"/>
      <c r="BH248" s="1968"/>
      <c r="BI248" s="1421"/>
      <c r="BJ248" s="1421"/>
      <c r="BK248" s="1421"/>
      <c r="BL248" s="1421"/>
      <c r="BM248" s="1421"/>
      <c r="BN248" s="1421"/>
      <c r="BO248" s="1421"/>
      <c r="BP248" s="2133"/>
      <c r="BQ248" s="2134"/>
    </row>
    <row r="249" spans="1:69">
      <c r="A249" s="2219"/>
      <c r="B249" s="2220"/>
      <c r="C249" s="2220"/>
      <c r="D249" s="2219"/>
      <c r="E249" s="2220"/>
      <c r="F249" s="2220"/>
      <c r="G249" s="2220"/>
      <c r="H249" s="2220"/>
      <c r="I249" s="2220"/>
      <c r="J249" s="2220"/>
      <c r="K249" s="2220"/>
      <c r="L249" s="2220"/>
      <c r="M249" s="2220"/>
      <c r="N249" s="2220"/>
      <c r="O249" s="2220"/>
      <c r="P249" s="2220"/>
      <c r="Q249" s="2220"/>
      <c r="R249" s="2220"/>
      <c r="S249" s="2219"/>
      <c r="T249" s="2221"/>
      <c r="U249" s="2220"/>
      <c r="V249" s="2220"/>
      <c r="W249" s="2220"/>
      <c r="X249" s="2220"/>
      <c r="Y249" s="2220"/>
      <c r="BH249" s="1968"/>
      <c r="BI249" s="1421"/>
      <c r="BJ249" s="1421"/>
      <c r="BK249" s="1421"/>
      <c r="BL249" s="1421"/>
      <c r="BM249" s="1421"/>
      <c r="BN249" s="1421"/>
      <c r="BO249" s="1421"/>
      <c r="BP249" s="2136"/>
      <c r="BQ249" s="2132"/>
    </row>
    <row r="250" spans="1:69">
      <c r="A250" s="2219"/>
      <c r="B250" s="2220"/>
      <c r="C250" s="2220"/>
      <c r="D250" s="2219"/>
      <c r="E250" s="2220"/>
      <c r="F250" s="2220"/>
      <c r="G250" s="2220"/>
      <c r="H250" s="2220"/>
      <c r="I250" s="2220"/>
      <c r="J250" s="2220"/>
      <c r="K250" s="2220"/>
      <c r="L250" s="2220"/>
      <c r="M250" s="2220"/>
      <c r="N250" s="2220"/>
      <c r="O250" s="2220"/>
      <c r="P250" s="2220"/>
      <c r="Q250" s="2220"/>
      <c r="R250" s="2220"/>
      <c r="S250" s="2219"/>
      <c r="T250" s="2221"/>
      <c r="U250" s="2220"/>
      <c r="V250" s="2220"/>
      <c r="W250" s="2220"/>
      <c r="X250" s="2220"/>
      <c r="Y250" s="2220"/>
      <c r="BH250" s="1968"/>
      <c r="BI250" s="1421"/>
      <c r="BJ250" s="1421"/>
      <c r="BK250" s="1421"/>
      <c r="BL250" s="1421"/>
      <c r="BM250" s="1421"/>
      <c r="BN250" s="1421"/>
      <c r="BO250" s="1421"/>
      <c r="BP250" s="2131"/>
      <c r="BQ250" s="2132"/>
    </row>
    <row r="251" spans="1:69">
      <c r="A251" s="2219"/>
      <c r="B251" s="2220"/>
      <c r="C251" s="2220"/>
      <c r="D251" s="2219"/>
      <c r="E251" s="2220"/>
      <c r="F251" s="2220"/>
      <c r="G251" s="2220"/>
      <c r="H251" s="2220"/>
      <c r="I251" s="2220"/>
      <c r="J251" s="2220"/>
      <c r="K251" s="2220"/>
      <c r="L251" s="2220"/>
      <c r="M251" s="2220"/>
      <c r="N251" s="2220"/>
      <c r="O251" s="2220"/>
      <c r="P251" s="2220"/>
      <c r="Q251" s="2220"/>
      <c r="R251" s="2220"/>
      <c r="S251" s="2219"/>
      <c r="T251" s="2221"/>
      <c r="U251" s="2220"/>
      <c r="V251" s="2220"/>
      <c r="W251" s="2220"/>
      <c r="X251" s="2220"/>
      <c r="Y251" s="2220"/>
      <c r="BH251" s="1968"/>
      <c r="BI251" s="1421"/>
      <c r="BJ251" s="1421"/>
      <c r="BK251" s="1421"/>
      <c r="BL251" s="1421"/>
      <c r="BM251" s="1421"/>
      <c r="BN251" s="1421"/>
      <c r="BO251" s="1421"/>
      <c r="BP251" s="2131"/>
      <c r="BQ251" s="2132"/>
    </row>
    <row r="252" spans="1:69">
      <c r="A252" s="2219"/>
      <c r="B252" s="2220"/>
      <c r="C252" s="2220"/>
      <c r="D252" s="2219"/>
      <c r="E252" s="2220"/>
      <c r="F252" s="2220"/>
      <c r="G252" s="2220"/>
      <c r="H252" s="2220"/>
      <c r="I252" s="2220"/>
      <c r="J252" s="2220"/>
      <c r="K252" s="2220"/>
      <c r="L252" s="2220"/>
      <c r="M252" s="2220"/>
      <c r="N252" s="2220"/>
      <c r="O252" s="2220"/>
      <c r="P252" s="2220"/>
      <c r="Q252" s="2220"/>
      <c r="R252" s="2220"/>
      <c r="S252" s="2219"/>
      <c r="T252" s="2221"/>
      <c r="U252" s="2220"/>
      <c r="V252" s="2220"/>
      <c r="W252" s="2220"/>
      <c r="X252" s="2220"/>
      <c r="Y252" s="2220"/>
      <c r="BH252" s="1421"/>
      <c r="BI252" s="1421"/>
      <c r="BJ252" s="1421"/>
      <c r="BK252" s="1421"/>
      <c r="BL252" s="1421"/>
      <c r="BM252" s="1421"/>
      <c r="BN252" s="1421"/>
      <c r="BO252" s="1421"/>
      <c r="BP252" s="2131"/>
      <c r="BQ252" s="2132"/>
    </row>
    <row r="253" spans="1:69">
      <c r="A253" s="2219"/>
      <c r="B253" s="2220"/>
      <c r="C253" s="2220"/>
      <c r="D253" s="2219"/>
      <c r="E253" s="2220"/>
      <c r="F253" s="2220"/>
      <c r="G253" s="2220"/>
      <c r="H253" s="2220"/>
      <c r="I253" s="2220"/>
      <c r="J253" s="2220"/>
      <c r="K253" s="2220"/>
      <c r="L253" s="2220"/>
      <c r="M253" s="2220"/>
      <c r="N253" s="2220"/>
      <c r="O253" s="2220"/>
      <c r="P253" s="2220"/>
      <c r="Q253" s="2220"/>
      <c r="R253" s="2220"/>
      <c r="S253" s="2219"/>
      <c r="T253" s="2221"/>
      <c r="U253" s="2220"/>
      <c r="V253" s="2220"/>
      <c r="W253" s="2220"/>
      <c r="X253" s="2220"/>
      <c r="Y253" s="2220"/>
      <c r="BH253" s="1421"/>
      <c r="BI253" s="1421"/>
      <c r="BJ253" s="1421"/>
      <c r="BK253" s="1421"/>
      <c r="BL253" s="1421"/>
      <c r="BM253" s="1421"/>
      <c r="BN253" s="1421"/>
      <c r="BO253" s="1421"/>
      <c r="BP253" s="2135"/>
      <c r="BQ253" s="2132"/>
    </row>
    <row r="254" spans="1:69">
      <c r="A254" s="2219"/>
      <c r="B254" s="2220"/>
      <c r="C254" s="2220"/>
      <c r="D254" s="2219"/>
      <c r="E254" s="2220"/>
      <c r="F254" s="2220"/>
      <c r="G254" s="2220"/>
      <c r="H254" s="2220"/>
      <c r="I254" s="2220"/>
      <c r="J254" s="2220"/>
      <c r="K254" s="2220"/>
      <c r="L254" s="2220"/>
      <c r="M254" s="2220"/>
      <c r="N254" s="2220"/>
      <c r="O254" s="2220"/>
      <c r="P254" s="2220"/>
      <c r="Q254" s="2220"/>
      <c r="R254" s="2220"/>
      <c r="S254" s="2219"/>
      <c r="T254" s="2221"/>
      <c r="U254" s="2220"/>
      <c r="V254" s="2220"/>
      <c r="W254" s="2220"/>
      <c r="X254" s="2220"/>
      <c r="Y254" s="2220"/>
      <c r="BH254" s="1421"/>
      <c r="BI254" s="1421"/>
      <c r="BJ254" s="2137"/>
      <c r="BK254" s="1421"/>
      <c r="BL254" s="1421"/>
      <c r="BM254" s="1421"/>
      <c r="BN254" s="1421"/>
      <c r="BO254" s="1421"/>
      <c r="BP254" s="2136"/>
      <c r="BQ254" s="2132"/>
    </row>
    <row r="255" spans="1:69">
      <c r="A255" s="2219"/>
      <c r="B255" s="2220"/>
      <c r="C255" s="2220"/>
      <c r="D255" s="2219"/>
      <c r="E255" s="2220"/>
      <c r="F255" s="2220"/>
      <c r="G255" s="2220"/>
      <c r="H255" s="2220"/>
      <c r="I255" s="2220"/>
      <c r="J255" s="2220"/>
      <c r="K255" s="2220"/>
      <c r="L255" s="2220"/>
      <c r="M255" s="2220"/>
      <c r="N255" s="2220"/>
      <c r="O255" s="2220"/>
      <c r="P255" s="2220"/>
      <c r="Q255" s="2220"/>
      <c r="R255" s="2220"/>
      <c r="S255" s="2219"/>
      <c r="T255" s="2221"/>
      <c r="U255" s="2220"/>
      <c r="V255" s="2220"/>
      <c r="W255" s="2220"/>
      <c r="X255" s="2220"/>
      <c r="Y255" s="2220"/>
      <c r="BH255" s="1421"/>
      <c r="BI255" s="1421"/>
      <c r="BJ255" s="2137"/>
      <c r="BK255" s="1421"/>
      <c r="BL255" s="1421"/>
      <c r="BM255" s="1421"/>
      <c r="BN255" s="1421"/>
      <c r="BO255" s="1421"/>
      <c r="BP255" s="2131"/>
      <c r="BQ255" s="2132"/>
    </row>
    <row r="256" spans="1:69">
      <c r="A256" s="2219"/>
      <c r="B256" s="2220"/>
      <c r="C256" s="2220"/>
      <c r="D256" s="2219"/>
      <c r="E256" s="2220"/>
      <c r="F256" s="2220"/>
      <c r="G256" s="2220"/>
      <c r="H256" s="2220"/>
      <c r="I256" s="2220"/>
      <c r="J256" s="2220"/>
      <c r="K256" s="2220"/>
      <c r="L256" s="2220"/>
      <c r="M256" s="2220"/>
      <c r="N256" s="2220"/>
      <c r="O256" s="2220"/>
      <c r="P256" s="2220"/>
      <c r="Q256" s="2220"/>
      <c r="R256" s="2220"/>
      <c r="S256" s="2219"/>
      <c r="T256" s="2221"/>
      <c r="U256" s="2220"/>
      <c r="V256" s="2220"/>
      <c r="W256" s="2220"/>
      <c r="X256" s="2220"/>
      <c r="Y256" s="2220"/>
      <c r="BH256" s="1421"/>
      <c r="BI256" s="1421"/>
      <c r="BJ256" s="2137"/>
      <c r="BK256" s="1421"/>
      <c r="BL256" s="1421"/>
      <c r="BM256" s="1421"/>
      <c r="BN256" s="1421"/>
      <c r="BO256" s="1421"/>
      <c r="BP256" s="2131"/>
      <c r="BQ256" s="2132"/>
    </row>
    <row r="257" spans="1:69">
      <c r="A257" s="2219"/>
      <c r="B257" s="2220"/>
      <c r="C257" s="2220"/>
      <c r="D257" s="2219"/>
      <c r="E257" s="2220"/>
      <c r="F257" s="2220"/>
      <c r="G257" s="2220"/>
      <c r="H257" s="2220"/>
      <c r="I257" s="2220"/>
      <c r="J257" s="2220"/>
      <c r="K257" s="2220"/>
      <c r="L257" s="2220"/>
      <c r="M257" s="2220"/>
      <c r="N257" s="2220"/>
      <c r="O257" s="2220"/>
      <c r="P257" s="2220"/>
      <c r="Q257" s="2220"/>
      <c r="R257" s="2220"/>
      <c r="S257" s="2219"/>
      <c r="T257" s="2221"/>
      <c r="U257" s="2220"/>
      <c r="V257" s="2220"/>
      <c r="W257" s="2220"/>
      <c r="X257" s="2220"/>
      <c r="Y257" s="2220"/>
      <c r="BH257" s="1421"/>
      <c r="BI257" s="1421"/>
      <c r="BJ257" s="1967"/>
      <c r="BK257" s="1421"/>
      <c r="BL257" s="1421"/>
      <c r="BM257" s="1421"/>
      <c r="BN257" s="1421"/>
      <c r="BO257" s="1421"/>
      <c r="BP257" s="2131"/>
      <c r="BQ257" s="2132"/>
    </row>
    <row r="258" spans="1:69">
      <c r="A258" s="2219"/>
      <c r="B258" s="2220"/>
      <c r="C258" s="2220"/>
      <c r="D258" s="2219"/>
      <c r="E258" s="2220"/>
      <c r="F258" s="2220"/>
      <c r="G258" s="2220"/>
      <c r="H258" s="2220"/>
      <c r="I258" s="2220"/>
      <c r="J258" s="2220"/>
      <c r="K258" s="2220"/>
      <c r="L258" s="2220"/>
      <c r="M258" s="2220"/>
      <c r="N258" s="2220"/>
      <c r="O258" s="2220"/>
      <c r="P258" s="2220"/>
      <c r="Q258" s="2220"/>
      <c r="R258" s="2220"/>
      <c r="S258" s="2219"/>
      <c r="T258" s="2221"/>
      <c r="U258" s="2220"/>
      <c r="V258" s="2220"/>
      <c r="W258" s="2220"/>
      <c r="X258" s="2220"/>
      <c r="Y258" s="2220"/>
      <c r="BH258" s="1421"/>
      <c r="BI258" s="1421"/>
      <c r="BJ258" s="1967"/>
      <c r="BK258" s="1421"/>
      <c r="BL258" s="1421"/>
      <c r="BM258" s="1421"/>
      <c r="BN258" s="1421"/>
      <c r="BO258" s="1421"/>
      <c r="BP258" s="2131"/>
      <c r="BQ258" s="2132"/>
    </row>
    <row r="259" spans="1:69">
      <c r="A259" s="2219"/>
      <c r="B259" s="2220"/>
      <c r="C259" s="2220"/>
      <c r="D259" s="2219"/>
      <c r="E259" s="2220"/>
      <c r="F259" s="2220"/>
      <c r="G259" s="2220"/>
      <c r="H259" s="2220"/>
      <c r="I259" s="2220"/>
      <c r="J259" s="2220"/>
      <c r="K259" s="2220"/>
      <c r="L259" s="2220"/>
      <c r="M259" s="2220"/>
      <c r="N259" s="2220"/>
      <c r="O259" s="2220"/>
      <c r="P259" s="2220"/>
      <c r="Q259" s="2220"/>
      <c r="R259" s="2220"/>
      <c r="S259" s="2219"/>
      <c r="T259" s="2221"/>
      <c r="U259" s="2220"/>
      <c r="V259" s="2220"/>
      <c r="W259" s="2220"/>
      <c r="X259" s="2220"/>
      <c r="Y259" s="2220"/>
      <c r="BH259" s="1421"/>
      <c r="BI259" s="1421"/>
      <c r="BJ259" s="1967"/>
      <c r="BK259" s="1421"/>
      <c r="BL259" s="1421"/>
      <c r="BM259" s="1421"/>
      <c r="BN259" s="1421"/>
      <c r="BO259" s="1421"/>
      <c r="BP259" s="2131"/>
      <c r="BQ259" s="2132"/>
    </row>
    <row r="260" spans="1:69">
      <c r="A260" s="2219"/>
      <c r="B260" s="2220"/>
      <c r="C260" s="2220"/>
      <c r="D260" s="2219"/>
      <c r="E260" s="2220"/>
      <c r="F260" s="2220"/>
      <c r="G260" s="2220"/>
      <c r="H260" s="2220"/>
      <c r="I260" s="2220"/>
      <c r="J260" s="2220"/>
      <c r="K260" s="2220"/>
      <c r="L260" s="2220"/>
      <c r="M260" s="2220"/>
      <c r="N260" s="2220"/>
      <c r="O260" s="2220"/>
      <c r="P260" s="2220"/>
      <c r="Q260" s="2220"/>
      <c r="R260" s="2220"/>
      <c r="S260" s="2219"/>
      <c r="T260" s="2221"/>
      <c r="U260" s="2220"/>
      <c r="V260" s="2220"/>
      <c r="W260" s="2220"/>
      <c r="X260" s="2220"/>
      <c r="Y260" s="2220"/>
      <c r="BH260" s="1421"/>
      <c r="BI260" s="1421"/>
      <c r="BJ260" s="1967"/>
      <c r="BK260" s="1421"/>
      <c r="BL260" s="1421"/>
      <c r="BM260" s="1421"/>
      <c r="BN260" s="1421"/>
      <c r="BO260" s="1421"/>
      <c r="BP260" s="2133"/>
      <c r="BQ260" s="2134"/>
    </row>
    <row r="261" spans="1:69">
      <c r="A261" s="2219"/>
      <c r="B261" s="2220"/>
      <c r="C261" s="2220"/>
      <c r="D261" s="2219"/>
      <c r="E261" s="2220"/>
      <c r="F261" s="2220"/>
      <c r="G261" s="2220"/>
      <c r="H261" s="2220"/>
      <c r="I261" s="2220"/>
      <c r="J261" s="2220"/>
      <c r="K261" s="2220"/>
      <c r="L261" s="2220"/>
      <c r="M261" s="2220"/>
      <c r="N261" s="2220"/>
      <c r="O261" s="2220"/>
      <c r="P261" s="2220"/>
      <c r="Q261" s="2220"/>
      <c r="R261" s="2220"/>
      <c r="S261" s="2219"/>
      <c r="T261" s="2221"/>
      <c r="U261" s="2220"/>
      <c r="V261" s="2220"/>
      <c r="W261" s="2220"/>
      <c r="X261" s="2220"/>
      <c r="Y261" s="2220"/>
      <c r="BH261" s="1421"/>
      <c r="BI261" s="1421"/>
      <c r="BJ261" s="1967"/>
      <c r="BK261" s="1421"/>
      <c r="BL261" s="1421"/>
      <c r="BM261" s="1421"/>
      <c r="BN261" s="1421"/>
      <c r="BO261" s="1421"/>
      <c r="BP261" s="2133"/>
      <c r="BQ261" s="2132"/>
    </row>
    <row r="262" spans="1:69">
      <c r="A262" s="2219"/>
      <c r="B262" s="2220"/>
      <c r="C262" s="2220"/>
      <c r="D262" s="2219"/>
      <c r="E262" s="2220"/>
      <c r="F262" s="2220"/>
      <c r="G262" s="2220"/>
      <c r="H262" s="2220"/>
      <c r="I262" s="2220"/>
      <c r="J262" s="2220"/>
      <c r="K262" s="2220"/>
      <c r="L262" s="2220"/>
      <c r="M262" s="2220"/>
      <c r="N262" s="2220"/>
      <c r="O262" s="2220"/>
      <c r="P262" s="2220"/>
      <c r="Q262" s="2220"/>
      <c r="R262" s="2220"/>
      <c r="S262" s="2219"/>
      <c r="T262" s="2221"/>
      <c r="U262" s="2220"/>
      <c r="V262" s="2220"/>
      <c r="W262" s="2220"/>
      <c r="X262" s="2220"/>
      <c r="Y262" s="2220"/>
      <c r="BH262" s="1421"/>
      <c r="BI262" s="1421"/>
      <c r="BJ262" s="1967"/>
      <c r="BK262" s="1421"/>
      <c r="BL262" s="1421"/>
      <c r="BM262" s="1421"/>
      <c r="BN262" s="1421"/>
      <c r="BO262" s="1421"/>
      <c r="BP262" s="2133"/>
      <c r="BQ262" s="2132"/>
    </row>
    <row r="263" spans="1:69">
      <c r="A263" s="2219"/>
      <c r="B263" s="2220"/>
      <c r="C263" s="2220"/>
      <c r="D263" s="2219"/>
      <c r="E263" s="2220"/>
      <c r="F263" s="2220"/>
      <c r="G263" s="2220"/>
      <c r="H263" s="2220"/>
      <c r="I263" s="2220"/>
      <c r="J263" s="2220"/>
      <c r="K263" s="2220"/>
      <c r="L263" s="2220"/>
      <c r="M263" s="2220"/>
      <c r="N263" s="2220"/>
      <c r="O263" s="2220"/>
      <c r="P263" s="2220"/>
      <c r="Q263" s="2220"/>
      <c r="R263" s="2220"/>
      <c r="S263" s="2219"/>
      <c r="T263" s="2221"/>
      <c r="U263" s="2220"/>
      <c r="V263" s="2220"/>
      <c r="W263" s="2220"/>
      <c r="X263" s="2220"/>
      <c r="Y263" s="2220"/>
      <c r="BH263" s="1421"/>
      <c r="BI263" s="1421"/>
      <c r="BJ263" s="1967"/>
      <c r="BK263" s="1421"/>
      <c r="BL263" s="1421"/>
      <c r="BM263" s="1421"/>
      <c r="BN263" s="1421"/>
      <c r="BO263" s="1421"/>
      <c r="BP263" s="2131"/>
      <c r="BQ263" s="2132"/>
    </row>
    <row r="264" spans="1:69">
      <c r="A264" s="2219"/>
      <c r="B264" s="2220"/>
      <c r="C264" s="2220"/>
      <c r="D264" s="2219"/>
      <c r="E264" s="2220"/>
      <c r="F264" s="2220"/>
      <c r="G264" s="2220"/>
      <c r="H264" s="2220"/>
      <c r="I264" s="2220"/>
      <c r="J264" s="2220"/>
      <c r="K264" s="2220"/>
      <c r="L264" s="2220"/>
      <c r="M264" s="2220"/>
      <c r="N264" s="2220"/>
      <c r="O264" s="2220"/>
      <c r="P264" s="2220"/>
      <c r="Q264" s="2220"/>
      <c r="R264" s="2220"/>
      <c r="S264" s="2219"/>
      <c r="T264" s="2221"/>
      <c r="U264" s="2220"/>
      <c r="V264" s="2220"/>
      <c r="W264" s="2220"/>
      <c r="X264" s="2220"/>
      <c r="Y264" s="2220"/>
      <c r="BH264" s="1421"/>
      <c r="BI264" s="1421"/>
      <c r="BJ264" s="1967"/>
      <c r="BK264" s="1421"/>
      <c r="BL264" s="1421"/>
      <c r="BM264" s="1421"/>
      <c r="BN264" s="1421"/>
      <c r="BO264" s="1421"/>
      <c r="BP264" s="2131"/>
      <c r="BQ264" s="2132"/>
    </row>
    <row r="265" spans="1:69">
      <c r="A265" s="2219"/>
      <c r="B265" s="2220"/>
      <c r="C265" s="2220"/>
      <c r="D265" s="2219"/>
      <c r="E265" s="2220"/>
      <c r="F265" s="2220"/>
      <c r="G265" s="2220"/>
      <c r="H265" s="2220"/>
      <c r="I265" s="2220"/>
      <c r="J265" s="2220"/>
      <c r="K265" s="2220"/>
      <c r="L265" s="2220"/>
      <c r="M265" s="2220"/>
      <c r="N265" s="2220"/>
      <c r="O265" s="2220"/>
      <c r="P265" s="2220"/>
      <c r="Q265" s="2220"/>
      <c r="R265" s="2220"/>
      <c r="S265" s="2219"/>
      <c r="T265" s="2221"/>
      <c r="U265" s="2220"/>
      <c r="V265" s="2220"/>
      <c r="W265" s="2220"/>
      <c r="X265" s="2220"/>
      <c r="Y265" s="2220"/>
      <c r="BH265" s="1421"/>
      <c r="BI265" s="1421"/>
      <c r="BJ265" s="1967"/>
      <c r="BK265" s="1421"/>
      <c r="BL265" s="1421"/>
      <c r="BM265" s="1421"/>
      <c r="BN265" s="1421"/>
      <c r="BO265" s="1421"/>
      <c r="BP265" s="2133"/>
      <c r="BQ265" s="2134"/>
    </row>
    <row r="266" spans="1:69">
      <c r="A266" s="2219"/>
      <c r="B266" s="2220"/>
      <c r="C266" s="2220"/>
      <c r="D266" s="2219"/>
      <c r="E266" s="2220"/>
      <c r="F266" s="2220"/>
      <c r="G266" s="2220"/>
      <c r="H266" s="2220"/>
      <c r="I266" s="2220"/>
      <c r="J266" s="2220"/>
      <c r="K266" s="2220"/>
      <c r="L266" s="2220"/>
      <c r="M266" s="2220"/>
      <c r="N266" s="2220"/>
      <c r="O266" s="2220"/>
      <c r="P266" s="2220"/>
      <c r="Q266" s="2220"/>
      <c r="R266" s="2220"/>
      <c r="S266" s="2219"/>
      <c r="T266" s="2221"/>
      <c r="U266" s="2220"/>
      <c r="V266" s="2220"/>
      <c r="W266" s="2220"/>
      <c r="X266" s="2220"/>
      <c r="Y266" s="2220"/>
      <c r="BH266" s="1421"/>
      <c r="BI266" s="1421"/>
      <c r="BJ266" s="1967"/>
      <c r="BK266" s="1421"/>
      <c r="BL266" s="1421"/>
      <c r="BM266" s="1421"/>
      <c r="BN266" s="1421"/>
      <c r="BO266" s="1421"/>
      <c r="BP266" s="2133"/>
      <c r="BQ266" s="2134"/>
    </row>
    <row r="267" spans="1:69">
      <c r="A267" s="2219"/>
      <c r="B267" s="2220"/>
      <c r="C267" s="2220"/>
      <c r="D267" s="2219"/>
      <c r="E267" s="2220"/>
      <c r="F267" s="2220"/>
      <c r="G267" s="2220"/>
      <c r="H267" s="2220"/>
      <c r="I267" s="2220"/>
      <c r="J267" s="2220"/>
      <c r="K267" s="2220"/>
      <c r="L267" s="2220"/>
      <c r="M267" s="2220"/>
      <c r="N267" s="2220"/>
      <c r="O267" s="2220"/>
      <c r="P267" s="2220"/>
      <c r="Q267" s="2220"/>
      <c r="R267" s="2220"/>
      <c r="S267" s="2219"/>
      <c r="T267" s="2221"/>
      <c r="U267" s="2220"/>
      <c r="V267" s="2220"/>
      <c r="W267" s="2220"/>
      <c r="X267" s="2220"/>
      <c r="Y267" s="2220"/>
      <c r="BH267" s="1421"/>
      <c r="BI267" s="1421"/>
      <c r="BJ267" s="1967"/>
      <c r="BK267" s="1421"/>
      <c r="BL267" s="1421"/>
      <c r="BM267" s="1421"/>
      <c r="BN267" s="1421"/>
      <c r="BO267" s="1421"/>
      <c r="BP267" s="2131"/>
      <c r="BQ267" s="2132"/>
    </row>
    <row r="268" spans="1:69">
      <c r="A268" s="2219"/>
      <c r="B268" s="2220"/>
      <c r="C268" s="2220"/>
      <c r="D268" s="2219"/>
      <c r="E268" s="2220"/>
      <c r="F268" s="2220"/>
      <c r="G268" s="2220"/>
      <c r="H268" s="2220"/>
      <c r="I268" s="2220"/>
      <c r="J268" s="2220"/>
      <c r="K268" s="2220"/>
      <c r="L268" s="2220"/>
      <c r="M268" s="2220"/>
      <c r="N268" s="2220"/>
      <c r="O268" s="2220"/>
      <c r="P268" s="2220"/>
      <c r="Q268" s="2220"/>
      <c r="R268" s="2220"/>
      <c r="S268" s="2219"/>
      <c r="T268" s="2221"/>
      <c r="U268" s="2220"/>
      <c r="V268" s="2220"/>
      <c r="W268" s="2220"/>
      <c r="X268" s="2220"/>
      <c r="Y268" s="2220"/>
      <c r="BH268" s="1421"/>
      <c r="BI268" s="1421"/>
      <c r="BJ268" s="1967"/>
      <c r="BK268" s="1421"/>
      <c r="BL268" s="1421"/>
      <c r="BM268" s="1421"/>
      <c r="BN268" s="1421"/>
      <c r="BO268" s="1421"/>
      <c r="BP268" s="2131"/>
      <c r="BQ268" s="2134"/>
    </row>
    <row r="269" spans="1:69">
      <c r="A269" s="2219"/>
      <c r="B269" s="2220"/>
      <c r="C269" s="2220"/>
      <c r="D269" s="2219"/>
      <c r="E269" s="2220"/>
      <c r="F269" s="2220"/>
      <c r="G269" s="2220"/>
      <c r="H269" s="2220"/>
      <c r="I269" s="2220"/>
      <c r="J269" s="2220"/>
      <c r="K269" s="2220"/>
      <c r="L269" s="2220"/>
      <c r="M269" s="2220"/>
      <c r="N269" s="2220"/>
      <c r="O269" s="2220"/>
      <c r="P269" s="2220"/>
      <c r="Q269" s="2220"/>
      <c r="R269" s="2220"/>
      <c r="S269" s="2219"/>
      <c r="T269" s="2221"/>
      <c r="U269" s="2220"/>
      <c r="V269" s="2220"/>
      <c r="W269" s="2220"/>
      <c r="X269" s="2220"/>
      <c r="Y269" s="2220"/>
      <c r="BH269" s="1421"/>
      <c r="BI269" s="1421"/>
      <c r="BJ269" s="1967"/>
      <c r="BK269" s="1421"/>
      <c r="BL269" s="1421"/>
      <c r="BM269" s="1421"/>
      <c r="BN269" s="1421"/>
      <c r="BO269" s="1421"/>
      <c r="BP269" s="2131"/>
      <c r="BQ269" s="2132"/>
    </row>
    <row r="270" spans="1:69">
      <c r="A270" s="2219"/>
      <c r="B270" s="2220"/>
      <c r="C270" s="2220"/>
      <c r="D270" s="2219"/>
      <c r="E270" s="2220"/>
      <c r="F270" s="2220"/>
      <c r="G270" s="2220"/>
      <c r="H270" s="2220"/>
      <c r="I270" s="2220"/>
      <c r="J270" s="2220"/>
      <c r="K270" s="2220"/>
      <c r="L270" s="2220"/>
      <c r="M270" s="2220"/>
      <c r="N270" s="2220"/>
      <c r="O270" s="2220"/>
      <c r="P270" s="2220"/>
      <c r="Q270" s="2220"/>
      <c r="R270" s="2220"/>
      <c r="S270" s="2219"/>
      <c r="T270" s="2221"/>
      <c r="U270" s="2220"/>
      <c r="V270" s="2220"/>
      <c r="W270" s="2220"/>
      <c r="X270" s="2220"/>
      <c r="Y270" s="2220"/>
      <c r="BH270" s="1421"/>
      <c r="BI270" s="1421"/>
      <c r="BJ270" s="1967"/>
      <c r="BK270" s="1421"/>
      <c r="BL270" s="1421"/>
      <c r="BM270" s="1421"/>
      <c r="BN270" s="1421"/>
      <c r="BO270" s="1421"/>
      <c r="BP270" s="2131"/>
      <c r="BQ270" s="2134"/>
    </row>
    <row r="271" spans="1:69">
      <c r="A271" s="2219"/>
      <c r="B271" s="2220"/>
      <c r="C271" s="2220"/>
      <c r="D271" s="2219"/>
      <c r="E271" s="2220"/>
      <c r="F271" s="2220"/>
      <c r="G271" s="2220"/>
      <c r="H271" s="2220"/>
      <c r="I271" s="2220"/>
      <c r="J271" s="2220"/>
      <c r="K271" s="2220"/>
      <c r="L271" s="2220"/>
      <c r="M271" s="2220"/>
      <c r="N271" s="2220"/>
      <c r="O271" s="2220"/>
      <c r="P271" s="2220"/>
      <c r="Q271" s="2220"/>
      <c r="R271" s="2220"/>
      <c r="S271" s="2219"/>
      <c r="T271" s="2221"/>
      <c r="U271" s="2220"/>
      <c r="V271" s="2220"/>
      <c r="W271" s="2220"/>
      <c r="X271" s="2220"/>
      <c r="Y271" s="2220"/>
      <c r="BH271" s="1421"/>
      <c r="BI271" s="1421"/>
      <c r="BJ271" s="1967"/>
      <c r="BK271" s="1421"/>
      <c r="BL271" s="1421"/>
      <c r="BM271" s="1421"/>
      <c r="BN271" s="1421"/>
      <c r="BO271" s="1421"/>
      <c r="BP271" s="2131"/>
      <c r="BQ271" s="2132"/>
    </row>
    <row r="272" spans="1:69">
      <c r="A272" s="2219"/>
      <c r="B272" s="2220"/>
      <c r="C272" s="2220"/>
      <c r="D272" s="2219"/>
      <c r="E272" s="2220"/>
      <c r="F272" s="2220"/>
      <c r="G272" s="2220"/>
      <c r="H272" s="2220"/>
      <c r="I272" s="2220"/>
      <c r="J272" s="2220"/>
      <c r="K272" s="2220"/>
      <c r="L272" s="2220"/>
      <c r="M272" s="2220"/>
      <c r="N272" s="2220"/>
      <c r="O272" s="2220"/>
      <c r="P272" s="2220"/>
      <c r="Q272" s="2220"/>
      <c r="R272" s="2220"/>
      <c r="S272" s="2219"/>
      <c r="T272" s="2221"/>
      <c r="U272" s="2220"/>
      <c r="V272" s="2220"/>
      <c r="W272" s="2220"/>
      <c r="X272" s="2220"/>
      <c r="Y272" s="2220"/>
      <c r="BH272" s="1421"/>
      <c r="BI272" s="1421"/>
      <c r="BJ272" s="1967"/>
      <c r="BK272" s="1421"/>
      <c r="BL272" s="1421"/>
      <c r="BM272" s="1421"/>
      <c r="BN272" s="1421"/>
      <c r="BO272" s="1421"/>
      <c r="BP272" s="2131"/>
      <c r="BQ272" s="2132"/>
    </row>
    <row r="273" spans="1:69">
      <c r="A273" s="2219"/>
      <c r="B273" s="2220"/>
      <c r="C273" s="2220"/>
      <c r="D273" s="2219"/>
      <c r="E273" s="2220"/>
      <c r="F273" s="2220"/>
      <c r="G273" s="2220"/>
      <c r="H273" s="2220"/>
      <c r="I273" s="2220"/>
      <c r="J273" s="2220"/>
      <c r="K273" s="2220"/>
      <c r="L273" s="2220"/>
      <c r="M273" s="2220"/>
      <c r="N273" s="2220"/>
      <c r="O273" s="2220"/>
      <c r="P273" s="2220"/>
      <c r="Q273" s="2220"/>
      <c r="R273" s="2220"/>
      <c r="S273" s="2219"/>
      <c r="T273" s="2221"/>
      <c r="U273" s="2220"/>
      <c r="V273" s="2220"/>
      <c r="W273" s="2220"/>
      <c r="X273" s="2220"/>
      <c r="Y273" s="2220"/>
      <c r="BH273" s="1421"/>
      <c r="BI273" s="1421"/>
      <c r="BJ273" s="1967"/>
      <c r="BK273" s="1421"/>
      <c r="BL273" s="1421"/>
      <c r="BM273" s="1421"/>
      <c r="BN273" s="1421"/>
      <c r="BO273" s="1421"/>
      <c r="BP273" s="2131"/>
      <c r="BQ273" s="2134"/>
    </row>
    <row r="274" spans="1:69">
      <c r="A274" s="2219"/>
      <c r="B274" s="2220"/>
      <c r="C274" s="2220"/>
      <c r="D274" s="2219"/>
      <c r="E274" s="2220"/>
      <c r="F274" s="2220"/>
      <c r="G274" s="2220"/>
      <c r="H274" s="2220"/>
      <c r="I274" s="2220"/>
      <c r="J274" s="2220"/>
      <c r="K274" s="2220"/>
      <c r="L274" s="2220"/>
      <c r="M274" s="2220"/>
      <c r="N274" s="2220"/>
      <c r="O274" s="2220"/>
      <c r="P274" s="2220"/>
      <c r="Q274" s="2220"/>
      <c r="R274" s="2220"/>
      <c r="S274" s="2219"/>
      <c r="T274" s="2221"/>
      <c r="U274" s="2220"/>
      <c r="V274" s="2220"/>
      <c r="W274" s="2220"/>
      <c r="X274" s="2220"/>
      <c r="Y274" s="2220"/>
      <c r="BH274" s="1421"/>
      <c r="BI274" s="1421"/>
      <c r="BJ274" s="1967"/>
      <c r="BK274" s="1421"/>
      <c r="BL274" s="1421"/>
      <c r="BM274" s="1421"/>
      <c r="BN274" s="1421"/>
      <c r="BO274" s="1421"/>
      <c r="BP274" s="2131"/>
      <c r="BQ274" s="2132"/>
    </row>
    <row r="275" spans="1:69">
      <c r="A275" s="2219"/>
      <c r="B275" s="2220"/>
      <c r="C275" s="2220"/>
      <c r="D275" s="2219"/>
      <c r="E275" s="2220"/>
      <c r="F275" s="2220"/>
      <c r="G275" s="2220"/>
      <c r="H275" s="2220"/>
      <c r="I275" s="2220"/>
      <c r="J275" s="2220"/>
      <c r="K275" s="2220"/>
      <c r="L275" s="2220"/>
      <c r="M275" s="2220"/>
      <c r="N275" s="2220"/>
      <c r="O275" s="2220"/>
      <c r="P275" s="2220"/>
      <c r="Q275" s="2220"/>
      <c r="R275" s="2220"/>
      <c r="S275" s="2219"/>
      <c r="T275" s="2221"/>
      <c r="U275" s="2220"/>
      <c r="V275" s="2220"/>
      <c r="W275" s="2220"/>
      <c r="X275" s="2220"/>
      <c r="Y275" s="2220"/>
      <c r="BH275" s="1421"/>
      <c r="BI275" s="1421"/>
      <c r="BJ275" s="1967"/>
      <c r="BK275" s="1421"/>
      <c r="BL275" s="1421"/>
      <c r="BM275" s="1421"/>
      <c r="BN275" s="1421"/>
      <c r="BO275" s="1421"/>
      <c r="BP275" s="2133"/>
      <c r="BQ275" s="2134"/>
    </row>
    <row r="276" spans="1:69">
      <c r="A276" s="2219"/>
      <c r="B276" s="2220"/>
      <c r="C276" s="2220"/>
      <c r="D276" s="2219"/>
      <c r="E276" s="2220"/>
      <c r="F276" s="2220"/>
      <c r="G276" s="2220"/>
      <c r="H276" s="2220"/>
      <c r="I276" s="2220"/>
      <c r="J276" s="2220"/>
      <c r="K276" s="2220"/>
      <c r="L276" s="2220"/>
      <c r="M276" s="2220"/>
      <c r="N276" s="2220"/>
      <c r="O276" s="2220"/>
      <c r="P276" s="2220"/>
      <c r="Q276" s="2220"/>
      <c r="R276" s="2220"/>
      <c r="S276" s="2219"/>
      <c r="T276" s="2221"/>
      <c r="U276" s="2220"/>
      <c r="V276" s="2220"/>
      <c r="W276" s="2220"/>
      <c r="X276" s="2220"/>
      <c r="Y276" s="2220"/>
      <c r="BH276" s="1421"/>
      <c r="BI276" s="1421"/>
      <c r="BJ276" s="1967"/>
      <c r="BK276" s="1421"/>
      <c r="BL276" s="1421"/>
      <c r="BM276" s="1421"/>
      <c r="BN276" s="1421"/>
      <c r="BO276" s="1421"/>
      <c r="BP276" s="2133"/>
      <c r="BQ276" s="2134"/>
    </row>
    <row r="277" spans="1:69">
      <c r="A277" s="2219"/>
      <c r="B277" s="2220"/>
      <c r="C277" s="2220"/>
      <c r="D277" s="2219"/>
      <c r="E277" s="2220"/>
      <c r="F277" s="2220"/>
      <c r="G277" s="2220"/>
      <c r="H277" s="2220"/>
      <c r="I277" s="2220"/>
      <c r="J277" s="2220"/>
      <c r="K277" s="2220"/>
      <c r="L277" s="2220"/>
      <c r="M277" s="2220"/>
      <c r="N277" s="2220"/>
      <c r="O277" s="2220"/>
      <c r="P277" s="2220"/>
      <c r="Q277" s="2220"/>
      <c r="R277" s="2220"/>
      <c r="S277" s="2219"/>
      <c r="T277" s="2221"/>
      <c r="U277" s="2220"/>
      <c r="V277" s="2220"/>
      <c r="W277" s="2220"/>
      <c r="X277" s="2220"/>
      <c r="Y277" s="2220"/>
      <c r="BH277" s="1421"/>
      <c r="BI277" s="1421"/>
      <c r="BJ277" s="1967"/>
      <c r="BK277" s="1421"/>
      <c r="BL277" s="1421"/>
      <c r="BM277" s="1421"/>
      <c r="BN277" s="1421"/>
      <c r="BO277" s="1421"/>
      <c r="BP277" s="2133"/>
      <c r="BQ277" s="2134"/>
    </row>
    <row r="278" spans="1:69">
      <c r="A278" s="2219"/>
      <c r="B278" s="2220"/>
      <c r="C278" s="2220"/>
      <c r="D278" s="2219"/>
      <c r="E278" s="2220"/>
      <c r="F278" s="2220"/>
      <c r="G278" s="2220"/>
      <c r="H278" s="2220"/>
      <c r="I278" s="2220"/>
      <c r="J278" s="2220"/>
      <c r="K278" s="2220"/>
      <c r="L278" s="2220"/>
      <c r="M278" s="2220"/>
      <c r="N278" s="2220"/>
      <c r="O278" s="2220"/>
      <c r="P278" s="2220"/>
      <c r="Q278" s="2220"/>
      <c r="R278" s="2220"/>
      <c r="S278" s="2219"/>
      <c r="T278" s="2221"/>
      <c r="U278" s="2220"/>
      <c r="V278" s="2220"/>
      <c r="W278" s="2220"/>
      <c r="X278" s="2220"/>
      <c r="Y278" s="2220"/>
      <c r="BH278" s="1421"/>
      <c r="BI278" s="1421"/>
      <c r="BJ278" s="1967"/>
      <c r="BK278" s="1421"/>
      <c r="BL278" s="1421"/>
      <c r="BM278" s="1421"/>
      <c r="BN278" s="1421"/>
      <c r="BO278" s="1421"/>
      <c r="BP278" s="2131"/>
      <c r="BQ278" s="2132"/>
    </row>
    <row r="279" spans="1:69">
      <c r="A279" s="2219"/>
      <c r="B279" s="2220"/>
      <c r="C279" s="2220"/>
      <c r="D279" s="2219"/>
      <c r="E279" s="2220"/>
      <c r="F279" s="2220"/>
      <c r="G279" s="2220"/>
      <c r="H279" s="2220"/>
      <c r="I279" s="2220"/>
      <c r="J279" s="2220"/>
      <c r="K279" s="2220"/>
      <c r="L279" s="2220"/>
      <c r="M279" s="2220"/>
      <c r="N279" s="2220"/>
      <c r="O279" s="2220"/>
      <c r="P279" s="2220"/>
      <c r="Q279" s="2220"/>
      <c r="R279" s="2220"/>
      <c r="S279" s="2219"/>
      <c r="T279" s="2221"/>
      <c r="U279" s="2220"/>
      <c r="V279" s="2220"/>
      <c r="W279" s="2220"/>
      <c r="X279" s="2220"/>
      <c r="Y279" s="2220"/>
      <c r="BH279" s="1421"/>
      <c r="BI279" s="1421"/>
      <c r="BJ279" s="1967"/>
      <c r="BK279" s="1421"/>
      <c r="BL279" s="1421"/>
      <c r="BM279" s="1421"/>
      <c r="BN279" s="1421"/>
      <c r="BO279" s="1421"/>
      <c r="BP279" s="2133"/>
      <c r="BQ279" s="2134"/>
    </row>
    <row r="280" spans="1:69">
      <c r="A280" s="2219"/>
      <c r="B280" s="2220"/>
      <c r="C280" s="2220"/>
      <c r="D280" s="2219"/>
      <c r="E280" s="2220"/>
      <c r="F280" s="2220"/>
      <c r="G280" s="2220"/>
      <c r="H280" s="2220"/>
      <c r="I280" s="2220"/>
      <c r="J280" s="2220"/>
      <c r="K280" s="2220"/>
      <c r="L280" s="2220"/>
      <c r="M280" s="2220"/>
      <c r="N280" s="2220"/>
      <c r="O280" s="2220"/>
      <c r="P280" s="2220"/>
      <c r="Q280" s="2220"/>
      <c r="R280" s="2220"/>
      <c r="S280" s="2219"/>
      <c r="T280" s="2221"/>
      <c r="U280" s="2220"/>
      <c r="V280" s="2220"/>
      <c r="W280" s="2220"/>
      <c r="X280" s="2220"/>
      <c r="Y280" s="2220"/>
      <c r="BH280" s="1421"/>
      <c r="BI280" s="1421"/>
      <c r="BJ280" s="1967"/>
      <c r="BK280" s="1421"/>
      <c r="BL280" s="1421"/>
      <c r="BM280" s="1421"/>
      <c r="BN280" s="1421"/>
      <c r="BO280" s="1421"/>
      <c r="BP280" s="2133"/>
      <c r="BQ280" s="2138"/>
    </row>
    <row r="281" spans="1:69">
      <c r="A281" s="2219"/>
      <c r="B281" s="2220"/>
      <c r="C281" s="2220"/>
      <c r="D281" s="2219"/>
      <c r="E281" s="2220"/>
      <c r="F281" s="2220"/>
      <c r="G281" s="2220"/>
      <c r="H281" s="2220"/>
      <c r="I281" s="2220"/>
      <c r="J281" s="2220"/>
      <c r="K281" s="2220"/>
      <c r="L281" s="2220"/>
      <c r="M281" s="2220"/>
      <c r="N281" s="2220"/>
      <c r="O281" s="2220"/>
      <c r="P281" s="2220"/>
      <c r="Q281" s="2220"/>
      <c r="R281" s="2220"/>
      <c r="S281" s="2219"/>
      <c r="T281" s="2221"/>
      <c r="U281" s="2220"/>
      <c r="V281" s="2220"/>
      <c r="W281" s="2220"/>
      <c r="X281" s="2220"/>
      <c r="Y281" s="2220"/>
      <c r="BH281" s="1421"/>
      <c r="BI281" s="1421"/>
      <c r="BJ281" s="1967"/>
      <c r="BK281" s="1421"/>
      <c r="BL281" s="1421"/>
      <c r="BM281" s="1421"/>
      <c r="BN281" s="1421"/>
      <c r="BO281" s="1421"/>
      <c r="BP281" s="2133"/>
      <c r="BQ281" s="2138"/>
    </row>
    <row r="282" spans="1:69">
      <c r="A282" s="2219"/>
      <c r="B282" s="2220"/>
      <c r="C282" s="2220"/>
      <c r="D282" s="2219"/>
      <c r="E282" s="2220"/>
      <c r="F282" s="2220"/>
      <c r="G282" s="2220"/>
      <c r="H282" s="2220"/>
      <c r="I282" s="2220"/>
      <c r="J282" s="2220"/>
      <c r="K282" s="2220"/>
      <c r="L282" s="2220"/>
      <c r="M282" s="2220"/>
      <c r="N282" s="2220"/>
      <c r="O282" s="2220"/>
      <c r="P282" s="2220"/>
      <c r="Q282" s="2220"/>
      <c r="R282" s="2220"/>
      <c r="S282" s="2219"/>
      <c r="T282" s="2221"/>
      <c r="U282" s="2220"/>
      <c r="V282" s="2220"/>
      <c r="W282" s="2220"/>
      <c r="X282" s="2220"/>
      <c r="Y282" s="2220"/>
      <c r="BH282" s="1421"/>
      <c r="BI282" s="1421"/>
      <c r="BJ282" s="1967"/>
      <c r="BK282" s="1421"/>
      <c r="BL282" s="1421"/>
      <c r="BM282" s="1421"/>
      <c r="BN282" s="1421"/>
      <c r="BO282" s="1421"/>
      <c r="BP282" s="2131"/>
      <c r="BQ282" s="2132"/>
    </row>
    <row r="283" spans="1:69">
      <c r="A283" s="2219"/>
      <c r="B283" s="2220"/>
      <c r="C283" s="2220"/>
      <c r="D283" s="2219"/>
      <c r="E283" s="2220"/>
      <c r="F283" s="2220"/>
      <c r="G283" s="2220"/>
      <c r="H283" s="2220"/>
      <c r="I283" s="2220"/>
      <c r="J283" s="2220"/>
      <c r="K283" s="2220"/>
      <c r="L283" s="2220"/>
      <c r="M283" s="2220"/>
      <c r="N283" s="2220"/>
      <c r="O283" s="2220"/>
      <c r="P283" s="2220"/>
      <c r="Q283" s="2220"/>
      <c r="R283" s="2220"/>
      <c r="S283" s="2219"/>
      <c r="T283" s="2221"/>
      <c r="U283" s="2220"/>
      <c r="V283" s="2220"/>
      <c r="W283" s="2220"/>
      <c r="X283" s="2220"/>
      <c r="Y283" s="2220"/>
      <c r="BH283" s="1421"/>
      <c r="BI283" s="1421"/>
      <c r="BJ283" s="1967"/>
      <c r="BK283" s="1421"/>
      <c r="BL283" s="1421"/>
      <c r="BM283" s="1421"/>
      <c r="BN283" s="1421"/>
      <c r="BO283" s="1421"/>
      <c r="BP283" s="2131"/>
      <c r="BQ283" s="2132"/>
    </row>
    <row r="284" spans="1:69">
      <c r="A284" s="2219"/>
      <c r="B284" s="2220"/>
      <c r="C284" s="2220"/>
      <c r="D284" s="2219"/>
      <c r="E284" s="2220"/>
      <c r="F284" s="2220"/>
      <c r="G284" s="2220"/>
      <c r="H284" s="2220"/>
      <c r="I284" s="2220"/>
      <c r="J284" s="2220"/>
      <c r="K284" s="2220"/>
      <c r="L284" s="2220"/>
      <c r="M284" s="2220"/>
      <c r="N284" s="2220"/>
      <c r="O284" s="2220"/>
      <c r="P284" s="2220"/>
      <c r="Q284" s="2220"/>
      <c r="R284" s="2220"/>
      <c r="S284" s="2219"/>
      <c r="T284" s="2221"/>
      <c r="U284" s="2220"/>
      <c r="V284" s="2220"/>
      <c r="W284" s="2220"/>
      <c r="X284" s="2220"/>
      <c r="Y284" s="2220"/>
      <c r="BH284" s="1421"/>
      <c r="BI284" s="1421"/>
      <c r="BJ284" s="1967"/>
      <c r="BK284" s="1421"/>
      <c r="BL284" s="1421"/>
      <c r="BM284" s="1421"/>
      <c r="BN284" s="1421"/>
      <c r="BO284" s="1421"/>
      <c r="BP284" s="2133"/>
      <c r="BQ284" s="2134"/>
    </row>
    <row r="285" spans="1:69">
      <c r="A285" s="2219"/>
      <c r="B285" s="2220"/>
      <c r="C285" s="2220"/>
      <c r="D285" s="2219"/>
      <c r="E285" s="2220"/>
      <c r="F285" s="2220"/>
      <c r="G285" s="2220"/>
      <c r="H285" s="2220"/>
      <c r="I285" s="2220"/>
      <c r="J285" s="2220"/>
      <c r="K285" s="2220"/>
      <c r="L285" s="2220"/>
      <c r="M285" s="2220"/>
      <c r="N285" s="2220"/>
      <c r="O285" s="2220"/>
      <c r="P285" s="2220"/>
      <c r="Q285" s="2220"/>
      <c r="R285" s="2220"/>
      <c r="S285" s="2219"/>
      <c r="T285" s="2221"/>
      <c r="U285" s="2220"/>
      <c r="V285" s="2220"/>
      <c r="W285" s="2220"/>
      <c r="X285" s="2220"/>
      <c r="Y285" s="2220"/>
      <c r="BH285" s="1421"/>
      <c r="BI285" s="1421"/>
      <c r="BJ285" s="1967"/>
      <c r="BK285" s="1421"/>
      <c r="BL285" s="1421"/>
      <c r="BM285" s="1421"/>
      <c r="BN285" s="1421"/>
      <c r="BO285" s="1421"/>
      <c r="BP285" s="2131"/>
      <c r="BQ285" s="2132"/>
    </row>
    <row r="286" spans="1:69">
      <c r="A286" s="2219"/>
      <c r="B286" s="2220"/>
      <c r="C286" s="2220"/>
      <c r="D286" s="2219"/>
      <c r="E286" s="2220"/>
      <c r="F286" s="2220"/>
      <c r="G286" s="2220"/>
      <c r="H286" s="2220"/>
      <c r="I286" s="2220"/>
      <c r="J286" s="2220"/>
      <c r="K286" s="2220"/>
      <c r="L286" s="2220"/>
      <c r="M286" s="2220"/>
      <c r="N286" s="2220"/>
      <c r="O286" s="2220"/>
      <c r="P286" s="2220"/>
      <c r="Q286" s="2220"/>
      <c r="R286" s="2220"/>
      <c r="S286" s="2219"/>
      <c r="T286" s="2221"/>
      <c r="U286" s="2220"/>
      <c r="V286" s="2220"/>
      <c r="W286" s="2220"/>
      <c r="X286" s="2220"/>
      <c r="Y286" s="2220"/>
      <c r="BH286" s="1421"/>
      <c r="BI286" s="1421"/>
      <c r="BJ286" s="1967"/>
      <c r="BK286" s="1421"/>
      <c r="BL286" s="1421"/>
      <c r="BM286" s="1421"/>
      <c r="BN286" s="1421"/>
      <c r="BO286" s="1421"/>
      <c r="BP286" s="2135"/>
      <c r="BQ286" s="2132"/>
    </row>
    <row r="287" spans="1:69">
      <c r="A287" s="2219"/>
      <c r="B287" s="2220"/>
      <c r="C287" s="2220"/>
      <c r="D287" s="2219"/>
      <c r="E287" s="2220"/>
      <c r="F287" s="2220"/>
      <c r="G287" s="2220"/>
      <c r="H287" s="2220"/>
      <c r="I287" s="2220"/>
      <c r="J287" s="2220"/>
      <c r="K287" s="2220"/>
      <c r="L287" s="2220"/>
      <c r="M287" s="2220"/>
      <c r="N287" s="2220"/>
      <c r="O287" s="2220"/>
      <c r="P287" s="2220"/>
      <c r="Q287" s="2220"/>
      <c r="R287" s="2220"/>
      <c r="S287" s="2219"/>
      <c r="T287" s="2221"/>
      <c r="U287" s="2220"/>
      <c r="V287" s="2220"/>
      <c r="W287" s="2220"/>
      <c r="X287" s="2220"/>
      <c r="Y287" s="2220"/>
      <c r="BH287" s="1421"/>
      <c r="BI287" s="1421"/>
      <c r="BJ287" s="1421"/>
      <c r="BK287" s="1421"/>
      <c r="BL287" s="1421"/>
      <c r="BM287" s="1421"/>
      <c r="BN287" s="1421"/>
      <c r="BO287" s="1421"/>
      <c r="BP287" s="2131"/>
      <c r="BQ287" s="2132"/>
    </row>
    <row r="288" spans="1:69">
      <c r="A288" s="2219"/>
      <c r="B288" s="2220"/>
      <c r="C288" s="2220"/>
      <c r="D288" s="2219"/>
      <c r="E288" s="2220"/>
      <c r="F288" s="2220"/>
      <c r="G288" s="2220"/>
      <c r="H288" s="2220"/>
      <c r="I288" s="2220"/>
      <c r="J288" s="2220"/>
      <c r="K288" s="2220"/>
      <c r="L288" s="2220"/>
      <c r="M288" s="2220"/>
      <c r="N288" s="2220"/>
      <c r="O288" s="2220"/>
      <c r="P288" s="2220"/>
      <c r="Q288" s="2220"/>
      <c r="R288" s="2220"/>
      <c r="S288" s="2219"/>
      <c r="T288" s="2221"/>
      <c r="U288" s="2220"/>
      <c r="V288" s="2220"/>
      <c r="W288" s="2220"/>
      <c r="X288" s="2220"/>
      <c r="Y288" s="2220"/>
      <c r="BH288" s="1421"/>
      <c r="BI288" s="1421"/>
      <c r="BJ288" s="1421"/>
      <c r="BK288" s="1421"/>
      <c r="BL288" s="1421"/>
      <c r="BM288" s="1421"/>
      <c r="BN288" s="1421"/>
      <c r="BO288" s="1421"/>
      <c r="BP288" s="2131"/>
      <c r="BQ288" s="2132"/>
    </row>
    <row r="289" spans="1:69">
      <c r="A289" s="2219"/>
      <c r="B289" s="2220"/>
      <c r="C289" s="2220"/>
      <c r="D289" s="2219"/>
      <c r="E289" s="2220"/>
      <c r="F289" s="2220"/>
      <c r="G289" s="2220"/>
      <c r="H289" s="2220"/>
      <c r="I289" s="2220"/>
      <c r="J289" s="2220"/>
      <c r="K289" s="2220"/>
      <c r="L289" s="2220"/>
      <c r="M289" s="2220"/>
      <c r="N289" s="2220"/>
      <c r="O289" s="2220"/>
      <c r="P289" s="2220"/>
      <c r="Q289" s="2220"/>
      <c r="R289" s="2220"/>
      <c r="S289" s="2219"/>
      <c r="T289" s="2221"/>
      <c r="U289" s="2220"/>
      <c r="V289" s="2220"/>
      <c r="W289" s="2220"/>
      <c r="X289" s="2220"/>
      <c r="Y289" s="2220"/>
      <c r="BH289" s="1421"/>
      <c r="BI289" s="1421"/>
      <c r="BJ289" s="1421"/>
      <c r="BK289" s="1421"/>
      <c r="BL289" s="1421"/>
      <c r="BM289" s="1421"/>
      <c r="BN289" s="1421"/>
      <c r="BO289" s="1421"/>
      <c r="BP289" s="2133"/>
      <c r="BQ289" s="2134"/>
    </row>
    <row r="290" spans="1:69">
      <c r="A290" s="2219"/>
      <c r="B290" s="2220"/>
      <c r="C290" s="2220"/>
      <c r="D290" s="2219"/>
      <c r="E290" s="2220"/>
      <c r="F290" s="2220"/>
      <c r="G290" s="2220"/>
      <c r="H290" s="2220"/>
      <c r="I290" s="2220"/>
      <c r="J290" s="2220"/>
      <c r="K290" s="2220"/>
      <c r="L290" s="2220"/>
      <c r="M290" s="2220"/>
      <c r="N290" s="2220"/>
      <c r="O290" s="2220"/>
      <c r="P290" s="2220"/>
      <c r="Q290" s="2220"/>
      <c r="R290" s="2220"/>
      <c r="S290" s="2219"/>
      <c r="T290" s="2221"/>
      <c r="U290" s="2220"/>
      <c r="V290" s="2220"/>
      <c r="W290" s="2220"/>
      <c r="X290" s="2220"/>
      <c r="Y290" s="2220"/>
      <c r="BH290" s="1421"/>
      <c r="BI290" s="1421"/>
      <c r="BJ290" s="1421"/>
      <c r="BK290" s="1421"/>
      <c r="BL290" s="1421"/>
      <c r="BM290" s="1421"/>
      <c r="BN290" s="1421"/>
      <c r="BO290" s="1421"/>
      <c r="BP290" s="2131"/>
      <c r="BQ290" s="2132"/>
    </row>
    <row r="291" spans="1:69">
      <c r="A291" s="2219"/>
      <c r="B291" s="2220"/>
      <c r="C291" s="2220"/>
      <c r="D291" s="2219"/>
      <c r="E291" s="2220"/>
      <c r="F291" s="2220"/>
      <c r="G291" s="2220"/>
      <c r="H291" s="2220"/>
      <c r="I291" s="2220"/>
      <c r="J291" s="2220"/>
      <c r="K291" s="2220"/>
      <c r="L291" s="2220"/>
      <c r="M291" s="2220"/>
      <c r="N291" s="2220"/>
      <c r="O291" s="2220"/>
      <c r="P291" s="2220"/>
      <c r="Q291" s="2220"/>
      <c r="R291" s="2220"/>
      <c r="S291" s="2219"/>
      <c r="T291" s="2221"/>
      <c r="U291" s="2220"/>
      <c r="V291" s="2220"/>
      <c r="W291" s="2220"/>
      <c r="X291" s="2220"/>
      <c r="Y291" s="2220"/>
      <c r="BH291" s="1421"/>
      <c r="BI291" s="1421"/>
      <c r="BJ291" s="1421"/>
      <c r="BK291" s="1421"/>
      <c r="BL291" s="1421"/>
      <c r="BM291" s="1421"/>
      <c r="BN291" s="1421"/>
      <c r="BO291" s="1421"/>
      <c r="BP291" s="2131"/>
      <c r="BQ291" s="2132"/>
    </row>
    <row r="292" spans="1:69">
      <c r="A292" s="2219"/>
      <c r="B292" s="2220"/>
      <c r="C292" s="2220"/>
      <c r="D292" s="2219"/>
      <c r="E292" s="2220"/>
      <c r="F292" s="2220"/>
      <c r="G292" s="2220"/>
      <c r="H292" s="2220"/>
      <c r="I292" s="2220"/>
      <c r="J292" s="2220"/>
      <c r="K292" s="2220"/>
      <c r="L292" s="2220"/>
      <c r="M292" s="2220"/>
      <c r="N292" s="2220"/>
      <c r="O292" s="2220"/>
      <c r="P292" s="2220"/>
      <c r="Q292" s="2220"/>
      <c r="R292" s="2220"/>
      <c r="S292" s="2219"/>
      <c r="T292" s="2221"/>
      <c r="U292" s="2220"/>
      <c r="V292" s="2220"/>
      <c r="W292" s="2220"/>
      <c r="X292" s="2220"/>
      <c r="Y292" s="2220"/>
      <c r="BH292" s="1421"/>
      <c r="BI292" s="1421"/>
      <c r="BJ292" s="1421"/>
      <c r="BK292" s="1421"/>
      <c r="BL292" s="1421"/>
      <c r="BM292" s="1421"/>
      <c r="BN292" s="1421"/>
      <c r="BO292" s="1421"/>
      <c r="BP292" s="2131"/>
      <c r="BQ292" s="2132"/>
    </row>
    <row r="293" spans="1:69">
      <c r="A293" s="2219"/>
      <c r="B293" s="2220"/>
      <c r="C293" s="2220"/>
      <c r="D293" s="2219"/>
      <c r="E293" s="2220"/>
      <c r="F293" s="2220"/>
      <c r="G293" s="2220"/>
      <c r="H293" s="2220"/>
      <c r="I293" s="2220"/>
      <c r="J293" s="2220"/>
      <c r="K293" s="2220"/>
      <c r="L293" s="2220"/>
      <c r="M293" s="2220"/>
      <c r="N293" s="2220"/>
      <c r="O293" s="2220"/>
      <c r="P293" s="2220"/>
      <c r="Q293" s="2220"/>
      <c r="R293" s="2220"/>
      <c r="S293" s="2219"/>
      <c r="T293" s="2221"/>
      <c r="U293" s="2220"/>
      <c r="V293" s="2220"/>
      <c r="W293" s="2220"/>
      <c r="X293" s="2220"/>
      <c r="Y293" s="2220"/>
      <c r="BH293" s="1421"/>
      <c r="BI293" s="1421"/>
      <c r="BJ293" s="1421"/>
      <c r="BK293" s="1421"/>
      <c r="BL293" s="1421"/>
      <c r="BM293" s="1421"/>
      <c r="BN293" s="1421"/>
      <c r="BO293" s="1421"/>
      <c r="BP293" s="2131"/>
      <c r="BQ293" s="2132"/>
    </row>
    <row r="294" spans="1:69">
      <c r="A294" s="2219"/>
      <c r="B294" s="2220"/>
      <c r="C294" s="2220"/>
      <c r="D294" s="2219"/>
      <c r="E294" s="2220"/>
      <c r="F294" s="2220"/>
      <c r="G294" s="2220"/>
      <c r="H294" s="2220"/>
      <c r="I294" s="2220"/>
      <c r="J294" s="2220"/>
      <c r="K294" s="2220"/>
      <c r="L294" s="2220"/>
      <c r="M294" s="2220"/>
      <c r="N294" s="2220"/>
      <c r="O294" s="2220"/>
      <c r="P294" s="2220"/>
      <c r="Q294" s="2220"/>
      <c r="R294" s="2220"/>
      <c r="S294" s="2219"/>
      <c r="T294" s="2221"/>
      <c r="U294" s="2220"/>
      <c r="V294" s="2220"/>
      <c r="W294" s="2220"/>
      <c r="X294" s="2220"/>
      <c r="Y294" s="2220"/>
      <c r="BH294" s="1421"/>
      <c r="BI294" s="1421"/>
      <c r="BJ294" s="1421"/>
      <c r="BK294" s="1421"/>
      <c r="BL294" s="1421"/>
      <c r="BM294" s="1421"/>
      <c r="BN294" s="1421"/>
      <c r="BO294" s="1421"/>
      <c r="BP294" s="2131"/>
      <c r="BQ294" s="2132"/>
    </row>
    <row r="295" spans="1:69">
      <c r="A295" s="2219"/>
      <c r="B295" s="2220"/>
      <c r="C295" s="2220"/>
      <c r="D295" s="2219"/>
      <c r="E295" s="2220"/>
      <c r="F295" s="2220"/>
      <c r="G295" s="2220"/>
      <c r="H295" s="2220"/>
      <c r="I295" s="2220"/>
      <c r="J295" s="2220"/>
      <c r="K295" s="2220"/>
      <c r="L295" s="2220"/>
      <c r="M295" s="2220"/>
      <c r="N295" s="2220"/>
      <c r="O295" s="2220"/>
      <c r="P295" s="2220"/>
      <c r="Q295" s="2220"/>
      <c r="R295" s="2220"/>
      <c r="S295" s="2219"/>
      <c r="T295" s="2221"/>
      <c r="U295" s="2220"/>
      <c r="V295" s="2220"/>
      <c r="W295" s="2220"/>
      <c r="X295" s="2220"/>
      <c r="Y295" s="2220"/>
      <c r="BH295" s="1421"/>
      <c r="BI295" s="1421"/>
      <c r="BJ295" s="1421"/>
      <c r="BK295" s="1421"/>
      <c r="BL295" s="1421"/>
      <c r="BM295" s="1421"/>
      <c r="BN295" s="1421"/>
      <c r="BO295" s="1421"/>
      <c r="BP295" s="2131"/>
      <c r="BQ295" s="2132"/>
    </row>
    <row r="296" spans="1:69">
      <c r="A296" s="2219"/>
      <c r="B296" s="2220"/>
      <c r="C296" s="2220"/>
      <c r="D296" s="2219"/>
      <c r="E296" s="2220"/>
      <c r="F296" s="2220"/>
      <c r="G296" s="2220"/>
      <c r="H296" s="2220"/>
      <c r="I296" s="2220"/>
      <c r="J296" s="2220"/>
      <c r="K296" s="2220"/>
      <c r="L296" s="2220"/>
      <c r="M296" s="2220"/>
      <c r="N296" s="2220"/>
      <c r="O296" s="2220"/>
      <c r="P296" s="2220"/>
      <c r="Q296" s="2220"/>
      <c r="R296" s="2220"/>
      <c r="S296" s="2219"/>
      <c r="T296" s="2221"/>
      <c r="U296" s="2220"/>
      <c r="V296" s="2220"/>
      <c r="W296" s="2220"/>
      <c r="X296" s="2220"/>
      <c r="Y296" s="2220"/>
      <c r="BH296" s="1421"/>
      <c r="BI296" s="1421"/>
      <c r="BJ296" s="1421"/>
      <c r="BK296" s="1421"/>
      <c r="BL296" s="1421"/>
      <c r="BM296" s="1421"/>
      <c r="BN296" s="1421"/>
      <c r="BO296" s="1421"/>
      <c r="BP296" s="2135"/>
      <c r="BQ296" s="2132"/>
    </row>
    <row r="297" spans="1:69">
      <c r="A297" s="2219"/>
      <c r="B297" s="2220"/>
      <c r="C297" s="2220"/>
      <c r="D297" s="2219"/>
      <c r="E297" s="2220"/>
      <c r="F297" s="2220"/>
      <c r="G297" s="2220"/>
      <c r="H297" s="2220"/>
      <c r="I297" s="2220"/>
      <c r="J297" s="2220"/>
      <c r="K297" s="2220"/>
      <c r="L297" s="2220"/>
      <c r="M297" s="2220"/>
      <c r="N297" s="2220"/>
      <c r="O297" s="2220"/>
      <c r="P297" s="2220"/>
      <c r="Q297" s="2220"/>
      <c r="R297" s="2220"/>
      <c r="S297" s="2219"/>
      <c r="T297" s="2221"/>
      <c r="U297" s="2220"/>
      <c r="V297" s="2220"/>
      <c r="W297" s="2220"/>
      <c r="X297" s="2220"/>
      <c r="Y297" s="2220"/>
      <c r="BH297" s="1421"/>
      <c r="BI297" s="1421"/>
      <c r="BJ297" s="1421"/>
      <c r="BK297" s="1421"/>
      <c r="BL297" s="1421"/>
      <c r="BM297" s="1421"/>
      <c r="BN297" s="1421"/>
      <c r="BO297" s="1421"/>
      <c r="BP297" s="2131"/>
      <c r="BQ297" s="2132"/>
    </row>
    <row r="298" spans="1:69">
      <c r="A298" s="2219"/>
      <c r="B298" s="2220"/>
      <c r="C298" s="2220"/>
      <c r="D298" s="2219"/>
      <c r="E298" s="2220"/>
      <c r="F298" s="2220"/>
      <c r="G298" s="2220"/>
      <c r="H298" s="2220"/>
      <c r="I298" s="2220"/>
      <c r="J298" s="2220"/>
      <c r="K298" s="2220"/>
      <c r="L298" s="2220"/>
      <c r="M298" s="2220"/>
      <c r="N298" s="2220"/>
      <c r="O298" s="2220"/>
      <c r="P298" s="2220"/>
      <c r="Q298" s="2220"/>
      <c r="R298" s="2220"/>
      <c r="S298" s="2219"/>
      <c r="T298" s="2221"/>
      <c r="U298" s="2220"/>
      <c r="V298" s="2220"/>
      <c r="W298" s="2220"/>
      <c r="X298" s="2220"/>
      <c r="Y298" s="2220"/>
      <c r="BH298" s="1421"/>
      <c r="BI298" s="1421"/>
      <c r="BJ298" s="1421"/>
      <c r="BK298" s="1421"/>
      <c r="BL298" s="1421"/>
      <c r="BM298" s="1421"/>
      <c r="BN298" s="1421"/>
      <c r="BO298" s="1421"/>
      <c r="BP298" s="2131"/>
      <c r="BQ298" s="2132"/>
    </row>
    <row r="299" spans="1:69">
      <c r="A299" s="2219"/>
      <c r="B299" s="2220"/>
      <c r="C299" s="2220"/>
      <c r="D299" s="2219"/>
      <c r="E299" s="2220"/>
      <c r="F299" s="2220"/>
      <c r="G299" s="2220"/>
      <c r="H299" s="2220"/>
      <c r="I299" s="2220"/>
      <c r="J299" s="2220"/>
      <c r="K299" s="2220"/>
      <c r="L299" s="2220"/>
      <c r="M299" s="2220"/>
      <c r="N299" s="2220"/>
      <c r="O299" s="2220"/>
      <c r="P299" s="2220"/>
      <c r="Q299" s="2220"/>
      <c r="R299" s="2220"/>
      <c r="S299" s="2219"/>
      <c r="T299" s="2221"/>
      <c r="U299" s="2220"/>
      <c r="V299" s="2220"/>
      <c r="W299" s="2220"/>
      <c r="X299" s="2220"/>
      <c r="Y299" s="2220"/>
      <c r="BH299" s="1421"/>
      <c r="BI299" s="1421"/>
      <c r="BJ299" s="1421"/>
      <c r="BK299" s="1421"/>
      <c r="BL299" s="1421"/>
      <c r="BM299" s="1421"/>
      <c r="BN299" s="1421"/>
      <c r="BO299" s="1421"/>
      <c r="BP299" s="2131"/>
      <c r="BQ299" s="2132"/>
    </row>
    <row r="300" spans="1:69">
      <c r="A300" s="2219"/>
      <c r="B300" s="2220"/>
      <c r="C300" s="2220"/>
      <c r="D300" s="2219"/>
      <c r="E300" s="2220"/>
      <c r="F300" s="2220"/>
      <c r="G300" s="2220"/>
      <c r="H300" s="2220"/>
      <c r="I300" s="2220"/>
      <c r="J300" s="2220"/>
      <c r="K300" s="2220"/>
      <c r="L300" s="2220"/>
      <c r="M300" s="2220"/>
      <c r="N300" s="2220"/>
      <c r="O300" s="2220"/>
      <c r="P300" s="2220"/>
      <c r="Q300" s="2220"/>
      <c r="R300" s="2220"/>
      <c r="S300" s="2219"/>
      <c r="T300" s="2221"/>
      <c r="U300" s="2220"/>
      <c r="V300" s="2220"/>
      <c r="W300" s="2220"/>
      <c r="X300" s="2220"/>
      <c r="Y300" s="2220"/>
      <c r="BH300" s="1421"/>
      <c r="BI300" s="1421"/>
      <c r="BJ300" s="1421"/>
      <c r="BK300" s="1421"/>
      <c r="BL300" s="1421"/>
      <c r="BM300" s="1421"/>
      <c r="BN300" s="1421"/>
      <c r="BO300" s="1421"/>
      <c r="BP300" s="2133"/>
      <c r="BQ300" s="2134"/>
    </row>
    <row r="301" spans="1:69">
      <c r="A301" s="2219"/>
      <c r="B301" s="2220"/>
      <c r="C301" s="2220"/>
      <c r="D301" s="2219"/>
      <c r="E301" s="2220"/>
      <c r="F301" s="2220"/>
      <c r="G301" s="2220"/>
      <c r="H301" s="2220"/>
      <c r="I301" s="2220"/>
      <c r="J301" s="2220"/>
      <c r="K301" s="2220"/>
      <c r="L301" s="2220"/>
      <c r="M301" s="2220"/>
      <c r="N301" s="2220"/>
      <c r="O301" s="2220"/>
      <c r="P301" s="2220"/>
      <c r="Q301" s="2220"/>
      <c r="R301" s="2220"/>
      <c r="S301" s="2219"/>
      <c r="T301" s="2221"/>
      <c r="U301" s="2220"/>
      <c r="V301" s="2220"/>
      <c r="W301" s="2220"/>
      <c r="X301" s="2220"/>
      <c r="Y301" s="2220"/>
      <c r="BH301" s="1421"/>
      <c r="BI301" s="1421"/>
      <c r="BJ301" s="1421"/>
      <c r="BK301" s="1421"/>
      <c r="BL301" s="1421"/>
      <c r="BM301" s="1421"/>
      <c r="BN301" s="1421"/>
      <c r="BO301" s="1421"/>
      <c r="BP301" s="2133"/>
      <c r="BQ301" s="2134"/>
    </row>
    <row r="302" spans="1:69">
      <c r="A302" s="2219"/>
      <c r="B302" s="2220"/>
      <c r="C302" s="2220"/>
      <c r="D302" s="2219"/>
      <c r="E302" s="2220"/>
      <c r="F302" s="2220"/>
      <c r="G302" s="2220"/>
      <c r="H302" s="2220"/>
      <c r="I302" s="2220"/>
      <c r="J302" s="2220"/>
      <c r="K302" s="2220"/>
      <c r="L302" s="2220"/>
      <c r="M302" s="2220"/>
      <c r="N302" s="2220"/>
      <c r="O302" s="2220"/>
      <c r="P302" s="2220"/>
      <c r="Q302" s="2220"/>
      <c r="R302" s="2220"/>
      <c r="S302" s="2219"/>
      <c r="T302" s="2221"/>
      <c r="U302" s="2220"/>
      <c r="V302" s="2220"/>
      <c r="W302" s="2220"/>
      <c r="X302" s="2220"/>
      <c r="Y302" s="2220"/>
      <c r="BH302" s="1421"/>
      <c r="BI302" s="1421"/>
      <c r="BJ302" s="1421"/>
      <c r="BK302" s="1421"/>
      <c r="BL302" s="1421"/>
      <c r="BM302" s="1421"/>
      <c r="BN302" s="1421"/>
      <c r="BO302" s="1421"/>
      <c r="BP302" s="2133"/>
      <c r="BQ302" s="2134"/>
    </row>
    <row r="303" spans="1:69">
      <c r="A303" s="2219"/>
      <c r="B303" s="2220"/>
      <c r="C303" s="2220"/>
      <c r="D303" s="2219"/>
      <c r="E303" s="2220"/>
      <c r="F303" s="2220"/>
      <c r="G303" s="2220"/>
      <c r="H303" s="2220"/>
      <c r="I303" s="2220"/>
      <c r="J303" s="2220"/>
      <c r="K303" s="2220"/>
      <c r="L303" s="2220"/>
      <c r="M303" s="2220"/>
      <c r="N303" s="2220"/>
      <c r="O303" s="2220"/>
      <c r="P303" s="2220"/>
      <c r="Q303" s="2220"/>
      <c r="R303" s="2220"/>
      <c r="S303" s="2219"/>
      <c r="T303" s="2221"/>
      <c r="U303" s="2220"/>
      <c r="V303" s="2220"/>
      <c r="W303" s="2220"/>
      <c r="X303" s="2220"/>
      <c r="Y303" s="2220"/>
      <c r="BH303" s="1421"/>
      <c r="BI303" s="1421"/>
      <c r="BJ303" s="1421"/>
      <c r="BK303" s="1421"/>
      <c r="BL303" s="1421"/>
      <c r="BM303" s="1421"/>
      <c r="BN303" s="1421"/>
      <c r="BO303" s="1421"/>
      <c r="BP303" s="2131"/>
      <c r="BQ303" s="2132"/>
    </row>
    <row r="304" spans="1:69">
      <c r="A304" s="2219"/>
      <c r="B304" s="2220"/>
      <c r="C304" s="2220"/>
      <c r="D304" s="2219"/>
      <c r="E304" s="2220"/>
      <c r="F304" s="2220"/>
      <c r="G304" s="2220"/>
      <c r="H304" s="2220"/>
      <c r="I304" s="2220"/>
      <c r="J304" s="2220"/>
      <c r="K304" s="2220"/>
      <c r="L304" s="2220"/>
      <c r="M304" s="2220"/>
      <c r="N304" s="2220"/>
      <c r="O304" s="2220"/>
      <c r="P304" s="2220"/>
      <c r="Q304" s="2220"/>
      <c r="R304" s="2220"/>
      <c r="S304" s="2219"/>
      <c r="T304" s="2221"/>
      <c r="U304" s="2220"/>
      <c r="V304" s="2220"/>
      <c r="W304" s="2220"/>
      <c r="X304" s="2220"/>
      <c r="Y304" s="2220"/>
      <c r="BH304" s="1421"/>
      <c r="BI304" s="1421"/>
      <c r="BJ304" s="1421"/>
      <c r="BK304" s="1421"/>
      <c r="BL304" s="1421"/>
      <c r="BM304" s="1421"/>
      <c r="BN304" s="1421"/>
      <c r="BO304" s="1421"/>
      <c r="BP304" s="2131"/>
      <c r="BQ304" s="2132"/>
    </row>
    <row r="305" spans="1:69">
      <c r="A305" s="2219"/>
      <c r="B305" s="2220"/>
      <c r="C305" s="2220"/>
      <c r="D305" s="2219"/>
      <c r="E305" s="2220"/>
      <c r="F305" s="2220"/>
      <c r="G305" s="2220"/>
      <c r="H305" s="2220"/>
      <c r="I305" s="2220"/>
      <c r="J305" s="2220"/>
      <c r="K305" s="2220"/>
      <c r="L305" s="2220"/>
      <c r="M305" s="2220"/>
      <c r="N305" s="2220"/>
      <c r="O305" s="2220"/>
      <c r="P305" s="2220"/>
      <c r="Q305" s="2220"/>
      <c r="R305" s="2220"/>
      <c r="S305" s="2219"/>
      <c r="T305" s="2221"/>
      <c r="U305" s="2220"/>
      <c r="V305" s="2220"/>
      <c r="W305" s="2220"/>
      <c r="X305" s="2220"/>
      <c r="Y305" s="2220"/>
      <c r="BH305" s="1421"/>
      <c r="BI305" s="1421"/>
      <c r="BJ305" s="1421"/>
      <c r="BK305" s="1421"/>
      <c r="BL305" s="1421"/>
      <c r="BM305" s="1421"/>
      <c r="BN305" s="1421"/>
      <c r="BO305" s="1421"/>
      <c r="BP305" s="2135"/>
      <c r="BQ305" s="2134"/>
    </row>
    <row r="306" spans="1:69">
      <c r="A306" s="2219"/>
      <c r="B306" s="2220"/>
      <c r="C306" s="2220"/>
      <c r="D306" s="2219"/>
      <c r="E306" s="2220"/>
      <c r="F306" s="2220"/>
      <c r="G306" s="2220"/>
      <c r="H306" s="2220"/>
      <c r="I306" s="2220"/>
      <c r="J306" s="2220"/>
      <c r="K306" s="2220"/>
      <c r="L306" s="2220"/>
      <c r="M306" s="2220"/>
      <c r="N306" s="2220"/>
      <c r="O306" s="2220"/>
      <c r="P306" s="2220"/>
      <c r="Q306" s="2220"/>
      <c r="R306" s="2220"/>
      <c r="S306" s="2219"/>
      <c r="T306" s="2221"/>
      <c r="U306" s="2220"/>
      <c r="V306" s="2220"/>
      <c r="W306" s="2220"/>
      <c r="X306" s="2220"/>
      <c r="Y306" s="2220"/>
      <c r="BH306" s="1421"/>
      <c r="BI306" s="1421"/>
      <c r="BJ306" s="1421"/>
      <c r="BK306" s="1421"/>
      <c r="BL306" s="1421"/>
      <c r="BM306" s="1421"/>
      <c r="BN306" s="1421"/>
      <c r="BO306" s="1421"/>
      <c r="BP306" s="2131"/>
      <c r="BQ306" s="2132"/>
    </row>
    <row r="307" spans="1:69">
      <c r="A307" s="2219"/>
      <c r="B307" s="2220"/>
      <c r="C307" s="2220"/>
      <c r="D307" s="2219"/>
      <c r="E307" s="2220"/>
      <c r="F307" s="2220"/>
      <c r="G307" s="2220"/>
      <c r="H307" s="2220"/>
      <c r="I307" s="2220"/>
      <c r="J307" s="2220"/>
      <c r="K307" s="2220"/>
      <c r="L307" s="2220"/>
      <c r="M307" s="2220"/>
      <c r="N307" s="2220"/>
      <c r="O307" s="2220"/>
      <c r="P307" s="2220"/>
      <c r="Q307" s="2220"/>
      <c r="R307" s="2220"/>
      <c r="S307" s="2219"/>
      <c r="T307" s="2221"/>
      <c r="U307" s="2220"/>
      <c r="V307" s="2220"/>
      <c r="W307" s="2220"/>
      <c r="X307" s="2220"/>
      <c r="Y307" s="2220"/>
      <c r="BH307" s="1421"/>
      <c r="BI307" s="1421"/>
      <c r="BJ307" s="1421"/>
      <c r="BK307" s="1421"/>
      <c r="BL307" s="1421"/>
      <c r="BM307" s="1421"/>
      <c r="BN307" s="1421"/>
      <c r="BO307" s="1421"/>
      <c r="BP307" s="2131"/>
      <c r="BQ307" s="2132"/>
    </row>
    <row r="308" spans="1:69">
      <c r="A308" s="2219"/>
      <c r="B308" s="2220"/>
      <c r="C308" s="2220"/>
      <c r="D308" s="2219"/>
      <c r="E308" s="2220"/>
      <c r="F308" s="2220"/>
      <c r="G308" s="2220"/>
      <c r="H308" s="2220"/>
      <c r="I308" s="2220"/>
      <c r="J308" s="2220"/>
      <c r="K308" s="2220"/>
      <c r="L308" s="2220"/>
      <c r="M308" s="2220"/>
      <c r="N308" s="2220"/>
      <c r="O308" s="2220"/>
      <c r="P308" s="2220"/>
      <c r="Q308" s="2220"/>
      <c r="R308" s="2220"/>
      <c r="S308" s="2219"/>
      <c r="T308" s="2221"/>
      <c r="U308" s="2220"/>
      <c r="V308" s="2220"/>
      <c r="W308" s="2220"/>
      <c r="X308" s="2220"/>
      <c r="Y308" s="2220"/>
      <c r="BH308" s="1421"/>
      <c r="BI308" s="1421"/>
      <c r="BJ308" s="1421"/>
      <c r="BK308" s="1421"/>
      <c r="BL308" s="1421"/>
      <c r="BM308" s="1421"/>
      <c r="BN308" s="1421"/>
      <c r="BO308" s="1421"/>
      <c r="BP308" s="2136"/>
      <c r="BQ308" s="2134"/>
    </row>
    <row r="309" spans="1:69">
      <c r="A309" s="2219"/>
      <c r="B309" s="2220"/>
      <c r="C309" s="2220"/>
      <c r="D309" s="2219"/>
      <c r="E309" s="2220"/>
      <c r="F309" s="2220"/>
      <c r="G309" s="2220"/>
      <c r="H309" s="2220"/>
      <c r="I309" s="2220"/>
      <c r="J309" s="2220"/>
      <c r="K309" s="2220"/>
      <c r="L309" s="2220"/>
      <c r="M309" s="2220"/>
      <c r="N309" s="2220"/>
      <c r="O309" s="2220"/>
      <c r="P309" s="2220"/>
      <c r="Q309" s="2220"/>
      <c r="R309" s="2220"/>
      <c r="S309" s="2219"/>
      <c r="T309" s="2221"/>
      <c r="U309" s="2220"/>
      <c r="V309" s="2220"/>
      <c r="W309" s="2220"/>
      <c r="X309" s="2220"/>
      <c r="Y309" s="2220"/>
      <c r="BH309" s="1421"/>
      <c r="BI309" s="1421"/>
      <c r="BJ309" s="1421"/>
      <c r="BK309" s="1421"/>
      <c r="BL309" s="1421"/>
      <c r="BM309" s="1421"/>
      <c r="BN309" s="1421"/>
      <c r="BO309" s="1421"/>
      <c r="BP309" s="2131"/>
      <c r="BQ309" s="2132"/>
    </row>
    <row r="310" spans="1:69">
      <c r="A310" s="2219"/>
      <c r="B310" s="2220"/>
      <c r="C310" s="2220"/>
      <c r="D310" s="2219"/>
      <c r="E310" s="2220"/>
      <c r="F310" s="2220"/>
      <c r="G310" s="2220"/>
      <c r="H310" s="2220"/>
      <c r="I310" s="2220"/>
      <c r="J310" s="2220"/>
      <c r="K310" s="2220"/>
      <c r="L310" s="2220"/>
      <c r="M310" s="2220"/>
      <c r="N310" s="2220"/>
      <c r="O310" s="2220"/>
      <c r="P310" s="2220"/>
      <c r="Q310" s="2220"/>
      <c r="R310" s="2220"/>
      <c r="S310" s="2219"/>
      <c r="T310" s="2221"/>
      <c r="U310" s="2220"/>
      <c r="V310" s="2220"/>
      <c r="W310" s="2220"/>
      <c r="X310" s="2220"/>
      <c r="Y310" s="2220"/>
      <c r="BH310" s="1421"/>
      <c r="BI310" s="1421"/>
      <c r="BJ310" s="1421"/>
      <c r="BK310" s="1421"/>
      <c r="BL310" s="1421"/>
      <c r="BM310" s="1421"/>
      <c r="BN310" s="1421"/>
      <c r="BO310" s="1421"/>
      <c r="BP310" s="2131"/>
      <c r="BQ310" s="2132"/>
    </row>
    <row r="311" spans="1:69">
      <c r="A311" s="2219"/>
      <c r="B311" s="2220"/>
      <c r="C311" s="2220"/>
      <c r="D311" s="2219"/>
      <c r="E311" s="2220"/>
      <c r="F311" s="2220"/>
      <c r="G311" s="2220"/>
      <c r="H311" s="2220"/>
      <c r="I311" s="2220"/>
      <c r="J311" s="2220"/>
      <c r="K311" s="2220"/>
      <c r="L311" s="2220"/>
      <c r="M311" s="2220"/>
      <c r="N311" s="2220"/>
      <c r="O311" s="2220"/>
      <c r="P311" s="2220"/>
      <c r="Q311" s="2220"/>
      <c r="R311" s="2220"/>
      <c r="S311" s="2219"/>
      <c r="T311" s="2221"/>
      <c r="U311" s="2220"/>
      <c r="V311" s="2220"/>
      <c r="W311" s="2220"/>
      <c r="X311" s="2220"/>
      <c r="Y311" s="2220"/>
      <c r="BH311" s="1421"/>
      <c r="BI311" s="1421"/>
      <c r="BJ311" s="1421"/>
      <c r="BK311" s="1421"/>
      <c r="BL311" s="1421"/>
      <c r="BM311" s="1421"/>
      <c r="BN311" s="1421"/>
      <c r="BO311" s="1421"/>
      <c r="BP311" s="2131"/>
      <c r="BQ311" s="2132"/>
    </row>
    <row r="312" spans="1:69">
      <c r="A312" s="2219"/>
      <c r="B312" s="2220"/>
      <c r="C312" s="2220"/>
      <c r="D312" s="2219"/>
      <c r="E312" s="2220"/>
      <c r="F312" s="2220"/>
      <c r="G312" s="2220"/>
      <c r="H312" s="2220"/>
      <c r="I312" s="2220"/>
      <c r="J312" s="2220"/>
      <c r="K312" s="2220"/>
      <c r="L312" s="2220"/>
      <c r="M312" s="2220"/>
      <c r="N312" s="2220"/>
      <c r="O312" s="2220"/>
      <c r="P312" s="2220"/>
      <c r="Q312" s="2220"/>
      <c r="R312" s="2220"/>
      <c r="S312" s="2219"/>
      <c r="T312" s="2221"/>
      <c r="U312" s="2220"/>
      <c r="V312" s="2220"/>
      <c r="W312" s="2220"/>
      <c r="X312" s="2220"/>
      <c r="Y312" s="2220"/>
      <c r="BH312" s="1421"/>
      <c r="BI312" s="1421"/>
      <c r="BJ312" s="1421"/>
      <c r="BK312" s="1421"/>
      <c r="BL312" s="1421"/>
      <c r="BM312" s="1421"/>
      <c r="BN312" s="1421"/>
      <c r="BO312" s="1421"/>
      <c r="BP312" s="2131"/>
      <c r="BQ312" s="2132"/>
    </row>
    <row r="313" spans="1:69">
      <c r="A313" s="2219"/>
      <c r="B313" s="2220"/>
      <c r="C313" s="2220"/>
      <c r="D313" s="2219"/>
      <c r="E313" s="2220"/>
      <c r="F313" s="2220"/>
      <c r="G313" s="2220"/>
      <c r="H313" s="2220"/>
      <c r="I313" s="2220"/>
      <c r="J313" s="2220"/>
      <c r="K313" s="2220"/>
      <c r="L313" s="2220"/>
      <c r="M313" s="2220"/>
      <c r="N313" s="2220"/>
      <c r="O313" s="2220"/>
      <c r="P313" s="2220"/>
      <c r="Q313" s="2220"/>
      <c r="R313" s="2220"/>
      <c r="S313" s="2219"/>
      <c r="T313" s="2221"/>
      <c r="U313" s="2220"/>
      <c r="V313" s="2220"/>
      <c r="W313" s="2220"/>
      <c r="X313" s="2220"/>
      <c r="Y313" s="2220"/>
      <c r="BH313" s="1421"/>
      <c r="BI313" s="1421"/>
      <c r="BJ313" s="1421"/>
      <c r="BK313" s="1421"/>
      <c r="BL313" s="1421"/>
      <c r="BM313" s="1421"/>
      <c r="BN313" s="1421"/>
      <c r="BO313" s="1421"/>
      <c r="BP313" s="2133"/>
      <c r="BQ313" s="2134"/>
    </row>
    <row r="314" spans="1:69">
      <c r="A314" s="2219"/>
      <c r="B314" s="2220"/>
      <c r="C314" s="2220"/>
      <c r="D314" s="2219"/>
      <c r="E314" s="2220"/>
      <c r="F314" s="2220"/>
      <c r="G314" s="2220"/>
      <c r="H314" s="2220"/>
      <c r="I314" s="2220"/>
      <c r="J314" s="2220"/>
      <c r="K314" s="2220"/>
      <c r="L314" s="2220"/>
      <c r="M314" s="2220"/>
      <c r="N314" s="2220"/>
      <c r="O314" s="2220"/>
      <c r="P314" s="2220"/>
      <c r="Q314" s="2220"/>
      <c r="R314" s="2220"/>
      <c r="S314" s="2219"/>
      <c r="T314" s="2221"/>
      <c r="U314" s="2220"/>
      <c r="V314" s="2220"/>
      <c r="W314" s="2220"/>
      <c r="X314" s="2220"/>
      <c r="Y314" s="2220"/>
      <c r="BH314" s="1421"/>
      <c r="BI314" s="1421"/>
      <c r="BJ314" s="1421"/>
      <c r="BK314" s="1421"/>
      <c r="BL314" s="1421"/>
      <c r="BM314" s="1421"/>
      <c r="BN314" s="1421"/>
      <c r="BO314" s="1421"/>
      <c r="BP314" s="2133"/>
      <c r="BQ314" s="2134"/>
    </row>
    <row r="315" spans="1:69">
      <c r="A315" s="2219"/>
      <c r="B315" s="2220"/>
      <c r="C315" s="2220"/>
      <c r="D315" s="2219"/>
      <c r="E315" s="2220"/>
      <c r="F315" s="2220"/>
      <c r="G315" s="2220"/>
      <c r="H315" s="2220"/>
      <c r="I315" s="2220"/>
      <c r="J315" s="2220"/>
      <c r="K315" s="2220"/>
      <c r="L315" s="2220"/>
      <c r="M315" s="2220"/>
      <c r="N315" s="2220"/>
      <c r="O315" s="2220"/>
      <c r="P315" s="2220"/>
      <c r="Q315" s="2220"/>
      <c r="R315" s="2220"/>
      <c r="S315" s="2219"/>
      <c r="T315" s="2221"/>
      <c r="U315" s="2220"/>
      <c r="V315" s="2220"/>
      <c r="W315" s="2220"/>
      <c r="X315" s="2220"/>
      <c r="Y315" s="2220"/>
      <c r="BH315" s="1421"/>
      <c r="BI315" s="1421"/>
      <c r="BJ315" s="1421"/>
      <c r="BK315" s="1421"/>
      <c r="BL315" s="1421"/>
      <c r="BM315" s="1421"/>
      <c r="BN315" s="1421"/>
      <c r="BO315" s="1421"/>
      <c r="BP315" s="2135"/>
      <c r="BQ315" s="2132"/>
    </row>
    <row r="316" spans="1:69">
      <c r="A316" s="2219"/>
      <c r="B316" s="2220"/>
      <c r="C316" s="2220"/>
      <c r="D316" s="2219"/>
      <c r="E316" s="2220"/>
      <c r="F316" s="2220"/>
      <c r="G316" s="2220"/>
      <c r="H316" s="2220"/>
      <c r="I316" s="2220"/>
      <c r="J316" s="2220"/>
      <c r="K316" s="2220"/>
      <c r="L316" s="2220"/>
      <c r="M316" s="2220"/>
      <c r="N316" s="2220"/>
      <c r="O316" s="2220"/>
      <c r="P316" s="2220"/>
      <c r="Q316" s="2220"/>
      <c r="R316" s="2220"/>
      <c r="S316" s="2219"/>
      <c r="T316" s="2221"/>
      <c r="U316" s="2220"/>
      <c r="V316" s="2220"/>
      <c r="W316" s="2220"/>
      <c r="X316" s="2220"/>
      <c r="Y316" s="2220"/>
      <c r="BH316" s="1421"/>
      <c r="BI316" s="1421"/>
      <c r="BJ316" s="1421"/>
      <c r="BK316" s="1421"/>
      <c r="BL316" s="1421"/>
      <c r="BM316" s="1421"/>
      <c r="BN316" s="1421"/>
      <c r="BO316" s="1421"/>
      <c r="BP316" s="2131"/>
      <c r="BQ316" s="2134"/>
    </row>
    <row r="317" spans="1:69">
      <c r="A317" s="2219"/>
      <c r="B317" s="2220"/>
      <c r="C317" s="2220"/>
      <c r="D317" s="2219"/>
      <c r="E317" s="2220"/>
      <c r="F317" s="2220"/>
      <c r="G317" s="2220"/>
      <c r="H317" s="2220"/>
      <c r="I317" s="2220"/>
      <c r="J317" s="2220"/>
      <c r="K317" s="2220"/>
      <c r="L317" s="2220"/>
      <c r="M317" s="2220"/>
      <c r="N317" s="2220"/>
      <c r="O317" s="2220"/>
      <c r="P317" s="2220"/>
      <c r="Q317" s="2220"/>
      <c r="R317" s="2220"/>
      <c r="S317" s="2219"/>
      <c r="T317" s="2221"/>
      <c r="U317" s="2220"/>
      <c r="V317" s="2220"/>
      <c r="W317" s="2220"/>
      <c r="X317" s="2220"/>
      <c r="Y317" s="2220"/>
      <c r="BH317" s="1421"/>
      <c r="BI317" s="1421"/>
      <c r="BJ317" s="1421"/>
      <c r="BK317" s="1421"/>
      <c r="BL317" s="1421"/>
      <c r="BM317" s="1421"/>
      <c r="BN317" s="1421"/>
      <c r="BO317" s="1421"/>
      <c r="BP317" s="2131"/>
      <c r="BQ317" s="2134"/>
    </row>
    <row r="318" spans="1:69">
      <c r="A318" s="2219"/>
      <c r="B318" s="2220"/>
      <c r="C318" s="2220"/>
      <c r="D318" s="2219"/>
      <c r="E318" s="2220"/>
      <c r="F318" s="2220"/>
      <c r="G318" s="2220"/>
      <c r="H318" s="2220"/>
      <c r="I318" s="2220"/>
      <c r="J318" s="2220"/>
      <c r="K318" s="2220"/>
      <c r="L318" s="2220"/>
      <c r="M318" s="2220"/>
      <c r="N318" s="2220"/>
      <c r="O318" s="2220"/>
      <c r="P318" s="2220"/>
      <c r="Q318" s="2220"/>
      <c r="R318" s="2220"/>
      <c r="S318" s="2219"/>
      <c r="T318" s="2221"/>
      <c r="U318" s="2220"/>
      <c r="V318" s="2220"/>
      <c r="W318" s="2220"/>
      <c r="X318" s="2220"/>
      <c r="Y318" s="2220"/>
      <c r="BH318" s="1421"/>
      <c r="BI318" s="1421"/>
      <c r="BJ318" s="1421"/>
      <c r="BK318" s="1421"/>
      <c r="BL318" s="1421"/>
      <c r="BM318" s="1421"/>
      <c r="BN318" s="1421"/>
      <c r="BO318" s="1421"/>
      <c r="BP318" s="2131"/>
      <c r="BQ318" s="2134"/>
    </row>
    <row r="319" spans="1:69">
      <c r="A319" s="2219"/>
      <c r="B319" s="2220"/>
      <c r="C319" s="2220"/>
      <c r="D319" s="2219"/>
      <c r="E319" s="2220"/>
      <c r="F319" s="2220"/>
      <c r="G319" s="2220"/>
      <c r="H319" s="2220"/>
      <c r="I319" s="2220"/>
      <c r="J319" s="2220"/>
      <c r="K319" s="2220"/>
      <c r="L319" s="2220"/>
      <c r="M319" s="2220"/>
      <c r="N319" s="2220"/>
      <c r="O319" s="2220"/>
      <c r="P319" s="2220"/>
      <c r="Q319" s="2220"/>
      <c r="R319" s="2220"/>
      <c r="S319" s="2219"/>
      <c r="T319" s="2221"/>
      <c r="U319" s="2220"/>
      <c r="V319" s="2220"/>
      <c r="W319" s="2220"/>
      <c r="X319" s="2220"/>
      <c r="Y319" s="2220"/>
      <c r="BH319" s="1421"/>
      <c r="BI319" s="1421"/>
      <c r="BJ319" s="1421"/>
      <c r="BK319" s="1421"/>
      <c r="BL319" s="1421"/>
      <c r="BM319" s="1421"/>
      <c r="BN319" s="1421"/>
      <c r="BO319" s="1421"/>
      <c r="BP319" s="2131"/>
      <c r="BQ319" s="2132"/>
    </row>
    <row r="320" spans="1:69">
      <c r="A320" s="2219"/>
      <c r="B320" s="2220"/>
      <c r="C320" s="2220"/>
      <c r="D320" s="2219"/>
      <c r="E320" s="2220"/>
      <c r="F320" s="2220"/>
      <c r="G320" s="2220"/>
      <c r="H320" s="2220"/>
      <c r="I320" s="2220"/>
      <c r="J320" s="2220"/>
      <c r="K320" s="2220"/>
      <c r="L320" s="2220"/>
      <c r="M320" s="2220"/>
      <c r="N320" s="2220"/>
      <c r="O320" s="2220"/>
      <c r="P320" s="2220"/>
      <c r="Q320" s="2220"/>
      <c r="R320" s="2220"/>
      <c r="S320" s="2219"/>
      <c r="T320" s="2221"/>
      <c r="U320" s="2220"/>
      <c r="V320" s="2220"/>
      <c r="W320" s="2220"/>
      <c r="X320" s="2220"/>
      <c r="Y320" s="2220"/>
      <c r="BH320" s="1421"/>
      <c r="BI320" s="1421"/>
      <c r="BJ320" s="1421"/>
      <c r="BK320" s="1421"/>
      <c r="BL320" s="1421"/>
      <c r="BM320" s="1421"/>
      <c r="BN320" s="1421"/>
      <c r="BO320" s="1421"/>
      <c r="BP320" s="2133"/>
      <c r="BQ320" s="2134"/>
    </row>
    <row r="321" spans="1:69">
      <c r="A321" s="2219"/>
      <c r="B321" s="2220"/>
      <c r="C321" s="2220"/>
      <c r="D321" s="2219"/>
      <c r="E321" s="2220"/>
      <c r="F321" s="2220"/>
      <c r="G321" s="2220"/>
      <c r="H321" s="2220"/>
      <c r="I321" s="2220"/>
      <c r="J321" s="2220"/>
      <c r="K321" s="2220"/>
      <c r="L321" s="2220"/>
      <c r="M321" s="2220"/>
      <c r="N321" s="2220"/>
      <c r="O321" s="2220"/>
      <c r="P321" s="2220"/>
      <c r="Q321" s="2220"/>
      <c r="R321" s="2220"/>
      <c r="S321" s="2219"/>
      <c r="T321" s="2221"/>
      <c r="U321" s="2220"/>
      <c r="V321" s="2220"/>
      <c r="W321" s="2220"/>
      <c r="X321" s="2220"/>
      <c r="Y321" s="2220"/>
      <c r="BH321" s="1421"/>
      <c r="BI321" s="1421"/>
      <c r="BJ321" s="1421"/>
      <c r="BK321" s="1421"/>
      <c r="BL321" s="1421"/>
      <c r="BM321" s="1421"/>
      <c r="BN321" s="1421"/>
      <c r="BO321" s="1421"/>
      <c r="BP321" s="2133"/>
      <c r="BQ321" s="2134"/>
    </row>
    <row r="322" spans="1:69">
      <c r="A322" s="2219"/>
      <c r="B322" s="2220"/>
      <c r="C322" s="2220"/>
      <c r="D322" s="2219"/>
      <c r="E322" s="2220"/>
      <c r="F322" s="2220"/>
      <c r="G322" s="2220"/>
      <c r="H322" s="2220"/>
      <c r="I322" s="2220"/>
      <c r="J322" s="2220"/>
      <c r="K322" s="2220"/>
      <c r="L322" s="2220"/>
      <c r="M322" s="2220"/>
      <c r="N322" s="2220"/>
      <c r="O322" s="2220"/>
      <c r="P322" s="2220"/>
      <c r="Q322" s="2220"/>
      <c r="R322" s="2220"/>
      <c r="S322" s="2219"/>
      <c r="T322" s="2221"/>
      <c r="U322" s="2220"/>
      <c r="V322" s="2220"/>
      <c r="W322" s="2220"/>
      <c r="X322" s="2220"/>
      <c r="Y322" s="2220"/>
      <c r="BH322" s="1421"/>
      <c r="BI322" s="1421"/>
      <c r="BJ322" s="1421"/>
      <c r="BK322" s="1421"/>
      <c r="BL322" s="1421"/>
      <c r="BM322" s="1421"/>
      <c r="BN322" s="1421"/>
      <c r="BO322" s="1421"/>
      <c r="BP322" s="2131"/>
      <c r="BQ322" s="2132"/>
    </row>
    <row r="323" spans="1:69">
      <c r="A323" s="2219"/>
      <c r="B323" s="2220"/>
      <c r="C323" s="2220"/>
      <c r="D323" s="2219"/>
      <c r="E323" s="2220"/>
      <c r="F323" s="2220"/>
      <c r="G323" s="2220"/>
      <c r="H323" s="2220"/>
      <c r="I323" s="2220"/>
      <c r="J323" s="2220"/>
      <c r="K323" s="2220"/>
      <c r="L323" s="2220"/>
      <c r="M323" s="2220"/>
      <c r="N323" s="2220"/>
      <c r="O323" s="2220"/>
      <c r="P323" s="2220"/>
      <c r="Q323" s="2220"/>
      <c r="R323" s="2220"/>
      <c r="S323" s="2219"/>
      <c r="T323" s="2221"/>
      <c r="U323" s="2220"/>
      <c r="V323" s="2220"/>
      <c r="W323" s="2220"/>
      <c r="X323" s="2220"/>
      <c r="Y323" s="2220"/>
      <c r="BH323" s="1421"/>
      <c r="BI323" s="1421"/>
      <c r="BJ323" s="1421"/>
      <c r="BK323" s="1421"/>
      <c r="BL323" s="1421"/>
      <c r="BM323" s="1421"/>
      <c r="BN323" s="1421"/>
      <c r="BO323" s="1421"/>
      <c r="BP323" s="2131"/>
      <c r="BQ323" s="2132"/>
    </row>
    <row r="324" spans="1:69">
      <c r="A324" s="2219"/>
      <c r="B324" s="2220"/>
      <c r="C324" s="2220"/>
      <c r="D324" s="2219"/>
      <c r="E324" s="2220"/>
      <c r="F324" s="2220"/>
      <c r="G324" s="2220"/>
      <c r="H324" s="2220"/>
      <c r="I324" s="2220"/>
      <c r="J324" s="2220"/>
      <c r="K324" s="2220"/>
      <c r="L324" s="2220"/>
      <c r="M324" s="2220"/>
      <c r="N324" s="2220"/>
      <c r="O324" s="2220"/>
      <c r="P324" s="2220"/>
      <c r="Q324" s="2220"/>
      <c r="R324" s="2220"/>
      <c r="S324" s="2219"/>
      <c r="T324" s="2221"/>
      <c r="U324" s="2220"/>
      <c r="V324" s="2220"/>
      <c r="W324" s="2220"/>
      <c r="X324" s="2220"/>
      <c r="Y324" s="2220"/>
      <c r="BH324" s="1421"/>
      <c r="BI324" s="1421"/>
      <c r="BJ324" s="1421"/>
      <c r="BK324" s="1421"/>
      <c r="BL324" s="1421"/>
      <c r="BM324" s="1421"/>
      <c r="BN324" s="1421"/>
      <c r="BO324" s="1421"/>
      <c r="BP324" s="2131"/>
      <c r="BQ324" s="2134"/>
    </row>
    <row r="325" spans="1:69">
      <c r="A325" s="2219"/>
      <c r="B325" s="2220"/>
      <c r="C325" s="2220"/>
      <c r="D325" s="2219"/>
      <c r="E325" s="2220"/>
      <c r="F325" s="2220"/>
      <c r="G325" s="2220"/>
      <c r="H325" s="2220"/>
      <c r="I325" s="2220"/>
      <c r="J325" s="2220"/>
      <c r="K325" s="2220"/>
      <c r="L325" s="2220"/>
      <c r="M325" s="2220"/>
      <c r="N325" s="2220"/>
      <c r="O325" s="2220"/>
      <c r="P325" s="2220"/>
      <c r="Q325" s="2220"/>
      <c r="R325" s="2220"/>
      <c r="S325" s="2219"/>
      <c r="T325" s="2221"/>
      <c r="U325" s="2220"/>
      <c r="V325" s="2220"/>
      <c r="W325" s="2220"/>
      <c r="X325" s="2220"/>
      <c r="Y325" s="2220"/>
      <c r="BH325" s="1421"/>
      <c r="BI325" s="1421"/>
      <c r="BJ325" s="1421"/>
      <c r="BK325" s="1421"/>
      <c r="BL325" s="1421"/>
      <c r="BM325" s="1421"/>
      <c r="BN325" s="1421"/>
      <c r="BO325" s="1421"/>
      <c r="BP325" s="2131"/>
      <c r="BQ325" s="2132"/>
    </row>
    <row r="326" spans="1:69">
      <c r="A326" s="2219"/>
      <c r="B326" s="2220"/>
      <c r="C326" s="2220"/>
      <c r="D326" s="2219"/>
      <c r="E326" s="2220"/>
      <c r="F326" s="2220"/>
      <c r="G326" s="2220"/>
      <c r="H326" s="2220"/>
      <c r="I326" s="2220"/>
      <c r="J326" s="2220"/>
      <c r="K326" s="2220"/>
      <c r="L326" s="2220"/>
      <c r="M326" s="2220"/>
      <c r="N326" s="2220"/>
      <c r="O326" s="2220"/>
      <c r="P326" s="2220"/>
      <c r="Q326" s="2220"/>
      <c r="R326" s="2220"/>
      <c r="S326" s="2219"/>
      <c r="T326" s="2221"/>
      <c r="U326" s="2220"/>
      <c r="V326" s="2220"/>
      <c r="W326" s="2220"/>
      <c r="X326" s="2220"/>
      <c r="Y326" s="2220"/>
      <c r="BH326" s="1421"/>
      <c r="BI326" s="1421"/>
      <c r="BJ326" s="1421"/>
      <c r="BK326" s="1421"/>
      <c r="BL326" s="1421"/>
      <c r="BM326" s="1421"/>
      <c r="BN326" s="1421"/>
      <c r="BO326" s="1421"/>
      <c r="BP326" s="2131"/>
      <c r="BQ326" s="2134"/>
    </row>
    <row r="327" spans="1:69">
      <c r="A327" s="2219"/>
      <c r="B327" s="2220"/>
      <c r="C327" s="2220"/>
      <c r="D327" s="2219"/>
      <c r="E327" s="2220"/>
      <c r="F327" s="2220"/>
      <c r="G327" s="2220"/>
      <c r="H327" s="2220"/>
      <c r="I327" s="2220"/>
      <c r="J327" s="2220"/>
      <c r="K327" s="2220"/>
      <c r="L327" s="2220"/>
      <c r="M327" s="2220"/>
      <c r="N327" s="2220"/>
      <c r="O327" s="2220"/>
      <c r="P327" s="2220"/>
      <c r="Q327" s="2220"/>
      <c r="R327" s="2220"/>
      <c r="S327" s="2219"/>
      <c r="T327" s="2221"/>
      <c r="U327" s="2220"/>
      <c r="V327" s="2220"/>
      <c r="W327" s="2220"/>
      <c r="X327" s="2220"/>
      <c r="Y327" s="2220"/>
      <c r="BH327" s="1421"/>
      <c r="BI327" s="1421"/>
      <c r="BJ327" s="1421"/>
      <c r="BK327" s="1421"/>
      <c r="BL327" s="1421"/>
      <c r="BM327" s="1421"/>
      <c r="BN327" s="1421"/>
      <c r="BO327" s="1421"/>
      <c r="BP327" s="2131"/>
      <c r="BQ327" s="2132"/>
    </row>
    <row r="328" spans="1:69">
      <c r="A328" s="2219"/>
      <c r="B328" s="2220"/>
      <c r="C328" s="2220"/>
      <c r="D328" s="2219"/>
      <c r="E328" s="2220"/>
      <c r="F328" s="2220"/>
      <c r="G328" s="2220"/>
      <c r="H328" s="2220"/>
      <c r="I328" s="2220"/>
      <c r="J328" s="2220"/>
      <c r="K328" s="2220"/>
      <c r="L328" s="2220"/>
      <c r="M328" s="2220"/>
      <c r="N328" s="2220"/>
      <c r="O328" s="2220"/>
      <c r="P328" s="2220"/>
      <c r="Q328" s="2220"/>
      <c r="R328" s="2220"/>
      <c r="S328" s="2219"/>
      <c r="T328" s="2221"/>
      <c r="U328" s="2220"/>
      <c r="V328" s="2220"/>
      <c r="W328" s="2220"/>
      <c r="X328" s="2220"/>
      <c r="Y328" s="2220"/>
      <c r="BH328" s="1421"/>
      <c r="BI328" s="1421"/>
      <c r="BJ328" s="1421"/>
      <c r="BK328" s="1421"/>
      <c r="BL328" s="1421"/>
      <c r="BM328" s="1421"/>
      <c r="BN328" s="1421"/>
      <c r="BO328" s="1421"/>
      <c r="BP328" s="2131"/>
      <c r="BQ328" s="2132"/>
    </row>
    <row r="329" spans="1:69">
      <c r="A329" s="2219"/>
      <c r="B329" s="2220"/>
      <c r="C329" s="2220"/>
      <c r="D329" s="2219"/>
      <c r="E329" s="2220"/>
      <c r="F329" s="2220"/>
      <c r="G329" s="2220"/>
      <c r="H329" s="2220"/>
      <c r="I329" s="2220"/>
      <c r="J329" s="2220"/>
      <c r="K329" s="2220"/>
      <c r="L329" s="2220"/>
      <c r="M329" s="2220"/>
      <c r="N329" s="2220"/>
      <c r="O329" s="2220"/>
      <c r="P329" s="2220"/>
      <c r="Q329" s="2220"/>
      <c r="R329" s="2220"/>
      <c r="S329" s="2219"/>
      <c r="T329" s="2221"/>
      <c r="U329" s="2220"/>
      <c r="V329" s="2220"/>
      <c r="W329" s="2220"/>
      <c r="X329" s="2220"/>
      <c r="Y329" s="2220"/>
      <c r="BH329" s="1421"/>
      <c r="BI329" s="1421"/>
      <c r="BJ329" s="1421"/>
      <c r="BK329" s="1421"/>
      <c r="BL329" s="1421"/>
      <c r="BM329" s="1421"/>
      <c r="BN329" s="1421"/>
      <c r="BO329" s="1421"/>
      <c r="BP329" s="2131"/>
      <c r="BQ329" s="2134"/>
    </row>
    <row r="330" spans="1:69">
      <c r="A330" s="2219"/>
      <c r="B330" s="2220"/>
      <c r="C330" s="2220"/>
      <c r="D330" s="2219"/>
      <c r="E330" s="2220"/>
      <c r="F330" s="2220"/>
      <c r="G330" s="2220"/>
      <c r="H330" s="2220"/>
      <c r="I330" s="2220"/>
      <c r="J330" s="2220"/>
      <c r="K330" s="2220"/>
      <c r="L330" s="2220"/>
      <c r="M330" s="2220"/>
      <c r="N330" s="2220"/>
      <c r="O330" s="2220"/>
      <c r="P330" s="2220"/>
      <c r="Q330" s="2220"/>
      <c r="R330" s="2220"/>
      <c r="S330" s="2219"/>
      <c r="T330" s="2221"/>
      <c r="U330" s="2220"/>
      <c r="V330" s="2220"/>
      <c r="W330" s="2220"/>
      <c r="X330" s="2220"/>
      <c r="Y330" s="2220"/>
      <c r="BH330" s="1421"/>
      <c r="BI330" s="1421"/>
      <c r="BJ330" s="1421"/>
      <c r="BK330" s="1421"/>
      <c r="BL330" s="1421"/>
      <c r="BM330" s="1421"/>
      <c r="BN330" s="1421"/>
      <c r="BO330" s="1421"/>
      <c r="BP330" s="2131"/>
      <c r="BQ330" s="2132"/>
    </row>
    <row r="331" spans="1:69">
      <c r="A331" s="2219"/>
      <c r="B331" s="2220"/>
      <c r="C331" s="2220"/>
      <c r="D331" s="2219"/>
      <c r="E331" s="2220"/>
      <c r="F331" s="2220"/>
      <c r="G331" s="2220"/>
      <c r="H331" s="2220"/>
      <c r="I331" s="2220"/>
      <c r="J331" s="2220"/>
      <c r="K331" s="2220"/>
      <c r="L331" s="2220"/>
      <c r="M331" s="2220"/>
      <c r="N331" s="2220"/>
      <c r="O331" s="2220"/>
      <c r="P331" s="2220"/>
      <c r="Q331" s="2220"/>
      <c r="R331" s="2220"/>
      <c r="S331" s="2219"/>
      <c r="T331" s="2221"/>
      <c r="U331" s="2220"/>
      <c r="V331" s="2220"/>
      <c r="W331" s="2220"/>
      <c r="X331" s="2220"/>
      <c r="Y331" s="2220"/>
      <c r="BH331" s="1421"/>
      <c r="BI331" s="1421"/>
      <c r="BJ331" s="1421"/>
      <c r="BK331" s="1421"/>
      <c r="BL331" s="1421"/>
      <c r="BM331" s="1421"/>
      <c r="BN331" s="1421"/>
      <c r="BO331" s="1421"/>
      <c r="BP331" s="2131"/>
      <c r="BQ331" s="2134"/>
    </row>
    <row r="332" spans="1:69">
      <c r="A332" s="2219"/>
      <c r="B332" s="2220"/>
      <c r="C332" s="2220"/>
      <c r="D332" s="2219"/>
      <c r="E332" s="2220"/>
      <c r="F332" s="2220"/>
      <c r="G332" s="2220"/>
      <c r="H332" s="2220"/>
      <c r="I332" s="2220"/>
      <c r="J332" s="2220"/>
      <c r="K332" s="2220"/>
      <c r="L332" s="2220"/>
      <c r="M332" s="2220"/>
      <c r="N332" s="2220"/>
      <c r="O332" s="2220"/>
      <c r="P332" s="2220"/>
      <c r="Q332" s="2220"/>
      <c r="R332" s="2220"/>
      <c r="S332" s="2219"/>
      <c r="T332" s="2221"/>
      <c r="U332" s="2220"/>
      <c r="V332" s="2220"/>
      <c r="W332" s="2220"/>
      <c r="X332" s="2220"/>
      <c r="Y332" s="2220"/>
      <c r="BH332" s="1421"/>
      <c r="BI332" s="1421"/>
      <c r="BJ332" s="1421"/>
      <c r="BK332" s="1421"/>
      <c r="BL332" s="1421"/>
      <c r="BM332" s="1421"/>
      <c r="BN332" s="1421"/>
      <c r="BO332" s="1421"/>
      <c r="BP332" s="2131"/>
      <c r="BQ332" s="2132"/>
    </row>
    <row r="333" spans="1:69">
      <c r="A333" s="2219"/>
      <c r="B333" s="2220"/>
      <c r="C333" s="2220"/>
      <c r="D333" s="2219"/>
      <c r="E333" s="2220"/>
      <c r="F333" s="2220"/>
      <c r="G333" s="2220"/>
      <c r="H333" s="2220"/>
      <c r="I333" s="2220"/>
      <c r="J333" s="2220"/>
      <c r="K333" s="2220"/>
      <c r="L333" s="2220"/>
      <c r="M333" s="2220"/>
      <c r="N333" s="2220"/>
      <c r="O333" s="2220"/>
      <c r="P333" s="2220"/>
      <c r="Q333" s="2220"/>
      <c r="R333" s="2220"/>
      <c r="S333" s="2219"/>
      <c r="T333" s="2221"/>
      <c r="U333" s="2220"/>
      <c r="V333" s="2220"/>
      <c r="W333" s="2220"/>
      <c r="X333" s="2220"/>
      <c r="Y333" s="2220"/>
      <c r="BH333" s="1421"/>
      <c r="BI333" s="1421"/>
      <c r="BJ333" s="1421"/>
      <c r="BK333" s="1421"/>
      <c r="BL333" s="1421"/>
      <c r="BM333" s="1421"/>
      <c r="BN333" s="1421"/>
      <c r="BO333" s="1421"/>
      <c r="BP333" s="2131"/>
      <c r="BQ333" s="2132"/>
    </row>
    <row r="334" spans="1:69">
      <c r="A334" s="2219"/>
      <c r="B334" s="2220"/>
      <c r="C334" s="2220"/>
      <c r="D334" s="2219"/>
      <c r="E334" s="2220"/>
      <c r="F334" s="2220"/>
      <c r="G334" s="2220"/>
      <c r="H334" s="2220"/>
      <c r="I334" s="2220"/>
      <c r="J334" s="2220"/>
      <c r="K334" s="2220"/>
      <c r="L334" s="2220"/>
      <c r="M334" s="2220"/>
      <c r="N334" s="2220"/>
      <c r="O334" s="2220"/>
      <c r="P334" s="2220"/>
      <c r="Q334" s="2220"/>
      <c r="R334" s="2220"/>
      <c r="S334" s="2219"/>
      <c r="T334" s="2221"/>
      <c r="U334" s="2220"/>
      <c r="V334" s="2220"/>
      <c r="W334" s="2220"/>
      <c r="X334" s="2220"/>
      <c r="Y334" s="2220"/>
      <c r="BH334" s="1421"/>
      <c r="BI334" s="1421"/>
      <c r="BJ334" s="1421"/>
      <c r="BK334" s="1421"/>
      <c r="BL334" s="1421"/>
      <c r="BM334" s="1421"/>
      <c r="BN334" s="1421"/>
      <c r="BO334" s="1421"/>
      <c r="BP334" s="2131"/>
      <c r="BQ334" s="2134"/>
    </row>
    <row r="335" spans="1:69">
      <c r="A335" s="2219"/>
      <c r="B335" s="2220"/>
      <c r="C335" s="2220"/>
      <c r="D335" s="2219"/>
      <c r="E335" s="2220"/>
      <c r="F335" s="2220"/>
      <c r="G335" s="2220"/>
      <c r="H335" s="2220"/>
      <c r="I335" s="2220"/>
      <c r="J335" s="2220"/>
      <c r="K335" s="2220"/>
      <c r="L335" s="2220"/>
      <c r="M335" s="2220"/>
      <c r="N335" s="2220"/>
      <c r="O335" s="2220"/>
      <c r="P335" s="2220"/>
      <c r="Q335" s="2220"/>
      <c r="R335" s="2220"/>
      <c r="S335" s="2219"/>
      <c r="T335" s="2221"/>
      <c r="U335" s="2220"/>
      <c r="V335" s="2220"/>
      <c r="W335" s="2220"/>
      <c r="X335" s="2220"/>
      <c r="Y335" s="2220"/>
      <c r="BH335" s="1421"/>
      <c r="BI335" s="1421"/>
      <c r="BJ335" s="1421"/>
      <c r="BK335" s="1421"/>
      <c r="BL335" s="1421"/>
      <c r="BM335" s="1421"/>
      <c r="BN335" s="1421"/>
      <c r="BO335" s="1421"/>
      <c r="BP335" s="2131"/>
      <c r="BQ335" s="2132"/>
    </row>
    <row r="336" spans="1:69">
      <c r="A336" s="2219"/>
      <c r="B336" s="2220"/>
      <c r="C336" s="2220"/>
      <c r="D336" s="2219"/>
      <c r="E336" s="2220"/>
      <c r="F336" s="2220"/>
      <c r="G336" s="2220"/>
      <c r="H336" s="2220"/>
      <c r="I336" s="2220"/>
      <c r="J336" s="2220"/>
      <c r="K336" s="2220"/>
      <c r="L336" s="2220"/>
      <c r="M336" s="2220"/>
      <c r="N336" s="2220"/>
      <c r="O336" s="2220"/>
      <c r="P336" s="2220"/>
      <c r="Q336" s="2220"/>
      <c r="R336" s="2220"/>
      <c r="S336" s="2219"/>
      <c r="T336" s="2221"/>
      <c r="U336" s="2220"/>
      <c r="V336" s="2220"/>
      <c r="W336" s="2220"/>
      <c r="X336" s="2220"/>
      <c r="Y336" s="2220"/>
      <c r="BH336" s="1421"/>
      <c r="BI336" s="1421"/>
      <c r="BJ336" s="1421"/>
      <c r="BK336" s="1421"/>
      <c r="BL336" s="1421"/>
      <c r="BM336" s="1421"/>
      <c r="BN336" s="1421"/>
      <c r="BO336" s="1421"/>
      <c r="BP336" s="2131"/>
      <c r="BQ336" s="2134"/>
    </row>
    <row r="337" spans="1:69">
      <c r="A337" s="2219"/>
      <c r="B337" s="2220"/>
      <c r="C337" s="2220"/>
      <c r="D337" s="2219"/>
      <c r="E337" s="2220"/>
      <c r="F337" s="2220"/>
      <c r="G337" s="2220"/>
      <c r="H337" s="2220"/>
      <c r="I337" s="2220"/>
      <c r="J337" s="2220"/>
      <c r="K337" s="2220"/>
      <c r="L337" s="2220"/>
      <c r="M337" s="2220"/>
      <c r="N337" s="2220"/>
      <c r="O337" s="2220"/>
      <c r="P337" s="2220"/>
      <c r="Q337" s="2220"/>
      <c r="R337" s="2220"/>
      <c r="S337" s="2219"/>
      <c r="T337" s="2221"/>
      <c r="U337" s="2220"/>
      <c r="V337" s="2220"/>
      <c r="W337" s="2220"/>
      <c r="X337" s="2220"/>
      <c r="Y337" s="2220"/>
      <c r="BH337" s="1421"/>
      <c r="BI337" s="1421"/>
      <c r="BJ337" s="1421"/>
      <c r="BK337" s="1421"/>
      <c r="BL337" s="1421"/>
      <c r="BM337" s="1421"/>
      <c r="BN337" s="1421"/>
      <c r="BO337" s="1421"/>
      <c r="BP337" s="2131"/>
      <c r="BQ337" s="2132"/>
    </row>
    <row r="338" spans="1:69">
      <c r="A338" s="2219"/>
      <c r="B338" s="2220"/>
      <c r="C338" s="2220"/>
      <c r="D338" s="2219"/>
      <c r="E338" s="2220"/>
      <c r="F338" s="2220"/>
      <c r="G338" s="2220"/>
      <c r="H338" s="2220"/>
      <c r="I338" s="2220"/>
      <c r="J338" s="2220"/>
      <c r="K338" s="2220"/>
      <c r="L338" s="2220"/>
      <c r="M338" s="2220"/>
      <c r="N338" s="2220"/>
      <c r="O338" s="2220"/>
      <c r="P338" s="2220"/>
      <c r="Q338" s="2220"/>
      <c r="R338" s="2220"/>
      <c r="S338" s="2219"/>
      <c r="T338" s="2221"/>
      <c r="U338" s="2220"/>
      <c r="V338" s="2220"/>
      <c r="W338" s="2220"/>
      <c r="X338" s="2220"/>
      <c r="Y338" s="2220"/>
      <c r="BH338" s="1421"/>
      <c r="BI338" s="1421"/>
      <c r="BJ338" s="1421"/>
      <c r="BK338" s="1421"/>
      <c r="BL338" s="1421"/>
      <c r="BM338" s="1421"/>
      <c r="BN338" s="1421"/>
      <c r="BO338" s="1421"/>
      <c r="BP338" s="2131"/>
      <c r="BQ338" s="2134"/>
    </row>
    <row r="339" spans="1:69">
      <c r="A339" s="2219"/>
      <c r="B339" s="2220"/>
      <c r="C339" s="2220"/>
      <c r="D339" s="2219"/>
      <c r="E339" s="2220"/>
      <c r="F339" s="2220"/>
      <c r="G339" s="2220"/>
      <c r="H339" s="2220"/>
      <c r="I339" s="2220"/>
      <c r="J339" s="2220"/>
      <c r="K339" s="2220"/>
      <c r="L339" s="2220"/>
      <c r="M339" s="2220"/>
      <c r="N339" s="2220"/>
      <c r="O339" s="2220"/>
      <c r="P339" s="2220"/>
      <c r="Q339" s="2220"/>
      <c r="R339" s="2220"/>
      <c r="S339" s="2219"/>
      <c r="T339" s="2221"/>
      <c r="U339" s="2220"/>
      <c r="V339" s="2220"/>
      <c r="W339" s="2220"/>
      <c r="X339" s="2220"/>
      <c r="Y339" s="2220"/>
    </row>
    <row r="340" spans="1:69">
      <c r="A340" s="2219"/>
      <c r="B340" s="2220"/>
      <c r="C340" s="2220"/>
      <c r="D340" s="2219"/>
      <c r="E340" s="2220"/>
      <c r="F340" s="2220"/>
      <c r="G340" s="2220"/>
      <c r="H340" s="2220"/>
      <c r="I340" s="2220"/>
      <c r="J340" s="2220"/>
      <c r="K340" s="2220"/>
      <c r="L340" s="2220"/>
      <c r="M340" s="2220"/>
      <c r="N340" s="2220"/>
      <c r="O340" s="2220"/>
      <c r="P340" s="2220"/>
      <c r="Q340" s="2220"/>
      <c r="R340" s="2220"/>
      <c r="S340" s="2219"/>
      <c r="T340" s="2221"/>
      <c r="U340" s="2220"/>
      <c r="V340" s="2220"/>
      <c r="W340" s="2220"/>
      <c r="X340" s="2220"/>
      <c r="Y340" s="2220"/>
    </row>
    <row r="341" spans="1:69">
      <c r="A341" s="2219"/>
      <c r="B341" s="2220"/>
      <c r="C341" s="2220"/>
      <c r="D341" s="2219"/>
      <c r="E341" s="2220"/>
      <c r="F341" s="2220"/>
      <c r="G341" s="2220"/>
      <c r="H341" s="2220"/>
      <c r="I341" s="2220"/>
      <c r="J341" s="2220"/>
      <c r="K341" s="2220"/>
      <c r="L341" s="2220"/>
      <c r="M341" s="2220"/>
      <c r="N341" s="2220"/>
      <c r="O341" s="2220"/>
      <c r="P341" s="2220"/>
      <c r="Q341" s="2220"/>
      <c r="R341" s="2220"/>
      <c r="S341" s="2219"/>
      <c r="T341" s="2221"/>
      <c r="U341" s="2220"/>
      <c r="V341" s="2220"/>
      <c r="W341" s="2220"/>
      <c r="X341" s="2220"/>
      <c r="Y341" s="2220"/>
    </row>
    <row r="342" spans="1:69">
      <c r="A342" s="2219"/>
      <c r="B342" s="2220"/>
      <c r="C342" s="2220"/>
      <c r="D342" s="2219"/>
      <c r="E342" s="2220"/>
      <c r="F342" s="2220"/>
      <c r="G342" s="2220"/>
      <c r="H342" s="2220"/>
      <c r="I342" s="2220"/>
      <c r="J342" s="2220"/>
      <c r="K342" s="2220"/>
      <c r="L342" s="2220"/>
      <c r="M342" s="2220"/>
      <c r="N342" s="2220"/>
      <c r="O342" s="2220"/>
      <c r="P342" s="2220"/>
      <c r="Q342" s="2220"/>
      <c r="R342" s="2220"/>
      <c r="S342" s="2219"/>
      <c r="T342" s="2221"/>
      <c r="U342" s="2220"/>
      <c r="V342" s="2220"/>
      <c r="W342" s="2220"/>
      <c r="X342" s="2220"/>
      <c r="Y342" s="2220"/>
    </row>
    <row r="343" spans="1:69">
      <c r="A343" s="2219"/>
      <c r="B343" s="2220"/>
      <c r="C343" s="2220"/>
      <c r="D343" s="2219"/>
      <c r="E343" s="2220"/>
      <c r="F343" s="2220"/>
      <c r="G343" s="2220"/>
      <c r="H343" s="2220"/>
      <c r="I343" s="2220"/>
      <c r="J343" s="2220"/>
      <c r="K343" s="2220"/>
      <c r="L343" s="2220"/>
      <c r="M343" s="2220"/>
      <c r="N343" s="2220"/>
      <c r="O343" s="2220"/>
      <c r="P343" s="2220"/>
      <c r="Q343" s="2220"/>
      <c r="R343" s="2220"/>
      <c r="S343" s="2219"/>
      <c r="T343" s="2221"/>
      <c r="U343" s="2220"/>
      <c r="V343" s="2220"/>
      <c r="W343" s="2220"/>
      <c r="X343" s="2220"/>
      <c r="Y343" s="2220"/>
    </row>
    <row r="344" spans="1:69">
      <c r="A344" s="2219"/>
      <c r="B344" s="2220"/>
      <c r="C344" s="2220"/>
      <c r="D344" s="2219"/>
      <c r="E344" s="2220"/>
      <c r="F344" s="2220"/>
      <c r="G344" s="2220"/>
      <c r="H344" s="2220"/>
      <c r="I344" s="2220"/>
      <c r="J344" s="2220"/>
      <c r="K344" s="2220"/>
      <c r="L344" s="2220"/>
      <c r="M344" s="2220"/>
      <c r="N344" s="2220"/>
      <c r="O344" s="2220"/>
      <c r="P344" s="2220"/>
      <c r="Q344" s="2220"/>
      <c r="R344" s="2220"/>
      <c r="S344" s="2219"/>
      <c r="T344" s="2221"/>
      <c r="U344" s="2220"/>
      <c r="V344" s="2220"/>
      <c r="W344" s="2220"/>
      <c r="X344" s="2220"/>
      <c r="Y344" s="2220"/>
    </row>
    <row r="345" spans="1:69">
      <c r="A345" s="2219"/>
      <c r="B345" s="2220"/>
      <c r="C345" s="2220"/>
      <c r="D345" s="2219"/>
      <c r="E345" s="2220"/>
      <c r="F345" s="2220"/>
      <c r="G345" s="2220"/>
      <c r="H345" s="2220"/>
      <c r="I345" s="2220"/>
      <c r="J345" s="2220"/>
      <c r="K345" s="2220"/>
      <c r="L345" s="2220"/>
      <c r="M345" s="2220"/>
      <c r="N345" s="2220"/>
      <c r="O345" s="2220"/>
      <c r="P345" s="2220"/>
      <c r="Q345" s="2220"/>
      <c r="R345" s="2220"/>
      <c r="S345" s="2219"/>
      <c r="T345" s="2221"/>
      <c r="U345" s="2220"/>
      <c r="V345" s="2220"/>
      <c r="W345" s="2220"/>
      <c r="X345" s="2220"/>
      <c r="Y345" s="2220"/>
    </row>
    <row r="346" spans="1:69">
      <c r="A346" s="2219"/>
      <c r="B346" s="2220"/>
      <c r="C346" s="2220"/>
      <c r="D346" s="2219"/>
      <c r="E346" s="2220"/>
      <c r="F346" s="2220"/>
      <c r="G346" s="2220"/>
      <c r="H346" s="2220"/>
      <c r="I346" s="2220"/>
      <c r="J346" s="2220"/>
      <c r="K346" s="2220"/>
      <c r="L346" s="2220"/>
      <c r="M346" s="2220"/>
      <c r="N346" s="2220"/>
      <c r="O346" s="2220"/>
      <c r="P346" s="2220"/>
      <c r="Q346" s="2220"/>
      <c r="R346" s="2220"/>
      <c r="S346" s="2219"/>
      <c r="T346" s="2221"/>
      <c r="U346" s="2220"/>
      <c r="V346" s="2220"/>
      <c r="W346" s="2220"/>
      <c r="X346" s="2220"/>
      <c r="Y346" s="2220"/>
    </row>
    <row r="347" spans="1:69">
      <c r="A347" s="2219"/>
      <c r="B347" s="2220"/>
      <c r="C347" s="2220"/>
      <c r="D347" s="2219"/>
      <c r="E347" s="2220"/>
      <c r="F347" s="2220"/>
      <c r="G347" s="2220"/>
      <c r="H347" s="2220"/>
      <c r="I347" s="2220"/>
      <c r="J347" s="2220"/>
      <c r="K347" s="2220"/>
      <c r="L347" s="2220"/>
      <c r="M347" s="2220"/>
      <c r="N347" s="2220"/>
      <c r="O347" s="2220"/>
      <c r="P347" s="2220"/>
      <c r="Q347" s="2220"/>
      <c r="R347" s="2220"/>
      <c r="S347" s="2219"/>
      <c r="T347" s="2221"/>
      <c r="U347" s="2220"/>
      <c r="V347" s="2220"/>
      <c r="W347" s="2220"/>
      <c r="X347" s="2220"/>
      <c r="Y347" s="2220"/>
    </row>
    <row r="348" spans="1:69">
      <c r="A348" s="2219"/>
      <c r="B348" s="2220"/>
      <c r="C348" s="2220"/>
      <c r="D348" s="2219"/>
      <c r="E348" s="2220"/>
      <c r="F348" s="2220"/>
      <c r="G348" s="2220"/>
      <c r="H348" s="2220"/>
      <c r="I348" s="2220"/>
      <c r="J348" s="2220"/>
      <c r="K348" s="2220"/>
      <c r="L348" s="2220"/>
      <c r="M348" s="2220"/>
      <c r="N348" s="2220"/>
      <c r="O348" s="2220"/>
      <c r="P348" s="2220"/>
      <c r="Q348" s="2220"/>
      <c r="R348" s="2220"/>
      <c r="S348" s="2219"/>
      <c r="T348" s="2221"/>
      <c r="U348" s="2220"/>
      <c r="V348" s="2220"/>
      <c r="W348" s="2220"/>
      <c r="X348" s="2220"/>
      <c r="Y348" s="2220"/>
    </row>
    <row r="349" spans="1:69">
      <c r="A349" s="2219"/>
      <c r="B349" s="2220"/>
      <c r="C349" s="2220"/>
      <c r="D349" s="2219"/>
      <c r="E349" s="2220"/>
      <c r="F349" s="2220"/>
      <c r="G349" s="2220"/>
      <c r="H349" s="2220"/>
      <c r="I349" s="2220"/>
      <c r="J349" s="2220"/>
      <c r="K349" s="2220"/>
      <c r="L349" s="2220"/>
      <c r="M349" s="2220"/>
      <c r="N349" s="2220"/>
      <c r="O349" s="2220"/>
      <c r="P349" s="2220"/>
      <c r="Q349" s="2220"/>
      <c r="R349" s="2220"/>
      <c r="S349" s="2219"/>
      <c r="T349" s="2221"/>
      <c r="U349" s="2220"/>
      <c r="V349" s="2220"/>
      <c r="W349" s="2220"/>
      <c r="X349" s="2220"/>
      <c r="Y349" s="2220"/>
    </row>
    <row r="350" spans="1:69">
      <c r="A350" s="2219"/>
      <c r="B350" s="2220"/>
      <c r="C350" s="2220"/>
      <c r="D350" s="2219"/>
      <c r="E350" s="2220"/>
      <c r="F350" s="2220"/>
      <c r="G350" s="2220"/>
      <c r="H350" s="2220"/>
      <c r="I350" s="2220"/>
      <c r="J350" s="2220"/>
      <c r="K350" s="2220"/>
      <c r="L350" s="2220"/>
      <c r="M350" s="2220"/>
      <c r="N350" s="2220"/>
      <c r="O350" s="2220"/>
      <c r="P350" s="2220"/>
      <c r="Q350" s="2220"/>
      <c r="R350" s="2220"/>
      <c r="S350" s="2219"/>
      <c r="T350" s="2221"/>
      <c r="U350" s="2220"/>
      <c r="V350" s="2220"/>
      <c r="W350" s="2220"/>
      <c r="X350" s="2220"/>
      <c r="Y350" s="2220"/>
    </row>
    <row r="351" spans="1:69">
      <c r="A351" s="2219"/>
      <c r="B351" s="2220"/>
      <c r="C351" s="2220"/>
      <c r="D351" s="2219"/>
      <c r="E351" s="2220"/>
      <c r="F351" s="2220"/>
      <c r="G351" s="2220"/>
      <c r="H351" s="2220"/>
      <c r="I351" s="2220"/>
      <c r="J351" s="2220"/>
      <c r="K351" s="2220"/>
      <c r="L351" s="2220"/>
      <c r="M351" s="2220"/>
      <c r="N351" s="2220"/>
      <c r="O351" s="2220"/>
      <c r="P351" s="2220"/>
      <c r="Q351" s="2220"/>
      <c r="R351" s="2220"/>
      <c r="S351" s="2219"/>
      <c r="T351" s="2221"/>
      <c r="U351" s="2220"/>
      <c r="V351" s="2220"/>
      <c r="W351" s="2220"/>
      <c r="X351" s="2220"/>
      <c r="Y351" s="2220"/>
    </row>
    <row r="352" spans="1:69">
      <c r="A352" s="2219"/>
      <c r="B352" s="2220"/>
      <c r="C352" s="2220"/>
      <c r="D352" s="2219"/>
      <c r="E352" s="2220"/>
      <c r="F352" s="2220"/>
      <c r="G352" s="2220"/>
      <c r="H352" s="2220"/>
      <c r="I352" s="2220"/>
      <c r="J352" s="2220"/>
      <c r="K352" s="2220"/>
      <c r="L352" s="2220"/>
      <c r="M352" s="2220"/>
      <c r="N352" s="2220"/>
      <c r="O352" s="2220"/>
      <c r="P352" s="2220"/>
      <c r="Q352" s="2220"/>
      <c r="R352" s="2220"/>
      <c r="S352" s="2219"/>
      <c r="T352" s="2221"/>
      <c r="U352" s="2220"/>
      <c r="V352" s="2220"/>
      <c r="W352" s="2220"/>
      <c r="X352" s="2220"/>
      <c r="Y352" s="2220"/>
    </row>
    <row r="353" spans="1:69">
      <c r="A353" s="2219"/>
      <c r="B353" s="2220"/>
      <c r="C353" s="2220"/>
      <c r="D353" s="2219"/>
      <c r="E353" s="2220"/>
      <c r="F353" s="2220"/>
      <c r="G353" s="2220"/>
      <c r="H353" s="2220"/>
      <c r="I353" s="2220"/>
      <c r="J353" s="2220"/>
      <c r="K353" s="2220"/>
      <c r="L353" s="2220"/>
      <c r="M353" s="2220"/>
      <c r="N353" s="2220"/>
      <c r="O353" s="2220"/>
      <c r="P353" s="2220"/>
      <c r="Q353" s="2220"/>
      <c r="R353" s="2220"/>
      <c r="S353" s="2219"/>
      <c r="T353" s="2221"/>
      <c r="U353" s="2220"/>
      <c r="V353" s="2220"/>
      <c r="W353" s="2220"/>
      <c r="X353" s="2220"/>
      <c r="Y353" s="2220"/>
    </row>
    <row r="354" spans="1:69">
      <c r="A354" s="2219"/>
      <c r="B354" s="2220"/>
      <c r="C354" s="2220"/>
      <c r="D354" s="2219"/>
      <c r="E354" s="2220"/>
      <c r="F354" s="2220"/>
      <c r="G354" s="2220"/>
      <c r="H354" s="2220"/>
      <c r="I354" s="2220"/>
      <c r="J354" s="2220"/>
      <c r="K354" s="2220"/>
      <c r="L354" s="2220"/>
      <c r="M354" s="2220"/>
      <c r="N354" s="2220"/>
      <c r="O354" s="2220"/>
      <c r="P354" s="2220"/>
      <c r="Q354" s="2220"/>
      <c r="R354" s="2220"/>
      <c r="S354" s="2219"/>
      <c r="T354" s="2221"/>
      <c r="U354" s="2220"/>
      <c r="V354" s="2220"/>
      <c r="W354" s="2220"/>
      <c r="X354" s="2220"/>
      <c r="Y354" s="2220"/>
    </row>
    <row r="355" spans="1:69">
      <c r="A355" s="2219"/>
      <c r="B355" s="2220"/>
      <c r="C355" s="2220"/>
      <c r="D355" s="2219"/>
      <c r="E355" s="2220"/>
      <c r="F355" s="2220"/>
      <c r="G355" s="2220"/>
      <c r="H355" s="2220"/>
      <c r="I355" s="2220"/>
      <c r="J355" s="2220"/>
      <c r="K355" s="2220"/>
      <c r="L355" s="2220"/>
      <c r="M355" s="2220"/>
      <c r="N355" s="2220"/>
      <c r="O355" s="2220"/>
      <c r="P355" s="2220"/>
      <c r="Q355" s="2220"/>
      <c r="R355" s="2220"/>
      <c r="S355" s="2219"/>
      <c r="T355" s="2221"/>
      <c r="U355" s="2220"/>
      <c r="V355" s="2220"/>
      <c r="W355" s="2220"/>
      <c r="X355" s="2220"/>
      <c r="Y355" s="2220"/>
    </row>
    <row r="356" spans="1:69">
      <c r="A356" s="2219"/>
      <c r="B356" s="2220"/>
      <c r="C356" s="2220"/>
      <c r="D356" s="2219"/>
      <c r="E356" s="2220"/>
      <c r="F356" s="2220"/>
      <c r="G356" s="2220"/>
      <c r="H356" s="2220"/>
      <c r="I356" s="2220"/>
      <c r="J356" s="2220"/>
      <c r="K356" s="2220"/>
      <c r="L356" s="2220"/>
      <c r="M356" s="2220"/>
      <c r="N356" s="2220"/>
      <c r="O356" s="2220"/>
      <c r="P356" s="2220"/>
      <c r="Q356" s="2220"/>
      <c r="R356" s="2220"/>
      <c r="S356" s="2219"/>
      <c r="T356" s="2221"/>
      <c r="U356" s="2220"/>
      <c r="V356" s="2220"/>
      <c r="W356" s="2220"/>
      <c r="X356" s="2220"/>
      <c r="Y356" s="2220"/>
    </row>
    <row r="357" spans="1:69">
      <c r="A357" s="2219"/>
      <c r="B357" s="2220"/>
      <c r="C357" s="2220"/>
      <c r="D357" s="2219"/>
      <c r="E357" s="2220"/>
      <c r="F357" s="2220"/>
      <c r="G357" s="2220"/>
      <c r="H357" s="2220"/>
      <c r="I357" s="2220"/>
      <c r="J357" s="2220"/>
      <c r="K357" s="2220"/>
      <c r="L357" s="2220"/>
      <c r="M357" s="2220"/>
      <c r="N357" s="2220"/>
      <c r="O357" s="2220"/>
      <c r="P357" s="2220"/>
      <c r="Q357" s="2220"/>
      <c r="R357" s="2220"/>
      <c r="S357" s="2219"/>
      <c r="T357" s="2221"/>
      <c r="U357" s="2220"/>
      <c r="V357" s="2220"/>
      <c r="W357" s="2220"/>
      <c r="X357" s="2220"/>
      <c r="Y357" s="2220"/>
    </row>
    <row r="358" spans="1:69">
      <c r="A358" s="2219"/>
      <c r="B358" s="2220"/>
      <c r="C358" s="2220"/>
      <c r="D358" s="2219"/>
      <c r="E358" s="2220"/>
      <c r="F358" s="2220"/>
      <c r="G358" s="2220"/>
      <c r="H358" s="2220"/>
      <c r="I358" s="2220"/>
      <c r="J358" s="2220"/>
      <c r="K358" s="2220"/>
      <c r="L358" s="2220"/>
      <c r="M358" s="2220"/>
      <c r="N358" s="2220"/>
      <c r="O358" s="2220"/>
      <c r="P358" s="2220"/>
      <c r="Q358" s="2220"/>
      <c r="R358" s="2220"/>
      <c r="S358" s="2219"/>
      <c r="T358" s="2221"/>
      <c r="U358" s="2220"/>
      <c r="V358" s="2220"/>
      <c r="W358" s="2220"/>
      <c r="X358" s="2220"/>
      <c r="Y358" s="2220"/>
    </row>
    <row r="359" spans="1:69">
      <c r="A359" s="2219"/>
      <c r="B359" s="2220"/>
      <c r="C359" s="2220"/>
      <c r="D359" s="2219"/>
      <c r="E359" s="2220"/>
      <c r="F359" s="2220"/>
      <c r="G359" s="2220"/>
      <c r="H359" s="2220"/>
      <c r="I359" s="2220"/>
      <c r="J359" s="2220"/>
      <c r="K359" s="2220"/>
      <c r="L359" s="2220"/>
      <c r="M359" s="2220"/>
      <c r="N359" s="2220"/>
      <c r="O359" s="2220"/>
      <c r="P359" s="2220"/>
      <c r="Q359" s="2220"/>
      <c r="R359" s="2220"/>
      <c r="S359" s="2219"/>
      <c r="T359" s="2221"/>
      <c r="U359" s="2220"/>
      <c r="V359" s="2220"/>
      <c r="W359" s="2220"/>
      <c r="X359" s="2220"/>
      <c r="Y359" s="2220"/>
    </row>
    <row r="360" spans="1:69">
      <c r="A360" s="2219"/>
      <c r="B360" s="2220"/>
      <c r="C360" s="2220"/>
      <c r="D360" s="2219"/>
      <c r="E360" s="2220"/>
      <c r="F360" s="2220"/>
      <c r="G360" s="2220"/>
      <c r="H360" s="2220"/>
      <c r="I360" s="2220"/>
      <c r="J360" s="2220"/>
      <c r="K360" s="2220"/>
      <c r="L360" s="2220"/>
      <c r="M360" s="2220"/>
      <c r="N360" s="2220"/>
      <c r="O360" s="2220"/>
      <c r="P360" s="2220"/>
      <c r="Q360" s="2220"/>
      <c r="R360" s="2220"/>
      <c r="S360" s="2219"/>
      <c r="T360" s="2221"/>
      <c r="U360" s="2220"/>
      <c r="V360" s="2220"/>
      <c r="W360" s="2220"/>
      <c r="X360" s="2220"/>
      <c r="Y360" s="2220"/>
      <c r="BH360" s="1421"/>
      <c r="BI360" s="1421"/>
      <c r="BJ360" s="1421"/>
      <c r="BK360" s="1421"/>
      <c r="BL360" s="1421"/>
      <c r="BM360" s="1421"/>
      <c r="BN360" s="1421"/>
      <c r="BO360" s="1421"/>
      <c r="BP360" s="2136"/>
      <c r="BQ360" s="2132"/>
    </row>
    <row r="361" spans="1:69">
      <c r="A361" s="2219"/>
      <c r="B361" s="2220"/>
      <c r="C361" s="2220"/>
      <c r="D361" s="2219"/>
      <c r="E361" s="2220"/>
      <c r="F361" s="2220"/>
      <c r="G361" s="2220"/>
      <c r="H361" s="2220"/>
      <c r="I361" s="2220"/>
      <c r="J361" s="2220"/>
      <c r="K361" s="2220"/>
      <c r="L361" s="2220"/>
      <c r="M361" s="2220"/>
      <c r="N361" s="2220"/>
      <c r="O361" s="2220"/>
      <c r="P361" s="2220"/>
      <c r="Q361" s="2220"/>
      <c r="R361" s="2220"/>
      <c r="S361" s="2219"/>
      <c r="T361" s="2221"/>
      <c r="U361" s="2220"/>
      <c r="V361" s="2220"/>
      <c r="W361" s="2220"/>
      <c r="X361" s="2220"/>
      <c r="Y361" s="2220"/>
      <c r="BH361" s="1421"/>
      <c r="BI361" s="1421"/>
      <c r="BJ361" s="1421"/>
      <c r="BK361" s="1421"/>
      <c r="BL361" s="1421"/>
      <c r="BM361" s="1421"/>
      <c r="BN361" s="1421"/>
      <c r="BO361" s="1421"/>
      <c r="BP361" s="2136"/>
      <c r="BQ361" s="2134"/>
    </row>
    <row r="362" spans="1:69">
      <c r="A362" s="2219"/>
      <c r="B362" s="2220"/>
      <c r="C362" s="2220"/>
      <c r="D362" s="2219"/>
      <c r="E362" s="2220"/>
      <c r="F362" s="2220"/>
      <c r="G362" s="2220"/>
      <c r="H362" s="2220"/>
      <c r="I362" s="2220"/>
      <c r="J362" s="2220"/>
      <c r="K362" s="2220"/>
      <c r="L362" s="2220"/>
      <c r="M362" s="2220"/>
      <c r="N362" s="2220"/>
      <c r="O362" s="2220"/>
      <c r="P362" s="2220"/>
      <c r="Q362" s="2220"/>
      <c r="R362" s="2220"/>
      <c r="S362" s="2219"/>
      <c r="T362" s="2221"/>
      <c r="U362" s="2220"/>
      <c r="V362" s="2220"/>
      <c r="W362" s="2220"/>
      <c r="X362" s="2220"/>
      <c r="Y362" s="2220"/>
      <c r="BH362" s="1421"/>
      <c r="BI362" s="1421"/>
      <c r="BJ362" s="1421"/>
      <c r="BK362" s="1421"/>
      <c r="BL362" s="1421"/>
      <c r="BM362" s="1421"/>
      <c r="BN362" s="1421"/>
      <c r="BO362" s="1421"/>
      <c r="BP362" s="2133"/>
      <c r="BQ362" s="2134"/>
    </row>
    <row r="363" spans="1:69">
      <c r="BH363" s="1421"/>
      <c r="BI363" s="1421"/>
      <c r="BJ363" s="1421"/>
      <c r="BK363" s="1421"/>
      <c r="BL363" s="1421"/>
      <c r="BM363" s="1421"/>
      <c r="BN363" s="1421"/>
      <c r="BO363" s="1421"/>
      <c r="BP363" s="2131"/>
      <c r="BQ363" s="2132"/>
    </row>
    <row r="364" spans="1:69">
      <c r="BH364" s="1421"/>
      <c r="BI364" s="1421"/>
      <c r="BJ364" s="1421"/>
      <c r="BK364" s="1421"/>
      <c r="BL364" s="1421"/>
      <c r="BM364" s="1421"/>
      <c r="BN364" s="1421"/>
      <c r="BO364" s="1421"/>
      <c r="BP364" s="2131"/>
      <c r="BQ364" s="2132"/>
    </row>
    <row r="365" spans="1:69">
      <c r="BH365" s="1421"/>
      <c r="BI365" s="1421"/>
      <c r="BJ365" s="1421"/>
      <c r="BK365" s="1421"/>
      <c r="BL365" s="1421"/>
      <c r="BM365" s="1421"/>
      <c r="BN365" s="1421"/>
      <c r="BO365" s="1421"/>
      <c r="BP365" s="2131"/>
      <c r="BQ365" s="2132"/>
    </row>
    <row r="366" spans="1:69">
      <c r="BH366" s="1421"/>
      <c r="BI366" s="1421"/>
      <c r="BJ366" s="1421"/>
      <c r="BK366" s="1421"/>
      <c r="BL366" s="1421"/>
      <c r="BM366" s="1421"/>
      <c r="BN366" s="1421"/>
      <c r="BO366" s="1421"/>
      <c r="BP366" s="2131"/>
      <c r="BQ366" s="2132"/>
    </row>
    <row r="367" spans="1:69">
      <c r="BH367" s="1421"/>
      <c r="BI367" s="1421"/>
      <c r="BJ367" s="1421"/>
      <c r="BK367" s="1421"/>
      <c r="BL367" s="1421"/>
      <c r="BM367" s="1421"/>
      <c r="BN367" s="1421"/>
      <c r="BO367" s="1421"/>
      <c r="BP367" s="2131"/>
      <c r="BQ367" s="2132"/>
    </row>
    <row r="368" spans="1:69">
      <c r="BH368" s="1421"/>
      <c r="BI368" s="1421"/>
      <c r="BJ368" s="1421"/>
      <c r="BK368" s="1421"/>
      <c r="BL368" s="1421"/>
      <c r="BM368" s="1421"/>
      <c r="BN368" s="1421"/>
      <c r="BO368" s="1421"/>
      <c r="BP368" s="2131"/>
      <c r="BQ368" s="2139"/>
    </row>
    <row r="369" spans="60:69">
      <c r="BH369" s="1421"/>
      <c r="BI369" s="1421"/>
      <c r="BJ369" s="1421"/>
      <c r="BK369" s="1421"/>
      <c r="BL369" s="1421"/>
      <c r="BM369" s="1421"/>
      <c r="BN369" s="1421"/>
      <c r="BO369" s="1421"/>
      <c r="BP369" s="2136"/>
      <c r="BQ369" s="2132"/>
    </row>
    <row r="370" spans="60:69">
      <c r="BH370" s="1421"/>
      <c r="BI370" s="1421"/>
      <c r="BJ370" s="1421"/>
      <c r="BK370" s="1421"/>
      <c r="BL370" s="1421"/>
      <c r="BM370" s="1421"/>
      <c r="BN370" s="1421"/>
      <c r="BO370" s="1421"/>
      <c r="BP370" s="2133"/>
      <c r="BQ370" s="2132"/>
    </row>
    <row r="371" spans="60:69">
      <c r="BH371" s="1421"/>
      <c r="BI371" s="1421"/>
      <c r="BJ371" s="1421"/>
      <c r="BK371" s="1421"/>
      <c r="BL371" s="1421"/>
      <c r="BM371" s="1421"/>
      <c r="BN371" s="1421"/>
      <c r="BO371" s="1421"/>
      <c r="BP371" s="2135"/>
      <c r="BQ371" s="2132"/>
    </row>
    <row r="372" spans="60:69">
      <c r="BH372" s="1421"/>
      <c r="BI372" s="1421"/>
      <c r="BJ372" s="1421"/>
      <c r="BK372" s="1421"/>
      <c r="BL372" s="1421"/>
      <c r="BM372" s="1421"/>
      <c r="BN372" s="1421"/>
      <c r="BO372" s="1421"/>
      <c r="BP372" s="2135"/>
      <c r="BQ372" s="2132"/>
    </row>
  </sheetData>
  <sheetProtection sheet="1" formatCells="0" formatColumns="0" formatRows="0" selectLockedCells="1"/>
  <mergeCells count="57">
    <mergeCell ref="BL4:BL6"/>
    <mergeCell ref="BQ4:BQ6"/>
    <mergeCell ref="BR4:BR6"/>
    <mergeCell ref="G6:G7"/>
    <mergeCell ref="H6:H7"/>
    <mergeCell ref="I6:I7"/>
    <mergeCell ref="J6:J7"/>
    <mergeCell ref="K6:K7"/>
    <mergeCell ref="U6:V6"/>
    <mergeCell ref="X6:X7"/>
    <mergeCell ref="BJ4:BJ6"/>
    <mergeCell ref="BI4:BI6"/>
    <mergeCell ref="BO4:BO6"/>
    <mergeCell ref="BP4:BP6"/>
    <mergeCell ref="BK4:BK6"/>
    <mergeCell ref="A61:B64"/>
    <mergeCell ref="C61:V63"/>
    <mergeCell ref="C64:V64"/>
    <mergeCell ref="AC73:AD73"/>
    <mergeCell ref="AG6:AL6"/>
    <mergeCell ref="D6:F6"/>
    <mergeCell ref="M6:O6"/>
    <mergeCell ref="P6:P7"/>
    <mergeCell ref="Q6:Q7"/>
    <mergeCell ref="A57:B59"/>
    <mergeCell ref="C57:V59"/>
    <mergeCell ref="T54:T55"/>
    <mergeCell ref="V54:V55"/>
    <mergeCell ref="S6:T6"/>
    <mergeCell ref="L6:L7"/>
    <mergeCell ref="N1:O1"/>
    <mergeCell ref="N2:O2"/>
    <mergeCell ref="AV2:BF4"/>
    <mergeCell ref="A4:V4"/>
    <mergeCell ref="A5:V5"/>
    <mergeCell ref="AV5:AZ6"/>
    <mergeCell ref="BB5:BF6"/>
    <mergeCell ref="A6:A7"/>
    <mergeCell ref="X4:AS4"/>
    <mergeCell ref="X5:AS5"/>
    <mergeCell ref="R6:R7"/>
    <mergeCell ref="B6:B7"/>
    <mergeCell ref="C6:C7"/>
    <mergeCell ref="AN6:AS6"/>
    <mergeCell ref="Y6:Y7"/>
    <mergeCell ref="Z6:AE6"/>
    <mergeCell ref="BT4:BT6"/>
    <mergeCell ref="BM4:BM6"/>
    <mergeCell ref="BN4:BN6"/>
    <mergeCell ref="CA4:CA6"/>
    <mergeCell ref="CB4:CB6"/>
    <mergeCell ref="BU4:BU6"/>
    <mergeCell ref="BV4:BV6"/>
    <mergeCell ref="BW4:BW6"/>
    <mergeCell ref="BX4:BX6"/>
    <mergeCell ref="BY4:BY6"/>
    <mergeCell ref="BZ4:BZ6"/>
  </mergeCells>
  <conditionalFormatting sqref="BO122">
    <cfRule type="cellIs" dxfId="227" priority="31" operator="equal">
      <formula>90</formula>
    </cfRule>
    <cfRule type="cellIs" dxfId="226" priority="32" operator="equal">
      <formula>60</formula>
    </cfRule>
    <cfRule type="cellIs" dxfId="225" priority="33" operator="equal">
      <formula>15</formula>
    </cfRule>
  </conditionalFormatting>
  <conditionalFormatting sqref="BO18">
    <cfRule type="cellIs" dxfId="224" priority="28" operator="equal">
      <formula>90</formula>
    </cfRule>
    <cfRule type="cellIs" dxfId="223" priority="29" operator="equal">
      <formula>60</formula>
    </cfRule>
    <cfRule type="cellIs" dxfId="222" priority="30" operator="equal">
      <formula>15</formula>
    </cfRule>
  </conditionalFormatting>
  <conditionalFormatting sqref="BL111:BM124 BL133:BM138 BL142:BM142">
    <cfRule type="cellIs" dxfId="221" priority="27" operator="notEqual">
      <formula>20</formula>
    </cfRule>
  </conditionalFormatting>
  <conditionalFormatting sqref="BM125">
    <cfRule type="cellIs" dxfId="220" priority="23" operator="notEqual">
      <formula>20</formula>
    </cfRule>
  </conditionalFormatting>
  <conditionalFormatting sqref="BL18:BM26">
    <cfRule type="cellIs" dxfId="219" priority="21" operator="notEqual">
      <formula>20</formula>
    </cfRule>
  </conditionalFormatting>
  <conditionalFormatting sqref="BL71">
    <cfRule type="cellIs" dxfId="218" priority="20" operator="notEqual">
      <formula>20</formula>
    </cfRule>
  </conditionalFormatting>
  <conditionalFormatting sqref="BM60:BM61">
    <cfRule type="cellIs" dxfId="217" priority="16" operator="notEqual">
      <formula>20</formula>
    </cfRule>
  </conditionalFormatting>
  <conditionalFormatting sqref="BL51:BL52 BL54 BL46:BM49 BL72:BM81 BL56:BL59 BL62:BL69 BL126:BM130 BL17:BM17 BL83:BM100 BL103:BM109 BL27:BM44">
    <cfRule type="cellIs" dxfId="216" priority="26" operator="notEqual">
      <formula>20</formula>
    </cfRule>
  </conditionalFormatting>
  <conditionalFormatting sqref="BL125">
    <cfRule type="cellIs" dxfId="215" priority="25" operator="notEqual">
      <formula>20</formula>
    </cfRule>
  </conditionalFormatting>
  <conditionalFormatting sqref="BM51:BM52 BM54 BM56:BM59 BM62:BM69">
    <cfRule type="cellIs" dxfId="214" priority="24" operator="notEqual">
      <formula>20</formula>
    </cfRule>
  </conditionalFormatting>
  <conditionalFormatting sqref="BL50:BM50">
    <cfRule type="cellIs" dxfId="213" priority="22" operator="notEqual">
      <formula>20</formula>
    </cfRule>
  </conditionalFormatting>
  <conditionalFormatting sqref="BM71">
    <cfRule type="cellIs" dxfId="212" priority="19" operator="notEqual">
      <formula>20</formula>
    </cfRule>
  </conditionalFormatting>
  <conditionalFormatting sqref="BL55:BM55">
    <cfRule type="cellIs" dxfId="211" priority="18" operator="notEqual">
      <formula>20</formula>
    </cfRule>
  </conditionalFormatting>
  <conditionalFormatting sqref="BL60:BL61">
    <cfRule type="cellIs" dxfId="210" priority="17" operator="notEqual">
      <formula>20</formula>
    </cfRule>
  </conditionalFormatting>
  <conditionalFormatting sqref="BL82:BM82">
    <cfRule type="cellIs" dxfId="209" priority="15" operator="notEqual">
      <formula>20</formula>
    </cfRule>
  </conditionalFormatting>
  <conditionalFormatting sqref="BL101:BM102">
    <cfRule type="cellIs" dxfId="208" priority="14" operator="notEqual">
      <formula>20</formula>
    </cfRule>
  </conditionalFormatting>
  <conditionalFormatting sqref="BL70">
    <cfRule type="cellIs" dxfId="207" priority="13" operator="notEqual">
      <formula>20</formula>
    </cfRule>
  </conditionalFormatting>
  <conditionalFormatting sqref="BM70">
    <cfRule type="cellIs" dxfId="206" priority="12" operator="notEqual">
      <formula>20</formula>
    </cfRule>
  </conditionalFormatting>
  <conditionalFormatting sqref="BL139:BM139">
    <cfRule type="cellIs" dxfId="205" priority="11" operator="notEqual">
      <formula>20</formula>
    </cfRule>
  </conditionalFormatting>
  <conditionalFormatting sqref="BL110:BM110">
    <cfRule type="cellIs" dxfId="204" priority="10" operator="notEqual">
      <formula>20</formula>
    </cfRule>
  </conditionalFormatting>
  <conditionalFormatting sqref="BL53:BM53">
    <cfRule type="cellIs" dxfId="203" priority="9" operator="notEqual">
      <formula>20</formula>
    </cfRule>
  </conditionalFormatting>
  <conditionalFormatting sqref="BL45:BM45">
    <cfRule type="cellIs" dxfId="202" priority="8" operator="notEqual">
      <formula>20</formula>
    </cfRule>
  </conditionalFormatting>
  <conditionalFormatting sqref="BL131:BM131">
    <cfRule type="cellIs" dxfId="201" priority="7" operator="notEqual">
      <formula>20</formula>
    </cfRule>
  </conditionalFormatting>
  <conditionalFormatting sqref="BP111:BP130 BP71:BP109 BP133:BP138 BP142 BP46:BP69 BP17:BP44">
    <cfRule type="cellIs" dxfId="200" priority="4" operator="equal">
      <formula>90</formula>
    </cfRule>
    <cfRule type="cellIs" dxfId="199" priority="5" operator="equal">
      <formula>60</formula>
    </cfRule>
    <cfRule type="cellIs" dxfId="198" priority="6" operator="equal">
      <formula>15</formula>
    </cfRule>
  </conditionalFormatting>
  <conditionalFormatting sqref="BP45">
    <cfRule type="cellIs" dxfId="197" priority="1" operator="equal">
      <formula>90</formula>
    </cfRule>
    <cfRule type="cellIs" dxfId="196" priority="2" operator="equal">
      <formula>60</formula>
    </cfRule>
    <cfRule type="cellIs" dxfId="195" priority="3" operator="equal">
      <formula>15</formula>
    </cfRule>
  </conditionalFormatting>
  <dataValidations count="2">
    <dataValidation type="list" allowBlank="1" sqref="P8:P52">
      <formula1>"0,10,20,30,40,50,60,70,80,90,100"</formula1>
    </dataValidation>
    <dataValidation type="list" allowBlank="1" sqref="C8:C52">
      <formula1>$BH$7:$BH$217</formula1>
    </dataValidation>
  </dataValidations>
  <pageMargins left="0.31496062992125984" right="0.31496062992125984" top="0.31496062992125984" bottom="0.15748031496062992" header="0.31496062992125984" footer="0.31496062992125984"/>
  <pageSetup paperSize="9" scale="62" orientation="landscape" r:id="rId1"/>
  <colBreaks count="1" manualBreakCount="1">
    <brk id="22" max="33"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AO8:AO52 AH8:AH52 AA8:AA52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theme="0" tint="-4.9989318521683403E-2"/>
    <pageSetUpPr fitToPage="1"/>
  </sheetPr>
  <dimension ref="A1:V68"/>
  <sheetViews>
    <sheetView topLeftCell="A15" zoomScaleNormal="100" workbookViewId="0">
      <selection activeCell="M37" sqref="M37"/>
    </sheetView>
  </sheetViews>
  <sheetFormatPr baseColWidth="10" defaultRowHeight="15"/>
  <cols>
    <col min="1" max="1" width="7.28515625" style="173" customWidth="1"/>
    <col min="2" max="2" width="44.5703125" style="175" customWidth="1"/>
    <col min="3" max="3" width="9.42578125" style="175" customWidth="1"/>
    <col min="4" max="4" width="9.42578125" style="934" customWidth="1"/>
    <col min="5" max="5" width="9.42578125" style="111" customWidth="1"/>
    <col min="6" max="6" width="9.42578125" style="930" customWidth="1"/>
    <col min="7" max="7" width="9.42578125" style="127" customWidth="1"/>
    <col min="8" max="10" width="9.42578125" style="930" customWidth="1"/>
    <col min="11" max="11" width="9.42578125" style="127" customWidth="1"/>
    <col min="12" max="12" width="9.42578125" style="934" customWidth="1"/>
    <col min="13" max="13" width="25" style="930" customWidth="1"/>
    <col min="14" max="14" width="6.42578125" style="930" customWidth="1"/>
    <col min="15" max="15" width="35.5703125" customWidth="1"/>
    <col min="16" max="16" width="27.7109375" style="126" customWidth="1"/>
    <col min="17" max="17" width="23.85546875" style="969" customWidth="1"/>
    <col min="18" max="19" width="17.7109375" customWidth="1"/>
    <col min="20" max="20" width="17.5703125" customWidth="1"/>
    <col min="21" max="21" width="21.42578125" customWidth="1"/>
    <col min="23" max="25" width="25" customWidth="1"/>
  </cols>
  <sheetData>
    <row r="1" spans="1:17">
      <c r="B1" s="412" t="str">
        <f>'DüV-N-Ackerbau'!C1</f>
        <v>Karl vom Land</v>
      </c>
      <c r="C1" s="412" t="str">
        <f>'DüV-N-Ackerbau'!F1</f>
        <v>Erntejahr</v>
      </c>
      <c r="M1" s="128" t="s">
        <v>36</v>
      </c>
      <c r="N1" s="294"/>
    </row>
    <row r="2" spans="1:17">
      <c r="B2" s="412" t="str">
        <f>'DüV-N-Ackerbau'!C2</f>
        <v>Höfen 1</v>
      </c>
      <c r="C2" s="412">
        <f>'DüV-N-Ackerbau'!G1</f>
        <v>2022</v>
      </c>
      <c r="M2" s="129" t="s">
        <v>34</v>
      </c>
      <c r="N2" s="294"/>
    </row>
    <row r="3" spans="1:17">
      <c r="B3" s="412" t="str">
        <f>'DüV-N-Ackerbau'!C3</f>
        <v>12345 Auf dem Feld</v>
      </c>
      <c r="C3" s="174"/>
    </row>
    <row r="4" spans="1:17" ht="7.5" customHeight="1" thickBot="1"/>
    <row r="5" spans="1:17" ht="16.5" thickBot="1">
      <c r="B5" s="3197" t="s">
        <v>605</v>
      </c>
      <c r="C5" s="3198"/>
      <c r="D5" s="3198"/>
      <c r="E5" s="3198"/>
      <c r="F5" s="3198"/>
      <c r="G5" s="3198"/>
      <c r="H5" s="3198"/>
      <c r="I5" s="3198"/>
      <c r="J5" s="3198"/>
      <c r="K5" s="3198"/>
      <c r="L5" s="3198"/>
      <c r="M5" s="3118"/>
      <c r="N5" s="940"/>
    </row>
    <row r="6" spans="1:17" ht="6.75" customHeight="1" thickBot="1">
      <c r="B6" s="183"/>
    </row>
    <row r="7" spans="1:17" ht="19.5" thickBot="1">
      <c r="C7" s="3218" t="s">
        <v>192</v>
      </c>
      <c r="D7" s="3219"/>
      <c r="E7" s="3219"/>
      <c r="F7" s="3219"/>
      <c r="G7" s="3219"/>
      <c r="H7" s="3219"/>
      <c r="I7" s="3219"/>
      <c r="J7" s="3219"/>
      <c r="K7" s="3219"/>
      <c r="L7" s="3220"/>
    </row>
    <row r="8" spans="1:17">
      <c r="B8" s="3206" t="s">
        <v>1304</v>
      </c>
      <c r="C8" s="3176"/>
      <c r="D8" s="3176"/>
      <c r="E8" s="3177"/>
      <c r="F8" s="3177"/>
      <c r="G8" s="3177"/>
      <c r="H8" s="3177"/>
      <c r="I8" s="3177"/>
      <c r="J8" s="3177"/>
      <c r="K8" s="3177"/>
      <c r="L8" s="3177"/>
      <c r="M8" s="3222" t="s">
        <v>1304</v>
      </c>
      <c r="N8" s="1776"/>
      <c r="O8" s="236"/>
    </row>
    <row r="9" spans="1:17">
      <c r="B9" s="3206"/>
      <c r="C9" s="3204"/>
      <c r="D9" s="3205"/>
      <c r="E9" s="3177"/>
      <c r="F9" s="3177"/>
      <c r="G9" s="3177"/>
      <c r="H9" s="3177"/>
      <c r="I9" s="3177"/>
      <c r="J9" s="3177"/>
      <c r="K9" s="3177"/>
      <c r="L9" s="3177"/>
      <c r="M9" s="3222"/>
      <c r="N9" s="1776"/>
      <c r="O9" s="236"/>
    </row>
    <row r="10" spans="1:17">
      <c r="B10" s="3206"/>
      <c r="C10" s="3176"/>
      <c r="D10" s="3176"/>
      <c r="E10" s="3177"/>
      <c r="F10" s="3177"/>
      <c r="G10" s="3177"/>
      <c r="H10" s="3177"/>
      <c r="I10" s="3177"/>
      <c r="J10" s="3177"/>
      <c r="K10" s="3177"/>
      <c r="L10" s="3177"/>
      <c r="M10" s="3222"/>
      <c r="N10" s="1776"/>
      <c r="O10" s="236"/>
    </row>
    <row r="11" spans="1:17">
      <c r="B11" s="3206"/>
      <c r="C11" s="3176"/>
      <c r="D11" s="3176"/>
      <c r="E11" s="3177"/>
      <c r="F11" s="3177"/>
      <c r="G11" s="3177"/>
      <c r="H11" s="3177"/>
      <c r="I11" s="3177"/>
      <c r="J11" s="3177"/>
      <c r="K11" s="3177"/>
      <c r="L11" s="3177"/>
      <c r="M11" s="3222"/>
      <c r="N11" s="1776"/>
      <c r="O11" s="236"/>
    </row>
    <row r="12" spans="1:17">
      <c r="B12" s="3206"/>
      <c r="C12" s="3176"/>
      <c r="D12" s="3176"/>
      <c r="E12" s="3177"/>
      <c r="F12" s="3177"/>
      <c r="G12" s="3177"/>
      <c r="H12" s="3177"/>
      <c r="I12" s="3177"/>
      <c r="J12" s="3177"/>
      <c r="K12" s="3177"/>
      <c r="L12" s="3177"/>
      <c r="M12" s="3222"/>
      <c r="N12" s="1776"/>
      <c r="O12" s="236"/>
    </row>
    <row r="13" spans="1:17" ht="29.25" customHeight="1">
      <c r="B13" s="177" t="s">
        <v>724</v>
      </c>
      <c r="C13" s="3221" t="s">
        <v>94</v>
      </c>
      <c r="D13" s="3221"/>
      <c r="E13" s="3221" t="s">
        <v>95</v>
      </c>
      <c r="F13" s="3221"/>
      <c r="G13" s="3221" t="s">
        <v>205</v>
      </c>
      <c r="H13" s="3221"/>
      <c r="I13" s="3221" t="s">
        <v>205</v>
      </c>
      <c r="J13" s="3221"/>
      <c r="K13" s="3221" t="s">
        <v>453</v>
      </c>
      <c r="L13" s="3221"/>
      <c r="M13" s="929" t="s">
        <v>724</v>
      </c>
      <c r="N13" s="138"/>
      <c r="O13" s="3064" t="s">
        <v>248</v>
      </c>
      <c r="P13" s="486" t="s">
        <v>79</v>
      </c>
      <c r="Q13" s="486" t="s">
        <v>5</v>
      </c>
    </row>
    <row r="14" spans="1:17" ht="33.75" customHeight="1">
      <c r="B14" s="137" t="s">
        <v>462</v>
      </c>
      <c r="C14" s="3216" t="s">
        <v>456</v>
      </c>
      <c r="D14" s="3217"/>
      <c r="E14" s="3216" t="s">
        <v>455</v>
      </c>
      <c r="F14" s="3217"/>
      <c r="G14" s="3216" t="s">
        <v>456</v>
      </c>
      <c r="H14" s="3217"/>
      <c r="I14" s="3216" t="s">
        <v>455</v>
      </c>
      <c r="J14" s="3217"/>
      <c r="K14" s="3216" t="s">
        <v>455</v>
      </c>
      <c r="L14" s="3217"/>
      <c r="M14" s="138"/>
      <c r="N14" s="138"/>
      <c r="O14" s="3114"/>
      <c r="P14" s="512" t="s">
        <v>86</v>
      </c>
      <c r="Q14" s="482">
        <v>10</v>
      </c>
    </row>
    <row r="15" spans="1:17" ht="15.75">
      <c r="A15" s="140"/>
      <c r="B15" s="140" t="s">
        <v>233</v>
      </c>
      <c r="C15" s="3137">
        <v>65</v>
      </c>
      <c r="D15" s="3203"/>
      <c r="E15" s="3137">
        <v>90</v>
      </c>
      <c r="F15" s="3203"/>
      <c r="G15" s="3137">
        <v>50</v>
      </c>
      <c r="H15" s="3203"/>
      <c r="I15" s="3137">
        <v>80</v>
      </c>
      <c r="J15" s="3203"/>
      <c r="K15" s="3137">
        <v>75</v>
      </c>
      <c r="L15" s="3203"/>
      <c r="M15" s="141" t="s">
        <v>85</v>
      </c>
      <c r="N15" s="141"/>
      <c r="O15" s="3114"/>
      <c r="P15" s="512" t="s">
        <v>87</v>
      </c>
      <c r="Q15" s="482">
        <v>30</v>
      </c>
    </row>
    <row r="16" spans="1:17" ht="18.75" customHeight="1">
      <c r="A16" s="140"/>
      <c r="B16" s="140" t="s">
        <v>73</v>
      </c>
      <c r="C16" s="3210">
        <v>12.5</v>
      </c>
      <c r="D16" s="3211"/>
      <c r="E16" s="3210">
        <v>17</v>
      </c>
      <c r="F16" s="3211"/>
      <c r="G16" s="3210">
        <v>14</v>
      </c>
      <c r="H16" s="3211"/>
      <c r="I16" s="3210">
        <v>17</v>
      </c>
      <c r="J16" s="3211"/>
      <c r="K16" s="3210">
        <v>16</v>
      </c>
      <c r="L16" s="3211"/>
      <c r="M16" s="141" t="s">
        <v>73</v>
      </c>
      <c r="N16" s="141"/>
      <c r="O16" s="3114"/>
      <c r="P16" s="512" t="s">
        <v>232</v>
      </c>
      <c r="Q16" s="482">
        <v>50</v>
      </c>
    </row>
    <row r="17" spans="1:19" ht="28.5" customHeight="1">
      <c r="B17" s="140" t="s">
        <v>257</v>
      </c>
      <c r="C17" s="3123">
        <f>IF(C$14="24 Std.", C15*C16*0.5/6.25,C15*C16*0.75/6.25)</f>
        <v>65</v>
      </c>
      <c r="D17" s="3172"/>
      <c r="E17" s="3123">
        <f>IF(E$14="24 Std.", E15*E16*0.5/6.25,E15*E16*0.75/6.25)</f>
        <v>183.6</v>
      </c>
      <c r="F17" s="3172"/>
      <c r="G17" s="3123">
        <f>IF(G$14="24 Std.", G15*G16*0.5/6.25,G15*G16*0.75/6.25)</f>
        <v>56</v>
      </c>
      <c r="H17" s="3172"/>
      <c r="I17" s="3123">
        <f>IF(I$14="24 Std.", I15*I16*0.5/6.25,I15*I16*0.75/6.25)</f>
        <v>163.19999999999999</v>
      </c>
      <c r="J17" s="3172"/>
      <c r="K17" s="3123">
        <f>IF(K$14="24 Std.", K15*K16*0.5/6.25,K15*K16*0.75/6.25)</f>
        <v>144</v>
      </c>
      <c r="L17" s="3172"/>
      <c r="M17" s="138" t="s">
        <v>4</v>
      </c>
      <c r="N17" s="138"/>
      <c r="O17" s="3114"/>
      <c r="P17" s="512" t="s">
        <v>80</v>
      </c>
      <c r="Q17" s="482">
        <v>50</v>
      </c>
    </row>
    <row r="18" spans="1:19" ht="28.5" customHeight="1">
      <c r="A18" s="123"/>
      <c r="B18" s="174" t="s">
        <v>82</v>
      </c>
      <c r="C18" s="466" t="s">
        <v>86</v>
      </c>
      <c r="D18" s="29">
        <f>VLOOKUP(C18,P14:Q18,2,FALSE)</f>
        <v>10</v>
      </c>
      <c r="E18" s="466" t="s">
        <v>86</v>
      </c>
      <c r="F18" s="29">
        <f>VLOOKUP(E18,P14:Q18,2,FALSE)</f>
        <v>10</v>
      </c>
      <c r="G18" s="466" t="s">
        <v>86</v>
      </c>
      <c r="H18" s="29">
        <f>VLOOKUP(G18,P14:Q18,2,FALSE)</f>
        <v>10</v>
      </c>
      <c r="I18" s="466" t="s">
        <v>86</v>
      </c>
      <c r="J18" s="29">
        <f>VLOOKUP(I18,P14:Q18,2,FALSE)</f>
        <v>10</v>
      </c>
      <c r="K18" s="466" t="s">
        <v>86</v>
      </c>
      <c r="L18" s="29">
        <f>VLOOKUP(K18,P14:Q18,2,FALSE)</f>
        <v>10</v>
      </c>
      <c r="M18" s="14" t="s">
        <v>4</v>
      </c>
      <c r="N18" s="138"/>
      <c r="O18" s="3114"/>
      <c r="P18" s="512" t="s">
        <v>81</v>
      </c>
      <c r="Q18" s="482">
        <v>80</v>
      </c>
    </row>
    <row r="19" spans="1:19" ht="28.5" customHeight="1">
      <c r="A19" s="123"/>
      <c r="B19" s="174" t="s">
        <v>83</v>
      </c>
      <c r="C19" s="466" t="s">
        <v>90</v>
      </c>
      <c r="D19" s="29">
        <f>VLOOKUP(C19,$P22:$Q25,2,FALSE)</f>
        <v>0</v>
      </c>
      <c r="E19" s="466" t="s">
        <v>88</v>
      </c>
      <c r="F19" s="29">
        <f>VLOOKUP(E19,$P22:$Q25,2,FALSE)</f>
        <v>20</v>
      </c>
      <c r="G19" s="466" t="s">
        <v>88</v>
      </c>
      <c r="H19" s="29">
        <f>VLOOKUP(G19,$P22:$Q25,2,FALSE)</f>
        <v>20</v>
      </c>
      <c r="I19" s="466" t="s">
        <v>227</v>
      </c>
      <c r="J19" s="29">
        <f>VLOOKUP(I19,$P22:$Q25,2,FALSE)</f>
        <v>60</v>
      </c>
      <c r="K19" s="466" t="s">
        <v>88</v>
      </c>
      <c r="L19" s="29">
        <f>VLOOKUP(K19,$P22:$Q25,2,FALSE)</f>
        <v>20</v>
      </c>
      <c r="M19" s="14" t="s">
        <v>4</v>
      </c>
      <c r="N19" s="138"/>
      <c r="O19" s="3114"/>
      <c r="P19" s="512"/>
      <c r="Q19" s="482"/>
    </row>
    <row r="20" spans="1:19" ht="35.25" customHeight="1">
      <c r="B20" s="174" t="s">
        <v>91</v>
      </c>
      <c r="C20" s="3193">
        <v>0</v>
      </c>
      <c r="D20" s="3194"/>
      <c r="E20" s="3193">
        <v>0</v>
      </c>
      <c r="F20" s="3194"/>
      <c r="G20" s="3193">
        <v>0</v>
      </c>
      <c r="H20" s="3194"/>
      <c r="I20" s="3193">
        <v>0</v>
      </c>
      <c r="J20" s="3194"/>
      <c r="K20" s="3193">
        <v>0</v>
      </c>
      <c r="L20" s="3194"/>
      <c r="M20" s="14" t="s">
        <v>211</v>
      </c>
      <c r="O20" s="3114"/>
      <c r="P20" s="512"/>
      <c r="Q20" s="481"/>
    </row>
    <row r="21" spans="1:19" ht="18" customHeight="1">
      <c r="B21" s="167" t="s">
        <v>468</v>
      </c>
      <c r="C21" s="3195">
        <f>IF(C17-D18-D19-C20&lt;0,0,C17-D18-D19-C20)</f>
        <v>55</v>
      </c>
      <c r="D21" s="3195"/>
      <c r="E21" s="3195">
        <f>IF(E17-F18-F19-E20&lt;0,0,E17-F18-F19-E20)</f>
        <v>153.6</v>
      </c>
      <c r="F21" s="3195"/>
      <c r="G21" s="3195">
        <f>IF(G17-H18-H19-G20&lt;0,0,G17-H18-H19-G20)</f>
        <v>26</v>
      </c>
      <c r="H21" s="3195"/>
      <c r="I21" s="3195">
        <f>IF(I17-J18-J19-I20&lt;0,0,I17-J18-J19-I20)</f>
        <v>93.199999999999989</v>
      </c>
      <c r="J21" s="3195"/>
      <c r="K21" s="3195">
        <f>IF(K17-L18-L19-K20&lt;0,0,K17-L18-L19-K20)</f>
        <v>114</v>
      </c>
      <c r="L21" s="3195"/>
      <c r="M21" s="931" t="s">
        <v>470</v>
      </c>
      <c r="N21" s="14"/>
      <c r="O21" s="3114"/>
      <c r="P21" s="486" t="s">
        <v>84</v>
      </c>
      <c r="Q21" s="482"/>
    </row>
    <row r="22" spans="1:19" ht="12.75" customHeight="1">
      <c r="B22" s="174"/>
      <c r="N22" s="14"/>
      <c r="O22" s="3114"/>
      <c r="P22" s="512" t="s">
        <v>90</v>
      </c>
      <c r="Q22" s="482">
        <v>0</v>
      </c>
    </row>
    <row r="23" spans="1:19" ht="15.75">
      <c r="B23" s="169"/>
      <c r="C23" s="2725" t="s">
        <v>719</v>
      </c>
      <c r="D23" s="3113"/>
      <c r="E23" s="2726"/>
      <c r="F23" s="2726"/>
      <c r="G23" s="2726"/>
      <c r="H23" s="2726"/>
      <c r="I23" s="2726"/>
      <c r="J23" s="2726"/>
      <c r="K23" s="2726"/>
      <c r="L23" s="2727"/>
      <c r="M23" s="158"/>
      <c r="N23" s="14"/>
      <c r="O23" s="3114"/>
      <c r="P23" s="512" t="s">
        <v>88</v>
      </c>
      <c r="Q23" s="482">
        <v>20</v>
      </c>
    </row>
    <row r="24" spans="1:19" ht="23.25" customHeight="1">
      <c r="B24" s="170" t="s">
        <v>42</v>
      </c>
      <c r="C24" s="3196">
        <f>C21</f>
        <v>55</v>
      </c>
      <c r="D24" s="3196"/>
      <c r="E24" s="3196">
        <f>E21</f>
        <v>153.6</v>
      </c>
      <c r="F24" s="3196"/>
      <c r="G24" s="3196">
        <f>G21</f>
        <v>26</v>
      </c>
      <c r="H24" s="3196"/>
      <c r="I24" s="3196">
        <f>I21</f>
        <v>93.199999999999989</v>
      </c>
      <c r="J24" s="3196"/>
      <c r="K24" s="3196">
        <f>K21</f>
        <v>114</v>
      </c>
      <c r="L24" s="3196"/>
      <c r="M24" s="159" t="s">
        <v>4</v>
      </c>
      <c r="N24" s="14"/>
      <c r="O24" s="3114"/>
      <c r="P24" s="512" t="s">
        <v>89</v>
      </c>
      <c r="Q24" s="482">
        <v>40</v>
      </c>
    </row>
    <row r="25" spans="1:19" ht="15.75">
      <c r="B25" s="789" t="s">
        <v>722</v>
      </c>
      <c r="C25" s="3191"/>
      <c r="D25" s="3192"/>
      <c r="E25" s="3191"/>
      <c r="F25" s="3192"/>
      <c r="G25" s="3191"/>
      <c r="H25" s="3192"/>
      <c r="I25" s="3191"/>
      <c r="J25" s="3192"/>
      <c r="K25" s="3191"/>
      <c r="L25" s="3192"/>
      <c r="M25" s="788"/>
      <c r="N25" s="14"/>
      <c r="O25" s="3114"/>
      <c r="P25" s="512" t="s">
        <v>227</v>
      </c>
      <c r="Q25" s="482">
        <v>60</v>
      </c>
    </row>
    <row r="26" spans="1:19" ht="18.75" customHeight="1">
      <c r="B26" s="790" t="s">
        <v>251</v>
      </c>
      <c r="C26" s="3189">
        <v>0</v>
      </c>
      <c r="D26" s="3190"/>
      <c r="E26" s="3189">
        <v>0</v>
      </c>
      <c r="F26" s="3190"/>
      <c r="G26" s="3189">
        <v>0</v>
      </c>
      <c r="H26" s="3190"/>
      <c r="I26" s="3189">
        <v>0</v>
      </c>
      <c r="J26" s="3190"/>
      <c r="K26" s="3189">
        <v>0</v>
      </c>
      <c r="L26" s="3190"/>
      <c r="M26" s="163" t="s">
        <v>484</v>
      </c>
      <c r="O26" s="3114"/>
    </row>
    <row r="27" spans="1:19" ht="15.75">
      <c r="B27" s="171" t="s">
        <v>252</v>
      </c>
      <c r="C27" s="3189">
        <v>0</v>
      </c>
      <c r="D27" s="3190"/>
      <c r="E27" s="3189">
        <v>0</v>
      </c>
      <c r="F27" s="3190"/>
      <c r="G27" s="3189">
        <v>0</v>
      </c>
      <c r="H27" s="3190"/>
      <c r="I27" s="3189">
        <v>0</v>
      </c>
      <c r="J27" s="3190"/>
      <c r="K27" s="3189">
        <v>0</v>
      </c>
      <c r="L27" s="3190"/>
      <c r="M27" s="164" t="s">
        <v>485</v>
      </c>
      <c r="N27" s="14"/>
      <c r="O27" s="3114"/>
    </row>
    <row r="28" spans="1:19" ht="16.5" customHeight="1">
      <c r="B28" s="171" t="s">
        <v>253</v>
      </c>
      <c r="C28" s="3189">
        <v>0</v>
      </c>
      <c r="D28" s="3190"/>
      <c r="E28" s="3189">
        <v>0</v>
      </c>
      <c r="F28" s="3190"/>
      <c r="G28" s="3189">
        <v>0</v>
      </c>
      <c r="H28" s="3190"/>
      <c r="I28" s="3189">
        <v>0</v>
      </c>
      <c r="J28" s="3190"/>
      <c r="K28" s="3189">
        <v>0</v>
      </c>
      <c r="L28" s="3190"/>
      <c r="M28" s="164" t="s">
        <v>254</v>
      </c>
      <c r="O28" s="3114"/>
    </row>
    <row r="29" spans="1:19" ht="27" customHeight="1">
      <c r="B29" s="789" t="s">
        <v>721</v>
      </c>
      <c r="C29" s="3191"/>
      <c r="D29" s="3192"/>
      <c r="E29" s="3191"/>
      <c r="F29" s="3192"/>
      <c r="G29" s="3191"/>
      <c r="H29" s="3192"/>
      <c r="I29" s="3191"/>
      <c r="J29" s="3192"/>
      <c r="K29" s="3191"/>
      <c r="L29" s="3192"/>
      <c r="M29" s="788"/>
      <c r="N29" s="255"/>
      <c r="O29" s="946" t="s">
        <v>183</v>
      </c>
      <c r="P29" s="959" t="s">
        <v>186</v>
      </c>
      <c r="Q29" s="1778"/>
    </row>
    <row r="30" spans="1:19" ht="18.75" customHeight="1">
      <c r="B30" s="790" t="s">
        <v>251</v>
      </c>
      <c r="C30" s="3189">
        <v>0</v>
      </c>
      <c r="D30" s="3190"/>
      <c r="E30" s="3189">
        <v>0</v>
      </c>
      <c r="F30" s="3190"/>
      <c r="G30" s="3189">
        <v>0</v>
      </c>
      <c r="H30" s="3190"/>
      <c r="I30" s="3189">
        <v>0</v>
      </c>
      <c r="J30" s="3190"/>
      <c r="K30" s="3189">
        <v>0</v>
      </c>
      <c r="L30" s="3190"/>
      <c r="M30" s="163" t="s">
        <v>484</v>
      </c>
      <c r="N30" s="256"/>
      <c r="O30" s="951" t="s">
        <v>179</v>
      </c>
      <c r="P30" s="951">
        <v>90</v>
      </c>
      <c r="Q30" s="937"/>
      <c r="R30" s="930"/>
      <c r="S30" s="930"/>
    </row>
    <row r="31" spans="1:19" ht="18.75" customHeight="1">
      <c r="B31" s="171" t="s">
        <v>252</v>
      </c>
      <c r="C31" s="3189">
        <v>0</v>
      </c>
      <c r="D31" s="3190"/>
      <c r="E31" s="3189">
        <v>0</v>
      </c>
      <c r="F31" s="3190"/>
      <c r="G31" s="3189">
        <v>0</v>
      </c>
      <c r="H31" s="3190"/>
      <c r="I31" s="3189">
        <v>0</v>
      </c>
      <c r="J31" s="3190"/>
      <c r="K31" s="3189">
        <v>0</v>
      </c>
      <c r="L31" s="3190"/>
      <c r="M31" s="164" t="s">
        <v>485</v>
      </c>
      <c r="N31" s="256"/>
      <c r="O31" s="951" t="s">
        <v>809</v>
      </c>
      <c r="P31" s="946">
        <v>70</v>
      </c>
      <c r="Q31" s="1453" t="s">
        <v>1214</v>
      </c>
      <c r="R31" s="930"/>
      <c r="S31" s="934"/>
    </row>
    <row r="32" spans="1:19" ht="18.75" customHeight="1">
      <c r="B32" s="171" t="s">
        <v>253</v>
      </c>
      <c r="C32" s="3189">
        <v>0</v>
      </c>
      <c r="D32" s="3190"/>
      <c r="E32" s="3189">
        <v>0</v>
      </c>
      <c r="F32" s="3190"/>
      <c r="G32" s="3189">
        <v>0</v>
      </c>
      <c r="H32" s="3190"/>
      <c r="I32" s="3189">
        <v>0</v>
      </c>
      <c r="J32" s="3190"/>
      <c r="K32" s="3189">
        <v>0</v>
      </c>
      <c r="L32" s="3190"/>
      <c r="M32" s="164" t="s">
        <v>254</v>
      </c>
      <c r="N32" s="257"/>
      <c r="O32" s="782" t="s">
        <v>810</v>
      </c>
      <c r="P32" s="946">
        <v>60</v>
      </c>
      <c r="Q32" s="1453" t="s">
        <v>1215</v>
      </c>
      <c r="R32" s="930"/>
      <c r="S32" s="934"/>
    </row>
    <row r="33" spans="2:22" ht="18.75" customHeight="1">
      <c r="B33" s="171" t="s">
        <v>726</v>
      </c>
      <c r="C33" s="3188">
        <f>(C26*C27*C28/100)+(C30*C31*C32/100)</f>
        <v>0</v>
      </c>
      <c r="D33" s="3188"/>
      <c r="E33" s="3188">
        <f t="shared" ref="E33" si="0">(E26*E27*E28/100)+(E30*E31*E32/100)</f>
        <v>0</v>
      </c>
      <c r="F33" s="3188"/>
      <c r="G33" s="3188">
        <f t="shared" ref="G33" si="1">(G26*G27*G28/100)+(G30*G31*G32/100)</f>
        <v>0</v>
      </c>
      <c r="H33" s="3188"/>
      <c r="I33" s="3188">
        <f t="shared" ref="I33" si="2">(I26*I27*I28/100)+(I30*I31*I32/100)</f>
        <v>0</v>
      </c>
      <c r="J33" s="3188"/>
      <c r="K33" s="3188">
        <f t="shared" ref="K33" si="3">(K26*K27*K28/100)+(K30*K31*K32/100)</f>
        <v>0</v>
      </c>
      <c r="L33" s="3188"/>
      <c r="M33" s="160" t="s">
        <v>4</v>
      </c>
      <c r="N33" s="258"/>
      <c r="O33" s="951" t="s">
        <v>48</v>
      </c>
      <c r="P33" s="946">
        <v>60</v>
      </c>
      <c r="Q33" s="937"/>
      <c r="R33" s="930"/>
      <c r="S33" s="934"/>
    </row>
    <row r="34" spans="2:22" ht="18.75" customHeight="1">
      <c r="B34" s="791" t="s">
        <v>136</v>
      </c>
      <c r="C34" s="3183">
        <f>C24-C33</f>
        <v>55</v>
      </c>
      <c r="D34" s="3183"/>
      <c r="E34" s="3183">
        <f>E24-E33</f>
        <v>153.6</v>
      </c>
      <c r="F34" s="3183"/>
      <c r="G34" s="3183">
        <f>G24-G33</f>
        <v>26</v>
      </c>
      <c r="H34" s="3183"/>
      <c r="I34" s="3183">
        <f>I24-I33</f>
        <v>93.199999999999989</v>
      </c>
      <c r="J34" s="3183"/>
      <c r="K34" s="3183">
        <f>K24-K33</f>
        <v>114</v>
      </c>
      <c r="L34" s="3183"/>
      <c r="M34" s="161" t="s">
        <v>4</v>
      </c>
      <c r="N34" s="258"/>
      <c r="O34" s="951" t="s">
        <v>811</v>
      </c>
      <c r="P34" s="951">
        <v>45</v>
      </c>
      <c r="Q34" s="937"/>
      <c r="R34" s="930"/>
      <c r="S34" s="934"/>
    </row>
    <row r="35" spans="2:22" ht="54" customHeight="1">
      <c r="B35" s="1794" t="s">
        <v>642</v>
      </c>
      <c r="C35" s="3214">
        <f>IF(C14="24 Std.",C15*0.5*(0.3494+0.4695*LOG(C16)/6.25*C16/6.25),C15*0.75*(0.3494+0.4695*LOG(C16)/6.25*C16/6.25))</f>
        <v>16.71149221151574</v>
      </c>
      <c r="D35" s="3215"/>
      <c r="E35" s="3214">
        <f t="shared" ref="E35" si="4">IF(E14="24 Std.",E15*0.5*(0.3494+0.4695*LOG(E16)/6.25*E16/6.25),E15*0.75*(0.3494+0.4695*LOG(E16)/6.25*E16/6.25))</f>
        <v>40.554890898014634</v>
      </c>
      <c r="F35" s="3215"/>
      <c r="G35" s="3214">
        <f t="shared" ref="G35" si="5">IF(G14="24 Std.",G15*0.5*(0.3494+0.4695*LOG(G16)/6.25*G16/6.25),G15*0.75*(0.3494+0.4695*LOG(G16)/6.25*G16/6.25))</f>
        <v>13.556439730248357</v>
      </c>
      <c r="H35" s="3215"/>
      <c r="I35" s="3214">
        <f t="shared" ref="I35" si="6">IF(I14="24 Std.",I15*0.5*(0.3494+0.4695*LOG(I16)/6.25*I16/6.25),I15*0.75*(0.3494+0.4695*LOG(I16)/6.25*I16/6.25))</f>
        <v>36.048791909346335</v>
      </c>
      <c r="J35" s="3215"/>
      <c r="K35" s="3214">
        <f t="shared" ref="K35" si="7">IF(K14="24 Std.",K15*0.5*(0.3494+0.4695*LOG(K16)/6.25*K16/6.25),K15*0.75*(0.3494+0.4695*LOG(K16)/6.25*K16/6.25))</f>
        <v>32.679053005984287</v>
      </c>
      <c r="L35" s="3215"/>
      <c r="M35" s="1795" t="s">
        <v>641</v>
      </c>
      <c r="N35" s="259"/>
      <c r="O35" s="782" t="s">
        <v>806</v>
      </c>
      <c r="P35" s="946">
        <v>30</v>
      </c>
      <c r="Q35" s="937"/>
      <c r="R35" s="930"/>
      <c r="S35" s="934"/>
    </row>
    <row r="36" spans="2:22" ht="18.75" customHeight="1">
      <c r="B36"/>
      <c r="M36" s="127"/>
      <c r="N36" s="162"/>
      <c r="O36" s="951" t="s">
        <v>1019</v>
      </c>
      <c r="P36" s="946">
        <v>30</v>
      </c>
      <c r="Q36" s="937"/>
      <c r="R36" s="930"/>
      <c r="S36" s="934"/>
    </row>
    <row r="37" spans="2:22" ht="18.75" customHeight="1">
      <c r="B37" s="977"/>
      <c r="C37" s="79"/>
      <c r="D37" s="938"/>
      <c r="E37" s="130"/>
      <c r="F37" s="205"/>
      <c r="G37" s="204" t="s">
        <v>207</v>
      </c>
      <c r="H37" s="205"/>
      <c r="I37" s="80"/>
      <c r="M37" s="934"/>
      <c r="N37" s="127"/>
      <c r="O37" s="951" t="s">
        <v>815</v>
      </c>
      <c r="P37" s="946">
        <v>30</v>
      </c>
      <c r="Q37" s="937"/>
      <c r="R37" s="930"/>
      <c r="S37" s="934"/>
    </row>
    <row r="38" spans="2:22" ht="18.75" customHeight="1">
      <c r="B38" s="156"/>
      <c r="C38" s="933"/>
      <c r="D38" s="207" t="s">
        <v>194</v>
      </c>
      <c r="E38" s="92"/>
      <c r="F38" s="114"/>
      <c r="G38" s="154"/>
      <c r="I38" s="208"/>
      <c r="J38" s="934"/>
      <c r="K38" s="111"/>
      <c r="L38" s="930"/>
      <c r="M38" s="934"/>
      <c r="N38" s="934"/>
      <c r="O38" s="951" t="s">
        <v>807</v>
      </c>
      <c r="P38" s="946">
        <v>25</v>
      </c>
      <c r="Q38" s="937"/>
      <c r="U38" s="934"/>
    </row>
    <row r="39" spans="2:22" ht="18.75" customHeight="1">
      <c r="B39" s="156"/>
      <c r="C39" s="48" t="s">
        <v>203</v>
      </c>
      <c r="D39" s="933" t="s">
        <v>201</v>
      </c>
      <c r="E39" s="131" t="s">
        <v>202</v>
      </c>
      <c r="F39" s="92"/>
      <c r="G39" s="179" t="s">
        <v>258</v>
      </c>
      <c r="H39" s="209" t="s">
        <v>208</v>
      </c>
      <c r="I39" s="941"/>
      <c r="J39" s="944"/>
      <c r="K39" s="944"/>
      <c r="L39" s="971"/>
      <c r="M39" s="934"/>
      <c r="N39" s="934"/>
      <c r="O39" s="782" t="s">
        <v>808</v>
      </c>
      <c r="P39" s="946">
        <v>25</v>
      </c>
      <c r="Q39" s="937"/>
      <c r="U39" s="934"/>
    </row>
    <row r="40" spans="2:22" ht="18.75" customHeight="1">
      <c r="B40" s="81" t="s">
        <v>454</v>
      </c>
      <c r="C40" s="48"/>
      <c r="D40" s="933" t="s">
        <v>456</v>
      </c>
      <c r="E40" s="131" t="s">
        <v>456</v>
      </c>
      <c r="F40" s="92"/>
      <c r="G40" s="277" t="s">
        <v>455</v>
      </c>
      <c r="H40" s="277" t="s">
        <v>456</v>
      </c>
      <c r="I40" s="941"/>
      <c r="J40" s="944"/>
      <c r="K40" s="944"/>
      <c r="L40" s="971"/>
      <c r="M40"/>
      <c r="N40"/>
      <c r="O40" s="782" t="s">
        <v>816</v>
      </c>
      <c r="P40" s="946">
        <v>10</v>
      </c>
      <c r="Q40" s="937"/>
      <c r="U40" s="934"/>
    </row>
    <row r="41" spans="2:22" ht="18.75" customHeight="1">
      <c r="B41" s="156"/>
      <c r="C41" s="48" t="s">
        <v>85</v>
      </c>
      <c r="D41" s="940">
        <v>90</v>
      </c>
      <c r="E41" s="92">
        <v>65</v>
      </c>
      <c r="F41" s="92"/>
      <c r="G41" s="943">
        <v>100</v>
      </c>
      <c r="H41" s="943">
        <v>50</v>
      </c>
      <c r="I41" s="941"/>
      <c r="J41" s="944"/>
      <c r="K41" s="944"/>
      <c r="L41" s="971"/>
      <c r="M41"/>
      <c r="N41"/>
      <c r="O41" s="782" t="s">
        <v>181</v>
      </c>
      <c r="P41" s="946">
        <v>10</v>
      </c>
      <c r="Q41" s="937"/>
      <c r="U41" s="934"/>
    </row>
    <row r="42" spans="2:22" ht="18.75" customHeight="1">
      <c r="B42" s="156"/>
      <c r="C42" s="48" t="s">
        <v>196</v>
      </c>
      <c r="D42" s="940">
        <v>18</v>
      </c>
      <c r="E42" s="92">
        <v>12.5</v>
      </c>
      <c r="F42" s="92"/>
      <c r="G42" s="943">
        <v>18</v>
      </c>
      <c r="H42" s="943">
        <v>12</v>
      </c>
      <c r="I42" s="941"/>
      <c r="J42" s="944"/>
      <c r="K42" s="944"/>
      <c r="L42" s="971"/>
      <c r="M42"/>
      <c r="N42"/>
      <c r="Q42"/>
      <c r="V42" s="934"/>
    </row>
    <row r="43" spans="2:22">
      <c r="B43" s="956"/>
      <c r="C43" s="97" t="s">
        <v>199</v>
      </c>
      <c r="D43" s="98">
        <f>D41*D42*0.5/6.25</f>
        <v>129.6</v>
      </c>
      <c r="E43" s="98">
        <f>E41*E42*0.5/6.25</f>
        <v>65</v>
      </c>
      <c r="F43" s="98"/>
      <c r="G43" s="98">
        <f>G41*G42*0.75/6.25</f>
        <v>216</v>
      </c>
      <c r="H43" s="98">
        <f t="shared" ref="H43" si="8">H41*H42*0.5/6.25</f>
        <v>48</v>
      </c>
      <c r="I43" s="942"/>
      <c r="J43" s="934"/>
      <c r="K43" s="111"/>
      <c r="L43" s="930"/>
      <c r="M43"/>
      <c r="N43"/>
      <c r="O43" s="126"/>
      <c r="P43" s="969"/>
      <c r="Q43"/>
      <c r="V43" s="934"/>
    </row>
    <row r="44" spans="2:22">
      <c r="F44" s="934"/>
      <c r="G44" s="111"/>
      <c r="H44" s="934"/>
      <c r="I44" s="111"/>
      <c r="J44" s="934"/>
      <c r="K44" s="111"/>
      <c r="L44" s="930"/>
      <c r="M44"/>
      <c r="N44"/>
      <c r="O44" s="126"/>
      <c r="P44" s="969"/>
      <c r="Q44"/>
    </row>
    <row r="45" spans="2:22">
      <c r="C45" s="3064" t="s">
        <v>204</v>
      </c>
      <c r="D45" s="2527"/>
      <c r="E45" s="2527"/>
      <c r="F45" s="2527"/>
      <c r="G45" s="2527"/>
      <c r="H45" s="2527"/>
      <c r="I45" s="2527"/>
      <c r="J45" s="944"/>
      <c r="K45" s="944"/>
      <c r="L45" s="971"/>
      <c r="M45"/>
      <c r="N45"/>
      <c r="O45" s="126"/>
      <c r="P45" s="969"/>
      <c r="Q45"/>
    </row>
    <row r="46" spans="2:22">
      <c r="C46" s="2527"/>
      <c r="D46" s="2527"/>
      <c r="E46" s="2527"/>
      <c r="F46" s="2527"/>
      <c r="G46" s="2527"/>
      <c r="H46" s="2527"/>
      <c r="I46" s="2527"/>
      <c r="J46" s="944"/>
      <c r="K46" s="944"/>
      <c r="L46" s="971"/>
      <c r="M46"/>
      <c r="N46"/>
      <c r="O46" s="126"/>
      <c r="P46" s="969"/>
      <c r="Q46"/>
    </row>
    <row r="47" spans="2:22">
      <c r="C47" s="2527"/>
      <c r="D47" s="2527"/>
      <c r="E47" s="2527"/>
      <c r="F47" s="2527"/>
      <c r="G47" s="2527"/>
      <c r="H47" s="2527"/>
      <c r="I47" s="2527"/>
      <c r="J47" s="944"/>
      <c r="K47" s="944"/>
      <c r="L47" s="971"/>
      <c r="M47"/>
      <c r="N47"/>
      <c r="O47" s="126"/>
      <c r="P47" s="969"/>
      <c r="Q47"/>
    </row>
    <row r="48" spans="2:22" ht="22.5" customHeight="1">
      <c r="B48" s="2410" t="s">
        <v>457</v>
      </c>
      <c r="C48" s="2736"/>
      <c r="D48" s="2736"/>
      <c r="E48" s="2736"/>
      <c r="F48" s="2736"/>
      <c r="G48" s="2736"/>
      <c r="H48" s="2736"/>
      <c r="I48" s="2736"/>
      <c r="J48" s="2736"/>
      <c r="K48" s="934"/>
      <c r="L48" s="111"/>
      <c r="M48"/>
      <c r="N48"/>
      <c r="O48" s="126"/>
      <c r="P48" s="969"/>
      <c r="Q48"/>
    </row>
    <row r="49" spans="1:22" ht="22.5" customHeight="1">
      <c r="B49" s="2736"/>
      <c r="C49" s="2736"/>
      <c r="D49" s="2736"/>
      <c r="E49" s="2736"/>
      <c r="F49" s="2736"/>
      <c r="G49" s="2736"/>
      <c r="H49" s="2736"/>
      <c r="I49" s="2736"/>
      <c r="J49" s="2736"/>
      <c r="K49" s="934"/>
      <c r="L49" s="111"/>
      <c r="M49"/>
      <c r="N49"/>
      <c r="O49" s="126"/>
      <c r="P49" s="969"/>
      <c r="Q49"/>
    </row>
    <row r="50" spans="1:22" ht="22.5" customHeight="1">
      <c r="B50" s="2736"/>
      <c r="C50" s="2736"/>
      <c r="D50" s="2736"/>
      <c r="E50" s="2736"/>
      <c r="F50" s="2736"/>
      <c r="G50" s="2736"/>
      <c r="H50" s="2736"/>
      <c r="I50" s="2736"/>
      <c r="J50" s="2736"/>
      <c r="K50" s="934"/>
      <c r="L50" s="111"/>
      <c r="M50"/>
      <c r="N50"/>
      <c r="O50" s="126"/>
      <c r="P50" s="969"/>
      <c r="Q50"/>
    </row>
    <row r="51" spans="1:22">
      <c r="B51" s="138"/>
      <c r="D51" s="175"/>
      <c r="E51" s="934"/>
      <c r="F51" s="111"/>
      <c r="G51" s="930"/>
      <c r="H51" s="127"/>
      <c r="J51" s="127"/>
      <c r="K51" s="934"/>
      <c r="L51" s="111"/>
      <c r="M51"/>
      <c r="N51"/>
      <c r="O51" s="126"/>
      <c r="P51" s="969"/>
      <c r="Q51"/>
    </row>
    <row r="52" spans="1:22">
      <c r="B52" s="138"/>
      <c r="D52" s="175"/>
      <c r="E52" s="934"/>
      <c r="F52" s="111"/>
      <c r="G52" s="930"/>
      <c r="H52" s="127"/>
      <c r="J52" s="127"/>
      <c r="K52" s="934"/>
      <c r="L52" s="111"/>
      <c r="M52"/>
      <c r="N52"/>
      <c r="O52" s="126"/>
      <c r="P52" s="969"/>
      <c r="Q52"/>
    </row>
    <row r="53" spans="1:22">
      <c r="B53" s="138"/>
      <c r="D53" s="175"/>
      <c r="E53" s="934"/>
      <c r="F53" s="111"/>
      <c r="G53" s="930"/>
      <c r="H53" s="127"/>
      <c r="J53" s="127"/>
      <c r="K53" s="934"/>
      <c r="L53" s="111"/>
      <c r="M53"/>
      <c r="N53"/>
      <c r="O53" s="126"/>
      <c r="P53" s="969"/>
      <c r="Q53"/>
    </row>
    <row r="54" spans="1:22">
      <c r="B54" s="138"/>
      <c r="D54" s="175"/>
      <c r="E54" s="934"/>
      <c r="F54" s="111"/>
      <c r="G54" s="930"/>
      <c r="H54" s="127"/>
      <c r="J54" s="127"/>
      <c r="K54" s="934"/>
      <c r="L54" s="111"/>
      <c r="M54"/>
      <c r="N54"/>
      <c r="O54" s="126"/>
      <c r="P54" s="969"/>
      <c r="Q54"/>
    </row>
    <row r="55" spans="1:22">
      <c r="B55" s="138"/>
      <c r="D55" s="175"/>
      <c r="E55" s="934"/>
      <c r="F55" s="111"/>
      <c r="G55" s="930"/>
      <c r="H55" s="127"/>
      <c r="J55" s="127"/>
      <c r="K55" s="934"/>
      <c r="L55" s="111"/>
      <c r="N55"/>
      <c r="O55" s="126"/>
      <c r="P55" s="969"/>
      <c r="Q55"/>
    </row>
    <row r="56" spans="1:22">
      <c r="B56" s="138"/>
      <c r="D56" s="175"/>
      <c r="E56" s="934"/>
      <c r="F56" s="111"/>
      <c r="G56" s="930"/>
      <c r="H56" s="127"/>
      <c r="J56" s="127"/>
      <c r="K56" s="934"/>
      <c r="L56" s="111"/>
      <c r="O56" s="126"/>
      <c r="P56" s="969"/>
      <c r="Q56"/>
    </row>
    <row r="57" spans="1:22">
      <c r="B57" s="174"/>
      <c r="D57" s="175"/>
      <c r="E57" s="934"/>
      <c r="F57" s="111"/>
      <c r="G57" s="930"/>
      <c r="H57" s="127"/>
      <c r="J57" s="127"/>
      <c r="K57" s="934"/>
      <c r="L57" s="111"/>
      <c r="O57" s="126"/>
      <c r="P57" s="969"/>
      <c r="Q57"/>
    </row>
    <row r="58" spans="1:22" s="126" customFormat="1">
      <c r="A58" s="173"/>
      <c r="B58" s="174"/>
      <c r="C58" s="175"/>
      <c r="D58" s="175"/>
      <c r="E58" s="934"/>
      <c r="F58" s="111"/>
      <c r="G58" s="930"/>
      <c r="H58" s="127"/>
      <c r="I58" s="930"/>
      <c r="J58" s="127"/>
      <c r="K58" s="934"/>
      <c r="L58" s="111"/>
      <c r="M58" s="930"/>
      <c r="N58" s="930"/>
      <c r="Q58" s="969"/>
      <c r="R58"/>
      <c r="S58"/>
      <c r="T58"/>
      <c r="U58"/>
      <c r="V58"/>
    </row>
    <row r="59" spans="1:22" s="126" customFormat="1">
      <c r="A59" s="173"/>
      <c r="B59" s="174"/>
      <c r="C59" s="175"/>
      <c r="D59" s="175"/>
      <c r="E59" s="934"/>
      <c r="F59" s="111"/>
      <c r="G59" s="930"/>
      <c r="H59" s="127"/>
      <c r="I59" s="930"/>
      <c r="J59" s="127"/>
      <c r="K59" s="934"/>
      <c r="L59" s="111"/>
      <c r="M59" s="930"/>
      <c r="N59" s="930"/>
      <c r="Q59" s="969"/>
      <c r="R59"/>
      <c r="S59"/>
      <c r="T59"/>
      <c r="U59"/>
      <c r="V59"/>
    </row>
    <row r="60" spans="1:22" s="126" customFormat="1">
      <c r="A60" s="173"/>
      <c r="B60" s="174"/>
      <c r="C60" s="175"/>
      <c r="D60" s="175"/>
      <c r="E60" s="934"/>
      <c r="F60" s="111"/>
      <c r="G60" s="930"/>
      <c r="H60" s="127"/>
      <c r="I60" s="930"/>
      <c r="J60" s="127"/>
      <c r="K60" s="934"/>
      <c r="L60" s="111"/>
      <c r="M60" s="930"/>
      <c r="N60" s="930"/>
      <c r="O60"/>
      <c r="Q60" s="969"/>
      <c r="R60"/>
      <c r="S60"/>
      <c r="T60"/>
      <c r="U60"/>
      <c r="V60"/>
    </row>
    <row r="61" spans="1:22" s="126" customFormat="1">
      <c r="A61" s="173"/>
      <c r="B61" s="174"/>
      <c r="C61" s="175"/>
      <c r="D61" s="175"/>
      <c r="E61" s="934"/>
      <c r="F61" s="111"/>
      <c r="G61" s="930"/>
      <c r="H61" s="127"/>
      <c r="I61" s="930"/>
      <c r="J61" s="127"/>
      <c r="K61" s="934"/>
      <c r="L61" s="111"/>
      <c r="M61" s="930"/>
      <c r="N61" s="930"/>
      <c r="O61"/>
      <c r="Q61" s="969"/>
      <c r="R61"/>
      <c r="S61"/>
      <c r="T61"/>
      <c r="U61"/>
      <c r="V61"/>
    </row>
    <row r="62" spans="1:22" s="126" customFormat="1">
      <c r="A62" s="173"/>
      <c r="B62" s="174"/>
      <c r="C62" s="175"/>
      <c r="D62" s="175"/>
      <c r="E62" s="934"/>
      <c r="F62" s="111"/>
      <c r="G62" s="930"/>
      <c r="H62" s="127"/>
      <c r="I62" s="930"/>
      <c r="J62" s="127"/>
      <c r="K62" s="934"/>
      <c r="L62" s="111"/>
      <c r="M62" s="930"/>
      <c r="N62" s="930"/>
      <c r="O62"/>
      <c r="Q62" s="969"/>
      <c r="R62"/>
      <c r="S62"/>
      <c r="T62"/>
      <c r="U62"/>
      <c r="V62"/>
    </row>
    <row r="63" spans="1:22" s="126" customFormat="1">
      <c r="A63" s="173"/>
      <c r="B63" s="174"/>
      <c r="C63" s="175"/>
      <c r="D63" s="175"/>
      <c r="E63" s="934"/>
      <c r="F63" s="111"/>
      <c r="G63" s="930"/>
      <c r="H63" s="127"/>
      <c r="I63" s="930"/>
      <c r="J63" s="930"/>
      <c r="K63" s="127"/>
      <c r="L63" s="934"/>
      <c r="M63" s="930"/>
      <c r="N63" s="930"/>
      <c r="O63"/>
      <c r="Q63" s="969"/>
      <c r="R63"/>
      <c r="S63"/>
      <c r="T63"/>
      <c r="U63"/>
      <c r="V63"/>
    </row>
    <row r="64" spans="1:22" s="126" customFormat="1">
      <c r="A64" s="173"/>
      <c r="B64" s="175"/>
      <c r="C64" s="175"/>
      <c r="D64" s="934"/>
      <c r="E64" s="111"/>
      <c r="F64" s="930"/>
      <c r="G64" s="127"/>
      <c r="H64" s="930"/>
      <c r="I64" s="930"/>
      <c r="J64" s="930"/>
      <c r="K64" s="127"/>
      <c r="L64" s="934"/>
      <c r="M64" s="930"/>
      <c r="N64" s="930"/>
      <c r="O64"/>
      <c r="Q64" s="969"/>
      <c r="R64"/>
      <c r="S64"/>
      <c r="T64"/>
      <c r="U64"/>
      <c r="V64"/>
    </row>
    <row r="65" spans="1:22" s="126" customFormat="1">
      <c r="A65" s="173"/>
      <c r="B65" s="175"/>
      <c r="C65" s="175"/>
      <c r="D65" s="934"/>
      <c r="E65" s="111"/>
      <c r="F65" s="930"/>
      <c r="G65" s="127"/>
      <c r="H65" s="930"/>
      <c r="I65" s="930"/>
      <c r="J65" s="930"/>
      <c r="K65" s="127"/>
      <c r="L65" s="934"/>
      <c r="M65" s="930"/>
      <c r="N65" s="930"/>
      <c r="O65"/>
      <c r="Q65" s="969"/>
      <c r="R65"/>
      <c r="S65"/>
      <c r="T65"/>
      <c r="U65"/>
      <c r="V65"/>
    </row>
    <row r="66" spans="1:22" s="126" customFormat="1">
      <c r="A66" s="173"/>
      <c r="B66" s="175"/>
      <c r="C66" s="175"/>
      <c r="D66" s="934"/>
      <c r="E66" s="111"/>
      <c r="F66" s="930"/>
      <c r="G66" s="127"/>
      <c r="H66" s="930"/>
      <c r="I66" s="930"/>
      <c r="J66" s="930"/>
      <c r="K66" s="127"/>
      <c r="L66" s="934"/>
      <c r="M66" s="930"/>
      <c r="N66" s="930"/>
      <c r="O66"/>
      <c r="Q66" s="969"/>
      <c r="R66"/>
      <c r="S66"/>
      <c r="T66"/>
      <c r="U66"/>
      <c r="V66"/>
    </row>
    <row r="67" spans="1:22" s="126" customFormat="1">
      <c r="A67" s="173"/>
      <c r="B67" s="175"/>
      <c r="C67" s="175"/>
      <c r="D67" s="934"/>
      <c r="E67" s="111"/>
      <c r="F67" s="930"/>
      <c r="G67" s="127"/>
      <c r="H67" s="930"/>
      <c r="I67" s="930"/>
      <c r="J67" s="930"/>
      <c r="K67" s="127"/>
      <c r="L67" s="934"/>
      <c r="M67" s="930"/>
      <c r="N67" s="930"/>
      <c r="O67"/>
      <c r="Q67" s="969"/>
      <c r="R67"/>
      <c r="S67"/>
      <c r="T67"/>
      <c r="U67"/>
      <c r="V67"/>
    </row>
    <row r="68" spans="1:22" s="126" customFormat="1">
      <c r="A68" s="173"/>
      <c r="B68" s="175"/>
      <c r="C68" s="175"/>
      <c r="D68" s="934"/>
      <c r="E68" s="111"/>
      <c r="F68" s="930"/>
      <c r="G68" s="127"/>
      <c r="H68" s="930"/>
      <c r="I68" s="930"/>
      <c r="J68" s="930"/>
      <c r="K68" s="127"/>
      <c r="L68" s="934"/>
      <c r="M68" s="930"/>
      <c r="N68" s="930"/>
      <c r="O68"/>
      <c r="Q68" s="969"/>
      <c r="R68"/>
      <c r="S68"/>
      <c r="T68"/>
      <c r="U68"/>
      <c r="V68"/>
    </row>
  </sheetData>
  <sheetProtection formatCells="0" formatColumns="0" formatRows="0" selectLockedCells="1"/>
  <mergeCells count="128">
    <mergeCell ref="B5:M5"/>
    <mergeCell ref="C7:L7"/>
    <mergeCell ref="C13:D13"/>
    <mergeCell ref="E13:F13"/>
    <mergeCell ref="G13:H13"/>
    <mergeCell ref="I13:J13"/>
    <mergeCell ref="K13:L13"/>
    <mergeCell ref="K15:L15"/>
    <mergeCell ref="C16:D16"/>
    <mergeCell ref="E16:F16"/>
    <mergeCell ref="G16:H16"/>
    <mergeCell ref="I16:J16"/>
    <mergeCell ref="K16:L16"/>
    <mergeCell ref="B8:B12"/>
    <mergeCell ref="C8:D8"/>
    <mergeCell ref="E8:F8"/>
    <mergeCell ref="G8:H8"/>
    <mergeCell ref="I8:J8"/>
    <mergeCell ref="K8:L8"/>
    <mergeCell ref="M8:M12"/>
    <mergeCell ref="C11:D11"/>
    <mergeCell ref="E11:F11"/>
    <mergeCell ref="G11:H11"/>
    <mergeCell ref="I11:J11"/>
    <mergeCell ref="O13:O28"/>
    <mergeCell ref="C14:D14"/>
    <mergeCell ref="E14:F14"/>
    <mergeCell ref="G14:H14"/>
    <mergeCell ref="I14:J14"/>
    <mergeCell ref="K14:L14"/>
    <mergeCell ref="C15:D15"/>
    <mergeCell ref="E15:F15"/>
    <mergeCell ref="G15:H15"/>
    <mergeCell ref="I15:J15"/>
    <mergeCell ref="C17:D17"/>
    <mergeCell ref="E17:F17"/>
    <mergeCell ref="G17:H17"/>
    <mergeCell ref="I17:J17"/>
    <mergeCell ref="K17:L17"/>
    <mergeCell ref="C20:D20"/>
    <mergeCell ref="E20:F20"/>
    <mergeCell ref="G20:H20"/>
    <mergeCell ref="I20:J20"/>
    <mergeCell ref="C23:L23"/>
    <mergeCell ref="C24:D24"/>
    <mergeCell ref="E24:F24"/>
    <mergeCell ref="G24:H24"/>
    <mergeCell ref="I24:J24"/>
    <mergeCell ref="K24:L24"/>
    <mergeCell ref="K20:L20"/>
    <mergeCell ref="C21:D21"/>
    <mergeCell ref="E21:F21"/>
    <mergeCell ref="G21:H21"/>
    <mergeCell ref="I21:J21"/>
    <mergeCell ref="K21:L21"/>
    <mergeCell ref="C25:D25"/>
    <mergeCell ref="E25:F25"/>
    <mergeCell ref="G25:H25"/>
    <mergeCell ref="I25:J25"/>
    <mergeCell ref="K25:L25"/>
    <mergeCell ref="C26:D26"/>
    <mergeCell ref="E26:F26"/>
    <mergeCell ref="G26:H26"/>
    <mergeCell ref="I26:J26"/>
    <mergeCell ref="K26:L26"/>
    <mergeCell ref="C29:D29"/>
    <mergeCell ref="E29:F29"/>
    <mergeCell ref="G29:H29"/>
    <mergeCell ref="I29:J29"/>
    <mergeCell ref="K29:L29"/>
    <mergeCell ref="C27:D27"/>
    <mergeCell ref="E27:F27"/>
    <mergeCell ref="G27:H27"/>
    <mergeCell ref="I27:J27"/>
    <mergeCell ref="K27:L27"/>
    <mergeCell ref="C28:D28"/>
    <mergeCell ref="E28:F28"/>
    <mergeCell ref="G28:H28"/>
    <mergeCell ref="I28:J28"/>
    <mergeCell ref="K28:L28"/>
    <mergeCell ref="C32:D32"/>
    <mergeCell ref="E32:F32"/>
    <mergeCell ref="G32:H32"/>
    <mergeCell ref="I32:J32"/>
    <mergeCell ref="K32:L32"/>
    <mergeCell ref="C30:D30"/>
    <mergeCell ref="E30:F30"/>
    <mergeCell ref="G30:H30"/>
    <mergeCell ref="I30:J30"/>
    <mergeCell ref="K30:L30"/>
    <mergeCell ref="C31:D31"/>
    <mergeCell ref="E31:F31"/>
    <mergeCell ref="G31:H31"/>
    <mergeCell ref="I31:J31"/>
    <mergeCell ref="K31:L31"/>
    <mergeCell ref="C45:I47"/>
    <mergeCell ref="B48:J50"/>
    <mergeCell ref="C33:D33"/>
    <mergeCell ref="E33:F33"/>
    <mergeCell ref="G33:H33"/>
    <mergeCell ref="I33:J33"/>
    <mergeCell ref="K33:L33"/>
    <mergeCell ref="C34:D34"/>
    <mergeCell ref="E34:F34"/>
    <mergeCell ref="G34:H34"/>
    <mergeCell ref="I34:J34"/>
    <mergeCell ref="K34:L34"/>
    <mergeCell ref="C35:D35"/>
    <mergeCell ref="E35:F35"/>
    <mergeCell ref="G35:H35"/>
    <mergeCell ref="I35:J35"/>
    <mergeCell ref="K35:L35"/>
    <mergeCell ref="K11:L11"/>
    <mergeCell ref="C12:D12"/>
    <mergeCell ref="E12:F12"/>
    <mergeCell ref="G12:H12"/>
    <mergeCell ref="I12:J12"/>
    <mergeCell ref="K12:L12"/>
    <mergeCell ref="C9:D9"/>
    <mergeCell ref="E9:F9"/>
    <mergeCell ref="G9:H9"/>
    <mergeCell ref="I9:J9"/>
    <mergeCell ref="K9:L9"/>
    <mergeCell ref="C10:D10"/>
    <mergeCell ref="E10:F10"/>
    <mergeCell ref="G10:H10"/>
    <mergeCell ref="I10:J10"/>
    <mergeCell ref="K10:L10"/>
  </mergeCells>
  <dataValidations count="3">
    <dataValidation type="list" allowBlank="1" sqref="K19 C19 E19 G19 I19">
      <formula1>$P$22:$P$25</formula1>
    </dataValidation>
    <dataValidation type="list" allowBlank="1" showInputMessage="1" showErrorMessage="1" sqref="C14:L14">
      <formula1>"24 Std., 12 Std."</formula1>
    </dataValidation>
    <dataValidation type="list" allowBlank="1" sqref="E18 G18 K18 C18 I18">
      <formula1>Vorfrucht</formula1>
    </dataValidation>
  </dataValidations>
  <pageMargins left="0.25" right="0.25" top="0.75" bottom="0.75" header="0.3" footer="0.3"/>
  <pageSetup paperSize="9" scale="61" orientation="landscape" horizontalDpi="4294967293" vertic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theme="0" tint="-4.9989318521683403E-2"/>
    <pageSetUpPr fitToPage="1"/>
  </sheetPr>
  <dimension ref="A1:V50"/>
  <sheetViews>
    <sheetView topLeftCell="C27" zoomScaleNormal="100" workbookViewId="0">
      <selection activeCell="M46" sqref="M46"/>
    </sheetView>
  </sheetViews>
  <sheetFormatPr baseColWidth="10" defaultRowHeight="15"/>
  <cols>
    <col min="1" max="1" width="6.28515625" style="173" customWidth="1"/>
    <col min="2" max="2" width="45.7109375" style="174" customWidth="1"/>
    <col min="3" max="3" width="8.85546875" style="175" customWidth="1"/>
    <col min="4" max="4" width="9.42578125" style="934" customWidth="1"/>
    <col min="5" max="5" width="9.28515625" style="111" customWidth="1"/>
    <col min="6" max="6" width="9.7109375" style="930" customWidth="1"/>
    <col min="7" max="7" width="9.140625" style="127" customWidth="1"/>
    <col min="8" max="8" width="9.7109375" style="930" customWidth="1"/>
    <col min="9" max="9" width="10.140625" style="930" customWidth="1"/>
    <col min="10" max="10" width="9.7109375" style="930" customWidth="1"/>
    <col min="11" max="11" width="9" style="127" customWidth="1"/>
    <col min="12" max="12" width="9.5703125" style="934" customWidth="1"/>
    <col min="13" max="13" width="29.140625" customWidth="1"/>
    <col min="14" max="14" width="4.42578125" customWidth="1"/>
    <col min="15" max="15" width="32.5703125" customWidth="1"/>
    <col min="16" max="16" width="27.7109375" style="126" customWidth="1"/>
    <col min="17" max="17" width="22" style="969" customWidth="1"/>
    <col min="18" max="18" width="25.42578125" customWidth="1"/>
    <col min="19" max="19" width="24.28515625" customWidth="1"/>
    <col min="20" max="20" width="13.28515625" customWidth="1"/>
    <col min="21" max="21" width="19.42578125" customWidth="1"/>
    <col min="23" max="25" width="22.42578125" customWidth="1"/>
  </cols>
  <sheetData>
    <row r="1" spans="1:17">
      <c r="B1" s="412" t="str">
        <f>'DüV-N-Ackerbau'!C1</f>
        <v>Karl vom Land</v>
      </c>
      <c r="C1" s="412" t="str">
        <f>'DüV-N-Ackerbau'!F1</f>
        <v>Erntejahr</v>
      </c>
      <c r="M1" s="128" t="s">
        <v>36</v>
      </c>
      <c r="N1" s="294"/>
    </row>
    <row r="2" spans="1:17">
      <c r="B2" s="412" t="str">
        <f>'DüV-N-Ackerbau'!C2</f>
        <v>Höfen 1</v>
      </c>
      <c r="C2" s="412">
        <f>'DüV-N-Ackerbau'!G1</f>
        <v>2022</v>
      </c>
      <c r="M2" s="129" t="s">
        <v>34</v>
      </c>
      <c r="N2" s="294"/>
    </row>
    <row r="3" spans="1:17" ht="15.75" thickBot="1">
      <c r="B3" s="412" t="str">
        <f>'DüV-N-Ackerbau'!C3</f>
        <v>12345 Auf dem Feld</v>
      </c>
      <c r="C3" s="174"/>
    </row>
    <row r="4" spans="1:17" ht="20.25" customHeight="1" thickBot="1">
      <c r="B4" s="2674" t="s">
        <v>605</v>
      </c>
      <c r="C4" s="3228"/>
      <c r="D4" s="3228"/>
      <c r="E4" s="3228"/>
      <c r="F4" s="3228"/>
      <c r="G4" s="3228"/>
      <c r="H4" s="3228"/>
      <c r="I4" s="3228"/>
      <c r="J4" s="3228"/>
      <c r="K4" s="3228"/>
      <c r="L4" s="3229"/>
      <c r="M4" s="604"/>
      <c r="N4" s="604"/>
    </row>
    <row r="5" spans="1:17" ht="9" customHeight="1" thickBot="1"/>
    <row r="6" spans="1:17" ht="19.5" thickBot="1">
      <c r="C6" s="3218" t="s">
        <v>193</v>
      </c>
      <c r="D6" s="3219"/>
      <c r="E6" s="3219"/>
      <c r="F6" s="3219"/>
      <c r="G6" s="3219"/>
      <c r="H6" s="3219"/>
      <c r="I6" s="3219"/>
      <c r="J6" s="3219"/>
      <c r="K6" s="3219"/>
      <c r="L6" s="3220"/>
    </row>
    <row r="7" spans="1:17">
      <c r="B7" s="3206" t="s">
        <v>1304</v>
      </c>
      <c r="C7" s="3176"/>
      <c r="D7" s="3176"/>
      <c r="E7" s="3177"/>
      <c r="F7" s="3177"/>
      <c r="G7" s="3177"/>
      <c r="H7" s="3177"/>
      <c r="I7" s="3177"/>
      <c r="J7" s="3177"/>
      <c r="K7" s="3177"/>
      <c r="L7" s="3177"/>
      <c r="M7" s="3222" t="s">
        <v>1304</v>
      </c>
    </row>
    <row r="8" spans="1:17">
      <c r="B8" s="3206"/>
      <c r="C8" s="3204"/>
      <c r="D8" s="3205"/>
      <c r="E8" s="3177"/>
      <c r="F8" s="3177"/>
      <c r="G8" s="3177"/>
      <c r="H8" s="3177"/>
      <c r="I8" s="3177"/>
      <c r="J8" s="3177"/>
      <c r="K8" s="3177"/>
      <c r="L8" s="3177"/>
      <c r="M8" s="3222"/>
    </row>
    <row r="9" spans="1:17">
      <c r="B9" s="3206"/>
      <c r="C9" s="3176"/>
      <c r="D9" s="3176"/>
      <c r="E9" s="3177"/>
      <c r="F9" s="3177"/>
      <c r="G9" s="3177"/>
      <c r="H9" s="3177"/>
      <c r="I9" s="3177"/>
      <c r="J9" s="3177"/>
      <c r="K9" s="3177"/>
      <c r="L9" s="3177"/>
      <c r="M9" s="3222"/>
    </row>
    <row r="10" spans="1:17">
      <c r="B10" s="3206"/>
      <c r="C10" s="3176"/>
      <c r="D10" s="3176"/>
      <c r="E10" s="3177"/>
      <c r="F10" s="3177"/>
      <c r="G10" s="3177"/>
      <c r="H10" s="3177"/>
      <c r="I10" s="3177"/>
      <c r="J10" s="3177"/>
      <c r="K10" s="3177"/>
      <c r="L10" s="3177"/>
      <c r="M10" s="3222"/>
    </row>
    <row r="11" spans="1:17">
      <c r="B11" s="3206"/>
      <c r="C11" s="3176"/>
      <c r="D11" s="3176"/>
      <c r="E11" s="3177"/>
      <c r="F11" s="3177"/>
      <c r="G11" s="3177"/>
      <c r="H11" s="3177"/>
      <c r="I11" s="3177"/>
      <c r="J11" s="3177"/>
      <c r="K11" s="3177"/>
      <c r="L11" s="3177"/>
      <c r="M11" s="3222"/>
    </row>
    <row r="12" spans="1:17" ht="29.25" customHeight="1">
      <c r="B12" s="174" t="s">
        <v>724</v>
      </c>
      <c r="C12" s="3225" t="s">
        <v>463</v>
      </c>
      <c r="D12" s="3225"/>
      <c r="E12" s="3226" t="s">
        <v>464</v>
      </c>
      <c r="F12" s="3227"/>
      <c r="G12" s="3225" t="s">
        <v>2</v>
      </c>
      <c r="H12" s="3225"/>
      <c r="I12" s="3225" t="s">
        <v>465</v>
      </c>
      <c r="J12" s="3225"/>
      <c r="K12" s="3225" t="s">
        <v>466</v>
      </c>
      <c r="L12" s="3225"/>
      <c r="M12" s="929" t="s">
        <v>724</v>
      </c>
      <c r="N12" s="929"/>
      <c r="O12" s="3064" t="s">
        <v>460</v>
      </c>
    </row>
    <row r="13" spans="1:17" ht="29.25" customHeight="1">
      <c r="B13" s="136" t="s">
        <v>206</v>
      </c>
      <c r="C13" s="3225">
        <v>20</v>
      </c>
      <c r="D13" s="3225"/>
      <c r="E13" s="3226">
        <v>40</v>
      </c>
      <c r="F13" s="3227"/>
      <c r="G13" s="3225">
        <v>60</v>
      </c>
      <c r="H13" s="3225"/>
      <c r="I13" s="3225">
        <v>80</v>
      </c>
      <c r="J13" s="3225"/>
      <c r="K13" s="3225">
        <v>80</v>
      </c>
      <c r="L13" s="3225"/>
      <c r="M13" s="929" t="s">
        <v>467</v>
      </c>
      <c r="N13" s="929"/>
      <c r="O13" s="3064"/>
      <c r="P13" s="486" t="s">
        <v>79</v>
      </c>
      <c r="Q13" s="486" t="s">
        <v>5</v>
      </c>
    </row>
    <row r="14" spans="1:17" ht="30" customHeight="1">
      <c r="A14" s="140"/>
      <c r="B14" s="137" t="s">
        <v>462</v>
      </c>
      <c r="C14" s="3216" t="s">
        <v>456</v>
      </c>
      <c r="D14" s="3217"/>
      <c r="E14" s="3216" t="s">
        <v>456</v>
      </c>
      <c r="F14" s="3217"/>
      <c r="G14" s="3216" t="s">
        <v>456</v>
      </c>
      <c r="H14" s="3217"/>
      <c r="I14" s="3216" t="s">
        <v>455</v>
      </c>
      <c r="J14" s="3217"/>
      <c r="K14" s="3216" t="s">
        <v>456</v>
      </c>
      <c r="L14" s="3217"/>
      <c r="M14" s="929"/>
      <c r="N14" s="141"/>
      <c r="O14" s="3114"/>
      <c r="P14" s="512" t="s">
        <v>86</v>
      </c>
      <c r="Q14" s="482">
        <v>10</v>
      </c>
    </row>
    <row r="15" spans="1:17" ht="17.25" customHeight="1">
      <c r="A15" s="140"/>
      <c r="B15" s="140" t="s">
        <v>233</v>
      </c>
      <c r="C15" s="3137">
        <v>98</v>
      </c>
      <c r="D15" s="3203"/>
      <c r="E15" s="3137">
        <v>70</v>
      </c>
      <c r="F15" s="3203"/>
      <c r="G15" s="3137">
        <v>94</v>
      </c>
      <c r="H15" s="3203"/>
      <c r="I15" s="3137">
        <v>80</v>
      </c>
      <c r="J15" s="3203"/>
      <c r="K15" s="3137">
        <v>80</v>
      </c>
      <c r="L15" s="3203"/>
      <c r="M15" s="141" t="s">
        <v>85</v>
      </c>
      <c r="N15" s="141"/>
      <c r="O15" s="3114"/>
      <c r="P15" s="512" t="s">
        <v>87</v>
      </c>
      <c r="Q15" s="482">
        <v>30</v>
      </c>
    </row>
    <row r="16" spans="1:17" ht="17.25" customHeight="1">
      <c r="B16" s="140" t="s">
        <v>73</v>
      </c>
      <c r="C16" s="3210">
        <v>17.2</v>
      </c>
      <c r="D16" s="3211"/>
      <c r="E16" s="3210">
        <v>17</v>
      </c>
      <c r="F16" s="3211"/>
      <c r="G16" s="3210">
        <v>17.600000000000001</v>
      </c>
      <c r="H16" s="3211"/>
      <c r="I16" s="3210">
        <v>17</v>
      </c>
      <c r="J16" s="3211"/>
      <c r="K16" s="3210">
        <v>17</v>
      </c>
      <c r="L16" s="3211"/>
      <c r="M16" s="141" t="s">
        <v>73</v>
      </c>
      <c r="N16" s="2"/>
      <c r="O16" s="3114"/>
      <c r="P16" s="512" t="s">
        <v>232</v>
      </c>
      <c r="Q16" s="482">
        <v>50</v>
      </c>
    </row>
    <row r="17" spans="1:20" ht="21.75" customHeight="1">
      <c r="A17" s="123"/>
      <c r="B17" s="140" t="s">
        <v>257</v>
      </c>
      <c r="C17" s="3123">
        <f>IF(C$14="24 Std.",(C13*0.005*C15+(100-C13)*0.01*C15)*C16/6.25,(C13*0.0075*C15+(100-C13)*0.01*C15)*C16/6.25)</f>
        <v>242.72639999999998</v>
      </c>
      <c r="D17" s="3172"/>
      <c r="E17" s="3123">
        <f>IF(E$14="24 Std.",(E13*0.005*E15+(100-E13)*0.01*E15)*E16/6.25,(E13*0.0075*E15+(100-E13)*0.01*E15)*E16/6.25)</f>
        <v>152.32</v>
      </c>
      <c r="F17" s="3172"/>
      <c r="G17" s="3123">
        <f>IF(G$14="24 Std.",(G13*0.005*G15+(100-G13)*0.01*G15)*G16/6.25,(G13*0.0075*G15+(100-G13)*0.01*G15)*G16/6.25)</f>
        <v>185.29280000000003</v>
      </c>
      <c r="H17" s="3172"/>
      <c r="I17" s="3123">
        <f>IF(I$14="24 Std.",(I13*0.005*I15+(100-I13)*0.01*I15)*I16/6.25,(I13*0.0075*I15+(100-I13)*0.01*I15)*I16/6.25)</f>
        <v>174.08</v>
      </c>
      <c r="J17" s="3172"/>
      <c r="K17" s="3123">
        <f>IF(K$14="24 Std.",(K13*0.005*K15+(100-K13)*0.01*K15)*K16/6.25,(K13*0.0075*K15+(100-K13)*0.01*K15)*K16/6.25)</f>
        <v>130.56</v>
      </c>
      <c r="L17" s="3172"/>
      <c r="M17" s="2" t="s">
        <v>4</v>
      </c>
      <c r="N17" s="2"/>
      <c r="O17" s="3114"/>
      <c r="P17" s="512" t="s">
        <v>80</v>
      </c>
      <c r="Q17" s="482">
        <v>50</v>
      </c>
    </row>
    <row r="18" spans="1:20" ht="36" customHeight="1">
      <c r="B18" s="174" t="s">
        <v>82</v>
      </c>
      <c r="C18" s="466" t="s">
        <v>86</v>
      </c>
      <c r="D18" s="29">
        <f>VLOOKUP(C18,P14:Q18,2,FALSE)</f>
        <v>10</v>
      </c>
      <c r="E18" s="466" t="s">
        <v>86</v>
      </c>
      <c r="F18" s="29">
        <f>VLOOKUP(E18,P14:Q18,2,FALSE)</f>
        <v>10</v>
      </c>
      <c r="G18" s="466" t="s">
        <v>86</v>
      </c>
      <c r="H18" s="29">
        <f>VLOOKUP(G18,P14:Q18,2,FALSE)</f>
        <v>10</v>
      </c>
      <c r="I18" s="466" t="s">
        <v>86</v>
      </c>
      <c r="J18" s="29">
        <f>VLOOKUP(I18,P14:Q18,2,FALSE)</f>
        <v>10</v>
      </c>
      <c r="K18" s="466" t="s">
        <v>86</v>
      </c>
      <c r="L18" s="29">
        <f>VLOOKUP(K18,P14:Q18,2,FALSE)</f>
        <v>10</v>
      </c>
      <c r="M18" s="1" t="s">
        <v>4</v>
      </c>
      <c r="O18" s="3114"/>
      <c r="P18" s="512" t="s">
        <v>81</v>
      </c>
      <c r="Q18" s="482">
        <v>80</v>
      </c>
    </row>
    <row r="19" spans="1:20" ht="45.75" customHeight="1">
      <c r="B19" s="174" t="s">
        <v>83</v>
      </c>
      <c r="C19" s="466" t="s">
        <v>90</v>
      </c>
      <c r="D19" s="29">
        <f>VLOOKUP(C19,$P22:$Q25,2,FALSE)</f>
        <v>0</v>
      </c>
      <c r="E19" s="466" t="s">
        <v>90</v>
      </c>
      <c r="F19" s="29">
        <f>VLOOKUP(E19,$P22:$Q25,2,FALSE)</f>
        <v>0</v>
      </c>
      <c r="G19" s="466" t="s">
        <v>90</v>
      </c>
      <c r="H19" s="29">
        <f>VLOOKUP(G19,$P22:$Q25,2,FALSE)</f>
        <v>0</v>
      </c>
      <c r="I19" s="466" t="s">
        <v>88</v>
      </c>
      <c r="J19" s="29">
        <f>VLOOKUP(I19,$P22:$Q25,2,FALSE)</f>
        <v>20</v>
      </c>
      <c r="K19" s="466" t="s">
        <v>88</v>
      </c>
      <c r="L19" s="29">
        <f>VLOOKUP(K19,$P22:$Q25,2,FALSE)</f>
        <v>20</v>
      </c>
      <c r="M19" s="1" t="s">
        <v>4</v>
      </c>
      <c r="O19" s="3114"/>
      <c r="P19" s="512"/>
      <c r="Q19" s="482"/>
    </row>
    <row r="20" spans="1:20" ht="23.25" customHeight="1">
      <c r="B20" s="174" t="s">
        <v>91</v>
      </c>
      <c r="C20" s="3193">
        <v>0</v>
      </c>
      <c r="D20" s="3194"/>
      <c r="E20" s="3193">
        <v>0</v>
      </c>
      <c r="F20" s="3194"/>
      <c r="G20" s="3193">
        <v>0</v>
      </c>
      <c r="H20" s="3194"/>
      <c r="I20" s="3193">
        <v>0</v>
      </c>
      <c r="J20" s="3194"/>
      <c r="K20" s="3193">
        <v>0</v>
      </c>
      <c r="L20" s="3194"/>
      <c r="M20" s="1" t="s">
        <v>211</v>
      </c>
      <c r="N20" s="1"/>
      <c r="O20" s="3114"/>
      <c r="P20" s="512"/>
      <c r="Q20" s="481"/>
    </row>
    <row r="21" spans="1:20" ht="27" customHeight="1">
      <c r="B21" s="167" t="s">
        <v>468</v>
      </c>
      <c r="C21" s="3195">
        <f>IF(C17-D18-D19-C20&lt;0,0,C17-D18-D19-C20)</f>
        <v>232.72639999999998</v>
      </c>
      <c r="D21" s="3195"/>
      <c r="E21" s="3195">
        <f>IF(E17-F18-F19-E20&lt;0,0,E17-F18-F19-E20)</f>
        <v>142.32</v>
      </c>
      <c r="F21" s="3195"/>
      <c r="G21" s="3195">
        <f>IF(G17-H18-H19-G20&lt;0,0,G17-H18-H19-G20)</f>
        <v>175.29280000000003</v>
      </c>
      <c r="H21" s="3195"/>
      <c r="I21" s="3195">
        <f>IF(I17-J18-J19-I20&lt;0,0,I17-J18-J19-I20)</f>
        <v>144.08000000000001</v>
      </c>
      <c r="J21" s="3195"/>
      <c r="K21" s="3195">
        <f>IF(K17-L18-L19-K20&lt;0,0,K17-L18-L19-K20)</f>
        <v>100.56</v>
      </c>
      <c r="L21" s="3195"/>
      <c r="M21" s="931" t="s">
        <v>470</v>
      </c>
      <c r="N21" s="1"/>
      <c r="O21" s="3114"/>
      <c r="P21" s="486" t="s">
        <v>84</v>
      </c>
      <c r="Q21" s="482"/>
    </row>
    <row r="22" spans="1:20" ht="9.75" customHeight="1">
      <c r="N22" s="1"/>
      <c r="O22" s="3114"/>
      <c r="P22" s="512" t="s">
        <v>90</v>
      </c>
      <c r="Q22" s="482">
        <v>0</v>
      </c>
    </row>
    <row r="23" spans="1:20" ht="26.25" customHeight="1">
      <c r="B23" s="169"/>
      <c r="C23" s="2725" t="s">
        <v>719</v>
      </c>
      <c r="D23" s="3113"/>
      <c r="E23" s="2726"/>
      <c r="F23" s="2726"/>
      <c r="G23" s="2726"/>
      <c r="H23" s="2726"/>
      <c r="I23" s="2726"/>
      <c r="J23" s="2726"/>
      <c r="K23" s="2726"/>
      <c r="L23" s="2727"/>
      <c r="M23" s="158"/>
      <c r="N23" s="1"/>
      <c r="O23" s="3114"/>
      <c r="P23" s="512" t="s">
        <v>88</v>
      </c>
      <c r="Q23" s="482">
        <v>20</v>
      </c>
    </row>
    <row r="24" spans="1:20" ht="23.25" customHeight="1">
      <c r="B24" s="170" t="s">
        <v>42</v>
      </c>
      <c r="C24" s="3196">
        <f>C21</f>
        <v>232.72639999999998</v>
      </c>
      <c r="D24" s="3196"/>
      <c r="E24" s="3196">
        <f>E21</f>
        <v>142.32</v>
      </c>
      <c r="F24" s="3196"/>
      <c r="G24" s="3196">
        <f>G21</f>
        <v>175.29280000000003</v>
      </c>
      <c r="H24" s="3196"/>
      <c r="I24" s="3196">
        <f>I21</f>
        <v>144.08000000000001</v>
      </c>
      <c r="J24" s="3196"/>
      <c r="K24" s="3196">
        <f>K21</f>
        <v>100.56</v>
      </c>
      <c r="L24" s="3196"/>
      <c r="M24" s="159" t="s">
        <v>4</v>
      </c>
      <c r="N24" s="1"/>
      <c r="O24" s="3114"/>
      <c r="P24" s="512" t="s">
        <v>89</v>
      </c>
      <c r="Q24" s="482">
        <v>40</v>
      </c>
    </row>
    <row r="25" spans="1:20" ht="17.25" customHeight="1">
      <c r="B25" s="789" t="s">
        <v>722</v>
      </c>
      <c r="C25" s="3191"/>
      <c r="D25" s="3192"/>
      <c r="E25" s="3191"/>
      <c r="F25" s="3192"/>
      <c r="G25" s="3191"/>
      <c r="H25" s="3192"/>
      <c r="I25" s="3191"/>
      <c r="J25" s="3192"/>
      <c r="K25" s="3191"/>
      <c r="L25" s="3192"/>
      <c r="M25" s="788"/>
      <c r="O25" s="3114"/>
      <c r="P25" s="512" t="s">
        <v>227</v>
      </c>
      <c r="Q25" s="482">
        <v>60</v>
      </c>
    </row>
    <row r="26" spans="1:20" ht="16.5" customHeight="1">
      <c r="B26" s="790" t="s">
        <v>251</v>
      </c>
      <c r="C26" s="3189">
        <v>0</v>
      </c>
      <c r="D26" s="3190"/>
      <c r="E26" s="3189">
        <v>0</v>
      </c>
      <c r="F26" s="3190"/>
      <c r="G26" s="3189">
        <v>0</v>
      </c>
      <c r="H26" s="3190"/>
      <c r="I26" s="3189">
        <v>0</v>
      </c>
      <c r="J26" s="3190"/>
      <c r="K26" s="3189">
        <v>0</v>
      </c>
      <c r="L26" s="3190"/>
      <c r="M26" s="163" t="s">
        <v>484</v>
      </c>
      <c r="N26" s="1"/>
      <c r="O26" s="3114"/>
    </row>
    <row r="27" spans="1:20" ht="15.75">
      <c r="B27" s="171" t="s">
        <v>252</v>
      </c>
      <c r="C27" s="3189">
        <v>0</v>
      </c>
      <c r="D27" s="3190"/>
      <c r="E27" s="3189">
        <v>0</v>
      </c>
      <c r="F27" s="3190"/>
      <c r="G27" s="3189">
        <v>0</v>
      </c>
      <c r="H27" s="3190"/>
      <c r="I27" s="3189">
        <v>0</v>
      </c>
      <c r="J27" s="3190"/>
      <c r="K27" s="3189">
        <v>0</v>
      </c>
      <c r="L27" s="3190"/>
      <c r="M27" s="164" t="s">
        <v>485</v>
      </c>
      <c r="O27" s="3114"/>
    </row>
    <row r="28" spans="1:20" ht="16.5" customHeight="1">
      <c r="B28" s="171" t="s">
        <v>253</v>
      </c>
      <c r="C28" s="3189">
        <v>0</v>
      </c>
      <c r="D28" s="3190"/>
      <c r="E28" s="3189">
        <v>0</v>
      </c>
      <c r="F28" s="3190"/>
      <c r="G28" s="3189">
        <v>0</v>
      </c>
      <c r="H28" s="3190"/>
      <c r="I28" s="3189">
        <v>0</v>
      </c>
      <c r="J28" s="3190"/>
      <c r="K28" s="3189">
        <v>0</v>
      </c>
      <c r="L28" s="3190"/>
      <c r="M28" s="164" t="s">
        <v>254</v>
      </c>
      <c r="N28" s="255"/>
      <c r="O28" s="2644"/>
      <c r="P28" s="3224"/>
      <c r="Q28" s="3224"/>
    </row>
    <row r="29" spans="1:20" ht="15.75">
      <c r="B29" s="789" t="s">
        <v>721</v>
      </c>
      <c r="C29" s="3191"/>
      <c r="D29" s="3192"/>
      <c r="E29" s="3191"/>
      <c r="F29" s="3192"/>
      <c r="G29" s="3191"/>
      <c r="H29" s="3192"/>
      <c r="I29" s="3191"/>
      <c r="J29" s="3192"/>
      <c r="K29" s="3191"/>
      <c r="L29" s="3192"/>
      <c r="M29" s="788"/>
      <c r="N29" s="256"/>
      <c r="O29" s="2644"/>
      <c r="P29" s="3224"/>
      <c r="Q29" s="3224"/>
    </row>
    <row r="30" spans="1:20" ht="23.25" customHeight="1">
      <c r="B30" s="790" t="s">
        <v>251</v>
      </c>
      <c r="C30" s="3189">
        <v>0</v>
      </c>
      <c r="D30" s="3190"/>
      <c r="E30" s="3189">
        <v>0</v>
      </c>
      <c r="F30" s="3190"/>
      <c r="G30" s="3189">
        <v>0</v>
      </c>
      <c r="H30" s="3190"/>
      <c r="I30" s="3189">
        <v>0</v>
      </c>
      <c r="J30" s="3190"/>
      <c r="K30" s="3189">
        <v>0</v>
      </c>
      <c r="L30" s="3190"/>
      <c r="M30" s="163" t="s">
        <v>484</v>
      </c>
      <c r="N30" s="256"/>
      <c r="O30" s="946" t="s">
        <v>183</v>
      </c>
      <c r="P30" s="959" t="s">
        <v>186</v>
      </c>
      <c r="Q30" s="937"/>
    </row>
    <row r="31" spans="1:20" ht="18.75" customHeight="1">
      <c r="B31" s="171" t="s">
        <v>252</v>
      </c>
      <c r="C31" s="3189">
        <v>0</v>
      </c>
      <c r="D31" s="3190"/>
      <c r="E31" s="3189">
        <v>0</v>
      </c>
      <c r="F31" s="3190"/>
      <c r="G31" s="3189">
        <v>0</v>
      </c>
      <c r="H31" s="3190"/>
      <c r="I31" s="3189">
        <v>0</v>
      </c>
      <c r="J31" s="3190"/>
      <c r="K31" s="3189">
        <v>0</v>
      </c>
      <c r="L31" s="3190"/>
      <c r="M31" s="164" t="s">
        <v>485</v>
      </c>
      <c r="N31" s="257"/>
      <c r="O31" s="951" t="s">
        <v>179</v>
      </c>
      <c r="P31" s="951">
        <v>90</v>
      </c>
      <c r="Q31" s="937"/>
      <c r="R31" s="930"/>
      <c r="S31" s="930"/>
    </row>
    <row r="32" spans="1:20" ht="18.75" customHeight="1">
      <c r="B32" s="171" t="s">
        <v>253</v>
      </c>
      <c r="C32" s="3189">
        <v>0</v>
      </c>
      <c r="D32" s="3190"/>
      <c r="E32" s="3189">
        <v>0</v>
      </c>
      <c r="F32" s="3190"/>
      <c r="G32" s="3189">
        <v>0</v>
      </c>
      <c r="H32" s="3190"/>
      <c r="I32" s="3189">
        <v>0</v>
      </c>
      <c r="J32" s="3190"/>
      <c r="K32" s="3189">
        <v>0</v>
      </c>
      <c r="L32" s="3190"/>
      <c r="M32" s="164" t="s">
        <v>254</v>
      </c>
      <c r="N32" s="258"/>
      <c r="O32" s="951" t="s">
        <v>809</v>
      </c>
      <c r="P32" s="946">
        <v>70</v>
      </c>
      <c r="Q32" s="1453" t="s">
        <v>1214</v>
      </c>
      <c r="R32" s="930"/>
      <c r="S32" s="930"/>
      <c r="T32" s="934"/>
    </row>
    <row r="33" spans="2:22" ht="18.75" customHeight="1">
      <c r="B33" s="171" t="s">
        <v>255</v>
      </c>
      <c r="C33" s="3188">
        <f>(C26*C27*C28/100)+(C30*C31*C32/100)</f>
        <v>0</v>
      </c>
      <c r="D33" s="3188"/>
      <c r="E33" s="3188">
        <f t="shared" ref="E33" si="0">(E26*E27*E28/100)+(E30*E31*E32/100)</f>
        <v>0</v>
      </c>
      <c r="F33" s="3188"/>
      <c r="G33" s="3188">
        <f t="shared" ref="G33" si="1">(G26*G27*G28/100)+(G30*G31*G32/100)</f>
        <v>0</v>
      </c>
      <c r="H33" s="3188"/>
      <c r="I33" s="3188">
        <f t="shared" ref="I33" si="2">(I26*I27*I28/100)+(I30*I31*I32/100)</f>
        <v>0</v>
      </c>
      <c r="J33" s="3188"/>
      <c r="K33" s="3188">
        <f t="shared" ref="K33" si="3">(K26*K27*K28/100)+(K30*K31*K32/100)</f>
        <v>0</v>
      </c>
      <c r="L33" s="3188"/>
      <c r="M33" s="160" t="s">
        <v>4</v>
      </c>
      <c r="N33" s="258"/>
      <c r="O33" s="782" t="s">
        <v>810</v>
      </c>
      <c r="P33" s="946">
        <v>60</v>
      </c>
      <c r="Q33" s="1453" t="s">
        <v>1215</v>
      </c>
      <c r="R33" s="930"/>
      <c r="S33" s="930"/>
      <c r="T33" s="934"/>
    </row>
    <row r="34" spans="2:22" ht="18.75" customHeight="1">
      <c r="B34" s="172" t="s">
        <v>136</v>
      </c>
      <c r="C34" s="3183">
        <f>C24-C33</f>
        <v>232.72639999999998</v>
      </c>
      <c r="D34" s="3183"/>
      <c r="E34" s="3183">
        <f>E24-E33</f>
        <v>142.32</v>
      </c>
      <c r="F34" s="3183"/>
      <c r="G34" s="3183">
        <f>G24-G33</f>
        <v>175.29280000000003</v>
      </c>
      <c r="H34" s="3183"/>
      <c r="I34" s="3183">
        <f>I24-I33</f>
        <v>144.08000000000001</v>
      </c>
      <c r="J34" s="3183"/>
      <c r="K34" s="3183">
        <f>K24-K33</f>
        <v>100.56</v>
      </c>
      <c r="L34" s="3183"/>
      <c r="M34" s="161" t="s">
        <v>4</v>
      </c>
      <c r="N34" s="258"/>
      <c r="O34" s="951" t="s">
        <v>48</v>
      </c>
      <c r="P34" s="946">
        <v>60</v>
      </c>
      <c r="Q34" s="937"/>
      <c r="R34" s="930"/>
      <c r="S34" s="930"/>
      <c r="T34" s="934"/>
    </row>
    <row r="35" spans="2:22" ht="57" customHeight="1">
      <c r="B35" s="1794" t="s">
        <v>642</v>
      </c>
      <c r="C35" s="3214">
        <f>IF(C$14="24 Std.",(C13*0.005*C15+(100-C13)*0.01*C15)*(0.3494+0.4695*LOG(C16)/6.25*C16/6.25),(C13*0.0075*C15+(100-C13)*0.01*C15)*(0.3494+0.4695*LOG(C16)/6.25*C16/6.25))</f>
        <v>53.345220345801394</v>
      </c>
      <c r="D35" s="3223"/>
      <c r="E35" s="3214">
        <f t="shared" ref="E35" si="4">IF(E$14="24 Std.",(E13*0.005*E15+(100-E13)*0.01*E15)*(0.3494+0.4695*LOG(E16)/6.25*E16/6.25),(E13*0.0075*E15+(100-E13)*0.01*E15)*(0.3494+0.4695*LOG(E16)/6.25*E16/6.25))</f>
        <v>33.645539115389916</v>
      </c>
      <c r="F35" s="3223"/>
      <c r="G35" s="3214">
        <f t="shared" ref="G35" si="5">IF(G$14="24 Std.",(G13*0.005*G15+(100-G13)*0.01*G15)*(0.3494+0.4695*LOG(G16)/6.25*G16/6.25),(G13*0.0075*G15+(100-G13)*0.01*G15)*(0.3494+0.4695*LOG(G16)/6.25*G16/6.25))</f>
        <v>40.327053867665093</v>
      </c>
      <c r="H35" s="3223"/>
      <c r="I35" s="3214">
        <f t="shared" ref="I35" si="6">IF(I$14="24 Std.",(I13*0.005*I15+(100-I13)*0.01*I15)*(0.3494+0.4695*LOG(I16)/6.25*I16/6.25),(I13*0.0075*I15+(100-I13)*0.01*I15)*(0.3494+0.4695*LOG(I16)/6.25*I16/6.25))</f>
        <v>38.452044703302761</v>
      </c>
      <c r="J35" s="3223"/>
      <c r="K35" s="3214">
        <f t="shared" ref="K35" si="7">IF(K$14="24 Std.",(K13*0.005*K15+(100-K13)*0.01*K15)*(0.3494+0.4695*LOG(K16)/6.25*K16/6.25),(K13*0.0075*K15+(100-K13)*0.01*K15)*(0.3494+0.4695*LOG(K16)/6.25*K16/6.25))</f>
        <v>28.839033527477071</v>
      </c>
      <c r="L35" s="3223"/>
      <c r="M35" s="1795" t="s">
        <v>641</v>
      </c>
      <c r="N35" s="162"/>
      <c r="O35" s="951" t="s">
        <v>811</v>
      </c>
      <c r="P35" s="951">
        <v>45</v>
      </c>
      <c r="Q35" s="937"/>
      <c r="R35" s="930"/>
      <c r="S35" s="930"/>
      <c r="T35" s="934"/>
    </row>
    <row r="36" spans="2:22" ht="18.75" customHeight="1">
      <c r="B36"/>
      <c r="M36" s="950"/>
      <c r="N36" s="950"/>
      <c r="O36" s="782" t="s">
        <v>806</v>
      </c>
      <c r="P36" s="946">
        <v>30</v>
      </c>
      <c r="Q36" s="937"/>
      <c r="R36" s="930"/>
      <c r="S36" s="930"/>
      <c r="T36" s="934"/>
    </row>
    <row r="37" spans="2:22" ht="18.75" customHeight="1">
      <c r="B37" s="78"/>
      <c r="C37" s="204" t="s">
        <v>194</v>
      </c>
      <c r="D37" s="938"/>
      <c r="E37" s="130"/>
      <c r="F37" s="205"/>
      <c r="G37" s="204" t="s">
        <v>525</v>
      </c>
      <c r="H37" s="205"/>
      <c r="I37" s="206"/>
      <c r="J37" s="938"/>
      <c r="K37" s="130"/>
      <c r="L37" s="80"/>
      <c r="M37" s="950"/>
      <c r="N37" s="950"/>
      <c r="O37" s="951" t="s">
        <v>1019</v>
      </c>
      <c r="P37" s="946">
        <v>30</v>
      </c>
      <c r="Q37" s="937"/>
      <c r="R37" s="930"/>
      <c r="S37" s="930"/>
      <c r="T37" s="934"/>
    </row>
    <row r="38" spans="2:22" ht="18.75" customHeight="1">
      <c r="B38" s="81"/>
      <c r="C38" s="48" t="s">
        <v>206</v>
      </c>
      <c r="D38" s="131">
        <v>20</v>
      </c>
      <c r="E38" s="131">
        <v>60</v>
      </c>
      <c r="F38" s="933"/>
      <c r="G38" s="131">
        <v>20</v>
      </c>
      <c r="H38" s="933">
        <v>33</v>
      </c>
      <c r="I38" s="131">
        <v>50</v>
      </c>
      <c r="J38" s="134">
        <v>66</v>
      </c>
      <c r="K38" s="783">
        <v>80</v>
      </c>
      <c r="L38" s="975">
        <v>100</v>
      </c>
      <c r="M38" s="950"/>
      <c r="N38" s="950"/>
      <c r="O38" s="951" t="s">
        <v>815</v>
      </c>
      <c r="P38" s="946">
        <v>30</v>
      </c>
      <c r="Q38" s="937"/>
      <c r="T38" s="934"/>
    </row>
    <row r="39" spans="2:22" ht="18" customHeight="1">
      <c r="B39" s="81"/>
      <c r="C39" s="48" t="s">
        <v>85</v>
      </c>
      <c r="D39" s="940">
        <v>98</v>
      </c>
      <c r="E39" s="92">
        <v>94</v>
      </c>
      <c r="F39" s="940"/>
      <c r="G39" s="92">
        <v>80</v>
      </c>
      <c r="H39" s="940">
        <v>80</v>
      </c>
      <c r="I39" s="92">
        <v>75</v>
      </c>
      <c r="J39" s="943">
        <v>75</v>
      </c>
      <c r="K39" s="943">
        <v>70</v>
      </c>
      <c r="L39" s="941">
        <v>70</v>
      </c>
      <c r="M39" s="27"/>
      <c r="N39" s="27"/>
      <c r="O39" s="951" t="s">
        <v>807</v>
      </c>
      <c r="P39" s="946">
        <v>25</v>
      </c>
      <c r="Q39" s="937"/>
      <c r="T39" s="934"/>
    </row>
    <row r="40" spans="2:22" ht="18" customHeight="1">
      <c r="B40" s="81"/>
      <c r="C40" s="48" t="s">
        <v>196</v>
      </c>
      <c r="D40" s="940">
        <v>17.2</v>
      </c>
      <c r="E40" s="92">
        <v>17.600000000000001</v>
      </c>
      <c r="F40" s="940"/>
      <c r="G40" s="92">
        <v>17</v>
      </c>
      <c r="H40" s="940">
        <v>17</v>
      </c>
      <c r="I40" s="92">
        <v>17</v>
      </c>
      <c r="J40" s="943">
        <v>17</v>
      </c>
      <c r="K40" s="943">
        <v>17</v>
      </c>
      <c r="L40" s="941">
        <v>17</v>
      </c>
      <c r="M40" s="27"/>
      <c r="N40" s="27"/>
      <c r="O40" s="782" t="s">
        <v>808</v>
      </c>
      <c r="P40" s="946">
        <v>25</v>
      </c>
      <c r="Q40" s="937"/>
      <c r="T40" s="934"/>
    </row>
    <row r="41" spans="2:22" ht="15.75">
      <c r="B41" s="237"/>
      <c r="C41" s="97" t="s">
        <v>199</v>
      </c>
      <c r="D41" s="133">
        <f>(D38*0.005*D39+(100-D38)*0.01*D39)*D40/6.25</f>
        <v>242.72639999999998</v>
      </c>
      <c r="E41" s="133">
        <f t="shared" ref="E41:L41" si="8">(E38*0.005*E39+(100-E38)*0.01*E39)*E40/6.25</f>
        <v>185.29280000000003</v>
      </c>
      <c r="F41" s="133"/>
      <c r="G41" s="133">
        <f t="shared" si="8"/>
        <v>195.84</v>
      </c>
      <c r="H41" s="133">
        <f t="shared" si="8"/>
        <v>181.696</v>
      </c>
      <c r="I41" s="133">
        <f t="shared" si="8"/>
        <v>153</v>
      </c>
      <c r="J41" s="133">
        <f t="shared" si="8"/>
        <v>136.68</v>
      </c>
      <c r="K41" s="133">
        <f t="shared" si="8"/>
        <v>114.24</v>
      </c>
      <c r="L41" s="135">
        <f t="shared" si="8"/>
        <v>95.2</v>
      </c>
      <c r="M41" s="27"/>
      <c r="N41" s="27"/>
      <c r="O41" s="782" t="s">
        <v>816</v>
      </c>
      <c r="P41" s="946">
        <v>10</v>
      </c>
      <c r="Q41" s="937"/>
      <c r="T41" s="934"/>
    </row>
    <row r="42" spans="2:22" ht="15.75">
      <c r="F42" s="934"/>
      <c r="G42" s="111"/>
      <c r="H42" s="934"/>
      <c r="I42" s="111"/>
      <c r="K42" s="930"/>
      <c r="L42" s="930"/>
      <c r="M42" s="27"/>
      <c r="O42" s="782" t="s">
        <v>181</v>
      </c>
      <c r="P42" s="946">
        <v>10</v>
      </c>
      <c r="V42" s="934"/>
    </row>
    <row r="43" spans="2:22">
      <c r="C43" s="3064" t="s">
        <v>200</v>
      </c>
      <c r="D43" s="2527"/>
      <c r="E43" s="2527"/>
      <c r="F43" s="2527"/>
      <c r="G43" s="2527"/>
      <c r="H43" s="2527"/>
      <c r="I43" s="2527"/>
      <c r="K43" s="930"/>
      <c r="L43" s="930"/>
      <c r="V43" s="934"/>
    </row>
    <row r="44" spans="2:22">
      <c r="C44" s="2527"/>
      <c r="D44" s="2527"/>
      <c r="E44" s="2527"/>
      <c r="F44" s="2527"/>
      <c r="G44" s="2527"/>
      <c r="H44" s="2527"/>
      <c r="I44" s="2527"/>
      <c r="K44" s="930"/>
      <c r="L44" s="930"/>
    </row>
    <row r="45" spans="2:22">
      <c r="C45" s="2527"/>
      <c r="D45" s="2527"/>
      <c r="E45" s="2527"/>
      <c r="F45" s="2527"/>
      <c r="G45" s="2527"/>
      <c r="H45" s="2527"/>
      <c r="I45" s="2527"/>
      <c r="K45" s="930"/>
      <c r="L45" s="930"/>
    </row>
    <row r="46" spans="2:22" ht="21.75" customHeight="1">
      <c r="C46" s="174"/>
      <c r="D46" s="17"/>
      <c r="E46" s="17"/>
      <c r="F46" s="17"/>
      <c r="G46" s="17"/>
      <c r="H46" s="17"/>
      <c r="I46" s="17"/>
      <c r="J46" s="934"/>
      <c r="K46" s="111"/>
      <c r="L46" s="930"/>
    </row>
    <row r="47" spans="2:22" ht="21.75" customHeight="1">
      <c r="B47" s="2410" t="s">
        <v>461</v>
      </c>
      <c r="C47" s="2736"/>
      <c r="D47" s="2736"/>
      <c r="E47" s="2736"/>
      <c r="F47" s="2736"/>
      <c r="G47" s="2736"/>
      <c r="H47" s="2736"/>
      <c r="I47" s="2736"/>
      <c r="J47" s="2736"/>
      <c r="K47" s="111"/>
      <c r="L47" s="930"/>
    </row>
    <row r="48" spans="2:22" ht="21.75" customHeight="1">
      <c r="B48" s="2736"/>
      <c r="C48" s="2736"/>
      <c r="D48" s="2736"/>
      <c r="E48" s="2736"/>
      <c r="F48" s="2736"/>
      <c r="G48" s="2736"/>
      <c r="H48" s="2736"/>
      <c r="I48" s="2736"/>
      <c r="J48" s="2736"/>
      <c r="K48" s="111"/>
      <c r="L48" s="930"/>
    </row>
    <row r="49" spans="2:12">
      <c r="B49" s="2736"/>
      <c r="C49" s="2736"/>
      <c r="D49" s="2736"/>
      <c r="E49" s="2736"/>
      <c r="F49" s="2736"/>
      <c r="G49" s="2736"/>
      <c r="H49" s="2736"/>
      <c r="I49" s="2736"/>
      <c r="J49" s="2736"/>
      <c r="K49" s="111"/>
      <c r="L49" s="930"/>
    </row>
    <row r="50" spans="2:12">
      <c r="J50" s="934"/>
      <c r="K50" s="111"/>
      <c r="L50" s="930"/>
    </row>
  </sheetData>
  <sheetProtection formatCells="0" formatColumns="0" formatRows="0" selectLockedCells="1"/>
  <mergeCells count="136">
    <mergeCell ref="C17:D17"/>
    <mergeCell ref="E17:F17"/>
    <mergeCell ref="G17:H17"/>
    <mergeCell ref="I17:J17"/>
    <mergeCell ref="K17:L17"/>
    <mergeCell ref="B4:L4"/>
    <mergeCell ref="C6:L6"/>
    <mergeCell ref="C12:D12"/>
    <mergeCell ref="E12:F12"/>
    <mergeCell ref="G12:H12"/>
    <mergeCell ref="I12:J12"/>
    <mergeCell ref="K12:L12"/>
    <mergeCell ref="K14:L14"/>
    <mergeCell ref="C15:D15"/>
    <mergeCell ref="E15:F15"/>
    <mergeCell ref="G15:H15"/>
    <mergeCell ref="I15:J15"/>
    <mergeCell ref="K15:L15"/>
    <mergeCell ref="B7:B11"/>
    <mergeCell ref="C7:D7"/>
    <mergeCell ref="E7:F7"/>
    <mergeCell ref="G7:H7"/>
    <mergeCell ref="I7:J7"/>
    <mergeCell ref="K7:L7"/>
    <mergeCell ref="C20:D20"/>
    <mergeCell ref="E20:F20"/>
    <mergeCell ref="G20:H20"/>
    <mergeCell ref="I20:J20"/>
    <mergeCell ref="K20:L20"/>
    <mergeCell ref="C21:D21"/>
    <mergeCell ref="E21:F21"/>
    <mergeCell ref="G21:H21"/>
    <mergeCell ref="I21:J21"/>
    <mergeCell ref="K21:L21"/>
    <mergeCell ref="P28:P29"/>
    <mergeCell ref="Q28:Q29"/>
    <mergeCell ref="C23:L23"/>
    <mergeCell ref="C24:D24"/>
    <mergeCell ref="E24:F24"/>
    <mergeCell ref="G24:H24"/>
    <mergeCell ref="I24:J24"/>
    <mergeCell ref="K24:L24"/>
    <mergeCell ref="O28:O29"/>
    <mergeCell ref="O12:O27"/>
    <mergeCell ref="C13:D13"/>
    <mergeCell ref="E13:F13"/>
    <mergeCell ref="G13:H13"/>
    <mergeCell ref="I13:J13"/>
    <mergeCell ref="K13:L13"/>
    <mergeCell ref="C14:D14"/>
    <mergeCell ref="E14:F14"/>
    <mergeCell ref="G14:H14"/>
    <mergeCell ref="I14:J14"/>
    <mergeCell ref="C16:D16"/>
    <mergeCell ref="E16:F16"/>
    <mergeCell ref="G16:H16"/>
    <mergeCell ref="I16:J16"/>
    <mergeCell ref="K16:L16"/>
    <mergeCell ref="C25:D25"/>
    <mergeCell ref="E25:F25"/>
    <mergeCell ref="G25:H25"/>
    <mergeCell ref="I25:J25"/>
    <mergeCell ref="K25:L25"/>
    <mergeCell ref="C26:D26"/>
    <mergeCell ref="E26:F26"/>
    <mergeCell ref="G26:H26"/>
    <mergeCell ref="I26:J26"/>
    <mergeCell ref="K26:L26"/>
    <mergeCell ref="C29:D29"/>
    <mergeCell ref="E29:F29"/>
    <mergeCell ref="G29:H29"/>
    <mergeCell ref="I29:J29"/>
    <mergeCell ref="K29:L29"/>
    <mergeCell ref="C27:D27"/>
    <mergeCell ref="E27:F27"/>
    <mergeCell ref="G27:H27"/>
    <mergeCell ref="I27:J27"/>
    <mergeCell ref="K27:L27"/>
    <mergeCell ref="C28:D28"/>
    <mergeCell ref="E28:F28"/>
    <mergeCell ref="G28:H28"/>
    <mergeCell ref="I28:J28"/>
    <mergeCell ref="K28:L28"/>
    <mergeCell ref="C32:D32"/>
    <mergeCell ref="E32:F32"/>
    <mergeCell ref="G32:H32"/>
    <mergeCell ref="I32:J32"/>
    <mergeCell ref="K32:L32"/>
    <mergeCell ref="C30:D30"/>
    <mergeCell ref="E30:F30"/>
    <mergeCell ref="G30:H30"/>
    <mergeCell ref="I30:J30"/>
    <mergeCell ref="K30:L30"/>
    <mergeCell ref="C31:D31"/>
    <mergeCell ref="E31:F31"/>
    <mergeCell ref="G31:H31"/>
    <mergeCell ref="I31:J31"/>
    <mergeCell ref="K31:L31"/>
    <mergeCell ref="C43:I45"/>
    <mergeCell ref="B47:J49"/>
    <mergeCell ref="C33:D33"/>
    <mergeCell ref="E33:F33"/>
    <mergeCell ref="G33:H33"/>
    <mergeCell ref="I33:J33"/>
    <mergeCell ref="K33:L33"/>
    <mergeCell ref="C34:D34"/>
    <mergeCell ref="E34:F34"/>
    <mergeCell ref="G34:H34"/>
    <mergeCell ref="I34:J34"/>
    <mergeCell ref="K34:L34"/>
    <mergeCell ref="C35:D35"/>
    <mergeCell ref="E35:F35"/>
    <mergeCell ref="G35:H35"/>
    <mergeCell ref="I35:J35"/>
    <mergeCell ref="K35:L35"/>
    <mergeCell ref="M7:M11"/>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s>
  <dataValidations count="3">
    <dataValidation type="list" allowBlank="1" sqref="K19 C19 E19 G19 I19">
      <formula1>$P$22:$P$25</formula1>
    </dataValidation>
    <dataValidation type="list" allowBlank="1" showInputMessage="1" showErrorMessage="1" sqref="C14:L14">
      <formula1>"24 Std., 12 Std."</formula1>
    </dataValidation>
    <dataValidation type="list" allowBlank="1" sqref="E18 G18 K18 C18 I18">
      <formula1>Vorfrucht</formula1>
    </dataValidation>
  </dataValidations>
  <pageMargins left="0.25" right="0.25" top="0.75" bottom="0.75" header="0.3" footer="0.3"/>
  <pageSetup paperSize="9" scale="64" orientation="landscape" horizontalDpi="4294967293" vertic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theme="0" tint="-4.9989318521683403E-2"/>
    <pageSetUpPr fitToPage="1"/>
  </sheetPr>
  <dimension ref="A1:O63"/>
  <sheetViews>
    <sheetView topLeftCell="A7" zoomScaleNormal="100" workbookViewId="0">
      <selection activeCell="C34" sqref="C34:D34"/>
    </sheetView>
  </sheetViews>
  <sheetFormatPr baseColWidth="10" defaultRowHeight="15"/>
  <cols>
    <col min="1" max="1" width="5.140625" style="173" customWidth="1"/>
    <col min="2" max="2" width="62" style="175" customWidth="1"/>
    <col min="3" max="3" width="10" style="175" customWidth="1"/>
    <col min="4" max="4" width="10" style="934" customWidth="1"/>
    <col min="5" max="5" width="10" style="111" customWidth="1"/>
    <col min="6" max="6" width="10" style="930" customWidth="1"/>
    <col min="7" max="7" width="10" style="127" customWidth="1"/>
    <col min="8" max="8" width="10" style="930" customWidth="1"/>
    <col min="9" max="9" width="10" style="127" customWidth="1"/>
    <col min="10" max="10" width="10" style="934" customWidth="1"/>
    <col min="11" max="11" width="30.85546875" style="930" customWidth="1"/>
    <col min="12" max="12" width="4.140625" style="930" customWidth="1"/>
    <col min="13" max="13" width="37.7109375" customWidth="1"/>
    <col min="14" max="14" width="27.7109375" style="126" customWidth="1"/>
    <col min="15" max="15" width="25" style="969" customWidth="1"/>
    <col min="16" max="16" width="22.42578125" customWidth="1"/>
    <col min="19" max="19" width="15" customWidth="1"/>
    <col min="20" max="20" width="19.5703125" customWidth="1"/>
    <col min="22" max="24" width="25.140625" customWidth="1"/>
  </cols>
  <sheetData>
    <row r="1" spans="1:15">
      <c r="A1" s="348"/>
      <c r="B1" s="412" t="str">
        <f>'DüV-N-Ackerbau'!C1</f>
        <v>Karl vom Land</v>
      </c>
      <c r="C1" s="412" t="str">
        <f>'DüV-N-Ackerbau'!F1</f>
        <v>Erntejahr</v>
      </c>
      <c r="K1" s="128" t="s">
        <v>36</v>
      </c>
      <c r="L1" s="294"/>
    </row>
    <row r="2" spans="1:15">
      <c r="B2" s="412" t="str">
        <f>'DüV-N-Ackerbau'!C2</f>
        <v>Höfen 1</v>
      </c>
      <c r="C2" s="412">
        <f>'DüV-N-Ackerbau'!G1</f>
        <v>2022</v>
      </c>
      <c r="K2" s="129" t="s">
        <v>34</v>
      </c>
      <c r="L2" s="294"/>
    </row>
    <row r="3" spans="1:15">
      <c r="B3" s="412" t="str">
        <f>'DüV-N-Ackerbau'!C3</f>
        <v>12345 Auf dem Feld</v>
      </c>
      <c r="C3" s="174"/>
    </row>
    <row r="4" spans="1:15" ht="6" customHeight="1" thickBot="1"/>
    <row r="5" spans="1:15" ht="33.75" customHeight="1" thickBot="1">
      <c r="B5" s="2674" t="s">
        <v>605</v>
      </c>
      <c r="C5" s="3150"/>
      <c r="D5" s="3150"/>
      <c r="E5" s="3150"/>
      <c r="F5" s="3150"/>
      <c r="G5" s="3150"/>
      <c r="H5" s="3150"/>
      <c r="I5" s="3150"/>
      <c r="J5" s="3151"/>
      <c r="K5" s="946"/>
      <c r="L5" s="604"/>
    </row>
    <row r="6" spans="1:15" ht="6" customHeight="1" thickBot="1"/>
    <row r="7" spans="1:15" ht="19.5" thickBot="1">
      <c r="C7" s="3218" t="s">
        <v>733</v>
      </c>
      <c r="D7" s="3219"/>
      <c r="E7" s="3219"/>
      <c r="F7" s="3219"/>
      <c r="G7" s="3219"/>
      <c r="H7" s="3219"/>
      <c r="I7" s="3219"/>
      <c r="J7" s="3220"/>
    </row>
    <row r="8" spans="1:15">
      <c r="B8" s="3206" t="s">
        <v>1304</v>
      </c>
      <c r="C8" s="3176"/>
      <c r="D8" s="3176"/>
      <c r="E8" s="3177"/>
      <c r="F8" s="3177"/>
      <c r="G8" s="3177"/>
      <c r="H8" s="3177"/>
      <c r="I8" s="3177"/>
      <c r="J8" s="3177"/>
      <c r="K8" s="3230" t="s">
        <v>1304</v>
      </c>
      <c r="L8" s="3231"/>
      <c r="M8" s="1796"/>
    </row>
    <row r="9" spans="1:15">
      <c r="B9" s="3206"/>
      <c r="C9" s="3204"/>
      <c r="D9" s="3205"/>
      <c r="E9" s="3177"/>
      <c r="F9" s="3177"/>
      <c r="G9" s="3177"/>
      <c r="H9" s="3177"/>
      <c r="I9" s="3177"/>
      <c r="J9" s="3177"/>
      <c r="K9" s="3232"/>
      <c r="L9" s="3233"/>
      <c r="M9" s="1796"/>
    </row>
    <row r="10" spans="1:15">
      <c r="B10" s="3206"/>
      <c r="C10" s="3176"/>
      <c r="D10" s="3176"/>
      <c r="E10" s="3177"/>
      <c r="F10" s="3177"/>
      <c r="G10" s="3177"/>
      <c r="H10" s="3177"/>
      <c r="I10" s="3177"/>
      <c r="J10" s="3177"/>
      <c r="K10" s="3232"/>
      <c r="L10" s="3233"/>
      <c r="M10" s="1796"/>
    </row>
    <row r="11" spans="1:15">
      <c r="B11" s="3206"/>
      <c r="C11" s="3176"/>
      <c r="D11" s="3176"/>
      <c r="E11" s="3177"/>
      <c r="F11" s="3177"/>
      <c r="G11" s="3177"/>
      <c r="H11" s="3177"/>
      <c r="I11" s="3177"/>
      <c r="J11" s="3177"/>
      <c r="K11" s="3232"/>
      <c r="L11" s="3233"/>
      <c r="M11" s="1796"/>
    </row>
    <row r="12" spans="1:15">
      <c r="B12" s="3206"/>
      <c r="C12" s="3176"/>
      <c r="D12" s="3176"/>
      <c r="E12" s="3177"/>
      <c r="F12" s="3177"/>
      <c r="G12" s="3177"/>
      <c r="H12" s="3177"/>
      <c r="I12" s="3177"/>
      <c r="J12" s="3177"/>
      <c r="K12" s="3234"/>
      <c r="L12" s="3235"/>
      <c r="M12" s="1796"/>
    </row>
    <row r="13" spans="1:15" ht="35.25" customHeight="1">
      <c r="A13" s="175"/>
      <c r="B13" s="177" t="s">
        <v>725</v>
      </c>
      <c r="C13" s="3221" t="s">
        <v>212</v>
      </c>
      <c r="D13" s="3221"/>
      <c r="E13" s="3221" t="s">
        <v>214</v>
      </c>
      <c r="F13" s="3221"/>
      <c r="G13" s="3221" t="s">
        <v>215</v>
      </c>
      <c r="H13" s="3221"/>
      <c r="I13" s="3221" t="s">
        <v>213</v>
      </c>
      <c r="J13" s="3221"/>
      <c r="K13" s="929" t="s">
        <v>725</v>
      </c>
      <c r="L13" s="138"/>
      <c r="M13" s="3064" t="s">
        <v>249</v>
      </c>
      <c r="N13" s="173"/>
    </row>
    <row r="14" spans="1:15" ht="19.5" customHeight="1">
      <c r="A14" s="140"/>
      <c r="B14" s="140" t="s">
        <v>233</v>
      </c>
      <c r="C14" s="3137">
        <v>90</v>
      </c>
      <c r="D14" s="3203"/>
      <c r="E14" s="3137">
        <v>120</v>
      </c>
      <c r="F14" s="3203"/>
      <c r="G14" s="3137">
        <v>80</v>
      </c>
      <c r="H14" s="3203"/>
      <c r="I14" s="3137">
        <v>90</v>
      </c>
      <c r="J14" s="3203"/>
      <c r="K14" s="141" t="s">
        <v>85</v>
      </c>
      <c r="L14" s="141"/>
      <c r="M14" s="3242"/>
      <c r="N14" s="486"/>
      <c r="O14" s="520"/>
    </row>
    <row r="15" spans="1:15" ht="15.75">
      <c r="A15" s="140"/>
      <c r="B15" s="140" t="s">
        <v>73</v>
      </c>
      <c r="C15" s="3210">
        <v>16.2</v>
      </c>
      <c r="D15" s="3211"/>
      <c r="E15" s="3210">
        <v>16.2</v>
      </c>
      <c r="F15" s="3211"/>
      <c r="G15" s="3210">
        <v>18.2</v>
      </c>
      <c r="H15" s="3211"/>
      <c r="I15" s="3210">
        <v>20</v>
      </c>
      <c r="J15" s="3211"/>
      <c r="K15" s="141" t="s">
        <v>73</v>
      </c>
      <c r="L15" s="141"/>
      <c r="M15" s="3242"/>
      <c r="N15" s="512"/>
      <c r="O15" s="482"/>
    </row>
    <row r="16" spans="1:15" ht="18.75" customHeight="1">
      <c r="B16" s="140" t="s">
        <v>257</v>
      </c>
      <c r="C16" s="3212">
        <f>C14*C15/6.25</f>
        <v>233.28</v>
      </c>
      <c r="D16" s="3213"/>
      <c r="E16" s="3212">
        <f>E14*E15/6.25</f>
        <v>311.04000000000002</v>
      </c>
      <c r="F16" s="3213"/>
      <c r="G16" s="3212">
        <f>G14*G15/6.25</f>
        <v>232.96</v>
      </c>
      <c r="H16" s="3213"/>
      <c r="I16" s="3212">
        <f>I14*I15/6.25</f>
        <v>288</v>
      </c>
      <c r="J16" s="3213"/>
      <c r="K16" s="138" t="s">
        <v>4</v>
      </c>
      <c r="L16" s="138"/>
      <c r="M16" s="3242"/>
      <c r="N16" s="512"/>
      <c r="O16" s="482"/>
    </row>
    <row r="17" spans="1:15" ht="40.5" customHeight="1">
      <c r="A17" s="123"/>
      <c r="B17" s="174"/>
      <c r="C17" s="746" t="s">
        <v>244</v>
      </c>
      <c r="D17" s="745" t="s">
        <v>163</v>
      </c>
      <c r="E17" s="746" t="s">
        <v>244</v>
      </c>
      <c r="F17" s="745" t="s">
        <v>163</v>
      </c>
      <c r="G17" s="746" t="s">
        <v>244</v>
      </c>
      <c r="H17" s="745" t="s">
        <v>163</v>
      </c>
      <c r="I17" s="746" t="s">
        <v>244</v>
      </c>
      <c r="J17" s="745" t="s">
        <v>163</v>
      </c>
      <c r="L17" s="138"/>
      <c r="M17" s="3242"/>
      <c r="N17" s="512"/>
      <c r="O17" s="482"/>
    </row>
    <row r="18" spans="1:15" ht="34.5" customHeight="1">
      <c r="A18" s="123"/>
      <c r="B18" s="177" t="s">
        <v>83</v>
      </c>
      <c r="C18" s="466">
        <v>10</v>
      </c>
      <c r="D18" s="747">
        <f>IF(C18="Reinbestand",C16,C18*3)</f>
        <v>30</v>
      </c>
      <c r="E18" s="466">
        <v>0</v>
      </c>
      <c r="F18" s="29">
        <f>IF(E18="Reinbestand",E16,E18*3)</f>
        <v>0</v>
      </c>
      <c r="G18" s="466">
        <v>50</v>
      </c>
      <c r="H18" s="29">
        <f>IF(G18="Reinbestand",G16,G18*3)</f>
        <v>150</v>
      </c>
      <c r="I18" s="466" t="s">
        <v>537</v>
      </c>
      <c r="J18" s="29">
        <f>IF(I18="Reinbestand",I16,I18*3)</f>
        <v>288</v>
      </c>
      <c r="K18" s="14" t="s">
        <v>4</v>
      </c>
      <c r="L18" s="138"/>
      <c r="M18" s="3242"/>
      <c r="N18" s="512"/>
      <c r="O18" s="482"/>
    </row>
    <row r="19" spans="1:15" ht="22.5" customHeight="1">
      <c r="B19" s="174" t="s">
        <v>1058</v>
      </c>
      <c r="C19" s="3193">
        <v>0</v>
      </c>
      <c r="D19" s="3194"/>
      <c r="E19" s="3193">
        <v>0</v>
      </c>
      <c r="F19" s="3194"/>
      <c r="G19" s="3193">
        <v>0</v>
      </c>
      <c r="H19" s="3194"/>
      <c r="I19" s="3193">
        <v>20</v>
      </c>
      <c r="J19" s="3194"/>
      <c r="K19" s="14" t="s">
        <v>211</v>
      </c>
      <c r="M19" s="3242"/>
      <c r="N19" s="512"/>
      <c r="O19" s="482"/>
    </row>
    <row r="20" spans="1:15" ht="17.25" customHeight="1">
      <c r="B20" s="167" t="s">
        <v>468</v>
      </c>
      <c r="C20" s="3195">
        <f>IF(C16-D18-C19&lt;0,0,C16-D18-C19)</f>
        <v>203.28</v>
      </c>
      <c r="D20" s="3195"/>
      <c r="E20" s="3243">
        <f>IF(E16-F18-E19&lt;0,0,E16-F18-E19)</f>
        <v>311.04000000000002</v>
      </c>
      <c r="F20" s="3244"/>
      <c r="G20" s="3243">
        <f>IF(G16-H18-G19&lt;0,0,G16-H18-G19)</f>
        <v>82.960000000000008</v>
      </c>
      <c r="H20" s="3244"/>
      <c r="I20" s="3243">
        <f>IF(I16-J18-I19&lt;0,0,I16-J18-I19)</f>
        <v>0</v>
      </c>
      <c r="J20" s="3244"/>
      <c r="K20" s="931" t="s">
        <v>470</v>
      </c>
      <c r="L20" s="14"/>
      <c r="M20" s="3242"/>
      <c r="N20" s="512"/>
      <c r="O20" s="482"/>
    </row>
    <row r="21" spans="1:15" ht="6" customHeight="1">
      <c r="L21" s="14"/>
      <c r="M21" s="944"/>
      <c r="N21" s="512"/>
      <c r="O21" s="482"/>
    </row>
    <row r="22" spans="1:15" ht="15.75">
      <c r="B22" s="169"/>
      <c r="C22" s="2725" t="s">
        <v>719</v>
      </c>
      <c r="D22" s="3113"/>
      <c r="E22" s="3113"/>
      <c r="F22" s="3113"/>
      <c r="G22" s="3113"/>
      <c r="H22" s="3113"/>
      <c r="I22" s="3113"/>
      <c r="J22" s="3241"/>
      <c r="K22" s="158"/>
      <c r="L22" s="14"/>
      <c r="M22" s="944"/>
      <c r="N22" s="512"/>
      <c r="O22" s="482"/>
    </row>
    <row r="23" spans="1:15" ht="27" customHeight="1">
      <c r="B23" s="170" t="s">
        <v>42</v>
      </c>
      <c r="C23" s="3196">
        <f>C20</f>
        <v>203.28</v>
      </c>
      <c r="D23" s="3196"/>
      <c r="E23" s="3196">
        <f>E20</f>
        <v>311.04000000000002</v>
      </c>
      <c r="F23" s="3196"/>
      <c r="G23" s="3196">
        <f>G20</f>
        <v>82.960000000000008</v>
      </c>
      <c r="H23" s="3196"/>
      <c r="I23" s="3196">
        <f>I20</f>
        <v>0</v>
      </c>
      <c r="J23" s="3196"/>
      <c r="K23" s="159" t="s">
        <v>4</v>
      </c>
      <c r="M23" s="944"/>
      <c r="N23" s="512"/>
      <c r="O23" s="482"/>
    </row>
    <row r="24" spans="1:15" ht="19.5" customHeight="1">
      <c r="B24" s="789" t="s">
        <v>722</v>
      </c>
      <c r="C24" s="3191"/>
      <c r="D24" s="3192"/>
      <c r="E24" s="3191"/>
      <c r="F24" s="3192"/>
      <c r="G24" s="3191"/>
      <c r="H24" s="3192"/>
      <c r="I24" s="3191"/>
      <c r="J24" s="3192"/>
      <c r="K24" s="788"/>
      <c r="L24" s="14"/>
      <c r="M24" s="2527" t="s">
        <v>743</v>
      </c>
      <c r="N24" s="3242"/>
      <c r="O24" s="3242"/>
    </row>
    <row r="25" spans="1:15" ht="15.75">
      <c r="B25" s="790" t="s">
        <v>251</v>
      </c>
      <c r="C25" s="3189">
        <v>0</v>
      </c>
      <c r="D25" s="3190"/>
      <c r="E25" s="3189">
        <v>0</v>
      </c>
      <c r="F25" s="3190"/>
      <c r="G25" s="3189">
        <v>0</v>
      </c>
      <c r="H25" s="3190"/>
      <c r="I25" s="3189">
        <v>0</v>
      </c>
      <c r="J25" s="3190"/>
      <c r="K25" s="163" t="s">
        <v>484</v>
      </c>
      <c r="M25" s="2527"/>
      <c r="N25" s="3242"/>
      <c r="O25" s="3242"/>
    </row>
    <row r="26" spans="1:15" ht="15.75" customHeight="1">
      <c r="B26" s="171" t="s">
        <v>252</v>
      </c>
      <c r="C26" s="3189">
        <v>0</v>
      </c>
      <c r="D26" s="3190"/>
      <c r="E26" s="3189">
        <v>0</v>
      </c>
      <c r="F26" s="3190"/>
      <c r="G26" s="3189">
        <v>0</v>
      </c>
      <c r="H26" s="3190"/>
      <c r="I26" s="3189">
        <v>0</v>
      </c>
      <c r="J26" s="3190"/>
      <c r="K26" s="164" t="s">
        <v>485</v>
      </c>
      <c r="M26" s="2527"/>
      <c r="N26" s="3242"/>
      <c r="O26" s="3242"/>
    </row>
    <row r="27" spans="1:15" ht="15.75" customHeight="1">
      <c r="B27" s="171" t="s">
        <v>253</v>
      </c>
      <c r="C27" s="3189">
        <v>0</v>
      </c>
      <c r="D27" s="3190"/>
      <c r="E27" s="3189">
        <v>0</v>
      </c>
      <c r="F27" s="3190"/>
      <c r="G27" s="3189">
        <v>0</v>
      </c>
      <c r="H27" s="3190"/>
      <c r="I27" s="3189">
        <v>0</v>
      </c>
      <c r="J27" s="3190"/>
      <c r="K27" s="164" t="s">
        <v>254</v>
      </c>
      <c r="M27" s="2527"/>
      <c r="N27" s="3242"/>
      <c r="O27" s="3242"/>
    </row>
    <row r="28" spans="1:15" ht="15.75" customHeight="1">
      <c r="B28" s="789" t="s">
        <v>721</v>
      </c>
      <c r="C28" s="3191"/>
      <c r="D28" s="3192"/>
      <c r="E28" s="3191"/>
      <c r="F28" s="3192"/>
      <c r="G28" s="3191"/>
      <c r="H28" s="3192"/>
      <c r="I28" s="3191"/>
      <c r="J28" s="3192"/>
      <c r="K28" s="787"/>
      <c r="M28" s="2527"/>
      <c r="N28" s="3242"/>
      <c r="O28" s="3242"/>
    </row>
    <row r="29" spans="1:15" ht="15.75" customHeight="1">
      <c r="B29" s="790" t="s">
        <v>251</v>
      </c>
      <c r="C29" s="3189">
        <v>0</v>
      </c>
      <c r="D29" s="3190"/>
      <c r="E29" s="3189">
        <v>0</v>
      </c>
      <c r="F29" s="3190"/>
      <c r="G29" s="3189">
        <v>0</v>
      </c>
      <c r="H29" s="3190"/>
      <c r="I29" s="3189">
        <v>0</v>
      </c>
      <c r="J29" s="3190"/>
      <c r="K29" s="163" t="s">
        <v>484</v>
      </c>
      <c r="M29" s="2527"/>
      <c r="N29" s="3242"/>
      <c r="O29" s="3242"/>
    </row>
    <row r="30" spans="1:15" ht="15.75" customHeight="1">
      <c r="B30" s="171" t="s">
        <v>252</v>
      </c>
      <c r="C30" s="3189">
        <v>0</v>
      </c>
      <c r="D30" s="3190"/>
      <c r="E30" s="3189">
        <v>0</v>
      </c>
      <c r="F30" s="3190"/>
      <c r="G30" s="3189">
        <v>0</v>
      </c>
      <c r="H30" s="3190"/>
      <c r="I30" s="3189">
        <v>0</v>
      </c>
      <c r="J30" s="3190"/>
      <c r="K30" s="164" t="s">
        <v>485</v>
      </c>
      <c r="M30" s="2527"/>
      <c r="N30" s="3242"/>
      <c r="O30" s="3242"/>
    </row>
    <row r="31" spans="1:15" ht="15.75" customHeight="1">
      <c r="B31" s="171" t="s">
        <v>253</v>
      </c>
      <c r="C31" s="3189">
        <v>0</v>
      </c>
      <c r="D31" s="3190"/>
      <c r="E31" s="3189">
        <v>0</v>
      </c>
      <c r="F31" s="3190"/>
      <c r="G31" s="3189">
        <v>0</v>
      </c>
      <c r="H31" s="3190"/>
      <c r="I31" s="3189">
        <v>0</v>
      </c>
      <c r="J31" s="3190"/>
      <c r="K31" s="164" t="s">
        <v>254</v>
      </c>
      <c r="M31" s="944"/>
    </row>
    <row r="32" spans="1:15" ht="15.75" customHeight="1">
      <c r="B32" s="171" t="s">
        <v>255</v>
      </c>
      <c r="C32" s="3188">
        <f>(C25*C26*C27/100)+(C29*C30*C31/100)</f>
        <v>0</v>
      </c>
      <c r="D32" s="3188"/>
      <c r="E32" s="3188">
        <f t="shared" ref="E32" si="0">(E25*E26*E27/100)+(E29*E30*E31/100)</f>
        <v>0</v>
      </c>
      <c r="F32" s="3188"/>
      <c r="G32" s="3188">
        <f t="shared" ref="G32" si="1">(G25*G26*G27/100)+(G29*G30*G31/100)</f>
        <v>0</v>
      </c>
      <c r="H32" s="3188"/>
      <c r="I32" s="3188">
        <f t="shared" ref="I32" si="2">(I25*I26*I27/100)+(I29*I30*I31/100)</f>
        <v>0</v>
      </c>
      <c r="J32" s="3188"/>
      <c r="K32" s="160" t="s">
        <v>4</v>
      </c>
      <c r="M32" s="944"/>
    </row>
    <row r="33" spans="2:15" ht="15.75" customHeight="1">
      <c r="B33" s="172" t="s">
        <v>136</v>
      </c>
      <c r="C33" s="3183">
        <f>C23-C32</f>
        <v>203.28</v>
      </c>
      <c r="D33" s="3183"/>
      <c r="E33" s="3183">
        <f>E23-E32</f>
        <v>311.04000000000002</v>
      </c>
      <c r="F33" s="3183"/>
      <c r="G33" s="3183">
        <f>G23-G32</f>
        <v>82.960000000000008</v>
      </c>
      <c r="H33" s="3183"/>
      <c r="I33" s="3183">
        <f>I23-I32</f>
        <v>0</v>
      </c>
      <c r="J33" s="3183"/>
      <c r="K33" s="161" t="s">
        <v>4</v>
      </c>
      <c r="M33" s="944"/>
    </row>
    <row r="34" spans="2:15" ht="39.75" customHeight="1">
      <c r="B34" s="1794" t="s">
        <v>640</v>
      </c>
      <c r="C34" s="3214">
        <f>C14*0.8</f>
        <v>72</v>
      </c>
      <c r="D34" s="3223"/>
      <c r="E34" s="3214">
        <f t="shared" ref="E34" si="3">E14*0.8</f>
        <v>96</v>
      </c>
      <c r="F34" s="3223"/>
      <c r="G34" s="3214">
        <f t="shared" ref="G34" si="4">G14*0.8</f>
        <v>64</v>
      </c>
      <c r="H34" s="3223"/>
      <c r="I34" s="3214">
        <f t="shared" ref="I34" si="5">I14*0.8</f>
        <v>72</v>
      </c>
      <c r="J34" s="3223"/>
      <c r="K34" s="1795" t="s">
        <v>641</v>
      </c>
      <c r="O34" s="3224"/>
    </row>
    <row r="35" spans="2:15" ht="15" customHeight="1">
      <c r="K35" s="3"/>
      <c r="L35" s="255"/>
      <c r="M35" s="946" t="s">
        <v>183</v>
      </c>
      <c r="N35" s="959" t="s">
        <v>186</v>
      </c>
      <c r="O35" s="3224"/>
    </row>
    <row r="36" spans="2:15" ht="18.75" customHeight="1">
      <c r="B36" s="977"/>
      <c r="C36" s="204" t="s">
        <v>194</v>
      </c>
      <c r="D36" s="938"/>
      <c r="E36" s="130"/>
      <c r="F36" s="205"/>
      <c r="G36" s="206"/>
      <c r="H36" s="205"/>
      <c r="I36" s="206"/>
      <c r="J36" s="938"/>
      <c r="K36" s="139"/>
      <c r="L36" s="256"/>
      <c r="M36" s="951" t="s">
        <v>179</v>
      </c>
      <c r="N36" s="951">
        <v>90</v>
      </c>
      <c r="O36" s="937"/>
    </row>
    <row r="37" spans="2:15" ht="28.5" customHeight="1">
      <c r="B37" s="156"/>
      <c r="C37" s="48" t="s">
        <v>93</v>
      </c>
      <c r="D37" s="2768" t="s">
        <v>675</v>
      </c>
      <c r="E37" s="2770"/>
      <c r="F37" s="2768" t="s">
        <v>540</v>
      </c>
      <c r="G37" s="2770"/>
      <c r="H37" s="2768" t="s">
        <v>676</v>
      </c>
      <c r="I37" s="2770"/>
      <c r="J37" s="2768" t="s">
        <v>728</v>
      </c>
      <c r="K37" s="2770"/>
      <c r="L37" s="256"/>
      <c r="M37" s="951" t="s">
        <v>809</v>
      </c>
      <c r="N37" s="946">
        <v>70</v>
      </c>
      <c r="O37" s="937"/>
    </row>
    <row r="38" spans="2:15" ht="18.75" customHeight="1">
      <c r="B38" s="156"/>
      <c r="C38" s="48" t="s">
        <v>85</v>
      </c>
      <c r="D38" s="3237">
        <v>150</v>
      </c>
      <c r="E38" s="3206"/>
      <c r="F38" s="3237">
        <v>120</v>
      </c>
      <c r="G38" s="3206"/>
      <c r="H38" s="3237">
        <v>120</v>
      </c>
      <c r="I38" s="3206"/>
      <c r="J38" s="3237">
        <v>120</v>
      </c>
      <c r="K38" s="3206"/>
      <c r="L38" s="256"/>
      <c r="M38" s="782" t="s">
        <v>810</v>
      </c>
      <c r="N38" s="946">
        <v>60</v>
      </c>
      <c r="O38" s="937"/>
    </row>
    <row r="39" spans="2:15" ht="18.75" customHeight="1">
      <c r="B39" s="156"/>
      <c r="C39" s="48" t="s">
        <v>196</v>
      </c>
      <c r="D39" s="3237">
        <v>16.600000000000001</v>
      </c>
      <c r="E39" s="2475"/>
      <c r="F39" s="3237">
        <v>16.2</v>
      </c>
      <c r="G39" s="2486"/>
      <c r="H39" s="3237">
        <v>18.2</v>
      </c>
      <c r="I39" s="2486"/>
      <c r="J39" s="3237">
        <v>20.5</v>
      </c>
      <c r="K39" s="2486"/>
      <c r="L39" s="256"/>
      <c r="M39" s="951" t="s">
        <v>48</v>
      </c>
      <c r="N39" s="946">
        <v>60</v>
      </c>
      <c r="O39" s="937"/>
    </row>
    <row r="40" spans="2:15" ht="18.75" customHeight="1">
      <c r="B40" s="956"/>
      <c r="C40" s="97" t="s">
        <v>199</v>
      </c>
      <c r="D40" s="3238">
        <f>D38*D39/6.25</f>
        <v>398.4</v>
      </c>
      <c r="E40" s="3239"/>
      <c r="F40" s="3238">
        <f>F38*F39/6.25</f>
        <v>311.04000000000002</v>
      </c>
      <c r="G40" s="3240"/>
      <c r="H40" s="3238">
        <f t="shared" ref="H40" si="6">H38*H39/6.25</f>
        <v>349.44</v>
      </c>
      <c r="I40" s="3240"/>
      <c r="J40" s="3238">
        <f t="shared" ref="J40" si="7">J38*J39/6.25</f>
        <v>393.6</v>
      </c>
      <c r="K40" s="3240"/>
      <c r="L40" s="256"/>
      <c r="M40" s="951" t="s">
        <v>811</v>
      </c>
      <c r="N40" s="951">
        <v>45</v>
      </c>
      <c r="O40" s="937"/>
    </row>
    <row r="41" spans="2:15" ht="18.75" customHeight="1">
      <c r="B41" s="933"/>
      <c r="C41" s="933"/>
      <c r="D41" s="940"/>
      <c r="E41" s="92"/>
      <c r="F41" s="940"/>
      <c r="G41" s="92"/>
      <c r="H41" s="940"/>
      <c r="I41" s="92"/>
      <c r="J41" s="940"/>
      <c r="K41" s="260"/>
      <c r="L41" s="256"/>
      <c r="M41" s="782" t="s">
        <v>806</v>
      </c>
      <c r="N41" s="946">
        <v>30</v>
      </c>
      <c r="O41" s="937"/>
    </row>
    <row r="42" spans="2:15" ht="18.75" customHeight="1">
      <c r="B42" s="977"/>
      <c r="C42" s="204" t="s">
        <v>207</v>
      </c>
      <c r="D42" s="938"/>
      <c r="E42" s="130"/>
      <c r="F42" s="938"/>
      <c r="G42" s="130"/>
      <c r="H42" s="205"/>
      <c r="I42" s="206"/>
      <c r="J42" s="939"/>
      <c r="K42" s="260"/>
      <c r="L42" s="257"/>
      <c r="M42" s="951" t="s">
        <v>1019</v>
      </c>
      <c r="N42" s="946">
        <v>30</v>
      </c>
      <c r="O42" s="937"/>
    </row>
    <row r="43" spans="2:15" ht="18.75" customHeight="1">
      <c r="B43" s="156"/>
      <c r="C43" s="207"/>
      <c r="D43" s="940"/>
      <c r="E43" s="92"/>
      <c r="F43" s="940"/>
      <c r="G43" s="92"/>
      <c r="H43" s="2768" t="s">
        <v>739</v>
      </c>
      <c r="I43" s="2542"/>
      <c r="J43" s="2543"/>
      <c r="K43" s="260"/>
      <c r="L43" s="258"/>
      <c r="M43" s="951" t="s">
        <v>815</v>
      </c>
      <c r="N43" s="946">
        <v>30</v>
      </c>
      <c r="O43" s="937"/>
    </row>
    <row r="44" spans="2:15" ht="18.75" customHeight="1">
      <c r="B44" s="81" t="s">
        <v>93</v>
      </c>
      <c r="C44" s="3236" t="s">
        <v>737</v>
      </c>
      <c r="D44" s="2470"/>
      <c r="E44" s="2471"/>
      <c r="F44" s="2768" t="s">
        <v>738</v>
      </c>
      <c r="G44" s="2542"/>
      <c r="H44" s="801" t="s">
        <v>740</v>
      </c>
      <c r="I44" s="802" t="s">
        <v>741</v>
      </c>
      <c r="J44" s="799" t="s">
        <v>742</v>
      </c>
      <c r="K44" s="943"/>
      <c r="L44" s="258"/>
      <c r="M44" s="951" t="s">
        <v>807</v>
      </c>
      <c r="N44" s="946">
        <v>25</v>
      </c>
      <c r="O44" s="937"/>
    </row>
    <row r="45" spans="2:15" ht="18.75" customHeight="1">
      <c r="B45" s="81" t="s">
        <v>85</v>
      </c>
      <c r="C45" s="156">
        <v>70</v>
      </c>
      <c r="D45" s="783">
        <v>90</v>
      </c>
      <c r="E45" s="800">
        <v>110</v>
      </c>
      <c r="F45" s="973">
        <v>95</v>
      </c>
      <c r="G45" s="783">
        <v>110</v>
      </c>
      <c r="H45" s="156">
        <v>100</v>
      </c>
      <c r="I45" s="783">
        <v>65</v>
      </c>
      <c r="J45" s="975">
        <v>45</v>
      </c>
      <c r="K45" s="943"/>
      <c r="L45" s="259"/>
      <c r="M45" s="782" t="s">
        <v>808</v>
      </c>
      <c r="N45" s="946">
        <v>25</v>
      </c>
      <c r="O45" s="937"/>
    </row>
    <row r="46" spans="2:15" ht="18.75" customHeight="1">
      <c r="B46" s="81" t="s">
        <v>196</v>
      </c>
      <c r="C46" s="156">
        <v>16</v>
      </c>
      <c r="D46" s="783">
        <v>16.5</v>
      </c>
      <c r="E46" s="800">
        <v>16.5</v>
      </c>
      <c r="F46" s="973">
        <v>18</v>
      </c>
      <c r="G46" s="783">
        <v>18</v>
      </c>
      <c r="H46" s="156">
        <v>16.399999999999999</v>
      </c>
      <c r="I46" s="783">
        <v>16</v>
      </c>
      <c r="J46" s="975">
        <v>15</v>
      </c>
      <c r="K46" s="943"/>
      <c r="L46" s="162"/>
      <c r="M46" s="782" t="s">
        <v>816</v>
      </c>
      <c r="N46" s="946">
        <v>10</v>
      </c>
      <c r="O46" s="937"/>
    </row>
    <row r="47" spans="2:15" ht="18.75" customHeight="1">
      <c r="B47" s="237" t="s">
        <v>199</v>
      </c>
      <c r="C47" s="974">
        <f>C45*C46/6.25</f>
        <v>179.2</v>
      </c>
      <c r="D47" s="785">
        <f t="shared" ref="D47:F47" si="8">D45*D46/6.25</f>
        <v>237.6</v>
      </c>
      <c r="E47" s="798">
        <f t="shared" si="8"/>
        <v>290.39999999999998</v>
      </c>
      <c r="F47" s="974">
        <f t="shared" si="8"/>
        <v>273.60000000000002</v>
      </c>
      <c r="G47" s="785">
        <f>G45*G46/6.25</f>
        <v>316.8</v>
      </c>
      <c r="H47" s="974">
        <f t="shared" ref="H47:J47" si="9">H45*H46/6.25</f>
        <v>262.39999999999998</v>
      </c>
      <c r="I47" s="785">
        <f t="shared" si="9"/>
        <v>166.4</v>
      </c>
      <c r="J47" s="798">
        <f t="shared" si="9"/>
        <v>108</v>
      </c>
      <c r="K47" s="943"/>
      <c r="L47" s="3"/>
      <c r="M47" s="782" t="s">
        <v>181</v>
      </c>
      <c r="N47" s="946">
        <v>10</v>
      </c>
      <c r="O47" s="937"/>
    </row>
    <row r="48" spans="2:15" ht="16.5" customHeight="1">
      <c r="F48" s="934"/>
      <c r="G48" s="111"/>
      <c r="H48" s="934"/>
      <c r="I48" s="111"/>
      <c r="K48" s="3"/>
      <c r="L48" s="260"/>
      <c r="O48"/>
    </row>
    <row r="49" spans="3:15" ht="27" customHeight="1">
      <c r="C49" s="3064" t="s">
        <v>200</v>
      </c>
      <c r="D49" s="2527"/>
      <c r="E49" s="2527"/>
      <c r="F49" s="2527"/>
      <c r="G49" s="2527"/>
      <c r="H49" s="2527"/>
      <c r="I49" s="2527"/>
      <c r="K49" s="3"/>
      <c r="L49" s="783"/>
      <c r="M49" s="121"/>
      <c r="N49" s="946"/>
      <c r="O49" s="946"/>
    </row>
    <row r="50" spans="3:15" ht="28.5" customHeight="1">
      <c r="C50" s="2527"/>
      <c r="D50" s="2527"/>
      <c r="E50" s="2527"/>
      <c r="F50" s="2527"/>
      <c r="G50" s="2527"/>
      <c r="H50" s="2527"/>
      <c r="I50" s="2527"/>
      <c r="K50" s="3"/>
      <c r="L50" s="783"/>
      <c r="M50" s="121"/>
      <c r="N50"/>
      <c r="O50" s="946"/>
    </row>
    <row r="51" spans="3:15" ht="18" customHeight="1">
      <c r="C51" s="2527"/>
      <c r="D51" s="2527"/>
      <c r="E51" s="2527"/>
      <c r="F51" s="2527"/>
      <c r="G51" s="2527"/>
      <c r="H51" s="2527"/>
      <c r="I51" s="2527"/>
      <c r="K51" s="3"/>
      <c r="L51" s="943"/>
      <c r="N51"/>
      <c r="O51"/>
    </row>
    <row r="52" spans="3:15" ht="18" customHeight="1">
      <c r="L52" s="784"/>
      <c r="N52"/>
    </row>
    <row r="53" spans="3:15" ht="7.5" customHeight="1">
      <c r="L53" s="260"/>
    </row>
    <row r="54" spans="3:15" ht="17.25" customHeight="1">
      <c r="L54" s="260"/>
    </row>
    <row r="55" spans="3:15" ht="17.25" customHeight="1">
      <c r="L55" s="260"/>
    </row>
    <row r="56" spans="3:15">
      <c r="L56" s="943"/>
    </row>
    <row r="57" spans="3:15">
      <c r="L57" s="943"/>
    </row>
    <row r="58" spans="3:15">
      <c r="L58" s="943"/>
    </row>
    <row r="59" spans="3:15">
      <c r="L59" s="784"/>
    </row>
    <row r="60" spans="3:15">
      <c r="L60" s="3"/>
    </row>
    <row r="61" spans="3:15">
      <c r="L61" s="3"/>
    </row>
    <row r="62" spans="3:15">
      <c r="L62" s="3"/>
    </row>
    <row r="63" spans="3:15">
      <c r="L63" s="3"/>
    </row>
  </sheetData>
  <sheetProtection formatCells="0" formatColumns="0" formatRows="0" selectLockedCells="1"/>
  <mergeCells count="120">
    <mergeCell ref="E16:F16"/>
    <mergeCell ref="G16:H16"/>
    <mergeCell ref="I16:J16"/>
    <mergeCell ref="B5:J5"/>
    <mergeCell ref="C7:J7"/>
    <mergeCell ref="C13:D13"/>
    <mergeCell ref="E13:F13"/>
    <mergeCell ref="G13:H13"/>
    <mergeCell ref="I13:J13"/>
    <mergeCell ref="C14:D14"/>
    <mergeCell ref="E14:F14"/>
    <mergeCell ref="G14:H14"/>
    <mergeCell ref="I14:J14"/>
    <mergeCell ref="C15:D15"/>
    <mergeCell ref="E15:F15"/>
    <mergeCell ref="G15:H15"/>
    <mergeCell ref="I15:J15"/>
    <mergeCell ref="C16:D16"/>
    <mergeCell ref="B8:B12"/>
    <mergeCell ref="C8:D8"/>
    <mergeCell ref="E8:F8"/>
    <mergeCell ref="G8:H8"/>
    <mergeCell ref="I8:J8"/>
    <mergeCell ref="C9:D9"/>
    <mergeCell ref="C22:J22"/>
    <mergeCell ref="C23:D23"/>
    <mergeCell ref="E23:F23"/>
    <mergeCell ref="G23:H23"/>
    <mergeCell ref="I23:J23"/>
    <mergeCell ref="M24:O30"/>
    <mergeCell ref="C19:D19"/>
    <mergeCell ref="E19:F19"/>
    <mergeCell ref="G19:H19"/>
    <mergeCell ref="I19:J19"/>
    <mergeCell ref="C20:D20"/>
    <mergeCell ref="E20:F20"/>
    <mergeCell ref="G20:H20"/>
    <mergeCell ref="I20:J20"/>
    <mergeCell ref="M13:M20"/>
    <mergeCell ref="C24:D24"/>
    <mergeCell ref="E24:F24"/>
    <mergeCell ref="G24:H24"/>
    <mergeCell ref="I24:J24"/>
    <mergeCell ref="C25:D25"/>
    <mergeCell ref="E25:F25"/>
    <mergeCell ref="G25:H25"/>
    <mergeCell ref="I25:J25"/>
    <mergeCell ref="I30:J30"/>
    <mergeCell ref="O34:O35"/>
    <mergeCell ref="C28:D28"/>
    <mergeCell ref="E28:F28"/>
    <mergeCell ref="G28:H28"/>
    <mergeCell ref="I28:J28"/>
    <mergeCell ref="C26:D26"/>
    <mergeCell ref="E26:F26"/>
    <mergeCell ref="G26:H26"/>
    <mergeCell ref="I26:J26"/>
    <mergeCell ref="C27:D27"/>
    <mergeCell ref="E27:F27"/>
    <mergeCell ref="G27:H27"/>
    <mergeCell ref="I27:J27"/>
    <mergeCell ref="C31:D31"/>
    <mergeCell ref="E31:F31"/>
    <mergeCell ref="G31:H31"/>
    <mergeCell ref="I31:J31"/>
    <mergeCell ref="C29:D29"/>
    <mergeCell ref="E29:F29"/>
    <mergeCell ref="G29:H29"/>
    <mergeCell ref="I29:J29"/>
    <mergeCell ref="C30:D30"/>
    <mergeCell ref="E30:F30"/>
    <mergeCell ref="G30:H30"/>
    <mergeCell ref="D37:E37"/>
    <mergeCell ref="F37:G37"/>
    <mergeCell ref="H37:I37"/>
    <mergeCell ref="J37:K37"/>
    <mergeCell ref="D38:E38"/>
    <mergeCell ref="F38:G38"/>
    <mergeCell ref="H38:I38"/>
    <mergeCell ref="J38:K38"/>
    <mergeCell ref="C32:D32"/>
    <mergeCell ref="E32:F32"/>
    <mergeCell ref="G32:H32"/>
    <mergeCell ref="I32:J32"/>
    <mergeCell ref="C33:D33"/>
    <mergeCell ref="E33:F33"/>
    <mergeCell ref="G33:H33"/>
    <mergeCell ref="I33:J33"/>
    <mergeCell ref="C34:D34"/>
    <mergeCell ref="E34:F34"/>
    <mergeCell ref="G34:H34"/>
    <mergeCell ref="I34:J34"/>
    <mergeCell ref="H43:J43"/>
    <mergeCell ref="C44:E44"/>
    <mergeCell ref="F44:G44"/>
    <mergeCell ref="C49:I51"/>
    <mergeCell ref="D39:E39"/>
    <mergeCell ref="F39:G39"/>
    <mergeCell ref="H39:I39"/>
    <mergeCell ref="J39:K39"/>
    <mergeCell ref="D40:E40"/>
    <mergeCell ref="F40:G40"/>
    <mergeCell ref="H40:I40"/>
    <mergeCell ref="J40:K40"/>
    <mergeCell ref="C11:D11"/>
    <mergeCell ref="E11:F11"/>
    <mergeCell ref="G11:H11"/>
    <mergeCell ref="I11:J11"/>
    <mergeCell ref="C12:D12"/>
    <mergeCell ref="E12:F12"/>
    <mergeCell ref="G12:H12"/>
    <mergeCell ref="I12:J12"/>
    <mergeCell ref="K8:L12"/>
    <mergeCell ref="E9:F9"/>
    <mergeCell ref="G9:H9"/>
    <mergeCell ref="I9:J9"/>
    <mergeCell ref="C10:D10"/>
    <mergeCell ref="E10:F10"/>
    <mergeCell ref="G10:H10"/>
    <mergeCell ref="I10:J10"/>
  </mergeCells>
  <dataValidations count="1">
    <dataValidation type="list" allowBlank="1" sqref="C18 E18 G18 I18">
      <formula1>"0,10,20,30,40,50,60,70,80,90,Reinbestand"</formula1>
    </dataValidation>
  </dataValidations>
  <pageMargins left="0.25" right="0.25" top="0.75" bottom="0.75" header="0.3" footer="0.3"/>
  <pageSetup paperSize="9" scale="56" orientation="landscape" horizontalDpi="4294967293" vertic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B3:F30"/>
  <sheetViews>
    <sheetView workbookViewId="0"/>
  </sheetViews>
  <sheetFormatPr baseColWidth="10" defaultRowHeight="15.75"/>
  <cols>
    <col min="1" max="1" width="11.42578125" style="828"/>
    <col min="2" max="2" width="33.28515625" style="828" customWidth="1"/>
    <col min="3" max="4" width="11.42578125" style="828"/>
    <col min="5" max="5" width="35.7109375" style="828" customWidth="1"/>
    <col min="6" max="16384" width="11.42578125" style="828"/>
  </cols>
  <sheetData>
    <row r="3" spans="2:6">
      <c r="B3" s="749"/>
      <c r="C3" s="827" t="s">
        <v>5</v>
      </c>
      <c r="D3" s="749"/>
      <c r="E3" s="749"/>
      <c r="F3" s="827" t="s">
        <v>5</v>
      </c>
    </row>
    <row r="4" spans="2:6">
      <c r="B4" s="827" t="s">
        <v>6</v>
      </c>
      <c r="C4" s="749"/>
      <c r="D4" s="749"/>
      <c r="E4" s="827" t="s">
        <v>159</v>
      </c>
      <c r="F4" s="749"/>
    </row>
    <row r="5" spans="2:6">
      <c r="B5" s="749" t="s">
        <v>503</v>
      </c>
      <c r="C5" s="749">
        <v>0</v>
      </c>
      <c r="D5" s="749"/>
      <c r="E5" s="749" t="s">
        <v>160</v>
      </c>
      <c r="F5" s="749">
        <v>0</v>
      </c>
    </row>
    <row r="6" spans="2:6">
      <c r="B6" s="749" t="s">
        <v>22</v>
      </c>
      <c r="C6" s="749">
        <v>10</v>
      </c>
      <c r="D6" s="749"/>
      <c r="E6" s="749" t="s">
        <v>161</v>
      </c>
      <c r="F6" s="749">
        <v>20</v>
      </c>
    </row>
    <row r="7" spans="2:6">
      <c r="B7" s="749" t="s">
        <v>528</v>
      </c>
      <c r="C7" s="749">
        <v>10</v>
      </c>
      <c r="D7" s="749"/>
      <c r="E7" s="749"/>
      <c r="F7" s="749"/>
    </row>
    <row r="8" spans="2:6">
      <c r="B8" s="749" t="s">
        <v>7</v>
      </c>
      <c r="C8" s="749">
        <v>10</v>
      </c>
      <c r="D8" s="749"/>
      <c r="E8" s="827" t="s">
        <v>792</v>
      </c>
      <c r="F8" s="749"/>
    </row>
    <row r="9" spans="2:6">
      <c r="B9" s="749" t="s">
        <v>17</v>
      </c>
      <c r="C9" s="749">
        <v>20</v>
      </c>
      <c r="D9" s="749"/>
      <c r="E9" s="749" t="s">
        <v>114</v>
      </c>
      <c r="F9" s="749">
        <v>15</v>
      </c>
    </row>
    <row r="10" spans="2:6">
      <c r="B10" s="749" t="s">
        <v>23</v>
      </c>
      <c r="C10" s="749">
        <v>0</v>
      </c>
      <c r="D10" s="749"/>
      <c r="E10" s="749" t="s">
        <v>116</v>
      </c>
      <c r="F10" s="749">
        <v>7</v>
      </c>
    </row>
    <row r="11" spans="2:6">
      <c r="B11" s="749" t="s">
        <v>20</v>
      </c>
      <c r="C11" s="749">
        <v>20</v>
      </c>
      <c r="D11" s="749"/>
      <c r="E11" s="749" t="s">
        <v>117</v>
      </c>
      <c r="F11" s="749">
        <v>0</v>
      </c>
    </row>
    <row r="12" spans="2:6">
      <c r="B12" s="749" t="s">
        <v>19</v>
      </c>
      <c r="C12" s="749">
        <v>10</v>
      </c>
      <c r="D12" s="749"/>
      <c r="E12" s="749" t="s">
        <v>118</v>
      </c>
      <c r="F12" s="749">
        <v>-15</v>
      </c>
    </row>
    <row r="13" spans="2:6">
      <c r="B13" s="749" t="s">
        <v>529</v>
      </c>
      <c r="C13" s="749">
        <v>0</v>
      </c>
      <c r="D13" s="749"/>
      <c r="E13" s="749" t="s">
        <v>119</v>
      </c>
      <c r="F13" s="749">
        <v>-25</v>
      </c>
    </row>
    <row r="14" spans="2:6">
      <c r="B14" s="749" t="s">
        <v>21</v>
      </c>
      <c r="C14" s="749">
        <v>10</v>
      </c>
      <c r="D14" s="749"/>
      <c r="E14" s="749" t="s">
        <v>121</v>
      </c>
      <c r="F14" s="749">
        <v>-35</v>
      </c>
    </row>
    <row r="15" spans="2:6">
      <c r="B15" s="749" t="s">
        <v>18</v>
      </c>
      <c r="C15" s="749">
        <v>20</v>
      </c>
      <c r="D15" s="749"/>
      <c r="E15" s="749" t="s">
        <v>120</v>
      </c>
      <c r="F15" s="749">
        <v>-45</v>
      </c>
    </row>
    <row r="16" spans="2:6">
      <c r="B16" s="829"/>
      <c r="C16" s="749"/>
      <c r="D16" s="830"/>
      <c r="E16" s="749"/>
      <c r="F16" s="749"/>
    </row>
    <row r="17" spans="2:6">
      <c r="B17" s="829"/>
      <c r="C17" s="749"/>
      <c r="D17" s="830"/>
      <c r="E17" s="749"/>
      <c r="F17" s="749"/>
    </row>
    <row r="18" spans="2:6">
      <c r="B18" s="827" t="s">
        <v>8</v>
      </c>
      <c r="C18" s="749"/>
      <c r="D18" s="749"/>
      <c r="E18" s="749"/>
      <c r="F18" s="749"/>
    </row>
    <row r="19" spans="2:6">
      <c r="B19" s="749" t="s">
        <v>31</v>
      </c>
      <c r="C19" s="749">
        <v>0</v>
      </c>
      <c r="D19" s="749"/>
      <c r="E19" s="827" t="s">
        <v>49</v>
      </c>
      <c r="F19" s="749"/>
    </row>
    <row r="20" spans="2:6">
      <c r="B20" s="749" t="s">
        <v>25</v>
      </c>
      <c r="C20" s="749">
        <v>0</v>
      </c>
      <c r="D20" s="749"/>
      <c r="E20" s="749" t="s">
        <v>1198</v>
      </c>
      <c r="F20" s="749">
        <v>1</v>
      </c>
    </row>
    <row r="21" spans="2:6">
      <c r="B21" s="749" t="s">
        <v>26</v>
      </c>
      <c r="C21" s="749">
        <v>0</v>
      </c>
      <c r="D21" s="749"/>
      <c r="E21" s="749" t="s">
        <v>184</v>
      </c>
      <c r="F21" s="749">
        <v>0.5</v>
      </c>
    </row>
    <row r="22" spans="2:6">
      <c r="B22" s="749" t="s">
        <v>27</v>
      </c>
      <c r="C22" s="749">
        <v>20</v>
      </c>
      <c r="D22" s="749"/>
      <c r="E22" s="749" t="s">
        <v>1200</v>
      </c>
      <c r="F22" s="749">
        <v>0.6</v>
      </c>
    </row>
    <row r="23" spans="2:6">
      <c r="B23" s="749" t="s">
        <v>28</v>
      </c>
      <c r="C23" s="749">
        <v>10</v>
      </c>
      <c r="D23" s="749"/>
      <c r="E23" s="749" t="s">
        <v>1201</v>
      </c>
      <c r="F23" s="749">
        <v>0.4</v>
      </c>
    </row>
    <row r="24" spans="2:6">
      <c r="B24" s="749" t="s">
        <v>29</v>
      </c>
      <c r="C24" s="749">
        <v>10</v>
      </c>
      <c r="D24" s="749"/>
      <c r="E24" s="749" t="s">
        <v>1199</v>
      </c>
      <c r="F24" s="749">
        <v>0.35</v>
      </c>
    </row>
    <row r="25" spans="2:6">
      <c r="B25" s="749" t="s">
        <v>673</v>
      </c>
      <c r="C25" s="749">
        <v>30</v>
      </c>
      <c r="D25" s="749"/>
      <c r="E25" s="749" t="s">
        <v>48</v>
      </c>
      <c r="F25" s="749">
        <v>0.3</v>
      </c>
    </row>
    <row r="26" spans="2:6">
      <c r="B26" s="749" t="s">
        <v>30</v>
      </c>
      <c r="C26" s="749">
        <v>40</v>
      </c>
      <c r="D26" s="749"/>
      <c r="E26" s="749" t="s">
        <v>31</v>
      </c>
      <c r="F26" s="749">
        <v>0</v>
      </c>
    </row>
    <row r="27" spans="2:6">
      <c r="B27" s="749" t="s">
        <v>9</v>
      </c>
      <c r="C27" s="749">
        <v>0</v>
      </c>
      <c r="D27" s="749"/>
    </row>
    <row r="28" spans="2:6">
      <c r="B28" s="749" t="s">
        <v>10</v>
      </c>
      <c r="C28" s="749">
        <v>10</v>
      </c>
      <c r="D28" s="830"/>
      <c r="E28" s="830"/>
      <c r="F28" s="830"/>
    </row>
    <row r="29" spans="2:6">
      <c r="B29" s="749" t="s">
        <v>31</v>
      </c>
      <c r="C29" s="749">
        <v>0</v>
      </c>
      <c r="D29" s="830"/>
      <c r="E29" s="830"/>
      <c r="F29" s="830"/>
    </row>
    <row r="30" spans="2:6">
      <c r="B30" s="830"/>
      <c r="C30" s="830"/>
      <c r="D30" s="830"/>
      <c r="E30" s="830"/>
      <c r="F30" s="830"/>
    </row>
  </sheetData>
  <sheetProtection sheet="1" objects="1" scenarios="1" selectLockedCells="1" selectUnlockedCells="1"/>
  <dataValidations count="1">
    <dataValidation type="list" allowBlank="1" sqref="E5:E6">
      <formula1>"Humusgehalt"</formula1>
    </dataValidation>
  </dataValidations>
  <pageMargins left="0.7" right="0.7" top="0.78740157499999996" bottom="0.78740157499999996" header="0.3" footer="0.3"/>
  <pageSetup paperSize="9" orientation="portrait" horizontalDpi="4294967293" vertic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B2:P190"/>
  <sheetViews>
    <sheetView topLeftCell="D1" zoomScale="90" zoomScaleNormal="90" workbookViewId="0">
      <selection activeCell="G20" sqref="G20"/>
    </sheetView>
  </sheetViews>
  <sheetFormatPr baseColWidth="10" defaultRowHeight="15"/>
  <cols>
    <col min="1" max="1" width="11.42578125" style="347"/>
    <col min="2" max="2" width="21.85546875" style="350" customWidth="1"/>
    <col min="3" max="3" width="20.42578125" style="350" customWidth="1"/>
    <col min="4" max="4" width="19.28515625" style="347" customWidth="1"/>
    <col min="5" max="5" width="13.5703125" style="347" customWidth="1"/>
    <col min="6" max="6" width="12.85546875" style="347" customWidth="1"/>
    <col min="7" max="14" width="11.42578125" style="347"/>
    <col min="15" max="15" width="14.5703125" style="347" customWidth="1"/>
    <col min="16" max="21" width="11.42578125" style="347"/>
    <col min="22" max="22" width="12.7109375" style="347" customWidth="1"/>
    <col min="23" max="23" width="14.85546875" style="347" customWidth="1"/>
    <col min="24" max="24" width="17.5703125" style="347" customWidth="1"/>
    <col min="25" max="16384" width="11.42578125" style="347"/>
  </cols>
  <sheetData>
    <row r="2" spans="2:16" ht="15.75">
      <c r="C2" s="350" t="s">
        <v>43</v>
      </c>
      <c r="H2" s="2085"/>
      <c r="I2" s="2085"/>
      <c r="J2" s="2085"/>
      <c r="K2" s="2085"/>
      <c r="L2" s="3249" t="s">
        <v>1408</v>
      </c>
      <c r="M2" s="3249"/>
      <c r="N2" s="3249"/>
      <c r="O2" s="1569"/>
      <c r="P2" s="350"/>
    </row>
    <row r="3" spans="2:16" ht="18">
      <c r="C3" s="350" t="s">
        <v>44</v>
      </c>
      <c r="H3" s="2085" t="s">
        <v>1409</v>
      </c>
      <c r="I3" s="2085" t="s">
        <v>85</v>
      </c>
      <c r="J3" s="2085" t="s">
        <v>1410</v>
      </c>
      <c r="K3" s="2085" t="s">
        <v>1411</v>
      </c>
      <c r="L3" s="2085" t="s">
        <v>177</v>
      </c>
      <c r="M3" s="2085" t="s">
        <v>611</v>
      </c>
      <c r="N3" s="2085" t="s">
        <v>612</v>
      </c>
      <c r="O3" s="350"/>
      <c r="P3" s="350"/>
    </row>
    <row r="4" spans="2:16">
      <c r="H4" s="2085">
        <v>1</v>
      </c>
      <c r="I4" s="2085">
        <v>40</v>
      </c>
      <c r="J4" s="2085">
        <v>100</v>
      </c>
      <c r="K4" s="2086">
        <v>8.625</v>
      </c>
      <c r="L4" s="2085">
        <v>1.38</v>
      </c>
      <c r="M4" s="2085">
        <v>0.5</v>
      </c>
      <c r="N4" s="2085">
        <v>1.5</v>
      </c>
      <c r="O4" s="350"/>
      <c r="P4" s="350"/>
    </row>
    <row r="5" spans="2:16">
      <c r="B5" s="349" t="s">
        <v>45</v>
      </c>
      <c r="C5" s="349" t="s">
        <v>4</v>
      </c>
      <c r="H5" s="2085">
        <v>2</v>
      </c>
      <c r="I5" s="2085">
        <v>55</v>
      </c>
      <c r="J5" s="2085">
        <v>100</v>
      </c>
      <c r="K5" s="2086">
        <v>11.375</v>
      </c>
      <c r="L5" s="2085">
        <v>1.82</v>
      </c>
      <c r="M5" s="2085">
        <v>0.65</v>
      </c>
      <c r="N5" s="2085">
        <v>2.5</v>
      </c>
      <c r="O5" s="349"/>
      <c r="P5" s="349"/>
    </row>
    <row r="6" spans="2:16">
      <c r="B6" s="350">
        <v>20</v>
      </c>
      <c r="C6" s="350">
        <v>-12</v>
      </c>
      <c r="H6" s="2085">
        <v>3</v>
      </c>
      <c r="I6" s="2085">
        <v>80</v>
      </c>
      <c r="J6" s="2085">
        <v>100</v>
      </c>
      <c r="K6" s="2086">
        <v>15</v>
      </c>
      <c r="L6" s="2085">
        <v>2.4</v>
      </c>
      <c r="M6" s="2085">
        <v>0.71</v>
      </c>
      <c r="N6" s="2085">
        <v>2.9</v>
      </c>
      <c r="O6" s="350"/>
      <c r="P6" s="350"/>
    </row>
    <row r="7" spans="2:16">
      <c r="B7" s="350">
        <v>40</v>
      </c>
      <c r="C7" s="350">
        <v>0</v>
      </c>
      <c r="H7" s="2085">
        <v>4</v>
      </c>
      <c r="I7" s="2085">
        <v>90</v>
      </c>
      <c r="J7" s="2085">
        <v>100</v>
      </c>
      <c r="K7" s="2086">
        <v>16.875</v>
      </c>
      <c r="L7" s="2085">
        <v>2.7</v>
      </c>
      <c r="M7" s="2085">
        <v>0.81</v>
      </c>
      <c r="N7" s="2085">
        <v>3</v>
      </c>
      <c r="O7" s="350"/>
      <c r="P7" s="350"/>
    </row>
    <row r="8" spans="2:16">
      <c r="B8" s="350">
        <v>60</v>
      </c>
      <c r="C8" s="350">
        <v>10</v>
      </c>
      <c r="H8" s="2085">
        <v>5</v>
      </c>
      <c r="I8" s="2085">
        <v>110</v>
      </c>
      <c r="J8" s="2085">
        <v>100</v>
      </c>
      <c r="K8" s="2086">
        <v>17.5</v>
      </c>
      <c r="L8" s="2085">
        <v>2.8</v>
      </c>
      <c r="M8" s="2085">
        <v>0.87</v>
      </c>
      <c r="N8" s="2085">
        <v>3</v>
      </c>
      <c r="O8" s="350"/>
      <c r="P8" s="350"/>
    </row>
    <row r="9" spans="2:16">
      <c r="B9" s="350">
        <v>80</v>
      </c>
      <c r="C9" s="350">
        <v>18</v>
      </c>
      <c r="H9"/>
      <c r="I9"/>
      <c r="J9"/>
      <c r="K9"/>
      <c r="L9"/>
      <c r="M9"/>
      <c r="N9"/>
      <c r="O9" s="350"/>
      <c r="P9" s="350"/>
    </row>
    <row r="10" spans="2:16">
      <c r="B10" s="350">
        <v>100</v>
      </c>
      <c r="C10" s="350">
        <v>24</v>
      </c>
      <c r="H10" s="3250" t="s">
        <v>1412</v>
      </c>
      <c r="I10" s="3251"/>
      <c r="J10" s="3251"/>
      <c r="K10" s="3251"/>
      <c r="L10" s="3251"/>
      <c r="M10" s="3251"/>
      <c r="N10" s="3252"/>
      <c r="O10" s="350"/>
      <c r="P10" s="350"/>
    </row>
    <row r="11" spans="2:16">
      <c r="H11" s="3253"/>
      <c r="I11" s="3254"/>
      <c r="J11" s="3254"/>
      <c r="K11" s="3254"/>
      <c r="L11" s="3254"/>
      <c r="M11" s="3254"/>
      <c r="N11" s="3255"/>
    </row>
    <row r="12" spans="2:16">
      <c r="J12" s="350"/>
    </row>
    <row r="13" spans="2:16">
      <c r="J13" s="350"/>
    </row>
    <row r="14" spans="2:16">
      <c r="J14" s="350"/>
    </row>
    <row r="15" spans="2:16">
      <c r="J15" s="350"/>
    </row>
    <row r="32" spans="4:15">
      <c r="D32" s="350"/>
      <c r="E32" s="350"/>
      <c r="F32" s="350"/>
      <c r="G32" s="350"/>
      <c r="H32" s="350"/>
      <c r="I32" s="350"/>
      <c r="J32" s="350"/>
      <c r="K32" s="350"/>
      <c r="L32" s="350"/>
      <c r="M32" s="350"/>
      <c r="N32" s="350"/>
      <c r="O32" s="350"/>
    </row>
    <row r="33" spans="2:15">
      <c r="B33" s="1570" t="s">
        <v>97</v>
      </c>
      <c r="D33" s="3245" t="s">
        <v>98</v>
      </c>
      <c r="E33" s="3245"/>
      <c r="F33" s="3245"/>
      <c r="G33" s="3246" t="s">
        <v>102</v>
      </c>
      <c r="H33" s="3246"/>
      <c r="I33" s="3246"/>
      <c r="J33" s="3247" t="s">
        <v>103</v>
      </c>
      <c r="K33" s="3247"/>
      <c r="L33" s="3247"/>
      <c r="M33" s="3248" t="s">
        <v>104</v>
      </c>
      <c r="N33" s="3248"/>
      <c r="O33" s="3248"/>
    </row>
    <row r="34" spans="2:15">
      <c r="D34" s="1571" t="s">
        <v>99</v>
      </c>
      <c r="E34" s="1571" t="s">
        <v>100</v>
      </c>
      <c r="F34" s="1571" t="s">
        <v>101</v>
      </c>
      <c r="G34" s="1572" t="s">
        <v>99</v>
      </c>
      <c r="H34" s="1572" t="s">
        <v>100</v>
      </c>
      <c r="I34" s="1572" t="s">
        <v>101</v>
      </c>
      <c r="J34" s="1573" t="s">
        <v>99</v>
      </c>
      <c r="K34" s="1573" t="s">
        <v>100</v>
      </c>
      <c r="L34" s="1573" t="s">
        <v>101</v>
      </c>
      <c r="M34" s="1574" t="s">
        <v>99</v>
      </c>
      <c r="N34" s="1574" t="s">
        <v>100</v>
      </c>
      <c r="O34" s="1574" t="s">
        <v>101</v>
      </c>
    </row>
    <row r="35" spans="2:15">
      <c r="B35" s="350" t="s">
        <v>110</v>
      </c>
      <c r="D35" s="1571"/>
      <c r="E35" s="1571"/>
      <c r="F35" s="1571"/>
      <c r="G35" s="1572"/>
      <c r="H35" s="1572"/>
      <c r="I35" s="1572"/>
      <c r="J35" s="1573"/>
      <c r="K35" s="1573"/>
      <c r="L35" s="1573"/>
      <c r="M35" s="1574"/>
      <c r="N35" s="1574"/>
      <c r="O35" s="1574"/>
    </row>
    <row r="36" spans="2:15">
      <c r="B36" s="350" t="s">
        <v>105</v>
      </c>
      <c r="C36" s="350" t="s">
        <v>106</v>
      </c>
      <c r="D36" s="1571">
        <v>100</v>
      </c>
      <c r="E36" s="1571"/>
      <c r="F36" s="1571"/>
      <c r="G36" s="1572">
        <v>100</v>
      </c>
      <c r="H36" s="1572"/>
      <c r="I36" s="1572"/>
      <c r="J36" s="1573">
        <v>100</v>
      </c>
      <c r="K36" s="1573"/>
      <c r="L36" s="1573"/>
      <c r="M36" s="1574">
        <v>100</v>
      </c>
      <c r="N36" s="1574"/>
      <c r="O36" s="1574"/>
    </row>
    <row r="37" spans="2:15">
      <c r="C37" s="350" t="s">
        <v>107</v>
      </c>
      <c r="D37" s="1571">
        <v>67</v>
      </c>
      <c r="E37" s="1571">
        <v>33</v>
      </c>
      <c r="F37" s="1571"/>
      <c r="G37" s="1572">
        <v>50</v>
      </c>
      <c r="H37" s="1572">
        <v>50</v>
      </c>
      <c r="I37" s="1572"/>
      <c r="J37" s="1573">
        <v>33</v>
      </c>
      <c r="K37" s="1573">
        <v>67</v>
      </c>
      <c r="L37" s="1573"/>
      <c r="M37" s="1574">
        <v>25</v>
      </c>
      <c r="N37" s="1574">
        <v>75</v>
      </c>
      <c r="O37" s="1574"/>
    </row>
    <row r="38" spans="2:15">
      <c r="C38" s="350" t="s">
        <v>108</v>
      </c>
      <c r="D38" s="1571"/>
      <c r="E38" s="1571">
        <v>50</v>
      </c>
      <c r="F38" s="1571"/>
      <c r="G38" s="1572"/>
      <c r="H38" s="1572">
        <v>67</v>
      </c>
      <c r="I38" s="1572"/>
      <c r="J38" s="1573"/>
      <c r="K38" s="1573">
        <v>50</v>
      </c>
      <c r="L38" s="1573"/>
      <c r="M38" s="1574"/>
      <c r="N38" s="1574">
        <v>50</v>
      </c>
      <c r="O38" s="1574"/>
    </row>
    <row r="39" spans="2:15">
      <c r="D39" s="1571"/>
      <c r="E39" s="1571"/>
      <c r="F39" s="1571"/>
      <c r="G39" s="1572"/>
      <c r="H39" s="1572"/>
      <c r="I39" s="1572"/>
      <c r="J39" s="1573"/>
      <c r="K39" s="1573"/>
      <c r="L39" s="1573"/>
      <c r="M39" s="1574"/>
      <c r="N39" s="1574"/>
      <c r="O39" s="1574"/>
    </row>
    <row r="40" spans="2:15">
      <c r="B40" s="350" t="s">
        <v>112</v>
      </c>
      <c r="D40" s="1571"/>
      <c r="E40" s="1571">
        <v>25</v>
      </c>
      <c r="F40" s="1571">
        <v>50</v>
      </c>
      <c r="G40" s="1572"/>
      <c r="H40" s="1572">
        <v>40</v>
      </c>
      <c r="I40" s="1572">
        <v>60</v>
      </c>
      <c r="J40" s="1573"/>
      <c r="K40" s="1573">
        <v>40</v>
      </c>
      <c r="L40" s="1573">
        <v>60</v>
      </c>
      <c r="M40" s="1574"/>
      <c r="N40" s="1574">
        <v>40</v>
      </c>
      <c r="O40" s="1574">
        <v>60</v>
      </c>
    </row>
    <row r="41" spans="2:15">
      <c r="B41" s="350" t="s">
        <v>109</v>
      </c>
      <c r="C41" s="350" t="s">
        <v>421</v>
      </c>
      <c r="D41" s="1571"/>
      <c r="E41" s="1571">
        <v>30</v>
      </c>
      <c r="F41" s="1571">
        <v>30</v>
      </c>
      <c r="G41" s="1572"/>
      <c r="H41" s="1572">
        <v>30</v>
      </c>
      <c r="I41" s="1572">
        <v>35</v>
      </c>
      <c r="J41" s="1573"/>
      <c r="K41" s="1573">
        <v>30</v>
      </c>
      <c r="L41" s="1573">
        <v>35</v>
      </c>
      <c r="M41" s="1574"/>
      <c r="N41" s="1574">
        <v>30</v>
      </c>
      <c r="O41" s="1574">
        <v>35</v>
      </c>
    </row>
    <row r="42" spans="2:15">
      <c r="C42" s="350" t="s">
        <v>422</v>
      </c>
      <c r="D42" s="1571"/>
      <c r="E42" s="1571">
        <v>25</v>
      </c>
      <c r="F42" s="1571">
        <v>50</v>
      </c>
      <c r="G42" s="1572"/>
      <c r="H42" s="1572">
        <v>40</v>
      </c>
      <c r="I42" s="1572">
        <v>60</v>
      </c>
      <c r="J42" s="1573"/>
      <c r="K42" s="1573">
        <v>40</v>
      </c>
      <c r="L42" s="1573">
        <v>60</v>
      </c>
      <c r="M42" s="1574"/>
      <c r="N42" s="1574">
        <v>40</v>
      </c>
      <c r="O42" s="1574">
        <v>60</v>
      </c>
    </row>
    <row r="43" spans="2:15">
      <c r="B43" s="350" t="s">
        <v>35</v>
      </c>
      <c r="D43" s="1571"/>
      <c r="E43" s="1571">
        <v>50</v>
      </c>
      <c r="F43" s="1571">
        <v>50</v>
      </c>
      <c r="G43" s="1572"/>
      <c r="H43" s="1572">
        <v>50</v>
      </c>
      <c r="I43" s="1572">
        <v>50</v>
      </c>
      <c r="J43" s="1573"/>
      <c r="K43" s="1573">
        <v>50</v>
      </c>
      <c r="L43" s="1573">
        <v>50</v>
      </c>
      <c r="M43" s="1574"/>
      <c r="N43" s="1575">
        <v>50</v>
      </c>
      <c r="O43" s="1575">
        <v>50</v>
      </c>
    </row>
    <row r="44" spans="2:15">
      <c r="D44" s="350"/>
      <c r="E44" s="350"/>
      <c r="F44" s="350"/>
      <c r="G44" s="350"/>
      <c r="H44" s="350"/>
      <c r="I44" s="350"/>
      <c r="J44" s="350"/>
      <c r="K44" s="350"/>
      <c r="L44" s="350"/>
      <c r="M44" s="350"/>
      <c r="N44" s="350"/>
      <c r="O44" s="350"/>
    </row>
    <row r="45" spans="2:15">
      <c r="D45" s="350"/>
      <c r="E45" s="350"/>
      <c r="F45" s="350"/>
      <c r="G45" s="350"/>
      <c r="H45" s="350"/>
      <c r="I45" s="350"/>
      <c r="J45" s="350"/>
      <c r="K45" s="350"/>
      <c r="L45" s="350"/>
      <c r="M45" s="350"/>
      <c r="N45" s="350"/>
      <c r="O45" s="350"/>
    </row>
    <row r="46" spans="2:15">
      <c r="N46" s="350"/>
      <c r="O46" s="350"/>
    </row>
    <row r="47" spans="2:15">
      <c r="N47" s="350"/>
      <c r="O47" s="350"/>
    </row>
    <row r="48" spans="2:15">
      <c r="N48" s="350"/>
      <c r="O48" s="350"/>
    </row>
    <row r="49" spans="2:15">
      <c r="N49" s="350"/>
      <c r="O49" s="350"/>
    </row>
    <row r="52" spans="2:15">
      <c r="B52" s="347"/>
      <c r="C52" s="347"/>
    </row>
    <row r="53" spans="2:15">
      <c r="B53" s="347"/>
      <c r="C53" s="347"/>
    </row>
    <row r="54" spans="2:15">
      <c r="B54" s="347"/>
      <c r="C54" s="347"/>
    </row>
    <row r="55" spans="2:15">
      <c r="B55" s="347"/>
      <c r="C55" s="347"/>
    </row>
    <row r="56" spans="2:15">
      <c r="B56" s="347"/>
      <c r="C56" s="356"/>
    </row>
    <row r="57" spans="2:15">
      <c r="B57" s="347"/>
      <c r="C57" s="347"/>
    </row>
    <row r="58" spans="2:15">
      <c r="B58" s="347"/>
      <c r="D58" s="350"/>
    </row>
    <row r="59" spans="2:15">
      <c r="B59" s="347"/>
      <c r="D59" s="350"/>
    </row>
    <row r="60" spans="2:15">
      <c r="B60" s="347"/>
      <c r="D60" s="350"/>
    </row>
    <row r="61" spans="2:15">
      <c r="B61" s="347"/>
      <c r="D61" s="350"/>
    </row>
    <row r="62" spans="2:15">
      <c r="B62" s="347"/>
      <c r="D62" s="350"/>
    </row>
    <row r="63" spans="2:15">
      <c r="B63" s="347"/>
      <c r="D63" s="350"/>
    </row>
    <row r="64" spans="2:15">
      <c r="B64" s="347"/>
      <c r="D64" s="350"/>
    </row>
    <row r="65" spans="2:12">
      <c r="B65" s="347"/>
      <c r="D65" s="350"/>
    </row>
    <row r="66" spans="2:12">
      <c r="B66" s="347"/>
      <c r="D66" s="350"/>
    </row>
    <row r="67" spans="2:12">
      <c r="B67" s="347"/>
      <c r="D67" s="350"/>
    </row>
    <row r="68" spans="2:12">
      <c r="B68" s="347"/>
      <c r="C68" s="347"/>
    </row>
    <row r="69" spans="2:12">
      <c r="B69" s="1477"/>
      <c r="C69" s="1477"/>
      <c r="D69" s="1477"/>
      <c r="E69" s="1477"/>
      <c r="F69" s="1477"/>
      <c r="G69" s="1477"/>
      <c r="H69" s="1477"/>
      <c r="I69" s="1477"/>
      <c r="J69" s="1477"/>
      <c r="K69" s="1477"/>
      <c r="L69" s="1477"/>
    </row>
    <row r="70" spans="2:12">
      <c r="B70" s="1477"/>
      <c r="C70" s="1477"/>
      <c r="D70" s="1477"/>
      <c r="E70" s="1477"/>
      <c r="F70" s="1477"/>
      <c r="G70" s="1477"/>
      <c r="H70" s="1477"/>
      <c r="I70" s="1477"/>
      <c r="J70" s="1477"/>
      <c r="K70" s="1477"/>
      <c r="L70" s="1477"/>
    </row>
    <row r="71" spans="2:12">
      <c r="B71" s="1477"/>
      <c r="C71" s="1477"/>
      <c r="D71" s="1477"/>
      <c r="E71" s="1477"/>
      <c r="F71" s="1477"/>
      <c r="G71" s="1477"/>
      <c r="H71" s="1477"/>
      <c r="I71" s="1477"/>
      <c r="J71" s="1477"/>
      <c r="K71" s="1477"/>
      <c r="L71" s="1477"/>
    </row>
    <row r="72" spans="2:12">
      <c r="B72" s="1477"/>
      <c r="C72" s="1477"/>
      <c r="D72" s="1477"/>
      <c r="E72" s="1477"/>
      <c r="F72" s="1477"/>
      <c r="G72" s="1477"/>
      <c r="H72" s="1477"/>
      <c r="I72" s="1477"/>
      <c r="J72" s="1477"/>
      <c r="K72" s="1477"/>
      <c r="L72" s="1477"/>
    </row>
    <row r="73" spans="2:12">
      <c r="B73" s="1477"/>
      <c r="C73" s="1477"/>
      <c r="D73" s="1477"/>
      <c r="E73" s="1477"/>
      <c r="F73" s="1477"/>
      <c r="G73" s="1477"/>
      <c r="H73" s="1477"/>
      <c r="I73" s="1477"/>
      <c r="J73" s="1477"/>
      <c r="K73" s="1477"/>
      <c r="L73" s="1477"/>
    </row>
    <row r="74" spans="2:12">
      <c r="B74" s="1477"/>
      <c r="C74" s="1477"/>
      <c r="D74" s="1477"/>
      <c r="E74" s="1477"/>
      <c r="F74" s="1477"/>
      <c r="G74" s="1477"/>
      <c r="H74" s="1477"/>
      <c r="I74" s="1477"/>
      <c r="J74" s="1477"/>
      <c r="K74" s="1477"/>
      <c r="L74" s="1477"/>
    </row>
    <row r="75" spans="2:12">
      <c r="B75" s="1477"/>
      <c r="C75" s="1477"/>
      <c r="D75" s="1477"/>
      <c r="E75" s="1477"/>
      <c r="F75" s="1477"/>
      <c r="G75" s="1477"/>
      <c r="H75" s="1477"/>
      <c r="I75" s="1477"/>
      <c r="J75" s="1477"/>
      <c r="K75" s="1477"/>
      <c r="L75" s="1477"/>
    </row>
    <row r="76" spans="2:12">
      <c r="B76" s="1477"/>
      <c r="C76" s="1477"/>
      <c r="D76" s="1477"/>
      <c r="E76" s="1477"/>
      <c r="F76" s="1477"/>
      <c r="G76" s="1477"/>
      <c r="H76" s="1477"/>
      <c r="I76" s="1477"/>
      <c r="J76" s="1477"/>
      <c r="K76" s="1477"/>
      <c r="L76" s="1477"/>
    </row>
    <row r="77" spans="2:12">
      <c r="B77" s="1477"/>
      <c r="C77" s="1477"/>
      <c r="D77" s="1477"/>
      <c r="E77" s="1477"/>
      <c r="F77" s="1477"/>
      <c r="G77" s="1477"/>
      <c r="H77" s="1477"/>
      <c r="I77" s="1477"/>
      <c r="J77" s="1477"/>
      <c r="K77" s="1477"/>
      <c r="L77" s="1477"/>
    </row>
    <row r="78" spans="2:12">
      <c r="B78" s="1477"/>
      <c r="C78" s="1477"/>
      <c r="D78" s="1477"/>
      <c r="E78" s="1477"/>
      <c r="F78" s="1477"/>
      <c r="G78" s="1477"/>
      <c r="H78" s="1477"/>
      <c r="I78" s="1477"/>
      <c r="J78" s="1477"/>
      <c r="K78" s="1477"/>
      <c r="L78" s="1477"/>
    </row>
    <row r="79" spans="2:12">
      <c r="B79" s="1477"/>
      <c r="C79" s="1477"/>
      <c r="D79" s="1477"/>
      <c r="E79" s="1477"/>
      <c r="F79" s="1477"/>
      <c r="G79" s="1477"/>
      <c r="H79" s="1477"/>
      <c r="I79" s="1477"/>
      <c r="J79" s="1477"/>
      <c r="K79" s="1477"/>
      <c r="L79" s="1477"/>
    </row>
    <row r="80" spans="2:12">
      <c r="B80" s="1477"/>
      <c r="C80" s="1477"/>
      <c r="D80" s="1477"/>
      <c r="E80" s="1477"/>
      <c r="F80" s="1477"/>
      <c r="G80" s="1477"/>
      <c r="H80" s="1477"/>
      <c r="I80" s="1477"/>
      <c r="J80" s="1477"/>
      <c r="K80" s="1477"/>
      <c r="L80" s="1477"/>
    </row>
    <row r="81" spans="2:12">
      <c r="B81" s="1477"/>
      <c r="C81" s="1477"/>
      <c r="D81" s="1477"/>
      <c r="E81" s="1477"/>
      <c r="F81" s="1477"/>
      <c r="G81" s="1477"/>
      <c r="H81" s="1477"/>
      <c r="I81" s="1477"/>
      <c r="J81" s="1477"/>
      <c r="K81" s="1477"/>
      <c r="L81" s="1477"/>
    </row>
    <row r="82" spans="2:12">
      <c r="B82" s="1477"/>
      <c r="C82" s="1477"/>
      <c r="D82" s="1477"/>
      <c r="E82" s="1477"/>
      <c r="F82" s="1477"/>
      <c r="G82" s="1477"/>
      <c r="H82" s="1477"/>
      <c r="I82" s="1477"/>
      <c r="J82" s="1477"/>
      <c r="K82" s="1477"/>
      <c r="L82" s="1477"/>
    </row>
    <row r="83" spans="2:12">
      <c r="B83" s="1477"/>
      <c r="C83" s="1477"/>
      <c r="D83" s="1477"/>
      <c r="E83" s="1477"/>
      <c r="F83" s="1477"/>
      <c r="G83" s="1477"/>
      <c r="H83" s="1477"/>
      <c r="I83" s="1477"/>
      <c r="J83" s="1477"/>
      <c r="K83" s="1477"/>
      <c r="L83" s="1477"/>
    </row>
    <row r="84" spans="2:12">
      <c r="B84" s="1477"/>
      <c r="C84" s="1477"/>
      <c r="D84" s="1477"/>
      <c r="E84" s="1477"/>
      <c r="F84" s="1477"/>
      <c r="G84" s="1477"/>
      <c r="H84" s="1477"/>
      <c r="I84" s="1477"/>
      <c r="J84" s="1477"/>
      <c r="K84" s="1477"/>
      <c r="L84" s="1477"/>
    </row>
    <row r="85" spans="2:12">
      <c r="B85" s="1477"/>
      <c r="C85" s="1477"/>
      <c r="D85" s="1477"/>
      <c r="E85" s="1477"/>
      <c r="F85" s="1477"/>
      <c r="G85" s="1477"/>
      <c r="H85" s="1477"/>
      <c r="I85" s="1477"/>
      <c r="J85" s="1477"/>
      <c r="K85" s="1477"/>
      <c r="L85" s="1477"/>
    </row>
    <row r="86" spans="2:12">
      <c r="B86" s="1477"/>
      <c r="C86" s="1477"/>
      <c r="D86" s="1477"/>
      <c r="E86" s="1477"/>
      <c r="F86" s="1477"/>
      <c r="G86" s="1477"/>
      <c r="H86" s="1477"/>
      <c r="I86" s="1477"/>
      <c r="J86" s="1477"/>
      <c r="K86" s="1477"/>
      <c r="L86" s="1477"/>
    </row>
    <row r="87" spans="2:12">
      <c r="B87" s="1477"/>
      <c r="C87" s="1477"/>
      <c r="D87" s="1477"/>
      <c r="E87" s="1477"/>
      <c r="F87" s="1477"/>
      <c r="G87" s="1477"/>
      <c r="H87" s="1477"/>
      <c r="I87" s="1477"/>
      <c r="J87" s="1477"/>
      <c r="K87" s="1477"/>
      <c r="L87" s="1477"/>
    </row>
    <row r="88" spans="2:12">
      <c r="B88" s="1477"/>
      <c r="C88" s="1477"/>
      <c r="D88" s="1477"/>
      <c r="E88" s="1477"/>
      <c r="F88" s="1477"/>
      <c r="G88" s="1477"/>
      <c r="H88" s="1477"/>
      <c r="I88" s="1477"/>
      <c r="J88" s="1477"/>
      <c r="K88" s="1477"/>
      <c r="L88" s="1477"/>
    </row>
    <row r="89" spans="2:12">
      <c r="B89" s="1477"/>
      <c r="C89" s="1477"/>
      <c r="D89" s="1477"/>
      <c r="E89" s="1477"/>
      <c r="F89" s="1477"/>
      <c r="G89" s="1477"/>
      <c r="H89" s="1477"/>
      <c r="I89" s="1477"/>
      <c r="J89" s="1477"/>
      <c r="K89" s="1477"/>
      <c r="L89" s="1477"/>
    </row>
    <row r="90" spans="2:12">
      <c r="B90" s="1477"/>
      <c r="C90" s="1477"/>
      <c r="D90" s="1477"/>
      <c r="E90" s="1477"/>
      <c r="F90" s="1477"/>
      <c r="G90" s="1477"/>
      <c r="H90" s="1477"/>
      <c r="I90" s="1477"/>
      <c r="J90" s="1477"/>
      <c r="K90" s="1477"/>
      <c r="L90" s="1477"/>
    </row>
    <row r="91" spans="2:12">
      <c r="B91" s="1477"/>
      <c r="C91" s="1477"/>
      <c r="D91" s="1477"/>
      <c r="E91" s="1477"/>
      <c r="F91" s="1477"/>
      <c r="G91" s="1477"/>
      <c r="H91" s="1477"/>
      <c r="I91" s="1477"/>
      <c r="J91" s="1477"/>
      <c r="K91" s="1477"/>
      <c r="L91" s="1477"/>
    </row>
    <row r="92" spans="2:12">
      <c r="B92" s="1477"/>
      <c r="C92" s="1477"/>
      <c r="D92" s="1477"/>
      <c r="E92" s="1477"/>
      <c r="F92" s="1477"/>
      <c r="G92" s="1477"/>
      <c r="H92" s="1477"/>
      <c r="I92" s="1477"/>
      <c r="J92" s="1477"/>
      <c r="K92" s="1477"/>
      <c r="L92" s="1477"/>
    </row>
    <row r="93" spans="2:12">
      <c r="B93" s="1477"/>
      <c r="C93" s="1477"/>
      <c r="D93" s="1477"/>
      <c r="E93" s="1477"/>
      <c r="F93" s="1477"/>
      <c r="G93" s="1477"/>
      <c r="H93" s="1477"/>
      <c r="I93" s="1477"/>
      <c r="J93" s="1477"/>
      <c r="K93" s="1477"/>
      <c r="L93" s="1477"/>
    </row>
    <row r="94" spans="2:12">
      <c r="B94" s="1477"/>
      <c r="C94" s="1477"/>
      <c r="D94" s="1477"/>
      <c r="E94" s="1477"/>
      <c r="F94" s="1477"/>
      <c r="G94" s="1477"/>
      <c r="H94" s="1477"/>
      <c r="I94" s="1477"/>
      <c r="J94" s="1477"/>
      <c r="K94" s="1477"/>
      <c r="L94" s="1477"/>
    </row>
    <row r="95" spans="2:12">
      <c r="B95" s="1477"/>
      <c r="C95" s="1477"/>
      <c r="D95" s="1477"/>
      <c r="E95" s="1477"/>
      <c r="F95" s="1477"/>
      <c r="G95" s="1477"/>
      <c r="H95" s="1477"/>
      <c r="I95" s="1477"/>
      <c r="J95" s="1477"/>
      <c r="K95" s="1477"/>
      <c r="L95" s="1477"/>
    </row>
    <row r="96" spans="2:12">
      <c r="B96" s="1477"/>
      <c r="C96" s="1477"/>
      <c r="D96" s="1477"/>
      <c r="E96" s="1477"/>
      <c r="F96" s="1477"/>
      <c r="G96" s="1477"/>
      <c r="H96" s="1477"/>
      <c r="I96" s="1477"/>
      <c r="J96" s="1477"/>
      <c r="K96" s="1477"/>
      <c r="L96" s="1477"/>
    </row>
    <row r="97" spans="2:12">
      <c r="B97" s="1477"/>
      <c r="C97" s="1477"/>
      <c r="D97" s="1477"/>
      <c r="E97" s="1477"/>
      <c r="F97" s="1477"/>
      <c r="G97" s="1477"/>
      <c r="H97" s="1477"/>
      <c r="I97" s="1477"/>
      <c r="J97" s="1477"/>
      <c r="K97" s="1477"/>
      <c r="L97" s="1477"/>
    </row>
    <row r="98" spans="2:12">
      <c r="B98" s="1477"/>
      <c r="C98" s="1477"/>
      <c r="D98" s="1477"/>
      <c r="E98" s="1477"/>
      <c r="F98" s="1477"/>
      <c r="G98" s="1477"/>
      <c r="H98" s="1477"/>
      <c r="I98" s="1477"/>
      <c r="J98" s="1477"/>
      <c r="K98" s="1477"/>
      <c r="L98" s="1477"/>
    </row>
    <row r="99" spans="2:12">
      <c r="B99" s="1477"/>
      <c r="C99" s="1477"/>
      <c r="D99" s="1477"/>
      <c r="E99" s="1477"/>
      <c r="F99" s="1477"/>
      <c r="G99" s="1477"/>
      <c r="H99" s="1477"/>
      <c r="I99" s="1477"/>
      <c r="J99" s="1477"/>
      <c r="K99" s="1477"/>
      <c r="L99" s="1477"/>
    </row>
    <row r="100" spans="2:12">
      <c r="B100" s="1477"/>
      <c r="C100" s="1477"/>
      <c r="D100" s="1477"/>
      <c r="E100" s="1477"/>
      <c r="F100" s="1477"/>
      <c r="G100" s="1477"/>
      <c r="H100" s="1477"/>
      <c r="I100" s="1477"/>
      <c r="J100" s="1477"/>
      <c r="K100" s="1477"/>
      <c r="L100" s="1477"/>
    </row>
    <row r="101" spans="2:12">
      <c r="B101" s="1477"/>
      <c r="C101" s="1477"/>
      <c r="D101" s="1477"/>
      <c r="E101" s="1477"/>
      <c r="F101" s="1477"/>
      <c r="G101" s="1477"/>
      <c r="H101" s="1477"/>
      <c r="I101" s="1477"/>
      <c r="J101" s="1477"/>
      <c r="K101" s="1477"/>
      <c r="L101" s="1477"/>
    </row>
    <row r="102" spans="2:12">
      <c r="B102" s="1477"/>
      <c r="C102" s="1477"/>
      <c r="D102" s="1477"/>
      <c r="E102" s="1477"/>
      <c r="F102" s="1477"/>
      <c r="G102" s="1477"/>
      <c r="H102" s="1477"/>
      <c r="I102" s="1477"/>
      <c r="J102" s="1477"/>
      <c r="K102" s="1477"/>
      <c r="L102" s="1477"/>
    </row>
    <row r="103" spans="2:12">
      <c r="B103" s="1477"/>
      <c r="C103" s="1477"/>
      <c r="D103" s="1477"/>
      <c r="E103" s="1477"/>
      <c r="F103" s="1477"/>
      <c r="G103" s="1477"/>
      <c r="H103" s="1477"/>
      <c r="I103" s="1477"/>
      <c r="J103" s="1477"/>
      <c r="K103" s="1477"/>
      <c r="L103" s="1477"/>
    </row>
    <row r="104" spans="2:12">
      <c r="B104" s="1477"/>
      <c r="C104" s="1477"/>
      <c r="D104" s="1477"/>
      <c r="E104" s="1477"/>
      <c r="F104" s="1477"/>
      <c r="G104" s="1477"/>
      <c r="H104" s="1477"/>
      <c r="I104" s="1477"/>
      <c r="J104" s="1477"/>
      <c r="K104" s="1477"/>
      <c r="L104" s="1477"/>
    </row>
    <row r="105" spans="2:12">
      <c r="B105" s="1477"/>
      <c r="C105" s="1477"/>
      <c r="D105" s="1477"/>
      <c r="E105" s="1477"/>
      <c r="F105" s="1477"/>
      <c r="G105" s="1477"/>
      <c r="H105" s="1477"/>
      <c r="I105" s="1477"/>
      <c r="J105" s="1477"/>
      <c r="K105" s="1477"/>
      <c r="L105" s="1477"/>
    </row>
    <row r="106" spans="2:12">
      <c r="B106" s="1477"/>
      <c r="C106" s="1477"/>
      <c r="D106" s="1477"/>
      <c r="E106" s="1477"/>
      <c r="F106" s="1477"/>
      <c r="G106" s="1477"/>
      <c r="H106" s="1477"/>
      <c r="I106" s="1477"/>
      <c r="J106" s="1477"/>
      <c r="K106" s="1477"/>
      <c r="L106" s="1477"/>
    </row>
    <row r="107" spans="2:12">
      <c r="B107" s="1477"/>
      <c r="C107" s="1477"/>
      <c r="D107" s="1477"/>
      <c r="E107" s="1477"/>
      <c r="F107" s="1477"/>
      <c r="G107" s="1477"/>
      <c r="H107" s="1477"/>
      <c r="I107" s="1477"/>
      <c r="J107" s="1477"/>
      <c r="K107" s="1477"/>
      <c r="L107" s="1477"/>
    </row>
    <row r="108" spans="2:12">
      <c r="B108" s="1477"/>
      <c r="C108" s="1477"/>
      <c r="D108" s="1477"/>
      <c r="E108" s="1477"/>
      <c r="F108" s="1477"/>
      <c r="G108" s="1477"/>
      <c r="H108" s="1477"/>
      <c r="I108" s="1477"/>
      <c r="J108" s="1477"/>
      <c r="K108" s="1477"/>
      <c r="L108" s="1477"/>
    </row>
    <row r="109" spans="2:12">
      <c r="B109" s="1477"/>
      <c r="C109" s="1477"/>
      <c r="D109" s="1477"/>
      <c r="E109" s="1477"/>
      <c r="F109" s="1477"/>
      <c r="G109" s="1477"/>
      <c r="H109" s="1477"/>
      <c r="I109" s="1477"/>
      <c r="J109" s="1477"/>
      <c r="K109" s="1477"/>
      <c r="L109" s="1477"/>
    </row>
    <row r="110" spans="2:12">
      <c r="B110" s="1477"/>
      <c r="C110" s="1477"/>
      <c r="D110" s="1477"/>
      <c r="E110" s="1477"/>
      <c r="F110" s="1477"/>
      <c r="G110" s="1477"/>
      <c r="H110" s="1477"/>
      <c r="I110" s="1477"/>
      <c r="J110" s="1477"/>
      <c r="K110" s="1477"/>
      <c r="L110" s="1477"/>
    </row>
    <row r="111" spans="2:12">
      <c r="B111" s="1477"/>
      <c r="C111" s="1477"/>
      <c r="D111" s="1477"/>
      <c r="E111" s="1477"/>
      <c r="F111" s="1477"/>
      <c r="G111" s="1477"/>
      <c r="H111" s="1477"/>
      <c r="I111" s="1477"/>
      <c r="J111" s="1477"/>
      <c r="K111" s="1477"/>
      <c r="L111" s="1477"/>
    </row>
    <row r="112" spans="2:12">
      <c r="B112" s="1477"/>
      <c r="C112" s="1477"/>
      <c r="D112" s="1477"/>
      <c r="E112" s="1477"/>
      <c r="F112" s="1477"/>
      <c r="G112" s="1477"/>
      <c r="H112" s="1477"/>
      <c r="I112" s="1477"/>
      <c r="J112" s="1477"/>
      <c r="K112" s="1477"/>
      <c r="L112" s="1477"/>
    </row>
    <row r="113" spans="2:12">
      <c r="B113" s="1477"/>
      <c r="C113" s="1477"/>
      <c r="D113" s="1477"/>
      <c r="E113" s="1477"/>
      <c r="F113" s="1477"/>
      <c r="G113" s="1477"/>
      <c r="H113" s="1477"/>
      <c r="I113" s="1477"/>
      <c r="J113" s="1477"/>
      <c r="K113" s="1477"/>
      <c r="L113" s="1477"/>
    </row>
    <row r="114" spans="2:12">
      <c r="B114" s="1477"/>
      <c r="C114" s="1477"/>
      <c r="D114" s="1477"/>
      <c r="E114" s="1477"/>
      <c r="F114" s="1477"/>
      <c r="G114" s="1477"/>
      <c r="H114" s="1477"/>
      <c r="I114" s="1477"/>
      <c r="J114" s="1477"/>
      <c r="K114" s="1477"/>
      <c r="L114" s="1477"/>
    </row>
    <row r="115" spans="2:12">
      <c r="B115" s="1477"/>
      <c r="C115" s="1477"/>
      <c r="D115" s="1477"/>
      <c r="E115" s="1477"/>
      <c r="F115" s="1477"/>
      <c r="G115" s="1477"/>
      <c r="H115" s="1477"/>
      <c r="I115" s="1477"/>
      <c r="J115" s="1477"/>
      <c r="K115" s="1477"/>
      <c r="L115" s="1477"/>
    </row>
    <row r="116" spans="2:12">
      <c r="B116" s="1477"/>
      <c r="C116" s="1477"/>
      <c r="D116" s="1477"/>
      <c r="E116" s="1477"/>
      <c r="F116" s="1477"/>
      <c r="G116" s="1477"/>
      <c r="H116" s="1477"/>
      <c r="I116" s="1477"/>
      <c r="J116" s="1477"/>
      <c r="K116" s="1477"/>
      <c r="L116" s="1477"/>
    </row>
    <row r="117" spans="2:12">
      <c r="B117" s="1477"/>
      <c r="C117" s="1477"/>
      <c r="D117" s="1477"/>
      <c r="E117" s="1477"/>
      <c r="F117" s="1477"/>
      <c r="G117" s="1477"/>
      <c r="H117" s="1477"/>
      <c r="I117" s="1477"/>
      <c r="J117" s="1477"/>
      <c r="K117" s="1477"/>
      <c r="L117" s="1477"/>
    </row>
    <row r="118" spans="2:12">
      <c r="B118" s="1477"/>
      <c r="C118" s="1477"/>
      <c r="D118" s="1477"/>
      <c r="E118" s="1477"/>
      <c r="F118" s="1477"/>
      <c r="G118" s="1477"/>
      <c r="H118" s="1477"/>
      <c r="I118" s="1477"/>
      <c r="J118" s="1477"/>
      <c r="K118" s="1477"/>
      <c r="L118" s="1477"/>
    </row>
    <row r="119" spans="2:12">
      <c r="B119" s="1477"/>
      <c r="C119" s="1477"/>
      <c r="D119" s="1477"/>
      <c r="E119" s="1477"/>
      <c r="F119" s="1477"/>
      <c r="G119" s="1477"/>
      <c r="H119" s="1477"/>
      <c r="I119" s="1477"/>
      <c r="J119" s="1477"/>
      <c r="K119" s="1477"/>
      <c r="L119" s="1477"/>
    </row>
    <row r="120" spans="2:12">
      <c r="B120" s="1477"/>
      <c r="C120" s="1477"/>
      <c r="D120" s="1477"/>
      <c r="E120" s="1477"/>
      <c r="F120" s="1477"/>
      <c r="G120" s="1477"/>
      <c r="H120" s="1477"/>
      <c r="I120" s="1477"/>
      <c r="J120" s="1477"/>
      <c r="K120" s="1477"/>
      <c r="L120" s="1477"/>
    </row>
    <row r="121" spans="2:12">
      <c r="B121" s="1477"/>
      <c r="C121" s="1477"/>
      <c r="D121" s="1477"/>
      <c r="E121" s="1477"/>
      <c r="F121" s="1477"/>
      <c r="G121" s="1477"/>
      <c r="H121" s="1477"/>
      <c r="I121" s="1477"/>
      <c r="J121" s="1477"/>
      <c r="K121" s="1477"/>
      <c r="L121" s="1477"/>
    </row>
    <row r="122" spans="2:12">
      <c r="B122" s="1477"/>
      <c r="C122" s="1477"/>
      <c r="D122" s="1477"/>
      <c r="E122" s="1477"/>
      <c r="F122" s="1477"/>
      <c r="G122" s="1477"/>
      <c r="H122" s="1477"/>
      <c r="I122" s="1477"/>
      <c r="J122" s="1477"/>
      <c r="K122" s="1477"/>
      <c r="L122" s="1477"/>
    </row>
    <row r="123" spans="2:12">
      <c r="B123" s="1477"/>
      <c r="C123" s="1477"/>
      <c r="D123" s="1477"/>
      <c r="E123" s="1477"/>
      <c r="F123" s="1477"/>
      <c r="G123" s="1477"/>
      <c r="H123" s="1477"/>
      <c r="I123" s="1477"/>
      <c r="J123" s="1477"/>
      <c r="K123" s="1477"/>
      <c r="L123" s="1477"/>
    </row>
    <row r="124" spans="2:12">
      <c r="B124" s="1477"/>
      <c r="C124" s="1477"/>
      <c r="D124" s="1477"/>
      <c r="E124" s="1477"/>
      <c r="F124" s="1477"/>
      <c r="G124" s="1477"/>
      <c r="H124" s="1477"/>
      <c r="I124" s="1477"/>
      <c r="J124" s="1477"/>
      <c r="K124" s="1477"/>
      <c r="L124" s="1477"/>
    </row>
    <row r="125" spans="2:12">
      <c r="B125" s="1477"/>
      <c r="C125" s="1477"/>
      <c r="D125" s="1477"/>
      <c r="E125" s="1477"/>
      <c r="F125" s="1477"/>
      <c r="G125" s="1477"/>
      <c r="H125" s="1477"/>
      <c r="I125" s="1477"/>
      <c r="J125" s="1477"/>
      <c r="K125" s="1477"/>
      <c r="L125" s="1477"/>
    </row>
    <row r="126" spans="2:12">
      <c r="B126" s="1477"/>
      <c r="C126" s="1477"/>
      <c r="D126" s="1477"/>
      <c r="E126" s="1477"/>
      <c r="F126" s="1477"/>
      <c r="G126" s="1477"/>
      <c r="H126" s="1477"/>
      <c r="I126" s="1477"/>
      <c r="J126" s="1477"/>
      <c r="K126" s="1477"/>
      <c r="L126" s="1477"/>
    </row>
    <row r="127" spans="2:12">
      <c r="B127" s="1477"/>
      <c r="C127" s="1477"/>
      <c r="D127" s="1477"/>
      <c r="E127" s="1477"/>
      <c r="F127" s="1477"/>
      <c r="G127" s="1477"/>
      <c r="H127" s="1477"/>
      <c r="I127" s="1477"/>
      <c r="J127" s="1477"/>
      <c r="K127" s="1477"/>
      <c r="L127" s="1477"/>
    </row>
    <row r="128" spans="2:12">
      <c r="B128" s="1477"/>
      <c r="C128" s="1477"/>
      <c r="D128" s="1477"/>
      <c r="E128" s="1477"/>
      <c r="F128" s="1477"/>
      <c r="G128" s="1477"/>
      <c r="H128" s="1477"/>
      <c r="I128" s="1477"/>
      <c r="J128" s="1477"/>
      <c r="K128" s="1477"/>
      <c r="L128" s="1477"/>
    </row>
    <row r="129" spans="2:12">
      <c r="B129" s="1477"/>
      <c r="C129" s="1477"/>
      <c r="D129" s="1477"/>
      <c r="E129" s="1477"/>
      <c r="F129" s="1477"/>
      <c r="G129" s="1477"/>
      <c r="H129" s="1477"/>
      <c r="I129" s="1477"/>
      <c r="J129" s="1477"/>
      <c r="K129" s="1477"/>
      <c r="L129" s="1477"/>
    </row>
    <row r="130" spans="2:12">
      <c r="B130" s="1477"/>
      <c r="C130" s="1477"/>
      <c r="D130" s="1477"/>
      <c r="E130" s="1477"/>
      <c r="F130" s="1477"/>
      <c r="G130" s="1477"/>
      <c r="H130" s="1477"/>
      <c r="I130" s="1477"/>
      <c r="J130" s="1477"/>
      <c r="K130" s="1477"/>
      <c r="L130" s="1477"/>
    </row>
    <row r="131" spans="2:12">
      <c r="B131" s="1477"/>
      <c r="C131" s="1477"/>
      <c r="D131" s="1477"/>
      <c r="E131" s="1477"/>
      <c r="F131" s="1477"/>
      <c r="G131" s="1477"/>
      <c r="H131" s="1477"/>
      <c r="I131" s="1477"/>
      <c r="J131" s="1477"/>
      <c r="K131" s="1477"/>
      <c r="L131" s="1477"/>
    </row>
    <row r="132" spans="2:12">
      <c r="B132" s="1477"/>
      <c r="C132" s="1477"/>
      <c r="D132" s="1477"/>
      <c r="E132" s="1477"/>
      <c r="F132" s="1477"/>
      <c r="G132" s="1477"/>
      <c r="H132" s="1477"/>
      <c r="I132" s="1477"/>
      <c r="J132" s="1477"/>
      <c r="K132" s="1477"/>
      <c r="L132" s="1477"/>
    </row>
    <row r="133" spans="2:12">
      <c r="B133" s="1477"/>
      <c r="C133" s="1477"/>
      <c r="D133" s="1477"/>
      <c r="E133" s="1477"/>
      <c r="F133" s="1477"/>
      <c r="G133" s="1477"/>
      <c r="H133" s="1477"/>
      <c r="I133" s="1477"/>
      <c r="J133" s="1477"/>
      <c r="K133" s="1477"/>
      <c r="L133" s="1477"/>
    </row>
    <row r="134" spans="2:12">
      <c r="B134" s="1477"/>
      <c r="C134" s="1477"/>
      <c r="D134" s="1477"/>
      <c r="E134" s="1477"/>
      <c r="F134" s="1477"/>
      <c r="G134" s="1477"/>
      <c r="H134" s="1477"/>
      <c r="I134" s="1477"/>
      <c r="J134" s="1477"/>
      <c r="K134" s="1477"/>
      <c r="L134" s="1477"/>
    </row>
    <row r="135" spans="2:12">
      <c r="B135" s="1477"/>
      <c r="C135" s="1477"/>
      <c r="D135" s="1477"/>
      <c r="E135" s="1477"/>
      <c r="F135" s="1477"/>
      <c r="G135" s="1477"/>
      <c r="H135" s="1477"/>
      <c r="I135" s="1477"/>
      <c r="J135" s="1477"/>
      <c r="K135" s="1477"/>
      <c r="L135" s="1477"/>
    </row>
    <row r="136" spans="2:12">
      <c r="B136" s="1477"/>
      <c r="C136" s="1477"/>
      <c r="D136" s="1477"/>
      <c r="E136" s="1477"/>
      <c r="F136" s="1477"/>
      <c r="G136" s="1477"/>
      <c r="H136" s="1477"/>
      <c r="I136" s="1477"/>
      <c r="J136" s="1477"/>
      <c r="K136" s="1477"/>
      <c r="L136" s="1477"/>
    </row>
    <row r="137" spans="2:12">
      <c r="B137" s="1477"/>
      <c r="C137" s="1477"/>
      <c r="D137" s="1477"/>
      <c r="E137" s="1477"/>
      <c r="F137" s="1477"/>
      <c r="G137" s="1477"/>
      <c r="H137" s="1477"/>
      <c r="I137" s="1477"/>
      <c r="J137" s="1477"/>
      <c r="K137" s="1477"/>
      <c r="L137" s="1477"/>
    </row>
    <row r="138" spans="2:12">
      <c r="B138" s="1477"/>
      <c r="C138" s="1477"/>
      <c r="D138" s="1477"/>
      <c r="E138" s="1477"/>
      <c r="F138" s="1477"/>
      <c r="G138" s="1477"/>
      <c r="H138" s="1477"/>
      <c r="I138" s="1477"/>
      <c r="J138" s="1477"/>
      <c r="K138" s="1477"/>
      <c r="L138" s="1477"/>
    </row>
    <row r="139" spans="2:12">
      <c r="B139" s="1477"/>
      <c r="C139" s="1477"/>
      <c r="D139" s="1477"/>
      <c r="E139" s="1477"/>
      <c r="F139" s="1477"/>
      <c r="G139" s="1477"/>
      <c r="H139" s="1477"/>
      <c r="I139" s="1477"/>
      <c r="J139" s="1477"/>
      <c r="K139" s="1477"/>
      <c r="L139" s="1477"/>
    </row>
    <row r="140" spans="2:12">
      <c r="B140" s="1477"/>
      <c r="C140" s="1477"/>
      <c r="D140" s="1477"/>
      <c r="E140" s="1477"/>
      <c r="F140" s="1477"/>
      <c r="G140" s="1477"/>
      <c r="H140" s="1477"/>
      <c r="I140" s="1477"/>
      <c r="J140" s="1477"/>
      <c r="K140" s="1477"/>
      <c r="L140" s="1477"/>
    </row>
    <row r="141" spans="2:12">
      <c r="B141" s="1477"/>
      <c r="C141" s="1477"/>
      <c r="D141" s="1477"/>
      <c r="E141" s="1477"/>
      <c r="F141" s="1477"/>
      <c r="G141" s="1477"/>
      <c r="H141" s="1477"/>
      <c r="I141" s="1477"/>
      <c r="J141" s="1477"/>
      <c r="K141" s="1477"/>
      <c r="L141" s="1477"/>
    </row>
    <row r="142" spans="2:12">
      <c r="B142" s="1477"/>
      <c r="C142" s="1477"/>
      <c r="D142" s="1477"/>
      <c r="E142" s="1477"/>
      <c r="F142" s="1477"/>
      <c r="G142" s="1477"/>
      <c r="H142" s="1477"/>
      <c r="I142" s="1477"/>
      <c r="J142" s="1477"/>
      <c r="K142" s="1477"/>
      <c r="L142" s="1477"/>
    </row>
    <row r="143" spans="2:12">
      <c r="B143" s="1477"/>
      <c r="C143" s="1477"/>
      <c r="D143" s="1477"/>
      <c r="E143" s="1477"/>
      <c r="F143" s="1477"/>
      <c r="G143" s="1477"/>
      <c r="H143" s="1477"/>
      <c r="I143" s="1477"/>
      <c r="J143" s="1477"/>
      <c r="K143" s="1477"/>
      <c r="L143" s="1477"/>
    </row>
    <row r="144" spans="2:12">
      <c r="B144" s="1477"/>
      <c r="C144" s="1477"/>
      <c r="D144" s="1477"/>
      <c r="E144" s="1477"/>
      <c r="F144" s="1477"/>
      <c r="G144" s="1477"/>
      <c r="H144" s="1477"/>
      <c r="I144" s="1477"/>
      <c r="J144" s="1477"/>
      <c r="K144" s="1477"/>
      <c r="L144" s="1477"/>
    </row>
    <row r="145" spans="2:12">
      <c r="B145" s="1477"/>
      <c r="C145" s="1477"/>
      <c r="D145" s="1477"/>
      <c r="E145" s="1477"/>
      <c r="F145" s="1477"/>
      <c r="G145" s="1477"/>
      <c r="H145" s="1477"/>
      <c r="I145" s="1477"/>
      <c r="J145" s="1477"/>
      <c r="K145" s="1477"/>
      <c r="L145" s="1477"/>
    </row>
    <row r="146" spans="2:12">
      <c r="B146" s="1477"/>
      <c r="C146" s="1477"/>
      <c r="D146" s="1477"/>
      <c r="E146" s="1477"/>
      <c r="F146" s="1477"/>
      <c r="G146" s="1477"/>
      <c r="H146" s="1477"/>
      <c r="I146" s="1477"/>
      <c r="J146" s="1477"/>
      <c r="K146" s="1477"/>
      <c r="L146" s="1477"/>
    </row>
    <row r="147" spans="2:12">
      <c r="B147" s="1477"/>
      <c r="C147" s="1477"/>
      <c r="D147" s="1477"/>
      <c r="E147" s="1477"/>
      <c r="F147" s="1477"/>
      <c r="G147" s="1477"/>
      <c r="H147" s="1477"/>
      <c r="I147" s="1477"/>
      <c r="J147" s="1477"/>
      <c r="K147" s="1477"/>
      <c r="L147" s="1477"/>
    </row>
    <row r="148" spans="2:12">
      <c r="B148" s="1477"/>
      <c r="C148" s="1477"/>
      <c r="D148" s="1477"/>
      <c r="E148" s="1477"/>
      <c r="F148" s="1477"/>
      <c r="G148" s="1477"/>
      <c r="H148" s="1477"/>
      <c r="I148" s="1477"/>
      <c r="J148" s="1477"/>
      <c r="K148" s="1477"/>
      <c r="L148" s="1477"/>
    </row>
    <row r="149" spans="2:12">
      <c r="B149" s="1477"/>
      <c r="C149" s="1477"/>
      <c r="D149" s="1477"/>
      <c r="E149" s="1477"/>
      <c r="F149" s="1477"/>
      <c r="G149" s="1477"/>
      <c r="H149" s="1477"/>
      <c r="I149" s="1477"/>
      <c r="J149" s="1477"/>
      <c r="K149" s="1477"/>
      <c r="L149" s="1477"/>
    </row>
    <row r="150" spans="2:12">
      <c r="B150" s="1477"/>
      <c r="C150" s="1477"/>
      <c r="D150" s="1477"/>
      <c r="E150" s="1477"/>
      <c r="F150" s="1477"/>
      <c r="G150" s="1477"/>
      <c r="H150" s="1477"/>
      <c r="I150" s="1477"/>
      <c r="J150" s="1477"/>
      <c r="K150" s="1477"/>
      <c r="L150" s="1477"/>
    </row>
    <row r="151" spans="2:12">
      <c r="B151" s="1477"/>
      <c r="C151" s="1477"/>
      <c r="D151" s="1477"/>
      <c r="E151" s="1477"/>
      <c r="F151" s="1477"/>
      <c r="G151" s="1477"/>
      <c r="H151" s="1477"/>
      <c r="I151" s="1477"/>
      <c r="J151" s="1477"/>
      <c r="K151" s="1477"/>
      <c r="L151" s="1477"/>
    </row>
    <row r="152" spans="2:12">
      <c r="B152" s="1477"/>
      <c r="C152" s="1477"/>
      <c r="D152" s="1477"/>
      <c r="E152" s="1477"/>
      <c r="F152" s="1477"/>
      <c r="G152" s="1477"/>
      <c r="H152" s="1477"/>
      <c r="I152" s="1477"/>
      <c r="J152" s="1477"/>
      <c r="K152" s="1477"/>
      <c r="L152" s="1477"/>
    </row>
    <row r="153" spans="2:12">
      <c r="B153" s="1477"/>
      <c r="C153" s="1477"/>
      <c r="D153" s="1477"/>
      <c r="E153" s="1477"/>
      <c r="F153" s="1477"/>
      <c r="G153" s="1477"/>
      <c r="H153" s="1477"/>
      <c r="I153" s="1477"/>
      <c r="J153" s="1477"/>
      <c r="K153" s="1477"/>
      <c r="L153" s="1477"/>
    </row>
    <row r="154" spans="2:12">
      <c r="B154" s="1477"/>
      <c r="C154" s="1477"/>
      <c r="D154" s="1477"/>
      <c r="E154" s="1477"/>
      <c r="F154" s="1477"/>
      <c r="G154" s="1477"/>
      <c r="H154" s="1477"/>
      <c r="I154" s="1477"/>
      <c r="J154" s="1477"/>
      <c r="K154" s="1477"/>
      <c r="L154" s="1477"/>
    </row>
    <row r="155" spans="2:12">
      <c r="B155" s="1477"/>
      <c r="C155" s="1477"/>
      <c r="D155" s="1477"/>
      <c r="E155" s="1477"/>
      <c r="F155" s="1477"/>
      <c r="G155" s="1477"/>
      <c r="H155" s="1477"/>
      <c r="I155" s="1477"/>
      <c r="J155" s="1477"/>
      <c r="K155" s="1477"/>
      <c r="L155" s="1477"/>
    </row>
    <row r="156" spans="2:12">
      <c r="B156" s="1477"/>
      <c r="C156" s="1477"/>
      <c r="D156" s="1477"/>
      <c r="E156" s="1477"/>
      <c r="F156" s="1477"/>
      <c r="G156" s="1477"/>
      <c r="H156" s="1477"/>
      <c r="I156" s="1477"/>
      <c r="J156" s="1477"/>
      <c r="K156" s="1477"/>
      <c r="L156" s="1477"/>
    </row>
    <row r="157" spans="2:12">
      <c r="B157" s="1477"/>
      <c r="C157" s="1477"/>
      <c r="D157" s="1477"/>
      <c r="E157" s="1477"/>
      <c r="F157" s="1477"/>
      <c r="G157" s="1477"/>
      <c r="H157" s="1477"/>
      <c r="I157" s="1477"/>
      <c r="J157" s="1477"/>
      <c r="K157" s="1477"/>
      <c r="L157" s="1477"/>
    </row>
    <row r="158" spans="2:12">
      <c r="B158" s="1477"/>
      <c r="C158" s="1477"/>
      <c r="D158" s="1477"/>
      <c r="E158" s="1477"/>
      <c r="F158" s="1477"/>
      <c r="G158" s="1477"/>
      <c r="H158" s="1477"/>
      <c r="I158" s="1477"/>
      <c r="J158" s="1477"/>
      <c r="K158" s="1477"/>
      <c r="L158" s="1477"/>
    </row>
    <row r="159" spans="2:12">
      <c r="B159" s="1477"/>
      <c r="C159" s="1477"/>
      <c r="D159" s="1477"/>
      <c r="E159" s="1477"/>
      <c r="F159" s="1477"/>
      <c r="G159" s="1477"/>
      <c r="H159" s="1477"/>
      <c r="I159" s="1477"/>
      <c r="J159" s="1477"/>
      <c r="K159" s="1477"/>
      <c r="L159" s="1477"/>
    </row>
    <row r="160" spans="2:12">
      <c r="B160" s="1477"/>
      <c r="C160" s="1477"/>
      <c r="D160" s="1477"/>
      <c r="E160" s="1477"/>
      <c r="F160" s="1477"/>
      <c r="G160" s="1477"/>
      <c r="H160" s="1477"/>
      <c r="I160" s="1477"/>
      <c r="J160" s="1477"/>
      <c r="K160" s="1477"/>
      <c r="L160" s="1477"/>
    </row>
    <row r="161" spans="2:12">
      <c r="B161" s="1477"/>
      <c r="C161" s="1477"/>
      <c r="D161" s="1477"/>
      <c r="E161" s="1477"/>
      <c r="F161" s="1477"/>
      <c r="G161" s="1477"/>
      <c r="H161" s="1477"/>
      <c r="I161" s="1477"/>
      <c r="J161" s="1477"/>
      <c r="K161" s="1477"/>
      <c r="L161" s="1477"/>
    </row>
    <row r="162" spans="2:12">
      <c r="B162" s="1477"/>
      <c r="C162" s="1477"/>
      <c r="D162" s="1477"/>
      <c r="E162" s="1477"/>
      <c r="F162" s="1477"/>
      <c r="G162" s="1477"/>
      <c r="H162" s="1477"/>
      <c r="I162" s="1477"/>
      <c r="J162" s="1477"/>
      <c r="K162" s="1477"/>
      <c r="L162" s="1477"/>
    </row>
    <row r="163" spans="2:12">
      <c r="B163" s="1477"/>
      <c r="C163" s="1477"/>
      <c r="D163" s="1477"/>
      <c r="E163" s="1477"/>
      <c r="F163" s="1477"/>
      <c r="G163" s="1477"/>
      <c r="H163" s="1477"/>
      <c r="I163" s="1477"/>
      <c r="J163" s="1477"/>
      <c r="K163" s="1477"/>
      <c r="L163" s="1477"/>
    </row>
    <row r="164" spans="2:12">
      <c r="B164" s="1477"/>
      <c r="C164" s="1477"/>
      <c r="D164" s="1477"/>
      <c r="E164" s="1477"/>
      <c r="F164" s="1477"/>
      <c r="G164" s="1477"/>
      <c r="H164" s="1477"/>
      <c r="I164" s="1477"/>
      <c r="J164" s="1477"/>
      <c r="K164" s="1477"/>
      <c r="L164" s="1477"/>
    </row>
    <row r="165" spans="2:12">
      <c r="B165" s="1477"/>
      <c r="C165" s="1477"/>
      <c r="D165" s="1477"/>
      <c r="E165" s="1477"/>
      <c r="F165" s="1477"/>
      <c r="G165" s="1477"/>
      <c r="H165" s="1477"/>
      <c r="I165" s="1477"/>
      <c r="J165" s="1477"/>
      <c r="K165" s="1477"/>
      <c r="L165" s="1477"/>
    </row>
    <row r="166" spans="2:12">
      <c r="B166" s="1477"/>
      <c r="C166" s="1477"/>
      <c r="D166" s="1477"/>
      <c r="E166" s="1477"/>
      <c r="F166" s="1477"/>
      <c r="G166" s="1477"/>
      <c r="H166" s="1477"/>
      <c r="I166" s="1477"/>
      <c r="J166" s="1477"/>
      <c r="K166" s="1477"/>
      <c r="L166" s="1477"/>
    </row>
    <row r="167" spans="2:12">
      <c r="B167" s="1477"/>
      <c r="C167" s="1477"/>
      <c r="D167" s="1477"/>
      <c r="E167" s="1477"/>
      <c r="F167" s="1477"/>
      <c r="G167" s="1477"/>
      <c r="H167" s="1477"/>
      <c r="I167" s="1477"/>
      <c r="J167" s="1477"/>
      <c r="K167" s="1477"/>
      <c r="L167" s="1477"/>
    </row>
    <row r="168" spans="2:12">
      <c r="B168" s="1477"/>
      <c r="C168" s="1477"/>
      <c r="D168" s="1477"/>
      <c r="E168" s="1477"/>
      <c r="F168" s="1477"/>
      <c r="G168" s="1477"/>
      <c r="H168" s="1477"/>
      <c r="I168" s="1477"/>
      <c r="J168" s="1477"/>
      <c r="K168" s="1477"/>
      <c r="L168" s="1477"/>
    </row>
    <row r="169" spans="2:12">
      <c r="B169" s="1477"/>
      <c r="C169" s="1477"/>
      <c r="D169" s="1477"/>
      <c r="E169" s="1477"/>
      <c r="F169" s="1477"/>
      <c r="G169" s="1477"/>
      <c r="H169" s="1477"/>
      <c r="I169" s="1477"/>
      <c r="J169" s="1477"/>
      <c r="K169" s="1477"/>
      <c r="L169" s="1477"/>
    </row>
    <row r="170" spans="2:12">
      <c r="B170" s="1477"/>
      <c r="C170" s="1477"/>
      <c r="D170" s="1477"/>
      <c r="E170" s="1477"/>
      <c r="F170" s="1477"/>
      <c r="G170" s="1477"/>
      <c r="H170" s="1477"/>
      <c r="I170" s="1477"/>
      <c r="J170" s="1477"/>
      <c r="K170" s="1477"/>
      <c r="L170" s="1477"/>
    </row>
    <row r="171" spans="2:12">
      <c r="B171" s="1477"/>
      <c r="C171" s="1477"/>
      <c r="D171" s="1477"/>
      <c r="E171" s="1477"/>
      <c r="F171" s="1477"/>
      <c r="G171" s="1477"/>
      <c r="H171" s="1477"/>
      <c r="I171" s="1477"/>
      <c r="J171" s="1477"/>
      <c r="K171" s="1477"/>
      <c r="L171" s="1477"/>
    </row>
    <row r="172" spans="2:12">
      <c r="B172" s="1477"/>
      <c r="C172" s="1477"/>
      <c r="D172" s="1477"/>
      <c r="E172" s="1477"/>
      <c r="F172" s="1477"/>
      <c r="G172" s="1477"/>
      <c r="H172" s="1477"/>
      <c r="I172" s="1477"/>
      <c r="J172" s="1477"/>
      <c r="K172" s="1477"/>
      <c r="L172" s="1477"/>
    </row>
    <row r="173" spans="2:12">
      <c r="B173" s="1477"/>
      <c r="C173" s="1477"/>
      <c r="D173" s="1477"/>
      <c r="E173" s="1477"/>
      <c r="F173" s="1477"/>
      <c r="G173" s="1477"/>
      <c r="H173" s="1477"/>
      <c r="I173" s="1477"/>
      <c r="J173" s="1477"/>
      <c r="K173" s="1477"/>
      <c r="L173" s="1477"/>
    </row>
    <row r="174" spans="2:12">
      <c r="B174" s="1477"/>
      <c r="C174" s="1477"/>
      <c r="D174" s="1477"/>
      <c r="E174" s="1477"/>
      <c r="F174" s="1477"/>
      <c r="G174" s="1477"/>
      <c r="H174" s="1477"/>
      <c r="I174" s="1477"/>
      <c r="J174" s="1477"/>
      <c r="K174" s="1477"/>
      <c r="L174" s="1477"/>
    </row>
    <row r="175" spans="2:12">
      <c r="B175" s="1477"/>
      <c r="C175" s="1477"/>
      <c r="D175" s="1477"/>
      <c r="E175" s="1477"/>
      <c r="F175" s="1477"/>
      <c r="G175" s="1477"/>
      <c r="H175" s="1477"/>
      <c r="I175" s="1477"/>
      <c r="J175" s="1477"/>
      <c r="K175" s="1477"/>
      <c r="L175" s="1477"/>
    </row>
    <row r="176" spans="2:12">
      <c r="B176" s="1477"/>
      <c r="C176" s="1477"/>
      <c r="D176" s="1477"/>
      <c r="E176" s="1477"/>
      <c r="F176" s="1477"/>
      <c r="G176" s="1477"/>
      <c r="H176" s="1477"/>
      <c r="I176" s="1477"/>
      <c r="J176" s="1477"/>
      <c r="K176" s="1477"/>
      <c r="L176" s="1477"/>
    </row>
    <row r="177" spans="2:12">
      <c r="B177" s="1477"/>
      <c r="C177" s="1477"/>
      <c r="D177" s="1477"/>
      <c r="E177" s="1477"/>
      <c r="F177" s="1477"/>
      <c r="G177" s="1477"/>
      <c r="H177" s="1477"/>
      <c r="I177" s="1477"/>
      <c r="J177" s="1477"/>
      <c r="K177" s="1477"/>
      <c r="L177" s="1477"/>
    </row>
    <row r="178" spans="2:12">
      <c r="B178" s="1477"/>
      <c r="C178" s="1477"/>
      <c r="D178" s="1477"/>
      <c r="E178" s="1477"/>
      <c r="F178" s="1477"/>
      <c r="G178" s="1477"/>
      <c r="H178" s="1477"/>
      <c r="I178" s="1477"/>
      <c r="J178" s="1477"/>
      <c r="K178" s="1477"/>
      <c r="L178" s="1477"/>
    </row>
    <row r="179" spans="2:12">
      <c r="B179" s="1477"/>
      <c r="C179" s="1477"/>
      <c r="D179" s="1477"/>
      <c r="E179" s="1477"/>
      <c r="F179" s="1477"/>
      <c r="G179" s="1477"/>
      <c r="H179" s="1477"/>
      <c r="I179" s="1477"/>
      <c r="J179" s="1477"/>
      <c r="K179" s="1477"/>
      <c r="L179" s="1477"/>
    </row>
    <row r="180" spans="2:12">
      <c r="B180" s="1477"/>
      <c r="C180" s="1477"/>
      <c r="D180" s="1477"/>
      <c r="E180" s="1477"/>
      <c r="F180" s="1477"/>
      <c r="G180" s="1477"/>
      <c r="H180" s="1477"/>
      <c r="I180" s="1477"/>
      <c r="J180" s="1477"/>
      <c r="K180" s="1477"/>
      <c r="L180" s="1477"/>
    </row>
    <row r="181" spans="2:12">
      <c r="B181" s="1477"/>
      <c r="C181" s="1477"/>
      <c r="D181" s="1477"/>
      <c r="E181" s="1477"/>
      <c r="F181" s="1477"/>
      <c r="G181" s="1477"/>
      <c r="H181" s="1477"/>
      <c r="I181" s="1477"/>
      <c r="J181" s="1477"/>
      <c r="K181" s="1477"/>
      <c r="L181" s="1477"/>
    </row>
    <row r="182" spans="2:12">
      <c r="B182" s="1477"/>
      <c r="C182" s="1477"/>
      <c r="D182" s="1477"/>
      <c r="E182" s="1477"/>
      <c r="F182" s="1477"/>
      <c r="G182" s="1477"/>
      <c r="H182" s="1477"/>
      <c r="I182" s="1477"/>
      <c r="J182" s="1477"/>
      <c r="K182" s="1477"/>
      <c r="L182" s="1477"/>
    </row>
    <row r="183" spans="2:12">
      <c r="B183" s="1477"/>
      <c r="C183" s="1477"/>
      <c r="D183" s="1477"/>
      <c r="E183" s="1477"/>
      <c r="F183" s="1477"/>
      <c r="G183" s="1477"/>
      <c r="H183" s="1477"/>
      <c r="I183" s="1477"/>
      <c r="J183" s="1477"/>
      <c r="K183" s="1477"/>
      <c r="L183" s="1477"/>
    </row>
    <row r="184" spans="2:12">
      <c r="B184" s="1477"/>
      <c r="C184" s="1477"/>
      <c r="D184" s="1477"/>
      <c r="E184" s="1477"/>
      <c r="F184" s="1477"/>
      <c r="G184" s="1477"/>
      <c r="H184" s="1477"/>
      <c r="I184" s="1477"/>
      <c r="J184" s="1477"/>
      <c r="K184" s="1477"/>
      <c r="L184" s="1477"/>
    </row>
    <row r="185" spans="2:12">
      <c r="B185" s="1477"/>
      <c r="C185" s="1477"/>
      <c r="D185" s="1477"/>
      <c r="E185" s="1477"/>
      <c r="F185" s="1477"/>
      <c r="G185" s="1477"/>
      <c r="H185" s="1477"/>
      <c r="I185" s="1477"/>
      <c r="J185" s="1477"/>
      <c r="K185" s="1477"/>
      <c r="L185" s="1477"/>
    </row>
    <row r="186" spans="2:12">
      <c r="B186" s="1477"/>
      <c r="C186" s="1477"/>
      <c r="D186" s="1477"/>
      <c r="E186" s="1477"/>
      <c r="F186" s="1477"/>
      <c r="G186" s="1477"/>
      <c r="H186" s="1477"/>
      <c r="I186" s="1477"/>
      <c r="J186" s="1477"/>
      <c r="K186" s="1477"/>
      <c r="L186" s="1477"/>
    </row>
    <row r="187" spans="2:12">
      <c r="B187" s="1477"/>
      <c r="C187" s="1477"/>
      <c r="D187" s="1477"/>
      <c r="E187" s="1477"/>
      <c r="F187" s="1477"/>
      <c r="G187" s="1477"/>
      <c r="H187" s="1477"/>
      <c r="I187" s="1477"/>
      <c r="J187" s="1477"/>
      <c r="K187" s="1477"/>
      <c r="L187" s="1477"/>
    </row>
    <row r="188" spans="2:12">
      <c r="B188" s="1477"/>
      <c r="C188" s="1477"/>
      <c r="D188" s="1477"/>
      <c r="E188" s="1477"/>
      <c r="F188" s="1477"/>
      <c r="G188" s="1477"/>
      <c r="H188" s="1477"/>
      <c r="I188" s="1477"/>
      <c r="J188" s="1477"/>
      <c r="K188" s="1477"/>
      <c r="L188" s="1477"/>
    </row>
    <row r="189" spans="2:12">
      <c r="B189" s="1477"/>
      <c r="C189" s="1477"/>
      <c r="D189" s="1477"/>
      <c r="E189" s="1477"/>
      <c r="F189" s="1477"/>
      <c r="G189" s="1477"/>
      <c r="H189" s="1477"/>
      <c r="I189" s="1477"/>
      <c r="J189" s="1477"/>
      <c r="K189" s="1477"/>
      <c r="L189" s="1477"/>
    </row>
    <row r="190" spans="2:12">
      <c r="D190" s="1477"/>
      <c r="E190" s="1477"/>
      <c r="F190" s="1477"/>
      <c r="G190" s="1477"/>
      <c r="H190" s="1477"/>
      <c r="I190" s="1477"/>
      <c r="J190" s="1477"/>
      <c r="K190" s="1477"/>
      <c r="L190" s="1477"/>
    </row>
  </sheetData>
  <sheetProtection formatColumns="0" formatRows="0" selectLockedCells="1"/>
  <mergeCells count="6">
    <mergeCell ref="D33:F33"/>
    <mergeCell ref="G33:I33"/>
    <mergeCell ref="J33:L33"/>
    <mergeCell ref="M33:O33"/>
    <mergeCell ref="L2:N2"/>
    <mergeCell ref="H10:N11"/>
  </mergeCells>
  <pageMargins left="0.7" right="0.7" top="0.78740157499999996" bottom="0.78740157499999996" header="0.3" footer="0.3"/>
  <pageSetup paperSize="9"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Z372"/>
  <sheetViews>
    <sheetView topLeftCell="A3" zoomScale="80" zoomScaleNormal="80" zoomScalePageLayoutView="60" workbookViewId="0">
      <selection activeCell="C8" sqref="C8"/>
    </sheetView>
  </sheetViews>
  <sheetFormatPr baseColWidth="10" defaultRowHeight="15"/>
  <cols>
    <col min="1" max="1" width="19.5703125" style="546" customWidth="1"/>
    <col min="2" max="2" width="12.5703125" style="357" customWidth="1"/>
    <col min="3" max="3" width="35.85546875" style="357" customWidth="1"/>
    <col min="4" max="4" width="10.42578125" style="546" customWidth="1"/>
    <col min="5" max="5" width="9" style="357" customWidth="1"/>
    <col min="6" max="6" width="18.5703125" style="357" customWidth="1"/>
    <col min="7" max="12" width="18.5703125" style="357" hidden="1" customWidth="1"/>
    <col min="13" max="13" width="10.7109375" style="357" customWidth="1"/>
    <col min="14" max="14" width="10.42578125" style="357" customWidth="1"/>
    <col min="15" max="15" width="11.140625" style="357" customWidth="1"/>
    <col min="16" max="16" width="8.7109375" style="357" customWidth="1"/>
    <col min="17" max="17" width="6.5703125" style="357" customWidth="1"/>
    <col min="18" max="18" width="13.5703125" style="357" customWidth="1"/>
    <col min="19" max="19" width="9" style="546" customWidth="1"/>
    <col min="20" max="20" width="12" style="1395" customWidth="1"/>
    <col min="21" max="21" width="7.28515625" style="357" customWidth="1"/>
    <col min="22" max="22" width="10.5703125" style="357" customWidth="1"/>
    <col min="23" max="23" width="4.28515625" style="357" customWidth="1"/>
    <col min="24" max="24" width="10.42578125" style="357" customWidth="1"/>
    <col min="25" max="25" width="7.28515625" style="357" customWidth="1"/>
    <col min="26" max="26" width="9.7109375" style="357" customWidth="1"/>
    <col min="27" max="27" width="7.28515625" style="357" customWidth="1"/>
    <col min="28" max="28" width="6.42578125" style="357" customWidth="1"/>
    <col min="29" max="29" width="9.5703125" style="357" customWidth="1"/>
    <col min="30" max="30" width="13.140625" style="357" customWidth="1"/>
    <col min="31" max="31" width="7.28515625" style="357" customWidth="1"/>
    <col min="32" max="32" width="2.28515625" style="357" customWidth="1"/>
    <col min="33" max="33" width="11.28515625" style="357" customWidth="1"/>
    <col min="34" max="34" width="7.140625" style="357" customWidth="1"/>
    <col min="35" max="35" width="6.7109375" style="357" customWidth="1"/>
    <col min="36" max="36" width="7" style="357" customWidth="1"/>
    <col min="37" max="37" width="7.28515625" style="357" customWidth="1"/>
    <col min="38" max="38" width="7.140625" style="357" customWidth="1"/>
    <col min="39" max="39" width="2.7109375" style="357" customWidth="1"/>
    <col min="40" max="40" width="9.140625" style="357" customWidth="1"/>
    <col min="41" max="41" width="9.42578125" style="357" customWidth="1"/>
    <col min="42" max="42" width="6.85546875" style="357" customWidth="1"/>
    <col min="43" max="43" width="7.28515625" style="357" customWidth="1"/>
    <col min="44" max="45" width="7.140625" style="357" customWidth="1"/>
    <col min="46" max="47" width="2.85546875" style="357" customWidth="1"/>
    <col min="48" max="48" width="8.5703125" style="357" customWidth="1"/>
    <col min="49" max="49" width="7.140625" style="357" customWidth="1"/>
    <col min="50" max="50" width="8" style="357" customWidth="1"/>
    <col min="51" max="51" width="9.28515625" style="357" customWidth="1"/>
    <col min="52" max="52" width="9.140625" style="357" customWidth="1"/>
    <col min="53" max="53" width="4.140625" style="357" customWidth="1"/>
    <col min="54" max="58" width="9.42578125" style="357" customWidth="1"/>
    <col min="59" max="59" width="5.85546875" style="357" customWidth="1"/>
    <col min="60" max="60" width="50.7109375" style="357" customWidth="1"/>
    <col min="61" max="61" width="10" style="357" customWidth="1"/>
    <col min="62" max="62" width="11.7109375" style="357" customWidth="1"/>
    <col min="63" max="63" width="12" style="357" customWidth="1"/>
    <col min="64" max="64" width="27.5703125" style="357" customWidth="1"/>
    <col min="65" max="16384" width="11.42578125" style="357"/>
  </cols>
  <sheetData>
    <row r="1" spans="1:78" ht="18" customHeight="1">
      <c r="A1" s="532"/>
      <c r="B1" s="1341"/>
      <c r="C1" s="2185" t="str">
        <f>'DüV-N-Ackerbau'!C1</f>
        <v>Karl vom Land</v>
      </c>
      <c r="D1" s="2185"/>
      <c r="E1" s="2185" t="str">
        <f>'DüV-N-Ackerbau'!F1</f>
        <v>Erntejahr</v>
      </c>
      <c r="F1" s="1342"/>
      <c r="G1" s="1342"/>
      <c r="H1" s="1342"/>
      <c r="I1" s="1342"/>
      <c r="J1" s="1342"/>
      <c r="K1" s="1342"/>
      <c r="L1" s="1342"/>
      <c r="M1" s="1342"/>
      <c r="N1" s="1342"/>
      <c r="O1" s="1342"/>
      <c r="P1" s="1342"/>
      <c r="Q1" s="1342"/>
      <c r="R1" s="1342"/>
      <c r="S1" s="2361"/>
      <c r="T1" s="2584" t="s">
        <v>34</v>
      </c>
      <c r="U1" s="2585"/>
      <c r="V1" s="2183"/>
      <c r="W1" s="2184"/>
      <c r="X1" s="2559" t="s">
        <v>1142</v>
      </c>
      <c r="Y1" s="2560"/>
      <c r="Z1" s="2654" t="s">
        <v>1712</v>
      </c>
      <c r="AA1" s="2655"/>
      <c r="AB1" s="2655"/>
      <c r="AC1" s="2655"/>
      <c r="AD1" s="2655"/>
      <c r="AE1" s="2655"/>
      <c r="AF1" s="2655"/>
      <c r="AG1" s="2655"/>
      <c r="AH1" s="2655"/>
      <c r="AI1" s="2655"/>
      <c r="AJ1" s="2655"/>
      <c r="AK1" s="2655"/>
      <c r="AL1" s="2655"/>
      <c r="AM1" s="2655"/>
      <c r="AN1" s="2655"/>
      <c r="AO1" s="2655"/>
      <c r="AP1" s="2655"/>
      <c r="AQ1" s="2655"/>
      <c r="AR1" s="2655"/>
      <c r="AS1" s="2655"/>
      <c r="AT1" s="2184"/>
      <c r="AU1" s="2184"/>
      <c r="AV1" s="2541" t="s">
        <v>1310</v>
      </c>
      <c r="AW1" s="2542"/>
      <c r="AX1" s="2542"/>
      <c r="AY1" s="2542"/>
      <c r="AZ1" s="2542"/>
      <c r="BA1" s="2542"/>
      <c r="BB1" s="2542"/>
      <c r="BC1" s="2542"/>
      <c r="BD1" s="2542"/>
      <c r="BE1" s="2542"/>
      <c r="BF1" s="2543"/>
      <c r="BG1" s="2184"/>
    </row>
    <row r="2" spans="1:78" ht="26.25" customHeight="1">
      <c r="A2" s="535"/>
      <c r="B2" s="1344"/>
      <c r="C2" s="2186" t="str">
        <f>'DüV-N-Ackerbau'!C2</f>
        <v>Höfen 1</v>
      </c>
      <c r="D2" s="1344"/>
      <c r="E2" s="2186">
        <f>'DüV-N-Ackerbau'!G1</f>
        <v>2022</v>
      </c>
      <c r="F2" s="1344"/>
      <c r="G2" s="1344"/>
      <c r="H2" s="1344"/>
      <c r="I2" s="1344"/>
      <c r="J2" s="1344"/>
      <c r="K2" s="1344"/>
      <c r="L2" s="1344"/>
      <c r="M2" s="1344"/>
      <c r="N2" s="1344"/>
      <c r="O2" s="1344"/>
      <c r="P2" s="1344"/>
      <c r="Q2" s="1344"/>
      <c r="R2" s="1344"/>
      <c r="S2" s="2362"/>
      <c r="T2" s="2586" t="s">
        <v>36</v>
      </c>
      <c r="U2" s="2587"/>
      <c r="W2" s="2184"/>
      <c r="X2" s="2560"/>
      <c r="Y2" s="2560"/>
      <c r="Z2" s="2654"/>
      <c r="AA2" s="2655"/>
      <c r="AB2" s="2655"/>
      <c r="AC2" s="2655"/>
      <c r="AD2" s="2655"/>
      <c r="AE2" s="2655"/>
      <c r="AF2" s="2655"/>
      <c r="AG2" s="2655"/>
      <c r="AH2" s="2655"/>
      <c r="AI2" s="2655"/>
      <c r="AJ2" s="2655"/>
      <c r="AK2" s="2655"/>
      <c r="AL2" s="2655"/>
      <c r="AM2" s="2655"/>
      <c r="AN2" s="2655"/>
      <c r="AO2" s="2655"/>
      <c r="AP2" s="2655"/>
      <c r="AQ2" s="2655"/>
      <c r="AR2" s="2655"/>
      <c r="AS2" s="2655"/>
      <c r="AT2" s="2184"/>
      <c r="AU2" s="2184"/>
      <c r="AV2" s="2485"/>
      <c r="AW2" s="2526"/>
      <c r="AX2" s="2526"/>
      <c r="AY2" s="2526"/>
      <c r="AZ2" s="2526"/>
      <c r="BA2" s="2526"/>
      <c r="BB2" s="2526"/>
      <c r="BC2" s="2526"/>
      <c r="BD2" s="2526"/>
      <c r="BE2" s="2526"/>
      <c r="BF2" s="2486"/>
      <c r="BG2" s="2184"/>
    </row>
    <row r="3" spans="1:78" ht="16.5" customHeight="1" thickBot="1">
      <c r="A3" s="1347"/>
      <c r="B3" s="1348"/>
      <c r="C3" s="1178" t="str">
        <f>'DüV-N-Ackerbau'!C3</f>
        <v>12345 Auf dem Feld</v>
      </c>
      <c r="D3" s="1348"/>
      <c r="E3" s="1348"/>
      <c r="F3" s="1348"/>
      <c r="G3" s="1348"/>
      <c r="H3" s="1348"/>
      <c r="I3" s="1348"/>
      <c r="J3" s="1348"/>
      <c r="K3" s="1348"/>
      <c r="L3" s="1348"/>
      <c r="M3" s="1348"/>
      <c r="N3" s="1348"/>
      <c r="O3" s="1348"/>
      <c r="P3" s="1348"/>
      <c r="Q3" s="1348"/>
      <c r="R3" s="1348"/>
      <c r="S3" s="594"/>
      <c r="T3" s="594"/>
      <c r="U3" s="594"/>
      <c r="V3" s="594"/>
      <c r="W3" s="2188"/>
      <c r="X3" s="2560"/>
      <c r="Y3" s="2560"/>
      <c r="Z3" s="2656"/>
      <c r="AA3" s="2657"/>
      <c r="AB3" s="2657"/>
      <c r="AC3" s="2657"/>
      <c r="AD3" s="2657"/>
      <c r="AE3" s="2657"/>
      <c r="AF3" s="2657"/>
      <c r="AG3" s="2657"/>
      <c r="AH3" s="2657"/>
      <c r="AI3" s="2657"/>
      <c r="AJ3" s="2657"/>
      <c r="AK3" s="2657"/>
      <c r="AL3" s="2657"/>
      <c r="AM3" s="2657"/>
      <c r="AN3" s="2657"/>
      <c r="AO3" s="2657"/>
      <c r="AP3" s="2657"/>
      <c r="AQ3" s="2657"/>
      <c r="AR3" s="2657"/>
      <c r="AS3" s="2657"/>
      <c r="AT3" s="2184"/>
      <c r="AU3" s="2184"/>
      <c r="AV3" s="2485"/>
      <c r="AW3" s="2526"/>
      <c r="AX3" s="2526"/>
      <c r="AY3" s="2526"/>
      <c r="AZ3" s="2526"/>
      <c r="BA3" s="2526"/>
      <c r="BB3" s="2526"/>
      <c r="BC3" s="2526"/>
      <c r="BD3" s="2526"/>
      <c r="BE3" s="2526"/>
      <c r="BF3" s="2486"/>
      <c r="BG3" s="2184"/>
    </row>
    <row r="4" spans="1:78" ht="34.5" customHeight="1" thickBot="1">
      <c r="A4" s="2589" t="s">
        <v>1209</v>
      </c>
      <c r="B4" s="2590"/>
      <c r="C4" s="2590"/>
      <c r="D4" s="2590"/>
      <c r="E4" s="2590"/>
      <c r="F4" s="2590"/>
      <c r="G4" s="2590"/>
      <c r="H4" s="2590"/>
      <c r="I4" s="2590"/>
      <c r="J4" s="2590"/>
      <c r="K4" s="2590"/>
      <c r="L4" s="2590"/>
      <c r="M4" s="2590"/>
      <c r="N4" s="2590"/>
      <c r="O4" s="2590"/>
      <c r="P4" s="2590"/>
      <c r="Q4" s="2590"/>
      <c r="R4" s="2590"/>
      <c r="S4" s="2590"/>
      <c r="T4" s="2590"/>
      <c r="U4" s="2590"/>
      <c r="V4" s="2590"/>
      <c r="W4" s="2184"/>
      <c r="X4" s="2604" t="s">
        <v>1167</v>
      </c>
      <c r="Y4" s="2588"/>
      <c r="Z4" s="2588"/>
      <c r="AA4" s="2588"/>
      <c r="AB4" s="2588"/>
      <c r="AC4" s="2588"/>
      <c r="AD4" s="2588"/>
      <c r="AE4" s="2588"/>
      <c r="AF4" s="2588"/>
      <c r="AG4" s="2588"/>
      <c r="AH4" s="2588"/>
      <c r="AI4" s="2588"/>
      <c r="AJ4" s="2588"/>
      <c r="AK4" s="2588"/>
      <c r="AL4" s="2588"/>
      <c r="AM4" s="2588"/>
      <c r="AN4" s="2588"/>
      <c r="AO4" s="2588"/>
      <c r="AP4" s="2588"/>
      <c r="AQ4" s="2588"/>
      <c r="AR4" s="2588"/>
      <c r="AS4" s="2588"/>
      <c r="AT4" s="1350"/>
      <c r="AU4" s="2184"/>
      <c r="AV4" s="2487"/>
      <c r="AW4" s="2544"/>
      <c r="AX4" s="2544"/>
      <c r="AY4" s="2544"/>
      <c r="AZ4" s="2544"/>
      <c r="BA4" s="2544"/>
      <c r="BB4" s="2544"/>
      <c r="BC4" s="2544"/>
      <c r="BD4" s="2544"/>
      <c r="BE4" s="2544"/>
      <c r="BF4" s="2488"/>
      <c r="BG4" s="2184"/>
      <c r="BI4" s="2578" t="s">
        <v>33</v>
      </c>
      <c r="BJ4" s="2652" t="s">
        <v>1275</v>
      </c>
      <c r="BK4" s="2578" t="s">
        <v>1322</v>
      </c>
      <c r="BL4" s="2578" t="s">
        <v>1323</v>
      </c>
      <c r="BM4" s="2578" t="s">
        <v>1324</v>
      </c>
      <c r="BN4" s="2579" t="s">
        <v>1325</v>
      </c>
      <c r="BO4" s="2579" t="s">
        <v>1333</v>
      </c>
      <c r="BP4" s="2580" t="s">
        <v>323</v>
      </c>
      <c r="BQ4" s="2653" t="s">
        <v>1276</v>
      </c>
      <c r="BR4" s="2645" t="s">
        <v>11</v>
      </c>
      <c r="BT4" s="2577"/>
      <c r="BU4" s="2577"/>
      <c r="BV4" s="2578"/>
      <c r="BW4" s="2578"/>
      <c r="BX4" s="2578"/>
      <c r="BY4" s="2579"/>
      <c r="BZ4" s="2579"/>
    </row>
    <row r="5" spans="1:78" ht="54.75" customHeight="1" thickBot="1">
      <c r="A5" s="2593" t="s">
        <v>1170</v>
      </c>
      <c r="B5" s="2594"/>
      <c r="C5" s="2594"/>
      <c r="D5" s="2594"/>
      <c r="E5" s="2594"/>
      <c r="F5" s="2594"/>
      <c r="G5" s="2594"/>
      <c r="H5" s="2594"/>
      <c r="I5" s="2594"/>
      <c r="J5" s="2594"/>
      <c r="K5" s="2594"/>
      <c r="L5" s="2594"/>
      <c r="M5" s="2594"/>
      <c r="N5" s="2594"/>
      <c r="O5" s="2594"/>
      <c r="P5" s="2594"/>
      <c r="Q5" s="2594"/>
      <c r="R5" s="2594"/>
      <c r="S5" s="2594"/>
      <c r="T5" s="2594"/>
      <c r="U5" s="2594"/>
      <c r="V5" s="2594"/>
      <c r="W5" s="2189"/>
      <c r="X5" s="2605" t="s">
        <v>1168</v>
      </c>
      <c r="Y5" s="2588"/>
      <c r="Z5" s="2588"/>
      <c r="AA5" s="2588"/>
      <c r="AB5" s="2588"/>
      <c r="AC5" s="2588"/>
      <c r="AD5" s="2588"/>
      <c r="AE5" s="2588"/>
      <c r="AF5" s="2588"/>
      <c r="AG5" s="2588"/>
      <c r="AH5" s="2588"/>
      <c r="AI5" s="2588"/>
      <c r="AJ5" s="2588"/>
      <c r="AK5" s="2588"/>
      <c r="AL5" s="2588"/>
      <c r="AM5" s="2588"/>
      <c r="AN5" s="2588"/>
      <c r="AO5" s="2588"/>
      <c r="AP5" s="2588"/>
      <c r="AQ5" s="2588"/>
      <c r="AR5" s="2588"/>
      <c r="AS5" s="2588"/>
      <c r="AT5" s="1351"/>
      <c r="AU5" s="1352"/>
      <c r="AV5" s="2596" t="s">
        <v>1065</v>
      </c>
      <c r="AW5" s="2597"/>
      <c r="AX5" s="2597"/>
      <c r="AY5" s="2597"/>
      <c r="AZ5" s="2597"/>
      <c r="BA5" s="1352"/>
      <c r="BB5" s="2598" t="s">
        <v>1076</v>
      </c>
      <c r="BC5" s="2599"/>
      <c r="BD5" s="2599"/>
      <c r="BE5" s="2599"/>
      <c r="BF5" s="2600"/>
      <c r="BG5" s="1350"/>
      <c r="BH5" s="1353"/>
      <c r="BI5" s="2578"/>
      <c r="BJ5" s="2652"/>
      <c r="BK5" s="2578"/>
      <c r="BL5" s="2578"/>
      <c r="BM5" s="2578"/>
      <c r="BN5" s="2579"/>
      <c r="BO5" s="2579"/>
      <c r="BP5" s="2580"/>
      <c r="BQ5" s="2653"/>
      <c r="BR5" s="2645"/>
      <c r="BT5" s="2577"/>
      <c r="BU5" s="2577"/>
      <c r="BV5" s="2578"/>
      <c r="BW5" s="2578"/>
      <c r="BX5" s="2578"/>
      <c r="BY5" s="2579"/>
      <c r="BZ5" s="2579"/>
    </row>
    <row r="6" spans="1:78" ht="41.25" customHeight="1">
      <c r="A6" s="2433" t="s">
        <v>1075</v>
      </c>
      <c r="B6" s="2608" t="s">
        <v>562</v>
      </c>
      <c r="C6" s="2610" t="s">
        <v>1206</v>
      </c>
      <c r="D6" s="2619" t="s">
        <v>295</v>
      </c>
      <c r="E6" s="2620"/>
      <c r="F6" s="2621"/>
      <c r="G6" s="2646" t="s">
        <v>1315</v>
      </c>
      <c r="H6" s="2648" t="s">
        <v>1316</v>
      </c>
      <c r="I6" s="2648" t="s">
        <v>1317</v>
      </c>
      <c r="J6" s="2648" t="s">
        <v>1318</v>
      </c>
      <c r="K6" s="2648" t="s">
        <v>1319</v>
      </c>
      <c r="L6" s="2642" t="s">
        <v>1320</v>
      </c>
      <c r="M6" s="2619" t="s">
        <v>296</v>
      </c>
      <c r="N6" s="2620"/>
      <c r="O6" s="2621"/>
      <c r="P6" s="2551" t="s">
        <v>1757</v>
      </c>
      <c r="Q6" s="2622" t="s">
        <v>163</v>
      </c>
      <c r="R6" s="2606" t="s">
        <v>1178</v>
      </c>
      <c r="S6" s="2640" t="s">
        <v>1013</v>
      </c>
      <c r="T6" s="2641"/>
      <c r="U6" s="2650" t="s">
        <v>1133</v>
      </c>
      <c r="V6" s="2651"/>
      <c r="W6" s="1355"/>
      <c r="X6" s="2501" t="s">
        <v>1134</v>
      </c>
      <c r="Y6" s="2515" t="s">
        <v>623</v>
      </c>
      <c r="Z6" s="2612" t="s">
        <v>1425</v>
      </c>
      <c r="AA6" s="2504"/>
      <c r="AB6" s="2504"/>
      <c r="AC6" s="2504"/>
      <c r="AD6" s="2504"/>
      <c r="AE6" s="2504"/>
      <c r="AF6" s="525"/>
      <c r="AG6" s="2612" t="s">
        <v>1426</v>
      </c>
      <c r="AH6" s="2504"/>
      <c r="AI6" s="2504"/>
      <c r="AJ6" s="2504"/>
      <c r="AK6" s="2504"/>
      <c r="AL6" s="2504"/>
      <c r="AM6" s="2099"/>
      <c r="AN6" s="2612" t="s">
        <v>1427</v>
      </c>
      <c r="AO6" s="2504"/>
      <c r="AP6" s="2504"/>
      <c r="AQ6" s="2504"/>
      <c r="AR6" s="2504"/>
      <c r="AS6" s="2504"/>
      <c r="AT6" s="2189"/>
      <c r="AU6" s="2189"/>
      <c r="AV6" s="2588"/>
      <c r="AW6" s="2588"/>
      <c r="AX6" s="2588"/>
      <c r="AY6" s="2588"/>
      <c r="AZ6" s="2588"/>
      <c r="BA6" s="2189"/>
      <c r="BB6" s="2601"/>
      <c r="BC6" s="2602"/>
      <c r="BD6" s="2602"/>
      <c r="BE6" s="2602"/>
      <c r="BF6" s="2603"/>
      <c r="BG6" s="1350"/>
      <c r="BH6" s="1356" t="s">
        <v>1169</v>
      </c>
      <c r="BI6" s="2578"/>
      <c r="BJ6" s="2652"/>
      <c r="BK6" s="2578"/>
      <c r="BL6" s="2578"/>
      <c r="BM6" s="2578"/>
      <c r="BN6" s="2579"/>
      <c r="BO6" s="2579"/>
      <c r="BP6" s="2580"/>
      <c r="BQ6" s="2653"/>
      <c r="BR6" s="2645"/>
      <c r="BT6" s="2577"/>
      <c r="BU6" s="2577"/>
      <c r="BV6" s="2578"/>
      <c r="BW6" s="2578"/>
      <c r="BX6" s="2578"/>
      <c r="BY6" s="2579"/>
      <c r="BZ6" s="2579"/>
    </row>
    <row r="7" spans="1:78" s="543" customFormat="1" ht="49.5" customHeight="1" thickBot="1">
      <c r="A7" s="2434"/>
      <c r="B7" s="2609"/>
      <c r="C7" s="2611"/>
      <c r="D7" s="2260" t="s">
        <v>85</v>
      </c>
      <c r="E7" s="1523" t="s">
        <v>11</v>
      </c>
      <c r="F7" s="1521" t="s">
        <v>1761</v>
      </c>
      <c r="G7" s="2647"/>
      <c r="H7" s="2649"/>
      <c r="I7" s="2649"/>
      <c r="J7" s="2649"/>
      <c r="K7" s="2649"/>
      <c r="L7" s="2643"/>
      <c r="M7" s="2242" t="s">
        <v>85</v>
      </c>
      <c r="N7" s="1360" t="s">
        <v>301</v>
      </c>
      <c r="O7" s="1361" t="s">
        <v>299</v>
      </c>
      <c r="P7" s="2552"/>
      <c r="Q7" s="2623"/>
      <c r="R7" s="2607"/>
      <c r="S7" s="1520" t="s">
        <v>322</v>
      </c>
      <c r="T7" s="2209" t="s">
        <v>604</v>
      </c>
      <c r="U7" s="2208" t="s">
        <v>599</v>
      </c>
      <c r="V7" s="2209" t="s">
        <v>604</v>
      </c>
      <c r="W7" s="1362"/>
      <c r="X7" s="2502"/>
      <c r="Y7" s="2490"/>
      <c r="Z7" s="2182" t="s">
        <v>839</v>
      </c>
      <c r="AA7" s="2180" t="s">
        <v>819</v>
      </c>
      <c r="AB7" s="2190" t="s">
        <v>33</v>
      </c>
      <c r="AC7" s="2181" t="s">
        <v>1062</v>
      </c>
      <c r="AD7" s="2190" t="s">
        <v>1063</v>
      </c>
      <c r="AE7" s="2181" t="s">
        <v>1064</v>
      </c>
      <c r="AF7" s="1421"/>
      <c r="AG7" s="2182" t="s">
        <v>839</v>
      </c>
      <c r="AH7" s="2180" t="s">
        <v>819</v>
      </c>
      <c r="AI7" s="2190" t="s">
        <v>33</v>
      </c>
      <c r="AJ7" s="2181" t="s">
        <v>1062</v>
      </c>
      <c r="AK7" s="2190" t="s">
        <v>1063</v>
      </c>
      <c r="AL7" s="2181" t="s">
        <v>1064</v>
      </c>
      <c r="AM7" s="279"/>
      <c r="AN7" s="2182" t="s">
        <v>839</v>
      </c>
      <c r="AO7" s="2180" t="s">
        <v>819</v>
      </c>
      <c r="AP7" s="2190" t="s">
        <v>33</v>
      </c>
      <c r="AQ7" s="2181" t="s">
        <v>1062</v>
      </c>
      <c r="AR7" s="2190" t="s">
        <v>1063</v>
      </c>
      <c r="AS7" s="2181" t="s">
        <v>1064</v>
      </c>
      <c r="AT7" s="1355"/>
      <c r="AU7" s="1355"/>
      <c r="AV7" s="1363" t="s">
        <v>1080</v>
      </c>
      <c r="AW7" s="2187" t="s">
        <v>1066</v>
      </c>
      <c r="AX7" s="2187" t="s">
        <v>1067</v>
      </c>
      <c r="AY7" s="1364" t="s">
        <v>1241</v>
      </c>
      <c r="AZ7" s="2187" t="s">
        <v>284</v>
      </c>
      <c r="BA7" s="1355"/>
      <c r="BB7" s="1821" t="s">
        <v>1080</v>
      </c>
      <c r="BC7" s="1822" t="s">
        <v>1307</v>
      </c>
      <c r="BD7" s="1822" t="s">
        <v>1308</v>
      </c>
      <c r="BE7" s="1364" t="s">
        <v>1241</v>
      </c>
      <c r="BF7" s="2187" t="s">
        <v>284</v>
      </c>
      <c r="BG7" s="1355"/>
      <c r="BH7" s="1365" t="s">
        <v>31</v>
      </c>
      <c r="BI7" s="1365">
        <v>0</v>
      </c>
      <c r="BJ7" s="1421">
        <v>0</v>
      </c>
      <c r="BL7" s="1354"/>
      <c r="BM7" s="1359"/>
      <c r="BN7" s="1366"/>
      <c r="BO7" s="1354"/>
      <c r="BP7" s="1367"/>
      <c r="BQ7" s="1357">
        <v>0</v>
      </c>
      <c r="BR7" s="1365">
        <v>0</v>
      </c>
    </row>
    <row r="8" spans="1:78" ht="23.25" customHeight="1">
      <c r="A8" s="513" t="s">
        <v>1140</v>
      </c>
      <c r="B8" s="1698">
        <v>0</v>
      </c>
      <c r="C8" s="1526" t="s">
        <v>31</v>
      </c>
      <c r="D8" s="1368">
        <f t="shared" ref="D8:D52" si="0">VLOOKUP(C8,BH$7:BR$217,2,FALSE)</f>
        <v>0</v>
      </c>
      <c r="E8" s="2299">
        <f t="shared" ref="E8:E52" si="1">VLOOKUP(C8,BH$7:BR$217,11,FALSE)</f>
        <v>0</v>
      </c>
      <c r="F8" s="1369">
        <f t="shared" ref="F8:F52" si="2">IF(B8=0,0,IF(OR(C8="Zweitfrucht-Ackergras",C8="Zweitfrucht-Kleegras",C8="Zweitfrucht-Klee",C8="Zweitfrucht-Mais",C8="Zweitfrucht-Hirse",C8="Zweitfrucht-Grassamen (Einj. W-gras)"),D8*E8/6.25,VLOOKUP(C8,$BH$7:$BR$217,3,FALSE)))</f>
        <v>0</v>
      </c>
      <c r="G8" s="2345">
        <f>M8-D8</f>
        <v>0</v>
      </c>
      <c r="H8" s="2333">
        <f>IF(G8=0,0,G8*100/D8)</f>
        <v>0</v>
      </c>
      <c r="I8" s="2333">
        <f t="shared" ref="I8:I52" si="3">VLOOKUP(C8,BH$4:BR$217,4,FALSE)</f>
        <v>0</v>
      </c>
      <c r="J8" s="2333">
        <f t="shared" ref="J8:J52" si="4">VLOOKUP(C8,BH$4:BR$217,5,FALSE)</f>
        <v>0</v>
      </c>
      <c r="K8" s="2333">
        <f t="shared" ref="K8:K52" si="5">VLOOKUP(C8,BH$4:BR$217,6,FALSE)</f>
        <v>0</v>
      </c>
      <c r="L8" s="2333">
        <f>IF(I8=0,0,IF(H8&gt;0,ROUNDDOWN(H8/I8,0)*J8,IF(H8&lt;=0,ROUNDDOWN(H8/I8,0)*K8,IF(G8&gt;0,G8*J8/F8,K8*G8/0))))</f>
        <v>0</v>
      </c>
      <c r="M8" s="1701">
        <v>0</v>
      </c>
      <c r="N8" s="1499">
        <v>0</v>
      </c>
      <c r="O8" s="1370">
        <f>IF(OR(C8="Zweitfrucht-Ackergras",C8="Zweitfrucht-Kleegras",C8="Zweitfrucht-Klee",C8="Zweitfrucht-Mais",C8="Zweitfrucht-Hirse",C8="Zweitfrucht-Grassamen (Einj. W-gras)"),M8*N8/6.25,VLOOKUP(C8,$BH$7:$BR$217,3,FALSE))</f>
        <v>0</v>
      </c>
      <c r="P8" s="1309">
        <v>0</v>
      </c>
      <c r="Q8" s="2346">
        <f>P8*O8/100</f>
        <v>0</v>
      </c>
      <c r="R8" s="2206">
        <v>0</v>
      </c>
      <c r="S8" s="2230">
        <f>IF(O8+L8-Q8-R8&lt;0,0,O8+L8-Q8-R8)</f>
        <v>0</v>
      </c>
      <c r="T8" s="2212">
        <f>IF(S8&lt;0,0,S8*B8)</f>
        <v>0</v>
      </c>
      <c r="U8" s="2215">
        <f t="shared" ref="U8:U52" si="6">M8*VLOOKUP(C8,BH$7:BR$217,10,FALSE)</f>
        <v>0</v>
      </c>
      <c r="V8" s="2212">
        <f t="shared" ref="V8:V52" si="7">B8*U8</f>
        <v>0</v>
      </c>
      <c r="W8"/>
      <c r="X8" s="1281" t="str">
        <f t="shared" ref="X8:X52" si="8">A8</f>
        <v>Fläche eins</v>
      </c>
      <c r="Y8" s="2087" t="str">
        <f t="shared" ref="Y8:Y52" si="9">C8</f>
        <v>keine</v>
      </c>
      <c r="Z8" s="1329"/>
      <c r="AA8" s="1330" t="s">
        <v>795</v>
      </c>
      <c r="AB8" s="1424">
        <v>0</v>
      </c>
      <c r="AC8" s="1033">
        <f>VLOOKUP(AA8,Düngemittel!$B$6:$E$64,2,FALSE)*(VLOOKUP(AA8,Düngemittel!$B$6:$E$64,3,FALSE))/100*AB8</f>
        <v>0</v>
      </c>
      <c r="AD8" s="1033">
        <f>VLOOKUP(AA8,Düngemittel!$B$6:$E$64,2,FALSE)*AB8</f>
        <v>0</v>
      </c>
      <c r="AE8" s="1033">
        <f>VLOOKUP(AA8,Düngemittel!$B$6:$E$64,4,FALSE)*AB8</f>
        <v>0</v>
      </c>
      <c r="AF8" s="92"/>
      <c r="AG8" s="1329"/>
      <c r="AH8" s="1330" t="s">
        <v>795</v>
      </c>
      <c r="AI8" s="1424">
        <v>0</v>
      </c>
      <c r="AJ8" s="1033">
        <f>VLOOKUP(AH8,Düngemittel!$B$6:$E$64,2,FALSE)*(VLOOKUP(AH8,Düngemittel!$B$6:$E$64,3,FALSE))/100*AI8</f>
        <v>0</v>
      </c>
      <c r="AK8" s="1033">
        <f>VLOOKUP(AH8,Düngemittel!$B$6:$E$64,2,FALSE)*AI8</f>
        <v>0</v>
      </c>
      <c r="AL8" s="1033">
        <f>VLOOKUP(AH8,Düngemittel!$B$6:$E$64,4,FALSE)*AI8</f>
        <v>0</v>
      </c>
      <c r="AM8" s="92"/>
      <c r="AN8" s="1329"/>
      <c r="AO8" s="1330" t="s">
        <v>795</v>
      </c>
      <c r="AP8" s="1424">
        <v>0</v>
      </c>
      <c r="AQ8" s="1033">
        <f>VLOOKUP(AO8,Düngemittel!$B$6:$E$64,2,FALSE)*(VLOOKUP(AO8,Düngemittel!$B$6:$E$64,3,FALSE))/100*AP8</f>
        <v>0</v>
      </c>
      <c r="AR8" s="1033">
        <f>VLOOKUP(AO8,Düngemittel!$B$6:$E$64,2,FALSE)*AP8</f>
        <v>0</v>
      </c>
      <c r="AS8" s="1033">
        <f>VLOOKUP(AO8,Düngemittel!$B$6:$E$64,4,FALSE)*AP8</f>
        <v>0</v>
      </c>
      <c r="AT8" s="1371"/>
      <c r="AU8" s="1371"/>
      <c r="AV8" s="1372">
        <f>IF(AC8&lt;AD8,0,AC8)+IF(AJ8&lt;AK8,0,AJ8)+IF(AQ8&lt;AR8,0,AQ8)</f>
        <v>0</v>
      </c>
      <c r="AW8" s="1373">
        <f>SUM(AC8+AJ8+AQ8)</f>
        <v>0</v>
      </c>
      <c r="AX8" s="1374">
        <f>SUM(AD8+AK8+AR8)</f>
        <v>0</v>
      </c>
      <c r="AY8" s="1375">
        <f>IF(AC8&lt;AD8,AD8,0)+IF(AJ8&lt;AK8,AK8,0)+IF(AQ8&lt;AR8,AR8,0)</f>
        <v>0</v>
      </c>
      <c r="AZ8" s="1373">
        <f>SUM(AE8+AL8+AS8)</f>
        <v>0</v>
      </c>
      <c r="BA8" s="1376"/>
      <c r="BB8" s="1372">
        <f>AV8*$B8</f>
        <v>0</v>
      </c>
      <c r="BC8" s="1372">
        <f t="shared" ref="BC8:BF23" si="10">AW8*$B8</f>
        <v>0</v>
      </c>
      <c r="BD8" s="1372">
        <f t="shared" si="10"/>
        <v>0</v>
      </c>
      <c r="BE8" s="1816">
        <f t="shared" si="10"/>
        <v>0</v>
      </c>
      <c r="BF8" s="1372">
        <f t="shared" si="10"/>
        <v>0</v>
      </c>
      <c r="BG8" s="1377"/>
      <c r="BH8" s="1378" t="s">
        <v>1174</v>
      </c>
      <c r="BI8" s="1357">
        <v>40</v>
      </c>
      <c r="BJ8" s="1421">
        <v>0</v>
      </c>
      <c r="BL8" s="2323"/>
      <c r="BQ8" s="1379">
        <v>0.8</v>
      </c>
      <c r="BR8" s="1357">
        <v>16.600000000000001</v>
      </c>
    </row>
    <row r="9" spans="1:78" ht="23.25" customHeight="1">
      <c r="A9" s="468" t="s">
        <v>567</v>
      </c>
      <c r="B9" s="1699">
        <v>0</v>
      </c>
      <c r="C9" s="1527" t="s">
        <v>31</v>
      </c>
      <c r="D9" s="1380">
        <f t="shared" si="0"/>
        <v>0</v>
      </c>
      <c r="E9" s="2342">
        <f t="shared" si="1"/>
        <v>0</v>
      </c>
      <c r="F9" s="1381">
        <f t="shared" si="2"/>
        <v>0</v>
      </c>
      <c r="G9" s="2347">
        <f t="shared" ref="G9:G52" si="11">M9-D9</f>
        <v>0</v>
      </c>
      <c r="H9" s="1928">
        <f t="shared" ref="H9:H52" si="12">IF(G9=0,0,G9*100/D9)</f>
        <v>0</v>
      </c>
      <c r="I9" s="1928">
        <f t="shared" si="3"/>
        <v>0</v>
      </c>
      <c r="J9" s="1928">
        <f t="shared" si="4"/>
        <v>0</v>
      </c>
      <c r="K9" s="1928">
        <f t="shared" si="5"/>
        <v>0</v>
      </c>
      <c r="L9" s="1928">
        <f t="shared" ref="L9:L52" si="13">IF(I9=0,0,IF(H9&gt;0,ROUNDDOWN(H9/I9,0)*J9,IF(H9&lt;=0,ROUNDDOWN(H9/I9,0)*K9,IF(G9&gt;0,G9*J9/F9,K9*G9/0))))</f>
        <v>0</v>
      </c>
      <c r="M9" s="1702">
        <v>0</v>
      </c>
      <c r="N9" s="1424">
        <v>0</v>
      </c>
      <c r="O9" s="1370">
        <f t="shared" ref="O9:O52" si="14">IF(B9=0,0,IF(OR(C9="Zweitfrucht-Ackergras",C9="Zweitfrucht-Kleegras",C9="Zweitfrucht-Klee",C9="Zweitfrucht-Mais",C9="Zweitfrucht-Hirse",C9="Zweitfrucht-Grassamen (Einj. W-gras)"),D9*E9/6.25,VLOOKUP(C9,$BH$7:$BR$217,3,FALSE)))</f>
        <v>0</v>
      </c>
      <c r="P9" s="590">
        <v>0</v>
      </c>
      <c r="Q9" s="2300">
        <f t="shared" ref="Q9:Q52" si="15">P9*O9/100</f>
        <v>0</v>
      </c>
      <c r="R9" s="2207">
        <v>0</v>
      </c>
      <c r="S9" s="2231">
        <f t="shared" ref="S9:S52" si="16">IF(O9+L9-Q9-R9&lt;0,0,O9+L9-Q9-R9)</f>
        <v>0</v>
      </c>
      <c r="T9" s="2213">
        <f t="shared" ref="T9:T52" si="17">IF(S9&lt;0,0,S9*B9)</f>
        <v>0</v>
      </c>
      <c r="U9" s="2216">
        <f t="shared" si="6"/>
        <v>0</v>
      </c>
      <c r="V9" s="2213">
        <f t="shared" si="7"/>
        <v>0</v>
      </c>
      <c r="W9"/>
      <c r="X9" s="1281" t="str">
        <f t="shared" si="8"/>
        <v>Schlag 2</v>
      </c>
      <c r="Y9" s="2087" t="str">
        <f t="shared" si="9"/>
        <v>keine</v>
      </c>
      <c r="Z9" s="1329"/>
      <c r="AA9" s="1330" t="s">
        <v>795</v>
      </c>
      <c r="AB9" s="1424">
        <v>0</v>
      </c>
      <c r="AC9" s="1033">
        <f>VLOOKUP(AA9,Düngemittel!$B$6:$E$64,2,FALSE)*(VLOOKUP(AA9,Düngemittel!$B$6:$E$64,3,FALSE))/100*AB9</f>
        <v>0</v>
      </c>
      <c r="AD9" s="1033">
        <f>VLOOKUP(AA9,Düngemittel!$B$6:$E$64,2,FALSE)*AB9</f>
        <v>0</v>
      </c>
      <c r="AE9" s="1033">
        <f>VLOOKUP(AA9,Düngemittel!$B$6:$E$64,4,FALSE)*AB9</f>
        <v>0</v>
      </c>
      <c r="AF9" s="2179"/>
      <c r="AG9" s="1329"/>
      <c r="AH9" s="1330" t="s">
        <v>795</v>
      </c>
      <c r="AI9" s="1424">
        <v>0</v>
      </c>
      <c r="AJ9" s="1033">
        <f>VLOOKUP(AH9,Düngemittel!$B$6:$E$64,2,FALSE)*(VLOOKUP(AH9,Düngemittel!$B$6:$E$64,3,FALSE))/100*AI9</f>
        <v>0</v>
      </c>
      <c r="AK9" s="1033">
        <f>VLOOKUP(AH9,Düngemittel!$B$6:$E$64,2,FALSE)*AI9</f>
        <v>0</v>
      </c>
      <c r="AL9" s="1033">
        <f>VLOOKUP(AH9,Düngemittel!$B$6:$E$64,4,FALSE)*AI9</f>
        <v>0</v>
      </c>
      <c r="AM9" s="2179"/>
      <c r="AN9" s="1329"/>
      <c r="AO9" s="1330" t="s">
        <v>795</v>
      </c>
      <c r="AP9" s="1424">
        <v>0</v>
      </c>
      <c r="AQ9" s="1033">
        <f>VLOOKUP(AO9,Düngemittel!$B$6:$E$64,2,FALSE)*(VLOOKUP(AO9,Düngemittel!$B$6:$E$64,3,FALSE))/100*AP9</f>
        <v>0</v>
      </c>
      <c r="AR9" s="1033">
        <f>VLOOKUP(AO9,Düngemittel!$B$6:$E$64,2,FALSE)*AP9</f>
        <v>0</v>
      </c>
      <c r="AS9" s="1033">
        <f>VLOOKUP(AO9,Düngemittel!$B$6:$E$64,4,FALSE)*AP9</f>
        <v>0</v>
      </c>
      <c r="AT9" s="1371"/>
      <c r="AU9" s="1371"/>
      <c r="AV9" s="1372">
        <f t="shared" ref="AV9:AV52" si="18">IF(AC9&lt;AD9,0,AC9)+IF(AJ9&lt;AK9,0,AJ9)+IF(AQ9&lt;AR9,0,AQ9)</f>
        <v>0</v>
      </c>
      <c r="AW9" s="1373">
        <f t="shared" ref="AW9:AW52" si="19">SUM(AC9+AJ9+AQ9)</f>
        <v>0</v>
      </c>
      <c r="AX9" s="1374">
        <f t="shared" ref="AX9:AX52" si="20">SUM(AD9+AK9+AR9)</f>
        <v>0</v>
      </c>
      <c r="AY9" s="1375">
        <f t="shared" ref="AY9:AY52" si="21">IF(AC9&lt;AD9,AD9,0)+IF(AJ9&lt;AK9,AK9,0)+IF(AQ9&lt;AR9,AR9,0)</f>
        <v>0</v>
      </c>
      <c r="AZ9" s="1373">
        <f t="shared" ref="AZ9:AZ52" si="22">SUM(AE9+AL9+AS9)</f>
        <v>0</v>
      </c>
      <c r="BA9" s="1376"/>
      <c r="BB9" s="1372">
        <f t="shared" ref="BB9:BF52" si="23">AV9*$B9</f>
        <v>0</v>
      </c>
      <c r="BC9" s="1372">
        <f t="shared" si="10"/>
        <v>0</v>
      </c>
      <c r="BD9" s="1372">
        <f t="shared" si="10"/>
        <v>0</v>
      </c>
      <c r="BE9" s="1816">
        <f t="shared" si="10"/>
        <v>0</v>
      </c>
      <c r="BF9" s="1372">
        <f t="shared" si="10"/>
        <v>0</v>
      </c>
      <c r="BG9" s="1377"/>
      <c r="BH9" s="1378" t="s">
        <v>1175</v>
      </c>
      <c r="BI9" s="1357">
        <v>40</v>
      </c>
      <c r="BJ9" s="1421">
        <v>0</v>
      </c>
      <c r="BL9" s="1354"/>
      <c r="BQ9" s="1357">
        <v>0.75</v>
      </c>
      <c r="BR9" s="1357">
        <v>18.2</v>
      </c>
      <c r="BT9" s="1354"/>
      <c r="BU9" s="1359" t="s">
        <v>84</v>
      </c>
      <c r="BV9" s="1366"/>
    </row>
    <row r="10" spans="1:78" ht="23.25" customHeight="1">
      <c r="A10" s="468" t="s">
        <v>564</v>
      </c>
      <c r="B10" s="1699">
        <v>0</v>
      </c>
      <c r="C10" s="1527" t="s">
        <v>31</v>
      </c>
      <c r="D10" s="1380">
        <f t="shared" si="0"/>
        <v>0</v>
      </c>
      <c r="E10" s="2342">
        <f t="shared" si="1"/>
        <v>0</v>
      </c>
      <c r="F10" s="1381">
        <f t="shared" si="2"/>
        <v>0</v>
      </c>
      <c r="G10" s="2347">
        <f t="shared" si="11"/>
        <v>0</v>
      </c>
      <c r="H10" s="1928">
        <f t="shared" si="12"/>
        <v>0</v>
      </c>
      <c r="I10" s="1928">
        <f t="shared" si="3"/>
        <v>0</v>
      </c>
      <c r="J10" s="1928">
        <f t="shared" si="4"/>
        <v>0</v>
      </c>
      <c r="K10" s="1928">
        <f t="shared" si="5"/>
        <v>0</v>
      </c>
      <c r="L10" s="1928">
        <f t="shared" si="13"/>
        <v>0</v>
      </c>
      <c r="M10" s="1702">
        <v>0</v>
      </c>
      <c r="N10" s="1424">
        <v>0</v>
      </c>
      <c r="O10" s="1370">
        <f t="shared" si="14"/>
        <v>0</v>
      </c>
      <c r="P10" s="590">
        <v>0</v>
      </c>
      <c r="Q10" s="2300">
        <f t="shared" si="15"/>
        <v>0</v>
      </c>
      <c r="R10" s="2207">
        <v>0</v>
      </c>
      <c r="S10" s="2231">
        <f t="shared" si="16"/>
        <v>0</v>
      </c>
      <c r="T10" s="2213">
        <f t="shared" si="17"/>
        <v>0</v>
      </c>
      <c r="U10" s="2216">
        <f t="shared" si="6"/>
        <v>0</v>
      </c>
      <c r="V10" s="2213">
        <f t="shared" si="7"/>
        <v>0</v>
      </c>
      <c r="W10"/>
      <c r="X10" s="1281" t="str">
        <f t="shared" si="8"/>
        <v>Fläche 3</v>
      </c>
      <c r="Y10" s="2087" t="str">
        <f t="shared" si="9"/>
        <v>keine</v>
      </c>
      <c r="Z10" s="1329"/>
      <c r="AA10" s="1330" t="s">
        <v>795</v>
      </c>
      <c r="AB10" s="1424">
        <v>0</v>
      </c>
      <c r="AC10" s="1033">
        <f>VLOOKUP(AA10,Düngemittel!$B$6:$E$64,2,FALSE)*(VLOOKUP(AA10,Düngemittel!$B$6:$E$64,3,FALSE))/100*AB10</f>
        <v>0</v>
      </c>
      <c r="AD10" s="1033">
        <f>VLOOKUP(AA10,Düngemittel!$B$6:$E$64,2,FALSE)*AB10</f>
        <v>0</v>
      </c>
      <c r="AE10" s="1033">
        <f>VLOOKUP(AA10,Düngemittel!$B$6:$E$64,4,FALSE)*AB10</f>
        <v>0</v>
      </c>
      <c r="AF10" s="2179"/>
      <c r="AG10" s="1329"/>
      <c r="AH10" s="1330" t="s">
        <v>795</v>
      </c>
      <c r="AI10" s="1424">
        <v>0</v>
      </c>
      <c r="AJ10" s="1033">
        <f>VLOOKUP(AH10,Düngemittel!$B$6:$E$64,2,FALSE)*(VLOOKUP(AH10,Düngemittel!$B$6:$E$64,3,FALSE))/100*AI10</f>
        <v>0</v>
      </c>
      <c r="AK10" s="1033">
        <f>VLOOKUP(AH10,Düngemittel!$B$6:$E$64,2,FALSE)*AI10</f>
        <v>0</v>
      </c>
      <c r="AL10" s="1033">
        <f>VLOOKUP(AH10,Düngemittel!$B$6:$E$64,4,FALSE)*AI10</f>
        <v>0</v>
      </c>
      <c r="AM10" s="2179"/>
      <c r="AN10" s="1329"/>
      <c r="AO10" s="1330" t="s">
        <v>795</v>
      </c>
      <c r="AP10" s="1424">
        <v>0</v>
      </c>
      <c r="AQ10" s="1033">
        <f>VLOOKUP(AO10,Düngemittel!$B$6:$E$64,2,FALSE)*(VLOOKUP(AO10,Düngemittel!$B$6:$E$64,3,FALSE))/100*AP10</f>
        <v>0</v>
      </c>
      <c r="AR10" s="1033">
        <f>VLOOKUP(AO10,Düngemittel!$B$6:$E$64,2,FALSE)*AP10</f>
        <v>0</v>
      </c>
      <c r="AS10" s="1033">
        <f>VLOOKUP(AO10,Düngemittel!$B$6:$E$64,4,FALSE)*AP10</f>
        <v>0</v>
      </c>
      <c r="AT10" s="1371"/>
      <c r="AU10" s="1371"/>
      <c r="AV10" s="1372">
        <f t="shared" si="18"/>
        <v>0</v>
      </c>
      <c r="AW10" s="1373">
        <f t="shared" si="19"/>
        <v>0</v>
      </c>
      <c r="AX10" s="1374">
        <f t="shared" si="20"/>
        <v>0</v>
      </c>
      <c r="AY10" s="1375">
        <f t="shared" si="21"/>
        <v>0</v>
      </c>
      <c r="AZ10" s="1373">
        <f t="shared" si="22"/>
        <v>0</v>
      </c>
      <c r="BA10" s="1376"/>
      <c r="BB10" s="1372">
        <f t="shared" si="23"/>
        <v>0</v>
      </c>
      <c r="BC10" s="1372">
        <f t="shared" si="10"/>
        <v>0</v>
      </c>
      <c r="BD10" s="1372">
        <f t="shared" si="10"/>
        <v>0</v>
      </c>
      <c r="BE10" s="1816">
        <f t="shared" si="10"/>
        <v>0</v>
      </c>
      <c r="BF10" s="1372">
        <f t="shared" si="10"/>
        <v>0</v>
      </c>
      <c r="BG10" s="1377"/>
      <c r="BH10" s="1378" t="s">
        <v>1176</v>
      </c>
      <c r="BI10" s="1357">
        <v>40</v>
      </c>
      <c r="BJ10" s="1421">
        <v>0</v>
      </c>
      <c r="BL10" s="1354"/>
      <c r="BQ10" s="1357">
        <v>0.7</v>
      </c>
      <c r="BR10" s="1357">
        <v>20.5</v>
      </c>
      <c r="BT10" s="1354"/>
      <c r="BU10" s="1358" t="s">
        <v>90</v>
      </c>
      <c r="BV10" s="1366">
        <v>0</v>
      </c>
    </row>
    <row r="11" spans="1:78" ht="23.25" customHeight="1">
      <c r="A11" s="468">
        <v>4</v>
      </c>
      <c r="B11" s="1699">
        <v>0</v>
      </c>
      <c r="C11" s="1527" t="s">
        <v>31</v>
      </c>
      <c r="D11" s="1380">
        <f t="shared" si="0"/>
        <v>0</v>
      </c>
      <c r="E11" s="2342">
        <f t="shared" si="1"/>
        <v>0</v>
      </c>
      <c r="F11" s="1381">
        <f t="shared" si="2"/>
        <v>0</v>
      </c>
      <c r="G11" s="2347">
        <f t="shared" si="11"/>
        <v>0</v>
      </c>
      <c r="H11" s="1928">
        <f t="shared" si="12"/>
        <v>0</v>
      </c>
      <c r="I11" s="1928">
        <f t="shared" si="3"/>
        <v>0</v>
      </c>
      <c r="J11" s="1928">
        <f t="shared" si="4"/>
        <v>0</v>
      </c>
      <c r="K11" s="1928">
        <f t="shared" si="5"/>
        <v>0</v>
      </c>
      <c r="L11" s="1928">
        <f t="shared" si="13"/>
        <v>0</v>
      </c>
      <c r="M11" s="1702">
        <v>0</v>
      </c>
      <c r="N11" s="1424">
        <v>0</v>
      </c>
      <c r="O11" s="1370">
        <f t="shared" si="14"/>
        <v>0</v>
      </c>
      <c r="P11" s="590">
        <v>0</v>
      </c>
      <c r="Q11" s="2300">
        <f t="shared" si="15"/>
        <v>0</v>
      </c>
      <c r="R11" s="2207">
        <v>0</v>
      </c>
      <c r="S11" s="2231">
        <f t="shared" si="16"/>
        <v>0</v>
      </c>
      <c r="T11" s="2213">
        <f t="shared" si="17"/>
        <v>0</v>
      </c>
      <c r="U11" s="2216">
        <f t="shared" si="6"/>
        <v>0</v>
      </c>
      <c r="V11" s="2213">
        <f t="shared" si="7"/>
        <v>0</v>
      </c>
      <c r="W11"/>
      <c r="X11" s="1281">
        <f t="shared" si="8"/>
        <v>4</v>
      </c>
      <c r="Y11" s="2087" t="str">
        <f t="shared" si="9"/>
        <v>keine</v>
      </c>
      <c r="Z11" s="1329"/>
      <c r="AA11" s="1330" t="s">
        <v>795</v>
      </c>
      <c r="AB11" s="1424">
        <v>0</v>
      </c>
      <c r="AC11" s="1033">
        <f>VLOOKUP(AA11,Düngemittel!$B$6:$E$64,2,FALSE)*(VLOOKUP(AA11,Düngemittel!$B$6:$E$64,3,FALSE))/100*AB11</f>
        <v>0</v>
      </c>
      <c r="AD11" s="1033">
        <f>VLOOKUP(AA11,Düngemittel!$B$6:$E$64,2,FALSE)*AB11</f>
        <v>0</v>
      </c>
      <c r="AE11" s="1033">
        <f>VLOOKUP(AA11,Düngemittel!$B$6:$E$64,4,FALSE)*AB11</f>
        <v>0</v>
      </c>
      <c r="AF11" s="2179"/>
      <c r="AG11" s="1329"/>
      <c r="AH11" s="1330" t="s">
        <v>795</v>
      </c>
      <c r="AI11" s="1424">
        <v>0</v>
      </c>
      <c r="AJ11" s="1033">
        <f>VLOOKUP(AH11,Düngemittel!$B$6:$E$64,2,FALSE)*(VLOOKUP(AH11,Düngemittel!$B$6:$E$64,3,FALSE))/100*AI11</f>
        <v>0</v>
      </c>
      <c r="AK11" s="1033">
        <f>VLOOKUP(AH11,Düngemittel!$B$6:$E$64,2,FALSE)*AI11</f>
        <v>0</v>
      </c>
      <c r="AL11" s="1033">
        <f>VLOOKUP(AH11,Düngemittel!$B$6:$E$64,4,FALSE)*AI11</f>
        <v>0</v>
      </c>
      <c r="AM11" s="2179"/>
      <c r="AN11" s="1329"/>
      <c r="AO11" s="1330" t="s">
        <v>795</v>
      </c>
      <c r="AP11" s="1424">
        <v>0</v>
      </c>
      <c r="AQ11" s="1033">
        <f>VLOOKUP(AO11,Düngemittel!$B$6:$E$64,2,FALSE)*(VLOOKUP(AO11,Düngemittel!$B$6:$E$64,3,FALSE))/100*AP11</f>
        <v>0</v>
      </c>
      <c r="AR11" s="1033">
        <f>VLOOKUP(AO11,Düngemittel!$B$6:$E$64,2,FALSE)*AP11</f>
        <v>0</v>
      </c>
      <c r="AS11" s="1033">
        <f>VLOOKUP(AO11,Düngemittel!$B$6:$E$64,4,FALSE)*AP11</f>
        <v>0</v>
      </c>
      <c r="AT11" s="1371"/>
      <c r="AU11" s="1371"/>
      <c r="AV11" s="1372">
        <f t="shared" si="18"/>
        <v>0</v>
      </c>
      <c r="AW11" s="1373">
        <f t="shared" si="19"/>
        <v>0</v>
      </c>
      <c r="AX11" s="1374">
        <f t="shared" si="20"/>
        <v>0</v>
      </c>
      <c r="AY11" s="1375">
        <f t="shared" si="21"/>
        <v>0</v>
      </c>
      <c r="AZ11" s="1373">
        <f t="shared" si="22"/>
        <v>0</v>
      </c>
      <c r="BA11" s="1376"/>
      <c r="BB11" s="1372">
        <f t="shared" si="23"/>
        <v>0</v>
      </c>
      <c r="BC11" s="1372">
        <f t="shared" si="10"/>
        <v>0</v>
      </c>
      <c r="BD11" s="1372">
        <f t="shared" si="10"/>
        <v>0</v>
      </c>
      <c r="BE11" s="1816">
        <f t="shared" si="10"/>
        <v>0</v>
      </c>
      <c r="BF11" s="1372">
        <f t="shared" si="10"/>
        <v>0</v>
      </c>
      <c r="BG11" s="1377"/>
      <c r="BH11" s="1378" t="s">
        <v>1172</v>
      </c>
      <c r="BI11" s="1357">
        <v>90</v>
      </c>
      <c r="BJ11" s="1421">
        <v>0</v>
      </c>
      <c r="BL11" s="1354"/>
      <c r="BQ11" s="1357">
        <v>0.51</v>
      </c>
      <c r="BR11" s="1357">
        <v>7</v>
      </c>
      <c r="BT11" s="1354"/>
      <c r="BU11" s="1358" t="s">
        <v>88</v>
      </c>
      <c r="BV11" s="1366">
        <v>20</v>
      </c>
    </row>
    <row r="12" spans="1:78" ht="23.25" customHeight="1">
      <c r="A12" s="468">
        <v>5</v>
      </c>
      <c r="B12" s="1699">
        <v>0</v>
      </c>
      <c r="C12" s="1527" t="s">
        <v>31</v>
      </c>
      <c r="D12" s="1380">
        <f t="shared" si="0"/>
        <v>0</v>
      </c>
      <c r="E12" s="2342">
        <f t="shared" si="1"/>
        <v>0</v>
      </c>
      <c r="F12" s="1381">
        <f t="shared" si="2"/>
        <v>0</v>
      </c>
      <c r="G12" s="2347">
        <f t="shared" si="11"/>
        <v>0</v>
      </c>
      <c r="H12" s="1928">
        <f t="shared" si="12"/>
        <v>0</v>
      </c>
      <c r="I12" s="1928">
        <f t="shared" si="3"/>
        <v>0</v>
      </c>
      <c r="J12" s="1928">
        <f t="shared" si="4"/>
        <v>0</v>
      </c>
      <c r="K12" s="1928">
        <f t="shared" si="5"/>
        <v>0</v>
      </c>
      <c r="L12" s="1928">
        <f t="shared" si="13"/>
        <v>0</v>
      </c>
      <c r="M12" s="1702">
        <v>0</v>
      </c>
      <c r="N12" s="1424">
        <v>0</v>
      </c>
      <c r="O12" s="1370">
        <f t="shared" si="14"/>
        <v>0</v>
      </c>
      <c r="P12" s="590">
        <v>0</v>
      </c>
      <c r="Q12" s="2300">
        <f t="shared" si="15"/>
        <v>0</v>
      </c>
      <c r="R12" s="2207">
        <v>0</v>
      </c>
      <c r="S12" s="2231">
        <f t="shared" si="16"/>
        <v>0</v>
      </c>
      <c r="T12" s="2213">
        <f t="shared" si="17"/>
        <v>0</v>
      </c>
      <c r="U12" s="2216">
        <f t="shared" si="6"/>
        <v>0</v>
      </c>
      <c r="V12" s="2213">
        <f t="shared" si="7"/>
        <v>0</v>
      </c>
      <c r="W12"/>
      <c r="X12" s="1281">
        <f t="shared" si="8"/>
        <v>5</v>
      </c>
      <c r="Y12" s="2087" t="str">
        <f t="shared" si="9"/>
        <v>keine</v>
      </c>
      <c r="Z12" s="1329"/>
      <c r="AA12" s="1330" t="s">
        <v>795</v>
      </c>
      <c r="AB12" s="1424">
        <v>0</v>
      </c>
      <c r="AC12" s="1033">
        <f>VLOOKUP(AA12,Düngemittel!$B$6:$E$64,2,FALSE)*(VLOOKUP(AA12,Düngemittel!$B$6:$E$64,3,FALSE))/100*AB12</f>
        <v>0</v>
      </c>
      <c r="AD12" s="1033">
        <f>VLOOKUP(AA12,Düngemittel!$B$6:$E$64,2,FALSE)*AB12</f>
        <v>0</v>
      </c>
      <c r="AE12" s="1033">
        <f>VLOOKUP(AA12,Düngemittel!$B$6:$E$64,4,FALSE)*AB12</f>
        <v>0</v>
      </c>
      <c r="AF12" s="2179"/>
      <c r="AG12" s="1329"/>
      <c r="AH12" s="1330" t="s">
        <v>795</v>
      </c>
      <c r="AI12" s="1424">
        <v>0</v>
      </c>
      <c r="AJ12" s="1033">
        <f>VLOOKUP(AH12,Düngemittel!$B$6:$E$64,2,FALSE)*(VLOOKUP(AH12,Düngemittel!$B$6:$E$64,3,FALSE))/100*AI12</f>
        <v>0</v>
      </c>
      <c r="AK12" s="1033">
        <f>VLOOKUP(AH12,Düngemittel!$B$6:$E$64,2,FALSE)*AI12</f>
        <v>0</v>
      </c>
      <c r="AL12" s="1033">
        <f>VLOOKUP(AH12,Düngemittel!$B$6:$E$64,4,FALSE)*AI12</f>
        <v>0</v>
      </c>
      <c r="AM12" s="2179"/>
      <c r="AN12" s="1329"/>
      <c r="AO12" s="1330" t="s">
        <v>795</v>
      </c>
      <c r="AP12" s="1424">
        <v>0</v>
      </c>
      <c r="AQ12" s="1033">
        <f>VLOOKUP(AO12,Düngemittel!$B$6:$E$64,2,FALSE)*(VLOOKUP(AO12,Düngemittel!$B$6:$E$64,3,FALSE))/100*AP12</f>
        <v>0</v>
      </c>
      <c r="AR12" s="1033">
        <f>VLOOKUP(AO12,Düngemittel!$B$6:$E$64,2,FALSE)*AP12</f>
        <v>0</v>
      </c>
      <c r="AS12" s="1033">
        <f>VLOOKUP(AO12,Düngemittel!$B$6:$E$64,4,FALSE)*AP12</f>
        <v>0</v>
      </c>
      <c r="AT12" s="1371"/>
      <c r="AU12" s="1371"/>
      <c r="AV12" s="1372">
        <f t="shared" si="18"/>
        <v>0</v>
      </c>
      <c r="AW12" s="1373">
        <f t="shared" si="19"/>
        <v>0</v>
      </c>
      <c r="AX12" s="1374">
        <f t="shared" si="20"/>
        <v>0</v>
      </c>
      <c r="AY12" s="1375">
        <f t="shared" si="21"/>
        <v>0</v>
      </c>
      <c r="AZ12" s="1373">
        <f t="shared" si="22"/>
        <v>0</v>
      </c>
      <c r="BA12" s="1376"/>
      <c r="BB12" s="1372">
        <f t="shared" si="23"/>
        <v>0</v>
      </c>
      <c r="BC12" s="1372">
        <f t="shared" si="10"/>
        <v>0</v>
      </c>
      <c r="BD12" s="1372">
        <f t="shared" si="10"/>
        <v>0</v>
      </c>
      <c r="BE12" s="1816">
        <f t="shared" si="10"/>
        <v>0</v>
      </c>
      <c r="BF12" s="1372">
        <f t="shared" si="10"/>
        <v>0</v>
      </c>
      <c r="BG12" s="1377"/>
      <c r="BH12" s="357" t="s">
        <v>1173</v>
      </c>
      <c r="BI12" s="357">
        <v>90</v>
      </c>
      <c r="BJ12" s="1421">
        <v>0</v>
      </c>
      <c r="BL12" s="1354"/>
      <c r="BQ12" s="357">
        <v>0.51</v>
      </c>
      <c r="BR12" s="357">
        <v>7</v>
      </c>
      <c r="BT12" s="1354"/>
      <c r="BU12" s="1358" t="s">
        <v>89</v>
      </c>
      <c r="BV12" s="1366">
        <v>40</v>
      </c>
    </row>
    <row r="13" spans="1:78" ht="23.25" customHeight="1">
      <c r="A13" s="468">
        <v>6</v>
      </c>
      <c r="B13" s="1699">
        <v>0</v>
      </c>
      <c r="C13" s="1527" t="s">
        <v>31</v>
      </c>
      <c r="D13" s="1380">
        <f t="shared" si="0"/>
        <v>0</v>
      </c>
      <c r="E13" s="2342">
        <f t="shared" si="1"/>
        <v>0</v>
      </c>
      <c r="F13" s="1381">
        <f t="shared" si="2"/>
        <v>0</v>
      </c>
      <c r="G13" s="2347">
        <f t="shared" si="11"/>
        <v>0</v>
      </c>
      <c r="H13" s="1928">
        <f t="shared" si="12"/>
        <v>0</v>
      </c>
      <c r="I13" s="1928">
        <f t="shared" si="3"/>
        <v>0</v>
      </c>
      <c r="J13" s="1928">
        <f t="shared" si="4"/>
        <v>0</v>
      </c>
      <c r="K13" s="1928">
        <f t="shared" si="5"/>
        <v>0</v>
      </c>
      <c r="L13" s="1928">
        <f t="shared" si="13"/>
        <v>0</v>
      </c>
      <c r="M13" s="1702">
        <v>0</v>
      </c>
      <c r="N13" s="1424">
        <v>0</v>
      </c>
      <c r="O13" s="1370">
        <f t="shared" si="14"/>
        <v>0</v>
      </c>
      <c r="P13" s="590">
        <v>0</v>
      </c>
      <c r="Q13" s="2300">
        <f t="shared" si="15"/>
        <v>0</v>
      </c>
      <c r="R13" s="2207">
        <v>0</v>
      </c>
      <c r="S13" s="2231">
        <f t="shared" si="16"/>
        <v>0</v>
      </c>
      <c r="T13" s="2213">
        <f t="shared" si="17"/>
        <v>0</v>
      </c>
      <c r="U13" s="2216">
        <f t="shared" si="6"/>
        <v>0</v>
      </c>
      <c r="V13" s="2213">
        <f t="shared" si="7"/>
        <v>0</v>
      </c>
      <c r="W13"/>
      <c r="X13" s="1281">
        <f t="shared" si="8"/>
        <v>6</v>
      </c>
      <c r="Y13" s="2087" t="str">
        <f t="shared" si="9"/>
        <v>keine</v>
      </c>
      <c r="Z13" s="1329"/>
      <c r="AA13" s="1330" t="s">
        <v>795</v>
      </c>
      <c r="AB13" s="1424">
        <v>0</v>
      </c>
      <c r="AC13" s="1033">
        <f>VLOOKUP(AA13,Düngemittel!$B$6:$E$64,2,FALSE)*(VLOOKUP(AA13,Düngemittel!$B$6:$E$64,3,FALSE))/100*AB13</f>
        <v>0</v>
      </c>
      <c r="AD13" s="1033">
        <f>VLOOKUP(AA13,Düngemittel!$B$6:$E$64,2,FALSE)*AB13</f>
        <v>0</v>
      </c>
      <c r="AE13" s="1033">
        <f>VLOOKUP(AA13,Düngemittel!$B$6:$E$64,4,FALSE)*AB13</f>
        <v>0</v>
      </c>
      <c r="AF13" s="2179"/>
      <c r="AG13" s="1329"/>
      <c r="AH13" s="1330" t="s">
        <v>795</v>
      </c>
      <c r="AI13" s="1424">
        <v>0</v>
      </c>
      <c r="AJ13" s="1033">
        <f>VLOOKUP(AH13,Düngemittel!$B$6:$E$64,2,FALSE)*(VLOOKUP(AH13,Düngemittel!$B$6:$E$64,3,FALSE))/100*AI13</f>
        <v>0</v>
      </c>
      <c r="AK13" s="1033">
        <f>VLOOKUP(AH13,Düngemittel!$B$6:$E$64,2,FALSE)*AI13</f>
        <v>0</v>
      </c>
      <c r="AL13" s="1033">
        <f>VLOOKUP(AH13,Düngemittel!$B$6:$E$64,4,FALSE)*AI13</f>
        <v>0</v>
      </c>
      <c r="AM13" s="2179"/>
      <c r="AN13" s="1329"/>
      <c r="AO13" s="1330" t="s">
        <v>795</v>
      </c>
      <c r="AP13" s="1424">
        <v>0</v>
      </c>
      <c r="AQ13" s="1033">
        <f>VLOOKUP(AO13,Düngemittel!$B$6:$E$64,2,FALSE)*(VLOOKUP(AO13,Düngemittel!$B$6:$E$64,3,FALSE))/100*AP13</f>
        <v>0</v>
      </c>
      <c r="AR13" s="1033">
        <f>VLOOKUP(AO13,Düngemittel!$B$6:$E$64,2,FALSE)*AP13</f>
        <v>0</v>
      </c>
      <c r="AS13" s="1033">
        <f>VLOOKUP(AO13,Düngemittel!$B$6:$E$64,4,FALSE)*AP13</f>
        <v>0</v>
      </c>
      <c r="AT13" s="1371"/>
      <c r="AU13" s="1371"/>
      <c r="AV13" s="1372">
        <f t="shared" si="18"/>
        <v>0</v>
      </c>
      <c r="AW13" s="1373">
        <f t="shared" si="19"/>
        <v>0</v>
      </c>
      <c r="AX13" s="1374">
        <f t="shared" si="20"/>
        <v>0</v>
      </c>
      <c r="AY13" s="1375">
        <f t="shared" si="21"/>
        <v>0</v>
      </c>
      <c r="AZ13" s="1373">
        <f t="shared" si="22"/>
        <v>0</v>
      </c>
      <c r="BA13" s="1376"/>
      <c r="BB13" s="1372">
        <f t="shared" si="23"/>
        <v>0</v>
      </c>
      <c r="BC13" s="1372">
        <f t="shared" si="10"/>
        <v>0</v>
      </c>
      <c r="BD13" s="1372">
        <f t="shared" si="10"/>
        <v>0</v>
      </c>
      <c r="BE13" s="1816">
        <f t="shared" si="10"/>
        <v>0</v>
      </c>
      <c r="BF13" s="1372">
        <f t="shared" si="10"/>
        <v>0</v>
      </c>
      <c r="BG13" s="1377"/>
      <c r="BH13" s="1357" t="s">
        <v>1177</v>
      </c>
      <c r="BI13" s="1357">
        <v>45</v>
      </c>
      <c r="BJ13" s="1421">
        <v>0</v>
      </c>
      <c r="BL13" s="1354"/>
      <c r="BM13" s="1358"/>
      <c r="BN13" s="1382"/>
      <c r="BO13" s="1354"/>
      <c r="BP13" s="1354"/>
      <c r="BQ13" s="1357">
        <v>0.8</v>
      </c>
      <c r="BR13" s="1357">
        <v>15</v>
      </c>
      <c r="BT13" s="1354"/>
      <c r="BU13" s="1358" t="s">
        <v>227</v>
      </c>
      <c r="BV13" s="1366">
        <v>60</v>
      </c>
    </row>
    <row r="14" spans="1:78" ht="23.25" customHeight="1">
      <c r="A14" s="468">
        <v>7</v>
      </c>
      <c r="B14" s="1699">
        <v>0</v>
      </c>
      <c r="C14" s="1527" t="s">
        <v>31</v>
      </c>
      <c r="D14" s="1380">
        <f t="shared" si="0"/>
        <v>0</v>
      </c>
      <c r="E14" s="2342">
        <f t="shared" si="1"/>
        <v>0</v>
      </c>
      <c r="F14" s="1381">
        <f t="shared" si="2"/>
        <v>0</v>
      </c>
      <c r="G14" s="2347">
        <f t="shared" si="11"/>
        <v>0</v>
      </c>
      <c r="H14" s="1928">
        <f t="shared" si="12"/>
        <v>0</v>
      </c>
      <c r="I14" s="1928">
        <f t="shared" si="3"/>
        <v>0</v>
      </c>
      <c r="J14" s="1928">
        <f t="shared" si="4"/>
        <v>0</v>
      </c>
      <c r="K14" s="1928">
        <f t="shared" si="5"/>
        <v>0</v>
      </c>
      <c r="L14" s="1928">
        <f t="shared" si="13"/>
        <v>0</v>
      </c>
      <c r="M14" s="1702">
        <v>0</v>
      </c>
      <c r="N14" s="1424">
        <v>16</v>
      </c>
      <c r="O14" s="1370">
        <f t="shared" si="14"/>
        <v>0</v>
      </c>
      <c r="P14" s="590">
        <v>0</v>
      </c>
      <c r="Q14" s="2300">
        <f t="shared" si="15"/>
        <v>0</v>
      </c>
      <c r="R14" s="2207">
        <v>0</v>
      </c>
      <c r="S14" s="2231">
        <f t="shared" si="16"/>
        <v>0</v>
      </c>
      <c r="T14" s="2213">
        <f t="shared" si="17"/>
        <v>0</v>
      </c>
      <c r="U14" s="2216">
        <f t="shared" si="6"/>
        <v>0</v>
      </c>
      <c r="V14" s="2213">
        <f t="shared" si="7"/>
        <v>0</v>
      </c>
      <c r="W14"/>
      <c r="X14" s="1281">
        <f t="shared" si="8"/>
        <v>7</v>
      </c>
      <c r="Y14" s="2087" t="str">
        <f t="shared" si="9"/>
        <v>keine</v>
      </c>
      <c r="Z14" s="1329"/>
      <c r="AA14" s="1330" t="s">
        <v>795</v>
      </c>
      <c r="AB14" s="1424">
        <v>0</v>
      </c>
      <c r="AC14" s="1033">
        <f>VLOOKUP(AA14,Düngemittel!$B$6:$E$64,2,FALSE)*(VLOOKUP(AA14,Düngemittel!$B$6:$E$64,3,FALSE))/100*AB14</f>
        <v>0</v>
      </c>
      <c r="AD14" s="1033">
        <f>VLOOKUP(AA14,Düngemittel!$B$6:$E$64,2,FALSE)*AB14</f>
        <v>0</v>
      </c>
      <c r="AE14" s="1033">
        <f>VLOOKUP(AA14,Düngemittel!$B$6:$E$64,4,FALSE)*AB14</f>
        <v>0</v>
      </c>
      <c r="AF14" s="2179"/>
      <c r="AG14" s="1329"/>
      <c r="AH14" s="1330" t="s">
        <v>795</v>
      </c>
      <c r="AI14" s="1424">
        <v>0</v>
      </c>
      <c r="AJ14" s="1033">
        <f>VLOOKUP(AH14,Düngemittel!$B$6:$E$64,2,FALSE)*(VLOOKUP(AH14,Düngemittel!$B$6:$E$64,3,FALSE))/100*AI14</f>
        <v>0</v>
      </c>
      <c r="AK14" s="1033">
        <f>VLOOKUP(AH14,Düngemittel!$B$6:$E$64,2,FALSE)*AI14</f>
        <v>0</v>
      </c>
      <c r="AL14" s="1033">
        <f>VLOOKUP(AH14,Düngemittel!$B$6:$E$64,4,FALSE)*AI14</f>
        <v>0</v>
      </c>
      <c r="AM14" s="2179"/>
      <c r="AN14" s="1329"/>
      <c r="AO14" s="1330" t="s">
        <v>795</v>
      </c>
      <c r="AP14" s="1424">
        <v>0</v>
      </c>
      <c r="AQ14" s="1033">
        <f>VLOOKUP(AO14,Düngemittel!$B$6:$E$64,2,FALSE)*(VLOOKUP(AO14,Düngemittel!$B$6:$E$64,3,FALSE))/100*AP14</f>
        <v>0</v>
      </c>
      <c r="AR14" s="1033">
        <f>VLOOKUP(AO14,Düngemittel!$B$6:$E$64,2,FALSE)*AP14</f>
        <v>0</v>
      </c>
      <c r="AS14" s="1033">
        <f>VLOOKUP(AO14,Düngemittel!$B$6:$E$64,4,FALSE)*AP14</f>
        <v>0</v>
      </c>
      <c r="AT14" s="1371"/>
      <c r="AU14" s="1371"/>
      <c r="AV14" s="1372">
        <f t="shared" si="18"/>
        <v>0</v>
      </c>
      <c r="AW14" s="1373">
        <f t="shared" si="19"/>
        <v>0</v>
      </c>
      <c r="AX14" s="1374">
        <f t="shared" si="20"/>
        <v>0</v>
      </c>
      <c r="AY14" s="1375">
        <f t="shared" si="21"/>
        <v>0</v>
      </c>
      <c r="AZ14" s="1373">
        <f t="shared" si="22"/>
        <v>0</v>
      </c>
      <c r="BA14" s="1376"/>
      <c r="BB14" s="1372">
        <f t="shared" si="23"/>
        <v>0</v>
      </c>
      <c r="BC14" s="1372">
        <f t="shared" si="10"/>
        <v>0</v>
      </c>
      <c r="BD14" s="1372">
        <f t="shared" si="10"/>
        <v>0</v>
      </c>
      <c r="BE14" s="1816">
        <f t="shared" si="10"/>
        <v>0</v>
      </c>
      <c r="BF14" s="1372">
        <f t="shared" si="10"/>
        <v>0</v>
      </c>
      <c r="BG14" s="1377"/>
      <c r="BH14" s="1378" t="s">
        <v>1207</v>
      </c>
      <c r="BI14" s="1357">
        <v>30</v>
      </c>
      <c r="BJ14" s="1421">
        <v>30</v>
      </c>
      <c r="BL14" s="1354"/>
      <c r="BM14" s="1354"/>
      <c r="BN14" s="1354"/>
      <c r="BO14" s="1354"/>
      <c r="BP14" s="1354"/>
      <c r="BQ14" s="1357">
        <v>0</v>
      </c>
      <c r="BR14" s="1357">
        <v>16</v>
      </c>
    </row>
    <row r="15" spans="1:78" ht="23.25" customHeight="1">
      <c r="A15" s="468">
        <v>8</v>
      </c>
      <c r="B15" s="1699">
        <v>0</v>
      </c>
      <c r="C15" s="1527" t="s">
        <v>31</v>
      </c>
      <c r="D15" s="1380">
        <f t="shared" si="0"/>
        <v>0</v>
      </c>
      <c r="E15" s="2342">
        <f t="shared" si="1"/>
        <v>0</v>
      </c>
      <c r="F15" s="1381">
        <f t="shared" si="2"/>
        <v>0</v>
      </c>
      <c r="G15" s="2347">
        <f t="shared" si="11"/>
        <v>0</v>
      </c>
      <c r="H15" s="1928">
        <f t="shared" si="12"/>
        <v>0</v>
      </c>
      <c r="I15" s="1928">
        <f t="shared" si="3"/>
        <v>0</v>
      </c>
      <c r="J15" s="1928">
        <f t="shared" si="4"/>
        <v>0</v>
      </c>
      <c r="K15" s="1928">
        <f t="shared" si="5"/>
        <v>0</v>
      </c>
      <c r="L15" s="1928">
        <f t="shared" si="13"/>
        <v>0</v>
      </c>
      <c r="M15" s="1702">
        <v>0</v>
      </c>
      <c r="N15" s="1424">
        <v>16</v>
      </c>
      <c r="O15" s="1370">
        <f t="shared" si="14"/>
        <v>0</v>
      </c>
      <c r="P15" s="590">
        <v>0</v>
      </c>
      <c r="Q15" s="2300">
        <f t="shared" si="15"/>
        <v>0</v>
      </c>
      <c r="R15" s="2207">
        <v>0</v>
      </c>
      <c r="S15" s="2231">
        <f t="shared" si="16"/>
        <v>0</v>
      </c>
      <c r="T15" s="2213">
        <f t="shared" si="17"/>
        <v>0</v>
      </c>
      <c r="U15" s="2216">
        <f t="shared" si="6"/>
        <v>0</v>
      </c>
      <c r="V15" s="2213">
        <f t="shared" si="7"/>
        <v>0</v>
      </c>
      <c r="W15"/>
      <c r="X15" s="1281">
        <f t="shared" si="8"/>
        <v>8</v>
      </c>
      <c r="Y15" s="2087" t="str">
        <f t="shared" si="9"/>
        <v>keine</v>
      </c>
      <c r="Z15" s="1329"/>
      <c r="AA15" s="1330" t="s">
        <v>795</v>
      </c>
      <c r="AB15" s="1424">
        <v>0</v>
      </c>
      <c r="AC15" s="1033">
        <f>VLOOKUP(AA15,Düngemittel!$B$6:$E$64,2,FALSE)*(VLOOKUP(AA15,Düngemittel!$B$6:$E$64,3,FALSE))/100*AB15</f>
        <v>0</v>
      </c>
      <c r="AD15" s="1033">
        <f>VLOOKUP(AA15,Düngemittel!$B$6:$E$64,2,FALSE)*AB15</f>
        <v>0</v>
      </c>
      <c r="AE15" s="1033">
        <f>VLOOKUP(AA15,Düngemittel!$B$6:$E$64,4,FALSE)*AB15</f>
        <v>0</v>
      </c>
      <c r="AF15" s="2179"/>
      <c r="AG15" s="1329"/>
      <c r="AH15" s="1330" t="s">
        <v>795</v>
      </c>
      <c r="AI15" s="1424">
        <v>0</v>
      </c>
      <c r="AJ15" s="1033">
        <f>VLOOKUP(AH15,Düngemittel!$B$6:$E$64,2,FALSE)*(VLOOKUP(AH15,Düngemittel!$B$6:$E$64,3,FALSE))/100*AI15</f>
        <v>0</v>
      </c>
      <c r="AK15" s="1033">
        <f>VLOOKUP(AH15,Düngemittel!$B$6:$E$64,2,FALSE)*AI15</f>
        <v>0</v>
      </c>
      <c r="AL15" s="1033">
        <f>VLOOKUP(AH15,Düngemittel!$B$6:$E$64,4,FALSE)*AI15</f>
        <v>0</v>
      </c>
      <c r="AM15" s="2179"/>
      <c r="AN15" s="1329"/>
      <c r="AO15" s="1330" t="s">
        <v>795</v>
      </c>
      <c r="AP15" s="1424">
        <v>0</v>
      </c>
      <c r="AQ15" s="1033">
        <f>VLOOKUP(AO15,Düngemittel!$B$6:$E$64,2,FALSE)*(VLOOKUP(AO15,Düngemittel!$B$6:$E$64,3,FALSE))/100*AP15</f>
        <v>0</v>
      </c>
      <c r="AR15" s="1033">
        <f>VLOOKUP(AO15,Düngemittel!$B$6:$E$64,2,FALSE)*AP15</f>
        <v>0</v>
      </c>
      <c r="AS15" s="1033">
        <f>VLOOKUP(AO15,Düngemittel!$B$6:$E$64,4,FALSE)*AP15</f>
        <v>0</v>
      </c>
      <c r="AT15" s="1371"/>
      <c r="AU15" s="1371"/>
      <c r="AV15" s="1372">
        <f t="shared" si="18"/>
        <v>0</v>
      </c>
      <c r="AW15" s="1373">
        <f t="shared" si="19"/>
        <v>0</v>
      </c>
      <c r="AX15" s="1374">
        <f t="shared" si="20"/>
        <v>0</v>
      </c>
      <c r="AY15" s="1375">
        <f t="shared" si="21"/>
        <v>0</v>
      </c>
      <c r="AZ15" s="1373">
        <f t="shared" si="22"/>
        <v>0</v>
      </c>
      <c r="BA15" s="1376"/>
      <c r="BB15" s="1372">
        <f t="shared" si="23"/>
        <v>0</v>
      </c>
      <c r="BC15" s="1372">
        <f t="shared" si="10"/>
        <v>0</v>
      </c>
      <c r="BD15" s="1372">
        <f t="shared" si="10"/>
        <v>0</v>
      </c>
      <c r="BE15" s="1816">
        <f t="shared" si="10"/>
        <v>0</v>
      </c>
      <c r="BF15" s="1372">
        <f t="shared" si="10"/>
        <v>0</v>
      </c>
      <c r="BG15" s="1377"/>
      <c r="BH15" s="1357" t="s">
        <v>1208</v>
      </c>
      <c r="BI15" s="1357">
        <v>30</v>
      </c>
      <c r="BJ15" s="1421">
        <v>30</v>
      </c>
      <c r="BL15" s="1354"/>
      <c r="BM15" s="1354"/>
      <c r="BN15" s="1354"/>
      <c r="BO15" s="1354"/>
      <c r="BP15" s="1354"/>
      <c r="BQ15" s="1357">
        <v>0.75</v>
      </c>
      <c r="BR15" s="1357">
        <v>16</v>
      </c>
    </row>
    <row r="16" spans="1:78" ht="23.25" customHeight="1">
      <c r="A16" s="468">
        <v>9</v>
      </c>
      <c r="B16" s="1699">
        <v>0</v>
      </c>
      <c r="C16" s="1527" t="s">
        <v>31</v>
      </c>
      <c r="D16" s="1380">
        <f t="shared" si="0"/>
        <v>0</v>
      </c>
      <c r="E16" s="2342">
        <f t="shared" si="1"/>
        <v>0</v>
      </c>
      <c r="F16" s="1381">
        <f t="shared" si="2"/>
        <v>0</v>
      </c>
      <c r="G16" s="2347">
        <f t="shared" si="11"/>
        <v>0</v>
      </c>
      <c r="H16" s="1928">
        <f t="shared" si="12"/>
        <v>0</v>
      </c>
      <c r="I16" s="1928">
        <f t="shared" si="3"/>
        <v>0</v>
      </c>
      <c r="J16" s="1928">
        <f t="shared" si="4"/>
        <v>0</v>
      </c>
      <c r="K16" s="1928">
        <f t="shared" si="5"/>
        <v>0</v>
      </c>
      <c r="L16" s="1928">
        <f t="shared" si="13"/>
        <v>0</v>
      </c>
      <c r="M16" s="1702">
        <v>0</v>
      </c>
      <c r="N16" s="1424">
        <v>16</v>
      </c>
      <c r="O16" s="1370">
        <f t="shared" si="14"/>
        <v>0</v>
      </c>
      <c r="P16" s="590">
        <v>0</v>
      </c>
      <c r="Q16" s="2300">
        <f t="shared" si="15"/>
        <v>0</v>
      </c>
      <c r="R16" s="2207">
        <v>0</v>
      </c>
      <c r="S16" s="2231">
        <f t="shared" si="16"/>
        <v>0</v>
      </c>
      <c r="T16" s="2213">
        <f t="shared" si="17"/>
        <v>0</v>
      </c>
      <c r="U16" s="2216">
        <f t="shared" si="6"/>
        <v>0</v>
      </c>
      <c r="V16" s="2213">
        <f t="shared" si="7"/>
        <v>0</v>
      </c>
      <c r="W16"/>
      <c r="X16" s="1281">
        <f t="shared" si="8"/>
        <v>9</v>
      </c>
      <c r="Y16" s="2087" t="str">
        <f t="shared" si="9"/>
        <v>keine</v>
      </c>
      <c r="Z16" s="1329"/>
      <c r="AA16" s="1330" t="s">
        <v>795</v>
      </c>
      <c r="AB16" s="1424">
        <v>0</v>
      </c>
      <c r="AC16" s="1033">
        <f>VLOOKUP(AA16,Düngemittel!$B$6:$E$64,2,FALSE)*(VLOOKUP(AA16,Düngemittel!$B$6:$E$64,3,FALSE))/100*AB16</f>
        <v>0</v>
      </c>
      <c r="AD16" s="1033">
        <f>VLOOKUP(AA16,Düngemittel!$B$6:$E$64,2,FALSE)*AB16</f>
        <v>0</v>
      </c>
      <c r="AE16" s="1033">
        <f>VLOOKUP(AA16,Düngemittel!$B$6:$E$64,4,FALSE)*AB16</f>
        <v>0</v>
      </c>
      <c r="AF16" s="2179"/>
      <c r="AG16" s="1329"/>
      <c r="AH16" s="1330" t="s">
        <v>795</v>
      </c>
      <c r="AI16" s="1424">
        <v>0</v>
      </c>
      <c r="AJ16" s="1033">
        <f>VLOOKUP(AH16,Düngemittel!$B$6:$E$64,2,FALSE)*(VLOOKUP(AH16,Düngemittel!$B$6:$E$64,3,FALSE))/100*AI16</f>
        <v>0</v>
      </c>
      <c r="AK16" s="1033">
        <f>VLOOKUP(AH16,Düngemittel!$B$6:$E$64,2,FALSE)*AI16</f>
        <v>0</v>
      </c>
      <c r="AL16" s="1033">
        <f>VLOOKUP(AH16,Düngemittel!$B$6:$E$64,4,FALSE)*AI16</f>
        <v>0</v>
      </c>
      <c r="AM16" s="2179"/>
      <c r="AN16" s="1329"/>
      <c r="AO16" s="1330" t="s">
        <v>795</v>
      </c>
      <c r="AP16" s="1424">
        <v>0</v>
      </c>
      <c r="AQ16" s="1033">
        <f>VLOOKUP(AO16,Düngemittel!$B$6:$E$64,2,FALSE)*(VLOOKUP(AO16,Düngemittel!$B$6:$E$64,3,FALSE))/100*AP16</f>
        <v>0</v>
      </c>
      <c r="AR16" s="1033">
        <f>VLOOKUP(AO16,Düngemittel!$B$6:$E$64,2,FALSE)*AP16</f>
        <v>0</v>
      </c>
      <c r="AS16" s="1033">
        <f>VLOOKUP(AO16,Düngemittel!$B$6:$E$64,4,FALSE)*AP16</f>
        <v>0</v>
      </c>
      <c r="AT16" s="1371"/>
      <c r="AU16" s="1371"/>
      <c r="AV16" s="1372">
        <f t="shared" si="18"/>
        <v>0</v>
      </c>
      <c r="AW16" s="1373">
        <f t="shared" si="19"/>
        <v>0</v>
      </c>
      <c r="AX16" s="1374">
        <f t="shared" si="20"/>
        <v>0</v>
      </c>
      <c r="AY16" s="1375">
        <f t="shared" si="21"/>
        <v>0</v>
      </c>
      <c r="AZ16" s="1373">
        <f t="shared" si="22"/>
        <v>0</v>
      </c>
      <c r="BA16" s="1376"/>
      <c r="BB16" s="1372">
        <f t="shared" si="23"/>
        <v>0</v>
      </c>
      <c r="BC16" s="1372">
        <f t="shared" si="10"/>
        <v>0</v>
      </c>
      <c r="BD16" s="1372">
        <f t="shared" si="10"/>
        <v>0</v>
      </c>
      <c r="BE16" s="1816">
        <f t="shared" si="10"/>
        <v>0</v>
      </c>
      <c r="BF16" s="1372">
        <f t="shared" si="10"/>
        <v>0</v>
      </c>
      <c r="BG16" s="1377"/>
      <c r="BH16" s="1968" t="s">
        <v>795</v>
      </c>
      <c r="BI16" s="1421">
        <v>0</v>
      </c>
      <c r="BJ16" s="1421">
        <v>0</v>
      </c>
      <c r="BK16" s="1421">
        <v>0</v>
      </c>
      <c r="BL16" s="1421">
        <v>0</v>
      </c>
      <c r="BM16" s="1421">
        <v>0</v>
      </c>
      <c r="BN16" s="1421">
        <v>0</v>
      </c>
      <c r="BO16" s="1421">
        <v>0</v>
      </c>
      <c r="BP16" s="1421">
        <v>0</v>
      </c>
      <c r="BQ16" s="1421">
        <v>0</v>
      </c>
      <c r="BR16" s="357">
        <v>0</v>
      </c>
    </row>
    <row r="17" spans="1:70" ht="23.25" customHeight="1">
      <c r="A17" s="468">
        <v>10</v>
      </c>
      <c r="B17" s="1699">
        <v>0</v>
      </c>
      <c r="C17" s="1527" t="s">
        <v>31</v>
      </c>
      <c r="D17" s="1380">
        <f t="shared" si="0"/>
        <v>0</v>
      </c>
      <c r="E17" s="2342">
        <f t="shared" si="1"/>
        <v>0</v>
      </c>
      <c r="F17" s="1381">
        <f t="shared" si="2"/>
        <v>0</v>
      </c>
      <c r="G17" s="2347">
        <f t="shared" si="11"/>
        <v>0</v>
      </c>
      <c r="H17" s="1928">
        <f t="shared" si="12"/>
        <v>0</v>
      </c>
      <c r="I17" s="1928">
        <f t="shared" si="3"/>
        <v>0</v>
      </c>
      <c r="J17" s="1928">
        <f t="shared" si="4"/>
        <v>0</v>
      </c>
      <c r="K17" s="1928">
        <f t="shared" si="5"/>
        <v>0</v>
      </c>
      <c r="L17" s="1928">
        <f t="shared" si="13"/>
        <v>0</v>
      </c>
      <c r="M17" s="1702">
        <v>0</v>
      </c>
      <c r="N17" s="1424">
        <v>0</v>
      </c>
      <c r="O17" s="1370">
        <f t="shared" si="14"/>
        <v>0</v>
      </c>
      <c r="P17" s="590">
        <v>0</v>
      </c>
      <c r="Q17" s="2300">
        <f t="shared" si="15"/>
        <v>0</v>
      </c>
      <c r="R17" s="2207">
        <v>0</v>
      </c>
      <c r="S17" s="2231">
        <f t="shared" si="16"/>
        <v>0</v>
      </c>
      <c r="T17" s="2213">
        <f t="shared" si="17"/>
        <v>0</v>
      </c>
      <c r="U17" s="2216">
        <f t="shared" si="6"/>
        <v>0</v>
      </c>
      <c r="V17" s="2213">
        <f t="shared" si="7"/>
        <v>0</v>
      </c>
      <c r="W17"/>
      <c r="X17" s="1281">
        <f t="shared" si="8"/>
        <v>10</v>
      </c>
      <c r="Y17" s="2087" t="str">
        <f t="shared" si="9"/>
        <v>keine</v>
      </c>
      <c r="Z17" s="1329"/>
      <c r="AA17" s="1330" t="s">
        <v>795</v>
      </c>
      <c r="AB17" s="1424">
        <v>0</v>
      </c>
      <c r="AC17" s="1033">
        <f>VLOOKUP(AA17,Düngemittel!$B$6:$E$64,2,FALSE)*(VLOOKUP(AA17,Düngemittel!$B$6:$E$64,3,FALSE))/100*AB17</f>
        <v>0</v>
      </c>
      <c r="AD17" s="1033">
        <f>VLOOKUP(AA17,Düngemittel!$B$6:$E$64,2,FALSE)*AB17</f>
        <v>0</v>
      </c>
      <c r="AE17" s="1033">
        <f>VLOOKUP(AA17,Düngemittel!$B$6:$E$64,4,FALSE)*AB17</f>
        <v>0</v>
      </c>
      <c r="AF17" s="2179"/>
      <c r="AG17" s="1329"/>
      <c r="AH17" s="1330" t="s">
        <v>795</v>
      </c>
      <c r="AI17" s="1424">
        <v>0</v>
      </c>
      <c r="AJ17" s="1033">
        <f>VLOOKUP(AH17,Düngemittel!$B$6:$E$64,2,FALSE)*(VLOOKUP(AH17,Düngemittel!$B$6:$E$64,3,FALSE))/100*AI17</f>
        <v>0</v>
      </c>
      <c r="AK17" s="1033">
        <f>VLOOKUP(AH17,Düngemittel!$B$6:$E$64,2,FALSE)*AI17</f>
        <v>0</v>
      </c>
      <c r="AL17" s="1033">
        <f>VLOOKUP(AH17,Düngemittel!$B$6:$E$64,4,FALSE)*AI17</f>
        <v>0</v>
      </c>
      <c r="AM17" s="2179"/>
      <c r="AN17" s="1329"/>
      <c r="AO17" s="1330" t="s">
        <v>795</v>
      </c>
      <c r="AP17" s="1424">
        <v>0</v>
      </c>
      <c r="AQ17" s="1033">
        <f>VLOOKUP(AO17,Düngemittel!$B$6:$E$64,2,FALSE)*(VLOOKUP(AO17,Düngemittel!$B$6:$E$64,3,FALSE))/100*AP17</f>
        <v>0</v>
      </c>
      <c r="AR17" s="1033">
        <f>VLOOKUP(AO17,Düngemittel!$B$6:$E$64,2,FALSE)*AP17</f>
        <v>0</v>
      </c>
      <c r="AS17" s="1033">
        <f>VLOOKUP(AO17,Düngemittel!$B$6:$E$64,4,FALSE)*AP17</f>
        <v>0</v>
      </c>
      <c r="AT17" s="1371"/>
      <c r="AU17" s="1371"/>
      <c r="AV17" s="1372">
        <f t="shared" si="18"/>
        <v>0</v>
      </c>
      <c r="AW17" s="1373">
        <f t="shared" si="19"/>
        <v>0</v>
      </c>
      <c r="AX17" s="1374">
        <f t="shared" si="20"/>
        <v>0</v>
      </c>
      <c r="AY17" s="1375">
        <f t="shared" si="21"/>
        <v>0</v>
      </c>
      <c r="AZ17" s="1373">
        <f t="shared" si="22"/>
        <v>0</v>
      </c>
      <c r="BA17" s="1376"/>
      <c r="BB17" s="1372">
        <f t="shared" si="23"/>
        <v>0</v>
      </c>
      <c r="BC17" s="1372">
        <f t="shared" si="10"/>
        <v>0</v>
      </c>
      <c r="BD17" s="1372">
        <f t="shared" si="10"/>
        <v>0</v>
      </c>
      <c r="BE17" s="1816">
        <f t="shared" si="10"/>
        <v>0</v>
      </c>
      <c r="BF17" s="1372">
        <f t="shared" si="10"/>
        <v>0</v>
      </c>
      <c r="BG17" s="1377"/>
      <c r="BH17" s="1968" t="s">
        <v>1440</v>
      </c>
      <c r="BI17" s="1421">
        <v>50</v>
      </c>
      <c r="BJ17" s="1421">
        <v>45</v>
      </c>
      <c r="BK17" s="1421">
        <v>10</v>
      </c>
      <c r="BL17" s="1421">
        <v>2</v>
      </c>
      <c r="BM17" s="1421">
        <v>2</v>
      </c>
      <c r="BN17" s="1421">
        <v>0</v>
      </c>
      <c r="BO17" s="1421">
        <v>0</v>
      </c>
      <c r="BP17" s="2131">
        <v>30</v>
      </c>
      <c r="BQ17" s="2132">
        <v>0.23</v>
      </c>
      <c r="BR17" s="357">
        <v>0</v>
      </c>
    </row>
    <row r="18" spans="1:70" ht="23.25" customHeight="1">
      <c r="A18" s="468">
        <v>11</v>
      </c>
      <c r="B18" s="1699">
        <v>0</v>
      </c>
      <c r="C18" s="1527" t="s">
        <v>31</v>
      </c>
      <c r="D18" s="1380">
        <f t="shared" si="0"/>
        <v>0</v>
      </c>
      <c r="E18" s="2342">
        <f t="shared" si="1"/>
        <v>0</v>
      </c>
      <c r="F18" s="1381">
        <f t="shared" si="2"/>
        <v>0</v>
      </c>
      <c r="G18" s="2347">
        <f t="shared" si="11"/>
        <v>0</v>
      </c>
      <c r="H18" s="1928">
        <f t="shared" si="12"/>
        <v>0</v>
      </c>
      <c r="I18" s="1928">
        <f t="shared" si="3"/>
        <v>0</v>
      </c>
      <c r="J18" s="1928">
        <f t="shared" si="4"/>
        <v>0</v>
      </c>
      <c r="K18" s="1928">
        <f t="shared" si="5"/>
        <v>0</v>
      </c>
      <c r="L18" s="1928">
        <f t="shared" si="13"/>
        <v>0</v>
      </c>
      <c r="M18" s="1702">
        <v>0</v>
      </c>
      <c r="N18" s="1424">
        <v>0</v>
      </c>
      <c r="O18" s="1370">
        <f t="shared" si="14"/>
        <v>0</v>
      </c>
      <c r="P18" s="590">
        <v>0</v>
      </c>
      <c r="Q18" s="2300">
        <f t="shared" si="15"/>
        <v>0</v>
      </c>
      <c r="R18" s="2207">
        <v>0</v>
      </c>
      <c r="S18" s="2231">
        <f t="shared" si="16"/>
        <v>0</v>
      </c>
      <c r="T18" s="2213">
        <f t="shared" si="17"/>
        <v>0</v>
      </c>
      <c r="U18" s="2216">
        <f t="shared" si="6"/>
        <v>0</v>
      </c>
      <c r="V18" s="2213">
        <f t="shared" si="7"/>
        <v>0</v>
      </c>
      <c r="W18"/>
      <c r="X18" s="1281">
        <f t="shared" si="8"/>
        <v>11</v>
      </c>
      <c r="Y18" s="2087" t="str">
        <f t="shared" si="9"/>
        <v>keine</v>
      </c>
      <c r="Z18" s="1329"/>
      <c r="AA18" s="1330" t="s">
        <v>795</v>
      </c>
      <c r="AB18" s="1424">
        <v>0</v>
      </c>
      <c r="AC18" s="1033">
        <f>VLOOKUP(AA18,Düngemittel!$B$6:$E$64,2,FALSE)*(VLOOKUP(AA18,Düngemittel!$B$6:$E$64,3,FALSE))/100*AB18</f>
        <v>0</v>
      </c>
      <c r="AD18" s="1033">
        <f>VLOOKUP(AA18,Düngemittel!$B$6:$E$64,2,FALSE)*AB18</f>
        <v>0</v>
      </c>
      <c r="AE18" s="1033">
        <f>VLOOKUP(AA18,Düngemittel!$B$6:$E$64,4,FALSE)*AB18</f>
        <v>0</v>
      </c>
      <c r="AF18" s="2179"/>
      <c r="AG18" s="1329"/>
      <c r="AH18" s="1330" t="s">
        <v>795</v>
      </c>
      <c r="AI18" s="1424">
        <v>0</v>
      </c>
      <c r="AJ18" s="1033">
        <f>VLOOKUP(AH18,Düngemittel!$B$6:$E$64,2,FALSE)*(VLOOKUP(AH18,Düngemittel!$B$6:$E$64,3,FALSE))/100*AI18</f>
        <v>0</v>
      </c>
      <c r="AK18" s="1033">
        <f>VLOOKUP(AH18,Düngemittel!$B$6:$E$64,2,FALSE)*AI18</f>
        <v>0</v>
      </c>
      <c r="AL18" s="1033">
        <f>VLOOKUP(AH18,Düngemittel!$B$6:$E$64,4,FALSE)*AI18</f>
        <v>0</v>
      </c>
      <c r="AM18" s="2179"/>
      <c r="AN18" s="1329"/>
      <c r="AO18" s="1330" t="s">
        <v>795</v>
      </c>
      <c r="AP18" s="1424">
        <v>0</v>
      </c>
      <c r="AQ18" s="1033">
        <f>VLOOKUP(AO18,Düngemittel!$B$6:$E$64,2,FALSE)*(VLOOKUP(AO18,Düngemittel!$B$6:$E$64,3,FALSE))/100*AP18</f>
        <v>0</v>
      </c>
      <c r="AR18" s="1033">
        <f>VLOOKUP(AO18,Düngemittel!$B$6:$E$64,2,FALSE)*AP18</f>
        <v>0</v>
      </c>
      <c r="AS18" s="1033">
        <f>VLOOKUP(AO18,Düngemittel!$B$6:$E$64,4,FALSE)*AP18</f>
        <v>0</v>
      </c>
      <c r="AT18" s="1371"/>
      <c r="AU18" s="1371"/>
      <c r="AV18" s="1372">
        <f t="shared" si="18"/>
        <v>0</v>
      </c>
      <c r="AW18" s="1373">
        <f t="shared" si="19"/>
        <v>0</v>
      </c>
      <c r="AX18" s="1374">
        <f t="shared" si="20"/>
        <v>0</v>
      </c>
      <c r="AY18" s="1375">
        <f t="shared" si="21"/>
        <v>0</v>
      </c>
      <c r="AZ18" s="1373">
        <f t="shared" si="22"/>
        <v>0</v>
      </c>
      <c r="BA18" s="1376"/>
      <c r="BB18" s="1372">
        <f t="shared" si="23"/>
        <v>0</v>
      </c>
      <c r="BC18" s="1372">
        <f t="shared" si="10"/>
        <v>0</v>
      </c>
      <c r="BD18" s="1372">
        <f t="shared" si="10"/>
        <v>0</v>
      </c>
      <c r="BE18" s="1816">
        <f t="shared" si="10"/>
        <v>0</v>
      </c>
      <c r="BF18" s="1372">
        <f t="shared" si="10"/>
        <v>0</v>
      </c>
      <c r="BG18" s="1377"/>
      <c r="BH18" s="1968" t="s">
        <v>1441</v>
      </c>
      <c r="BI18" s="1421">
        <v>50</v>
      </c>
      <c r="BJ18" s="1421">
        <v>45</v>
      </c>
      <c r="BK18" s="1421">
        <v>10</v>
      </c>
      <c r="BL18" s="1421">
        <v>2</v>
      </c>
      <c r="BM18" s="1421">
        <v>2</v>
      </c>
      <c r="BN18" s="1421">
        <v>0</v>
      </c>
      <c r="BO18" s="1421">
        <v>0</v>
      </c>
      <c r="BP18" s="2133">
        <v>30</v>
      </c>
      <c r="BQ18" s="2134">
        <v>0.2</v>
      </c>
      <c r="BR18" s="357">
        <v>0</v>
      </c>
    </row>
    <row r="19" spans="1:70" ht="23.25" customHeight="1">
      <c r="A19" s="468">
        <v>12</v>
      </c>
      <c r="B19" s="1699">
        <v>0</v>
      </c>
      <c r="C19" s="1527" t="s">
        <v>31</v>
      </c>
      <c r="D19" s="1380">
        <f t="shared" si="0"/>
        <v>0</v>
      </c>
      <c r="E19" s="2342">
        <f t="shared" si="1"/>
        <v>0</v>
      </c>
      <c r="F19" s="1381">
        <f t="shared" si="2"/>
        <v>0</v>
      </c>
      <c r="G19" s="2347">
        <f t="shared" si="11"/>
        <v>0</v>
      </c>
      <c r="H19" s="1928">
        <f t="shared" si="12"/>
        <v>0</v>
      </c>
      <c r="I19" s="1928">
        <f t="shared" si="3"/>
        <v>0</v>
      </c>
      <c r="J19" s="1928">
        <f t="shared" si="4"/>
        <v>0</v>
      </c>
      <c r="K19" s="1928">
        <f t="shared" si="5"/>
        <v>0</v>
      </c>
      <c r="L19" s="1928">
        <f t="shared" si="13"/>
        <v>0</v>
      </c>
      <c r="M19" s="1702">
        <v>0</v>
      </c>
      <c r="N19" s="1424">
        <v>0</v>
      </c>
      <c r="O19" s="1370">
        <f t="shared" si="14"/>
        <v>0</v>
      </c>
      <c r="P19" s="590">
        <v>0</v>
      </c>
      <c r="Q19" s="2300">
        <f t="shared" si="15"/>
        <v>0</v>
      </c>
      <c r="R19" s="2207">
        <v>0</v>
      </c>
      <c r="S19" s="2231">
        <f t="shared" si="16"/>
        <v>0</v>
      </c>
      <c r="T19" s="2213">
        <f t="shared" si="17"/>
        <v>0</v>
      </c>
      <c r="U19" s="2216">
        <f t="shared" si="6"/>
        <v>0</v>
      </c>
      <c r="V19" s="2213">
        <f t="shared" si="7"/>
        <v>0</v>
      </c>
      <c r="W19"/>
      <c r="X19" s="1281">
        <f t="shared" si="8"/>
        <v>12</v>
      </c>
      <c r="Y19" s="2087" t="str">
        <f t="shared" si="9"/>
        <v>keine</v>
      </c>
      <c r="Z19" s="1329"/>
      <c r="AA19" s="1330" t="s">
        <v>795</v>
      </c>
      <c r="AB19" s="1424">
        <v>0</v>
      </c>
      <c r="AC19" s="1033">
        <f>VLOOKUP(AA19,Düngemittel!$B$6:$E$64,2,FALSE)*(VLOOKUP(AA19,Düngemittel!$B$6:$E$64,3,FALSE))/100*AB19</f>
        <v>0</v>
      </c>
      <c r="AD19" s="1033">
        <f>VLOOKUP(AA19,Düngemittel!$B$6:$E$64,2,FALSE)*AB19</f>
        <v>0</v>
      </c>
      <c r="AE19" s="1033">
        <f>VLOOKUP(AA19,Düngemittel!$B$6:$E$64,4,FALSE)*AB19</f>
        <v>0</v>
      </c>
      <c r="AF19" s="2179"/>
      <c r="AG19" s="1329"/>
      <c r="AH19" s="1330" t="s">
        <v>795</v>
      </c>
      <c r="AI19" s="1424">
        <v>0</v>
      </c>
      <c r="AJ19" s="1033">
        <f>VLOOKUP(AH19,Düngemittel!$B$6:$E$64,2,FALSE)*(VLOOKUP(AH19,Düngemittel!$B$6:$E$64,3,FALSE))/100*AI19</f>
        <v>0</v>
      </c>
      <c r="AK19" s="1033">
        <f>VLOOKUP(AH19,Düngemittel!$B$6:$E$64,2,FALSE)*AI19</f>
        <v>0</v>
      </c>
      <c r="AL19" s="1033">
        <f>VLOOKUP(AH19,Düngemittel!$B$6:$E$64,4,FALSE)*AI19</f>
        <v>0</v>
      </c>
      <c r="AM19" s="2179"/>
      <c r="AN19" s="1329"/>
      <c r="AO19" s="1330" t="s">
        <v>795</v>
      </c>
      <c r="AP19" s="1424">
        <v>0</v>
      </c>
      <c r="AQ19" s="1033">
        <f>VLOOKUP(AO19,Düngemittel!$B$6:$E$64,2,FALSE)*(VLOOKUP(AO19,Düngemittel!$B$6:$E$64,3,FALSE))/100*AP19</f>
        <v>0</v>
      </c>
      <c r="AR19" s="1033">
        <f>VLOOKUP(AO19,Düngemittel!$B$6:$E$64,2,FALSE)*AP19</f>
        <v>0</v>
      </c>
      <c r="AS19" s="1033">
        <f>VLOOKUP(AO19,Düngemittel!$B$6:$E$64,4,FALSE)*AP19</f>
        <v>0</v>
      </c>
      <c r="AT19" s="1371"/>
      <c r="AU19" s="1371"/>
      <c r="AV19" s="1372">
        <f t="shared" si="18"/>
        <v>0</v>
      </c>
      <c r="AW19" s="1373">
        <f t="shared" si="19"/>
        <v>0</v>
      </c>
      <c r="AX19" s="1374">
        <f t="shared" si="20"/>
        <v>0</v>
      </c>
      <c r="AY19" s="1375">
        <f t="shared" si="21"/>
        <v>0</v>
      </c>
      <c r="AZ19" s="1373">
        <f t="shared" si="22"/>
        <v>0</v>
      </c>
      <c r="BA19" s="1376"/>
      <c r="BB19" s="1372">
        <f t="shared" si="23"/>
        <v>0</v>
      </c>
      <c r="BC19" s="1372">
        <f t="shared" si="10"/>
        <v>0</v>
      </c>
      <c r="BD19" s="1372">
        <f t="shared" si="10"/>
        <v>0</v>
      </c>
      <c r="BE19" s="1816">
        <f t="shared" si="10"/>
        <v>0</v>
      </c>
      <c r="BF19" s="1372">
        <f t="shared" si="10"/>
        <v>0</v>
      </c>
      <c r="BG19" s="1377"/>
      <c r="BH19" s="1968" t="s">
        <v>1442</v>
      </c>
      <c r="BI19" s="1421">
        <v>80</v>
      </c>
      <c r="BJ19" s="1421">
        <v>85</v>
      </c>
      <c r="BK19" s="1421">
        <v>10</v>
      </c>
      <c r="BL19" s="1421">
        <v>4</v>
      </c>
      <c r="BM19" s="1421">
        <v>4</v>
      </c>
      <c r="BN19" s="1421">
        <v>0</v>
      </c>
      <c r="BO19" s="1421">
        <v>0</v>
      </c>
      <c r="BP19" s="2135">
        <v>60</v>
      </c>
      <c r="BQ19" s="2134">
        <v>0.18</v>
      </c>
      <c r="BR19" s="357">
        <v>0</v>
      </c>
    </row>
    <row r="20" spans="1:70" ht="23.25" customHeight="1">
      <c r="A20" s="468">
        <v>13</v>
      </c>
      <c r="B20" s="1699">
        <v>0</v>
      </c>
      <c r="C20" s="1527" t="s">
        <v>31</v>
      </c>
      <c r="D20" s="1380">
        <f t="shared" si="0"/>
        <v>0</v>
      </c>
      <c r="E20" s="2342">
        <f t="shared" si="1"/>
        <v>0</v>
      </c>
      <c r="F20" s="1381">
        <f t="shared" si="2"/>
        <v>0</v>
      </c>
      <c r="G20" s="2347">
        <f t="shared" si="11"/>
        <v>0</v>
      </c>
      <c r="H20" s="1928">
        <f t="shared" si="12"/>
        <v>0</v>
      </c>
      <c r="I20" s="1928">
        <f t="shared" si="3"/>
        <v>0</v>
      </c>
      <c r="J20" s="1928">
        <f t="shared" si="4"/>
        <v>0</v>
      </c>
      <c r="K20" s="1928">
        <f t="shared" si="5"/>
        <v>0</v>
      </c>
      <c r="L20" s="1928">
        <f t="shared" si="13"/>
        <v>0</v>
      </c>
      <c r="M20" s="1702">
        <v>0</v>
      </c>
      <c r="N20" s="1424">
        <v>0</v>
      </c>
      <c r="O20" s="1370">
        <f t="shared" si="14"/>
        <v>0</v>
      </c>
      <c r="P20" s="590">
        <v>0</v>
      </c>
      <c r="Q20" s="2300">
        <f t="shared" si="15"/>
        <v>0</v>
      </c>
      <c r="R20" s="2207">
        <v>0</v>
      </c>
      <c r="S20" s="2231">
        <f t="shared" si="16"/>
        <v>0</v>
      </c>
      <c r="T20" s="2213">
        <f t="shared" si="17"/>
        <v>0</v>
      </c>
      <c r="U20" s="2216">
        <f t="shared" si="6"/>
        <v>0</v>
      </c>
      <c r="V20" s="2213">
        <f t="shared" si="7"/>
        <v>0</v>
      </c>
      <c r="W20"/>
      <c r="X20" s="1281">
        <f t="shared" si="8"/>
        <v>13</v>
      </c>
      <c r="Y20" s="2087" t="str">
        <f t="shared" si="9"/>
        <v>keine</v>
      </c>
      <c r="Z20" s="1329"/>
      <c r="AA20" s="1330" t="s">
        <v>795</v>
      </c>
      <c r="AB20" s="1424">
        <v>0</v>
      </c>
      <c r="AC20" s="1033">
        <f>VLOOKUP(AA20,Düngemittel!$B$6:$E$64,2,FALSE)*(VLOOKUP(AA20,Düngemittel!$B$6:$E$64,3,FALSE))/100*AB20</f>
        <v>0</v>
      </c>
      <c r="AD20" s="1033">
        <f>VLOOKUP(AA20,Düngemittel!$B$6:$E$64,2,FALSE)*AB20</f>
        <v>0</v>
      </c>
      <c r="AE20" s="1033">
        <f>VLOOKUP(AA20,Düngemittel!$B$6:$E$64,4,FALSE)*AB20</f>
        <v>0</v>
      </c>
      <c r="AF20" s="2179"/>
      <c r="AG20" s="1329"/>
      <c r="AH20" s="1330" t="s">
        <v>795</v>
      </c>
      <c r="AI20" s="1424">
        <v>0</v>
      </c>
      <c r="AJ20" s="1033">
        <f>VLOOKUP(AH20,Düngemittel!$B$6:$E$64,2,FALSE)*(VLOOKUP(AH20,Düngemittel!$B$6:$E$64,3,FALSE))/100*AI20</f>
        <v>0</v>
      </c>
      <c r="AK20" s="1033">
        <f>VLOOKUP(AH20,Düngemittel!$B$6:$E$64,2,FALSE)*AI20</f>
        <v>0</v>
      </c>
      <c r="AL20" s="1033">
        <f>VLOOKUP(AH20,Düngemittel!$B$6:$E$64,4,FALSE)*AI20</f>
        <v>0</v>
      </c>
      <c r="AM20" s="2179"/>
      <c r="AN20" s="1329"/>
      <c r="AO20" s="1330" t="s">
        <v>795</v>
      </c>
      <c r="AP20" s="1424">
        <v>0</v>
      </c>
      <c r="AQ20" s="1033">
        <f>VLOOKUP(AO20,Düngemittel!$B$6:$E$64,2,FALSE)*(VLOOKUP(AO20,Düngemittel!$B$6:$E$64,3,FALSE))/100*AP20</f>
        <v>0</v>
      </c>
      <c r="AR20" s="1033">
        <f>VLOOKUP(AO20,Düngemittel!$B$6:$E$64,2,FALSE)*AP20</f>
        <v>0</v>
      </c>
      <c r="AS20" s="1033">
        <f>VLOOKUP(AO20,Düngemittel!$B$6:$E$64,4,FALSE)*AP20</f>
        <v>0</v>
      </c>
      <c r="AT20" s="1371"/>
      <c r="AU20" s="1371"/>
      <c r="AV20" s="1372">
        <f t="shared" si="18"/>
        <v>0</v>
      </c>
      <c r="AW20" s="1373">
        <f t="shared" si="19"/>
        <v>0</v>
      </c>
      <c r="AX20" s="1374">
        <f t="shared" si="20"/>
        <v>0</v>
      </c>
      <c r="AY20" s="1375">
        <f t="shared" si="21"/>
        <v>0</v>
      </c>
      <c r="AZ20" s="1373">
        <f t="shared" si="22"/>
        <v>0</v>
      </c>
      <c r="BA20" s="1376"/>
      <c r="BB20" s="1372">
        <f t="shared" si="23"/>
        <v>0</v>
      </c>
      <c r="BC20" s="1372">
        <f t="shared" si="10"/>
        <v>0</v>
      </c>
      <c r="BD20" s="1372">
        <f t="shared" si="10"/>
        <v>0</v>
      </c>
      <c r="BE20" s="1816">
        <f t="shared" si="10"/>
        <v>0</v>
      </c>
      <c r="BF20" s="1372">
        <f t="shared" si="10"/>
        <v>0</v>
      </c>
      <c r="BG20" s="1377"/>
      <c r="BH20" s="1968" t="s">
        <v>1443</v>
      </c>
      <c r="BI20" s="1421">
        <v>300</v>
      </c>
      <c r="BJ20" s="1421">
        <v>205</v>
      </c>
      <c r="BK20" s="1421">
        <v>10</v>
      </c>
      <c r="BL20" s="1421">
        <v>21</v>
      </c>
      <c r="BM20" s="1421">
        <v>21</v>
      </c>
      <c r="BN20" s="1421">
        <v>0</v>
      </c>
      <c r="BO20" s="1421">
        <v>0</v>
      </c>
      <c r="BP20" s="2131">
        <v>60</v>
      </c>
      <c r="BQ20" s="2132">
        <v>0.24009999999999998</v>
      </c>
      <c r="BR20" s="357">
        <v>0</v>
      </c>
    </row>
    <row r="21" spans="1:70" ht="23.25" customHeight="1">
      <c r="A21" s="468">
        <v>14</v>
      </c>
      <c r="B21" s="1699">
        <v>0</v>
      </c>
      <c r="C21" s="1527" t="s">
        <v>31</v>
      </c>
      <c r="D21" s="1380">
        <f t="shared" si="0"/>
        <v>0</v>
      </c>
      <c r="E21" s="2342">
        <f t="shared" si="1"/>
        <v>0</v>
      </c>
      <c r="F21" s="1381">
        <f t="shared" si="2"/>
        <v>0</v>
      </c>
      <c r="G21" s="2347">
        <f t="shared" si="11"/>
        <v>0</v>
      </c>
      <c r="H21" s="1928">
        <f t="shared" si="12"/>
        <v>0</v>
      </c>
      <c r="I21" s="1928">
        <f t="shared" si="3"/>
        <v>0</v>
      </c>
      <c r="J21" s="1928">
        <f t="shared" si="4"/>
        <v>0</v>
      </c>
      <c r="K21" s="1928">
        <f t="shared" si="5"/>
        <v>0</v>
      </c>
      <c r="L21" s="1928">
        <f t="shared" si="13"/>
        <v>0</v>
      </c>
      <c r="M21" s="1702">
        <v>0</v>
      </c>
      <c r="N21" s="1424">
        <v>0</v>
      </c>
      <c r="O21" s="1370">
        <f t="shared" si="14"/>
        <v>0</v>
      </c>
      <c r="P21" s="590">
        <v>0</v>
      </c>
      <c r="Q21" s="2300">
        <f t="shared" si="15"/>
        <v>0</v>
      </c>
      <c r="R21" s="2207">
        <v>0</v>
      </c>
      <c r="S21" s="2231">
        <f t="shared" si="16"/>
        <v>0</v>
      </c>
      <c r="T21" s="2213">
        <f t="shared" si="17"/>
        <v>0</v>
      </c>
      <c r="U21" s="2216">
        <f t="shared" si="6"/>
        <v>0</v>
      </c>
      <c r="V21" s="2213">
        <f t="shared" si="7"/>
        <v>0</v>
      </c>
      <c r="W21"/>
      <c r="X21" s="1281">
        <f t="shared" si="8"/>
        <v>14</v>
      </c>
      <c r="Y21" s="2087" t="str">
        <f t="shared" si="9"/>
        <v>keine</v>
      </c>
      <c r="Z21" s="1329"/>
      <c r="AA21" s="1330" t="s">
        <v>795</v>
      </c>
      <c r="AB21" s="1424">
        <v>0</v>
      </c>
      <c r="AC21" s="1033">
        <f>VLOOKUP(AA21,Düngemittel!$B$6:$E$64,2,FALSE)*(VLOOKUP(AA21,Düngemittel!$B$6:$E$64,3,FALSE))/100*AB21</f>
        <v>0</v>
      </c>
      <c r="AD21" s="1033">
        <f>VLOOKUP(AA21,Düngemittel!$B$6:$E$64,2,FALSE)*AB21</f>
        <v>0</v>
      </c>
      <c r="AE21" s="1033">
        <f>VLOOKUP(AA21,Düngemittel!$B$6:$E$64,4,FALSE)*AB21</f>
        <v>0</v>
      </c>
      <c r="AF21" s="2179"/>
      <c r="AG21" s="1329"/>
      <c r="AH21" s="1330" t="s">
        <v>795</v>
      </c>
      <c r="AI21" s="1424">
        <v>0</v>
      </c>
      <c r="AJ21" s="1033">
        <f>VLOOKUP(AH21,Düngemittel!$B$6:$E$64,2,FALSE)*(VLOOKUP(AH21,Düngemittel!$B$6:$E$64,3,FALSE))/100*AI21</f>
        <v>0</v>
      </c>
      <c r="AK21" s="1033">
        <f>VLOOKUP(AH21,Düngemittel!$B$6:$E$64,2,FALSE)*AI21</f>
        <v>0</v>
      </c>
      <c r="AL21" s="1033">
        <f>VLOOKUP(AH21,Düngemittel!$B$6:$E$64,4,FALSE)*AI21</f>
        <v>0</v>
      </c>
      <c r="AM21" s="2179"/>
      <c r="AN21" s="1329"/>
      <c r="AO21" s="1330" t="s">
        <v>795</v>
      </c>
      <c r="AP21" s="1424">
        <v>0</v>
      </c>
      <c r="AQ21" s="1033">
        <f>VLOOKUP(AO21,Düngemittel!$B$6:$E$64,2,FALSE)*(VLOOKUP(AO21,Düngemittel!$B$6:$E$64,3,FALSE))/100*AP21</f>
        <v>0</v>
      </c>
      <c r="AR21" s="1033">
        <f>VLOOKUP(AO21,Düngemittel!$B$6:$E$64,2,FALSE)*AP21</f>
        <v>0</v>
      </c>
      <c r="AS21" s="1033">
        <f>VLOOKUP(AO21,Düngemittel!$B$6:$E$64,4,FALSE)*AP21</f>
        <v>0</v>
      </c>
      <c r="AT21" s="1371"/>
      <c r="AU21" s="1371"/>
      <c r="AV21" s="1372">
        <f t="shared" si="18"/>
        <v>0</v>
      </c>
      <c r="AW21" s="1373">
        <f t="shared" si="19"/>
        <v>0</v>
      </c>
      <c r="AX21" s="1374">
        <f t="shared" si="20"/>
        <v>0</v>
      </c>
      <c r="AY21" s="1375">
        <f t="shared" si="21"/>
        <v>0</v>
      </c>
      <c r="AZ21" s="1373">
        <f t="shared" si="22"/>
        <v>0</v>
      </c>
      <c r="BA21" s="1376"/>
      <c r="BB21" s="1372">
        <f t="shared" si="23"/>
        <v>0</v>
      </c>
      <c r="BC21" s="1372">
        <f t="shared" si="10"/>
        <v>0</v>
      </c>
      <c r="BD21" s="1372">
        <f t="shared" si="10"/>
        <v>0</v>
      </c>
      <c r="BE21" s="1816">
        <f t="shared" si="10"/>
        <v>0</v>
      </c>
      <c r="BF21" s="1372">
        <f t="shared" si="10"/>
        <v>0</v>
      </c>
      <c r="BG21" s="1377"/>
      <c r="BH21" s="1968" t="s">
        <v>1444</v>
      </c>
      <c r="BI21" s="1421">
        <v>300</v>
      </c>
      <c r="BJ21" s="1421">
        <v>205</v>
      </c>
      <c r="BK21" s="1421">
        <v>10</v>
      </c>
      <c r="BL21" s="1421">
        <v>21</v>
      </c>
      <c r="BM21" s="1421">
        <v>21</v>
      </c>
      <c r="BN21" s="1421">
        <v>0</v>
      </c>
      <c r="BO21" s="1421">
        <v>0</v>
      </c>
      <c r="BP21" s="2135">
        <v>60</v>
      </c>
      <c r="BQ21" s="2132">
        <v>0.21</v>
      </c>
      <c r="BR21" s="357">
        <v>0</v>
      </c>
    </row>
    <row r="22" spans="1:70" ht="23.25" customHeight="1">
      <c r="A22" s="468">
        <v>15</v>
      </c>
      <c r="B22" s="1699">
        <v>0</v>
      </c>
      <c r="C22" s="1527" t="s">
        <v>31</v>
      </c>
      <c r="D22" s="1380">
        <f t="shared" si="0"/>
        <v>0</v>
      </c>
      <c r="E22" s="2342">
        <f t="shared" si="1"/>
        <v>0</v>
      </c>
      <c r="F22" s="1381">
        <f t="shared" si="2"/>
        <v>0</v>
      </c>
      <c r="G22" s="2347">
        <f t="shared" si="11"/>
        <v>0</v>
      </c>
      <c r="H22" s="1928">
        <f t="shared" si="12"/>
        <v>0</v>
      </c>
      <c r="I22" s="1928">
        <f t="shared" si="3"/>
        <v>0</v>
      </c>
      <c r="J22" s="1928">
        <f t="shared" si="4"/>
        <v>0</v>
      </c>
      <c r="K22" s="1928">
        <f t="shared" si="5"/>
        <v>0</v>
      </c>
      <c r="L22" s="1928">
        <f t="shared" si="13"/>
        <v>0</v>
      </c>
      <c r="M22" s="1702">
        <v>0</v>
      </c>
      <c r="N22" s="1424">
        <v>0</v>
      </c>
      <c r="O22" s="1370">
        <f t="shared" si="14"/>
        <v>0</v>
      </c>
      <c r="P22" s="590">
        <v>0</v>
      </c>
      <c r="Q22" s="2300">
        <f t="shared" si="15"/>
        <v>0</v>
      </c>
      <c r="R22" s="2207">
        <v>0</v>
      </c>
      <c r="S22" s="2231">
        <f t="shared" si="16"/>
        <v>0</v>
      </c>
      <c r="T22" s="2213">
        <f t="shared" si="17"/>
        <v>0</v>
      </c>
      <c r="U22" s="2216">
        <f t="shared" si="6"/>
        <v>0</v>
      </c>
      <c r="V22" s="2213">
        <f t="shared" si="7"/>
        <v>0</v>
      </c>
      <c r="W22"/>
      <c r="X22" s="1281">
        <f t="shared" si="8"/>
        <v>15</v>
      </c>
      <c r="Y22" s="2087" t="str">
        <f t="shared" si="9"/>
        <v>keine</v>
      </c>
      <c r="Z22" s="1329"/>
      <c r="AA22" s="1330" t="s">
        <v>795</v>
      </c>
      <c r="AB22" s="1424">
        <v>0</v>
      </c>
      <c r="AC22" s="1033">
        <f>VLOOKUP(AA22,Düngemittel!$B$6:$E$64,2,FALSE)*(VLOOKUP(AA22,Düngemittel!$B$6:$E$64,3,FALSE))/100*AB22</f>
        <v>0</v>
      </c>
      <c r="AD22" s="1033">
        <f>VLOOKUP(AA22,Düngemittel!$B$6:$E$64,2,FALSE)*AB22</f>
        <v>0</v>
      </c>
      <c r="AE22" s="1033">
        <f>VLOOKUP(AA22,Düngemittel!$B$6:$E$64,4,FALSE)*AB22</f>
        <v>0</v>
      </c>
      <c r="AF22" s="2179"/>
      <c r="AG22" s="1329"/>
      <c r="AH22" s="1330" t="s">
        <v>795</v>
      </c>
      <c r="AI22" s="1424">
        <v>0</v>
      </c>
      <c r="AJ22" s="1033">
        <f>VLOOKUP(AH22,Düngemittel!$B$6:$E$64,2,FALSE)*(VLOOKUP(AH22,Düngemittel!$B$6:$E$64,3,FALSE))/100*AI22</f>
        <v>0</v>
      </c>
      <c r="AK22" s="1033">
        <f>VLOOKUP(AH22,Düngemittel!$B$6:$E$64,2,FALSE)*AI22</f>
        <v>0</v>
      </c>
      <c r="AL22" s="1033">
        <f>VLOOKUP(AH22,Düngemittel!$B$6:$E$64,4,FALSE)*AI22</f>
        <v>0</v>
      </c>
      <c r="AM22" s="2179"/>
      <c r="AN22" s="1329"/>
      <c r="AO22" s="1330" t="s">
        <v>795</v>
      </c>
      <c r="AP22" s="1424">
        <v>0</v>
      </c>
      <c r="AQ22" s="1033">
        <f>VLOOKUP(AO22,Düngemittel!$B$6:$E$64,2,FALSE)*(VLOOKUP(AO22,Düngemittel!$B$6:$E$64,3,FALSE))/100*AP22</f>
        <v>0</v>
      </c>
      <c r="AR22" s="1033">
        <f>VLOOKUP(AO22,Düngemittel!$B$6:$E$64,2,FALSE)*AP22</f>
        <v>0</v>
      </c>
      <c r="AS22" s="1033">
        <f>VLOOKUP(AO22,Düngemittel!$B$6:$E$64,4,FALSE)*AP22</f>
        <v>0</v>
      </c>
      <c r="AT22" s="1371"/>
      <c r="AU22" s="1371"/>
      <c r="AV22" s="1372">
        <f t="shared" si="18"/>
        <v>0</v>
      </c>
      <c r="AW22" s="1373">
        <f t="shared" si="19"/>
        <v>0</v>
      </c>
      <c r="AX22" s="1374">
        <f t="shared" si="20"/>
        <v>0</v>
      </c>
      <c r="AY22" s="1375">
        <f t="shared" si="21"/>
        <v>0</v>
      </c>
      <c r="AZ22" s="1373">
        <f t="shared" si="22"/>
        <v>0</v>
      </c>
      <c r="BA22" s="1376"/>
      <c r="BB22" s="1372">
        <f t="shared" si="23"/>
        <v>0</v>
      </c>
      <c r="BC22" s="1372">
        <f t="shared" si="10"/>
        <v>0</v>
      </c>
      <c r="BD22" s="1372">
        <f t="shared" si="10"/>
        <v>0</v>
      </c>
      <c r="BE22" s="1816">
        <f t="shared" si="10"/>
        <v>0</v>
      </c>
      <c r="BF22" s="1372">
        <f t="shared" si="10"/>
        <v>0</v>
      </c>
      <c r="BG22" s="1377"/>
      <c r="BH22" s="1968" t="s">
        <v>1445</v>
      </c>
      <c r="BI22" s="1421">
        <v>700</v>
      </c>
      <c r="BJ22" s="1421">
        <v>180</v>
      </c>
      <c r="BK22" s="1421">
        <v>10</v>
      </c>
      <c r="BL22" s="1421">
        <v>18</v>
      </c>
      <c r="BM22" s="1421">
        <v>18</v>
      </c>
      <c r="BN22" s="1421">
        <v>0</v>
      </c>
      <c r="BO22" s="1421">
        <v>0</v>
      </c>
      <c r="BP22" s="2131">
        <v>60</v>
      </c>
      <c r="BQ22" s="2134">
        <v>7.0000000000000007E-2</v>
      </c>
      <c r="BR22" s="357">
        <v>0</v>
      </c>
    </row>
    <row r="23" spans="1:70" ht="23.25" customHeight="1">
      <c r="A23" s="468">
        <v>16</v>
      </c>
      <c r="B23" s="1699">
        <v>0</v>
      </c>
      <c r="C23" s="1527" t="s">
        <v>31</v>
      </c>
      <c r="D23" s="1380">
        <f t="shared" si="0"/>
        <v>0</v>
      </c>
      <c r="E23" s="2342">
        <f t="shared" si="1"/>
        <v>0</v>
      </c>
      <c r="F23" s="1381">
        <f t="shared" si="2"/>
        <v>0</v>
      </c>
      <c r="G23" s="2347">
        <f t="shared" si="11"/>
        <v>0</v>
      </c>
      <c r="H23" s="1928">
        <f t="shared" si="12"/>
        <v>0</v>
      </c>
      <c r="I23" s="1928">
        <f t="shared" si="3"/>
        <v>0</v>
      </c>
      <c r="J23" s="1928">
        <f t="shared" si="4"/>
        <v>0</v>
      </c>
      <c r="K23" s="1928">
        <f t="shared" si="5"/>
        <v>0</v>
      </c>
      <c r="L23" s="1928">
        <f t="shared" si="13"/>
        <v>0</v>
      </c>
      <c r="M23" s="1702">
        <v>0</v>
      </c>
      <c r="N23" s="1424">
        <v>0</v>
      </c>
      <c r="O23" s="1370">
        <f t="shared" si="14"/>
        <v>0</v>
      </c>
      <c r="P23" s="590">
        <v>0</v>
      </c>
      <c r="Q23" s="2300">
        <f t="shared" si="15"/>
        <v>0</v>
      </c>
      <c r="R23" s="2207">
        <v>0</v>
      </c>
      <c r="S23" s="2231">
        <f t="shared" si="16"/>
        <v>0</v>
      </c>
      <c r="T23" s="2213">
        <f t="shared" si="17"/>
        <v>0</v>
      </c>
      <c r="U23" s="2216">
        <f t="shared" si="6"/>
        <v>0</v>
      </c>
      <c r="V23" s="2213">
        <f t="shared" si="7"/>
        <v>0</v>
      </c>
      <c r="W23"/>
      <c r="X23" s="1281">
        <f t="shared" si="8"/>
        <v>16</v>
      </c>
      <c r="Y23" s="2087" t="str">
        <f t="shared" si="9"/>
        <v>keine</v>
      </c>
      <c r="Z23" s="1329"/>
      <c r="AA23" s="1330" t="s">
        <v>795</v>
      </c>
      <c r="AB23" s="1424">
        <v>0</v>
      </c>
      <c r="AC23" s="1033">
        <f>VLOOKUP(AA23,Düngemittel!$B$6:$E$64,2,FALSE)*(VLOOKUP(AA23,Düngemittel!$B$6:$E$64,3,FALSE))/100*AB23</f>
        <v>0</v>
      </c>
      <c r="AD23" s="1033">
        <f>VLOOKUP(AA23,Düngemittel!$B$6:$E$64,2,FALSE)*AB23</f>
        <v>0</v>
      </c>
      <c r="AE23" s="1033">
        <f>VLOOKUP(AA23,Düngemittel!$B$6:$E$64,4,FALSE)*AB23</f>
        <v>0</v>
      </c>
      <c r="AF23" s="2179"/>
      <c r="AG23" s="1329"/>
      <c r="AH23" s="1330" t="s">
        <v>795</v>
      </c>
      <c r="AI23" s="1424">
        <v>0</v>
      </c>
      <c r="AJ23" s="1033">
        <f>VLOOKUP(AH23,Düngemittel!$B$6:$E$64,2,FALSE)*(VLOOKUP(AH23,Düngemittel!$B$6:$E$64,3,FALSE))/100*AI23</f>
        <v>0</v>
      </c>
      <c r="AK23" s="1033">
        <f>VLOOKUP(AH23,Düngemittel!$B$6:$E$64,2,FALSE)*AI23</f>
        <v>0</v>
      </c>
      <c r="AL23" s="1033">
        <f>VLOOKUP(AH23,Düngemittel!$B$6:$E$64,4,FALSE)*AI23</f>
        <v>0</v>
      </c>
      <c r="AM23" s="2179"/>
      <c r="AN23" s="1329"/>
      <c r="AO23" s="1330" t="s">
        <v>795</v>
      </c>
      <c r="AP23" s="1424">
        <v>0</v>
      </c>
      <c r="AQ23" s="1033">
        <f>VLOOKUP(AO23,Düngemittel!$B$6:$E$64,2,FALSE)*(VLOOKUP(AO23,Düngemittel!$B$6:$E$64,3,FALSE))/100*AP23</f>
        <v>0</v>
      </c>
      <c r="AR23" s="1033">
        <f>VLOOKUP(AO23,Düngemittel!$B$6:$E$64,2,FALSE)*AP23</f>
        <v>0</v>
      </c>
      <c r="AS23" s="1033">
        <f>VLOOKUP(AO23,Düngemittel!$B$6:$E$64,4,FALSE)*AP23</f>
        <v>0</v>
      </c>
      <c r="AT23" s="1371"/>
      <c r="AU23" s="1371"/>
      <c r="AV23" s="1372">
        <f t="shared" si="18"/>
        <v>0</v>
      </c>
      <c r="AW23" s="1373">
        <f t="shared" si="19"/>
        <v>0</v>
      </c>
      <c r="AX23" s="1374">
        <f t="shared" si="20"/>
        <v>0</v>
      </c>
      <c r="AY23" s="1375">
        <f t="shared" si="21"/>
        <v>0</v>
      </c>
      <c r="AZ23" s="1373">
        <f t="shared" si="22"/>
        <v>0</v>
      </c>
      <c r="BA23" s="1376"/>
      <c r="BB23" s="1372">
        <f t="shared" si="23"/>
        <v>0</v>
      </c>
      <c r="BC23" s="1372">
        <f t="shared" si="10"/>
        <v>0</v>
      </c>
      <c r="BD23" s="1372">
        <f t="shared" si="10"/>
        <v>0</v>
      </c>
      <c r="BE23" s="1816">
        <f t="shared" si="10"/>
        <v>0</v>
      </c>
      <c r="BF23" s="1372">
        <f t="shared" si="10"/>
        <v>0</v>
      </c>
      <c r="BG23" s="1377"/>
      <c r="BH23" s="1968" t="s">
        <v>1446</v>
      </c>
      <c r="BI23" s="1421">
        <v>720</v>
      </c>
      <c r="BJ23" s="1421">
        <v>290</v>
      </c>
      <c r="BK23" s="1421">
        <v>10</v>
      </c>
      <c r="BL23" s="1421">
        <v>29</v>
      </c>
      <c r="BM23" s="1421">
        <v>29</v>
      </c>
      <c r="BN23" s="1421">
        <v>0</v>
      </c>
      <c r="BO23" s="1421">
        <v>0</v>
      </c>
      <c r="BP23" s="2136">
        <v>60</v>
      </c>
      <c r="BQ23" s="2132">
        <v>0.11</v>
      </c>
      <c r="BR23" s="357">
        <v>0</v>
      </c>
    </row>
    <row r="24" spans="1:70" ht="23.25" customHeight="1">
      <c r="A24" s="468">
        <v>17</v>
      </c>
      <c r="B24" s="1699">
        <v>0</v>
      </c>
      <c r="C24" s="1527" t="s">
        <v>31</v>
      </c>
      <c r="D24" s="1380">
        <f t="shared" si="0"/>
        <v>0</v>
      </c>
      <c r="E24" s="2342">
        <f t="shared" si="1"/>
        <v>0</v>
      </c>
      <c r="F24" s="1381">
        <f t="shared" si="2"/>
        <v>0</v>
      </c>
      <c r="G24" s="2347">
        <f t="shared" si="11"/>
        <v>0</v>
      </c>
      <c r="H24" s="1928">
        <f t="shared" si="12"/>
        <v>0</v>
      </c>
      <c r="I24" s="1928">
        <f t="shared" si="3"/>
        <v>0</v>
      </c>
      <c r="J24" s="1928">
        <f t="shared" si="4"/>
        <v>0</v>
      </c>
      <c r="K24" s="1928">
        <f t="shared" si="5"/>
        <v>0</v>
      </c>
      <c r="L24" s="1928">
        <f t="shared" si="13"/>
        <v>0</v>
      </c>
      <c r="M24" s="1702">
        <v>0</v>
      </c>
      <c r="N24" s="1424">
        <v>0</v>
      </c>
      <c r="O24" s="1370">
        <f t="shared" si="14"/>
        <v>0</v>
      </c>
      <c r="P24" s="590">
        <v>0</v>
      </c>
      <c r="Q24" s="2300">
        <f t="shared" si="15"/>
        <v>0</v>
      </c>
      <c r="R24" s="2207">
        <v>0</v>
      </c>
      <c r="S24" s="2231">
        <f t="shared" si="16"/>
        <v>0</v>
      </c>
      <c r="T24" s="2213">
        <f t="shared" si="17"/>
        <v>0</v>
      </c>
      <c r="U24" s="2216">
        <f t="shared" si="6"/>
        <v>0</v>
      </c>
      <c r="V24" s="2213">
        <f t="shared" si="7"/>
        <v>0</v>
      </c>
      <c r="W24"/>
      <c r="X24" s="1281">
        <f t="shared" si="8"/>
        <v>17</v>
      </c>
      <c r="Y24" s="2087" t="str">
        <f t="shared" si="9"/>
        <v>keine</v>
      </c>
      <c r="Z24" s="1329"/>
      <c r="AA24" s="1330" t="s">
        <v>795</v>
      </c>
      <c r="AB24" s="1424">
        <v>0</v>
      </c>
      <c r="AC24" s="1033">
        <f>VLOOKUP(AA24,Düngemittel!$B$6:$E$64,2,FALSE)*(VLOOKUP(AA24,Düngemittel!$B$6:$E$64,3,FALSE))/100*AB24</f>
        <v>0</v>
      </c>
      <c r="AD24" s="1033">
        <f>VLOOKUP(AA24,Düngemittel!$B$6:$E$64,2,FALSE)*AB24</f>
        <v>0</v>
      </c>
      <c r="AE24" s="1033">
        <f>VLOOKUP(AA24,Düngemittel!$B$6:$E$64,4,FALSE)*AB24</f>
        <v>0</v>
      </c>
      <c r="AF24" s="2179"/>
      <c r="AG24" s="1329"/>
      <c r="AH24" s="1330" t="s">
        <v>795</v>
      </c>
      <c r="AI24" s="1424">
        <v>0</v>
      </c>
      <c r="AJ24" s="1033">
        <f>VLOOKUP(AH24,Düngemittel!$B$6:$E$64,2,FALSE)*(VLOOKUP(AH24,Düngemittel!$B$6:$E$64,3,FALSE))/100*AI24</f>
        <v>0</v>
      </c>
      <c r="AK24" s="1033">
        <f>VLOOKUP(AH24,Düngemittel!$B$6:$E$64,2,FALSE)*AI24</f>
        <v>0</v>
      </c>
      <c r="AL24" s="1033">
        <f>VLOOKUP(AH24,Düngemittel!$B$6:$E$64,4,FALSE)*AI24</f>
        <v>0</v>
      </c>
      <c r="AM24" s="2179"/>
      <c r="AN24" s="1329"/>
      <c r="AO24" s="1330" t="s">
        <v>795</v>
      </c>
      <c r="AP24" s="1424">
        <v>0</v>
      </c>
      <c r="AQ24" s="1033">
        <f>VLOOKUP(AO24,Düngemittel!$B$6:$E$64,2,FALSE)*(VLOOKUP(AO24,Düngemittel!$B$6:$E$64,3,FALSE))/100*AP24</f>
        <v>0</v>
      </c>
      <c r="AR24" s="1033">
        <f>VLOOKUP(AO24,Düngemittel!$B$6:$E$64,2,FALSE)*AP24</f>
        <v>0</v>
      </c>
      <c r="AS24" s="1033">
        <f>VLOOKUP(AO24,Düngemittel!$B$6:$E$64,4,FALSE)*AP24</f>
        <v>0</v>
      </c>
      <c r="AT24" s="1371"/>
      <c r="AU24" s="1371"/>
      <c r="AV24" s="1372">
        <f t="shared" si="18"/>
        <v>0</v>
      </c>
      <c r="AW24" s="1373">
        <f t="shared" si="19"/>
        <v>0</v>
      </c>
      <c r="AX24" s="1374">
        <f t="shared" si="20"/>
        <v>0</v>
      </c>
      <c r="AY24" s="1375">
        <f t="shared" si="21"/>
        <v>0</v>
      </c>
      <c r="AZ24" s="1373">
        <f t="shared" si="22"/>
        <v>0</v>
      </c>
      <c r="BA24" s="1376"/>
      <c r="BB24" s="1372">
        <f t="shared" si="23"/>
        <v>0</v>
      </c>
      <c r="BC24" s="1372">
        <f t="shared" si="23"/>
        <v>0</v>
      </c>
      <c r="BD24" s="1372">
        <f t="shared" si="23"/>
        <v>0</v>
      </c>
      <c r="BE24" s="1816">
        <f t="shared" si="23"/>
        <v>0</v>
      </c>
      <c r="BF24" s="1372">
        <f t="shared" si="23"/>
        <v>0</v>
      </c>
      <c r="BG24" s="1377"/>
      <c r="BH24" s="1968" t="s">
        <v>1447</v>
      </c>
      <c r="BI24" s="1421">
        <v>300</v>
      </c>
      <c r="BJ24" s="1421">
        <v>185</v>
      </c>
      <c r="BK24" s="1421">
        <v>10</v>
      </c>
      <c r="BL24" s="1421">
        <v>19</v>
      </c>
      <c r="BM24" s="1421">
        <v>19</v>
      </c>
      <c r="BN24" s="1421">
        <v>0</v>
      </c>
      <c r="BO24" s="1421">
        <v>0</v>
      </c>
      <c r="BP24" s="2133">
        <v>60</v>
      </c>
      <c r="BQ24" s="2134">
        <v>0.19</v>
      </c>
      <c r="BR24" s="357">
        <v>0</v>
      </c>
    </row>
    <row r="25" spans="1:70" ht="23.25" customHeight="1">
      <c r="A25" s="468">
        <v>18</v>
      </c>
      <c r="B25" s="1699">
        <v>0</v>
      </c>
      <c r="C25" s="1527" t="s">
        <v>31</v>
      </c>
      <c r="D25" s="1380">
        <f t="shared" si="0"/>
        <v>0</v>
      </c>
      <c r="E25" s="2342">
        <f t="shared" si="1"/>
        <v>0</v>
      </c>
      <c r="F25" s="1381">
        <f t="shared" si="2"/>
        <v>0</v>
      </c>
      <c r="G25" s="2347">
        <f t="shared" si="11"/>
        <v>0</v>
      </c>
      <c r="H25" s="1928">
        <f t="shared" si="12"/>
        <v>0</v>
      </c>
      <c r="I25" s="1928">
        <f t="shared" si="3"/>
        <v>0</v>
      </c>
      <c r="J25" s="1928">
        <f t="shared" si="4"/>
        <v>0</v>
      </c>
      <c r="K25" s="1928">
        <f t="shared" si="5"/>
        <v>0</v>
      </c>
      <c r="L25" s="1928">
        <f t="shared" si="13"/>
        <v>0</v>
      </c>
      <c r="M25" s="1702">
        <v>0</v>
      </c>
      <c r="N25" s="1424">
        <v>0</v>
      </c>
      <c r="O25" s="1370">
        <f t="shared" si="14"/>
        <v>0</v>
      </c>
      <c r="P25" s="590">
        <v>0</v>
      </c>
      <c r="Q25" s="2300">
        <f t="shared" si="15"/>
        <v>0</v>
      </c>
      <c r="R25" s="2207">
        <v>0</v>
      </c>
      <c r="S25" s="2231">
        <f t="shared" si="16"/>
        <v>0</v>
      </c>
      <c r="T25" s="2213">
        <f t="shared" si="17"/>
        <v>0</v>
      </c>
      <c r="U25" s="2216">
        <f t="shared" si="6"/>
        <v>0</v>
      </c>
      <c r="V25" s="2213">
        <f t="shared" si="7"/>
        <v>0</v>
      </c>
      <c r="W25"/>
      <c r="X25" s="1281">
        <f t="shared" si="8"/>
        <v>18</v>
      </c>
      <c r="Y25" s="2087" t="str">
        <f t="shared" si="9"/>
        <v>keine</v>
      </c>
      <c r="Z25" s="1329"/>
      <c r="AA25" s="1330" t="s">
        <v>795</v>
      </c>
      <c r="AB25" s="1424">
        <v>0</v>
      </c>
      <c r="AC25" s="1033">
        <f>VLOOKUP(AA25,Düngemittel!$B$6:$E$64,2,FALSE)*(VLOOKUP(AA25,Düngemittel!$B$6:$E$64,3,FALSE))/100*AB25</f>
        <v>0</v>
      </c>
      <c r="AD25" s="1033">
        <f>VLOOKUP(AA25,Düngemittel!$B$6:$E$64,2,FALSE)*AB25</f>
        <v>0</v>
      </c>
      <c r="AE25" s="1033">
        <f>VLOOKUP(AA25,Düngemittel!$B$6:$E$64,4,FALSE)*AB25</f>
        <v>0</v>
      </c>
      <c r="AF25" s="2179"/>
      <c r="AG25" s="1329"/>
      <c r="AH25" s="1330" t="s">
        <v>795</v>
      </c>
      <c r="AI25" s="1424">
        <v>0</v>
      </c>
      <c r="AJ25" s="1033">
        <f>VLOOKUP(AH25,Düngemittel!$B$6:$E$64,2,FALSE)*(VLOOKUP(AH25,Düngemittel!$B$6:$E$64,3,FALSE))/100*AI25</f>
        <v>0</v>
      </c>
      <c r="AK25" s="1033">
        <f>VLOOKUP(AH25,Düngemittel!$B$6:$E$64,2,FALSE)*AI25</f>
        <v>0</v>
      </c>
      <c r="AL25" s="1033">
        <f>VLOOKUP(AH25,Düngemittel!$B$6:$E$64,4,FALSE)*AI25</f>
        <v>0</v>
      </c>
      <c r="AM25" s="2179"/>
      <c r="AN25" s="1329"/>
      <c r="AO25" s="1330" t="s">
        <v>795</v>
      </c>
      <c r="AP25" s="1424">
        <v>0</v>
      </c>
      <c r="AQ25" s="1033">
        <f>VLOOKUP(AO25,Düngemittel!$B$6:$E$64,2,FALSE)*(VLOOKUP(AO25,Düngemittel!$B$6:$E$64,3,FALSE))/100*AP25</f>
        <v>0</v>
      </c>
      <c r="AR25" s="1033">
        <f>VLOOKUP(AO25,Düngemittel!$B$6:$E$64,2,FALSE)*AP25</f>
        <v>0</v>
      </c>
      <c r="AS25" s="1033">
        <f>VLOOKUP(AO25,Düngemittel!$B$6:$E$64,4,FALSE)*AP25</f>
        <v>0</v>
      </c>
      <c r="AT25" s="1371"/>
      <c r="AU25" s="1371"/>
      <c r="AV25" s="1372">
        <f t="shared" si="18"/>
        <v>0</v>
      </c>
      <c r="AW25" s="1373">
        <f t="shared" si="19"/>
        <v>0</v>
      </c>
      <c r="AX25" s="1374">
        <f t="shared" si="20"/>
        <v>0</v>
      </c>
      <c r="AY25" s="1375">
        <f t="shared" si="21"/>
        <v>0</v>
      </c>
      <c r="AZ25" s="1373">
        <f t="shared" si="22"/>
        <v>0</v>
      </c>
      <c r="BA25" s="1376"/>
      <c r="BB25" s="1372">
        <f t="shared" si="23"/>
        <v>0</v>
      </c>
      <c r="BC25" s="1372">
        <f t="shared" si="23"/>
        <v>0</v>
      </c>
      <c r="BD25" s="1372">
        <f t="shared" si="23"/>
        <v>0</v>
      </c>
      <c r="BE25" s="1816">
        <f t="shared" si="23"/>
        <v>0</v>
      </c>
      <c r="BF25" s="1372">
        <f t="shared" si="23"/>
        <v>0</v>
      </c>
      <c r="BG25" s="1377"/>
      <c r="BH25" s="1968" t="s">
        <v>1448</v>
      </c>
      <c r="BI25" s="1421">
        <v>13</v>
      </c>
      <c r="BJ25" s="1421">
        <v>95</v>
      </c>
      <c r="BK25" s="1421">
        <v>10</v>
      </c>
      <c r="BL25" s="1421">
        <v>10</v>
      </c>
      <c r="BM25" s="1421">
        <v>10</v>
      </c>
      <c r="BN25" s="1421">
        <v>0</v>
      </c>
      <c r="BO25" s="1421">
        <v>0</v>
      </c>
      <c r="BP25" s="2131">
        <v>30</v>
      </c>
      <c r="BQ25" s="2134">
        <v>3.2015384615384614</v>
      </c>
      <c r="BR25" s="357">
        <v>0</v>
      </c>
    </row>
    <row r="26" spans="1:70" ht="23.25" customHeight="1">
      <c r="A26" s="468">
        <v>19</v>
      </c>
      <c r="B26" s="1699">
        <v>0</v>
      </c>
      <c r="C26" s="1527" t="s">
        <v>31</v>
      </c>
      <c r="D26" s="1380">
        <f t="shared" si="0"/>
        <v>0</v>
      </c>
      <c r="E26" s="2342">
        <f t="shared" si="1"/>
        <v>0</v>
      </c>
      <c r="F26" s="1381">
        <f t="shared" si="2"/>
        <v>0</v>
      </c>
      <c r="G26" s="2347">
        <f t="shared" si="11"/>
        <v>0</v>
      </c>
      <c r="H26" s="1928">
        <f t="shared" si="12"/>
        <v>0</v>
      </c>
      <c r="I26" s="1928">
        <f t="shared" si="3"/>
        <v>0</v>
      </c>
      <c r="J26" s="1928">
        <f t="shared" si="4"/>
        <v>0</v>
      </c>
      <c r="K26" s="1928">
        <f t="shared" si="5"/>
        <v>0</v>
      </c>
      <c r="L26" s="1928">
        <f t="shared" si="13"/>
        <v>0</v>
      </c>
      <c r="M26" s="1702">
        <v>0</v>
      </c>
      <c r="N26" s="1424">
        <v>0</v>
      </c>
      <c r="O26" s="1370">
        <f t="shared" si="14"/>
        <v>0</v>
      </c>
      <c r="P26" s="590">
        <v>0</v>
      </c>
      <c r="Q26" s="2300">
        <f t="shared" si="15"/>
        <v>0</v>
      </c>
      <c r="R26" s="2207">
        <v>0</v>
      </c>
      <c r="S26" s="2231">
        <f t="shared" si="16"/>
        <v>0</v>
      </c>
      <c r="T26" s="2213">
        <f t="shared" si="17"/>
        <v>0</v>
      </c>
      <c r="U26" s="2216">
        <f t="shared" si="6"/>
        <v>0</v>
      </c>
      <c r="V26" s="2213">
        <f t="shared" si="7"/>
        <v>0</v>
      </c>
      <c r="W26"/>
      <c r="X26" s="1281">
        <f t="shared" si="8"/>
        <v>19</v>
      </c>
      <c r="Y26" s="2087" t="str">
        <f t="shared" si="9"/>
        <v>keine</v>
      </c>
      <c r="Z26" s="1329"/>
      <c r="AA26" s="1330" t="s">
        <v>795</v>
      </c>
      <c r="AB26" s="1424">
        <v>0</v>
      </c>
      <c r="AC26" s="1033">
        <f>VLOOKUP(AA26,Düngemittel!$B$6:$E$64,2,FALSE)*(VLOOKUP(AA26,Düngemittel!$B$6:$E$64,3,FALSE))/100*AB26</f>
        <v>0</v>
      </c>
      <c r="AD26" s="1033">
        <f>VLOOKUP(AA26,Düngemittel!$B$6:$E$64,2,FALSE)*AB26</f>
        <v>0</v>
      </c>
      <c r="AE26" s="1033">
        <f>VLOOKUP(AA26,Düngemittel!$B$6:$E$64,4,FALSE)*AB26</f>
        <v>0</v>
      </c>
      <c r="AF26" s="2179"/>
      <c r="AG26" s="1329"/>
      <c r="AH26" s="1330" t="s">
        <v>795</v>
      </c>
      <c r="AI26" s="1424">
        <v>0</v>
      </c>
      <c r="AJ26" s="1033">
        <f>VLOOKUP(AH26,Düngemittel!$B$6:$E$64,2,FALSE)*(VLOOKUP(AH26,Düngemittel!$B$6:$E$64,3,FALSE))/100*AI26</f>
        <v>0</v>
      </c>
      <c r="AK26" s="1033">
        <f>VLOOKUP(AH26,Düngemittel!$B$6:$E$64,2,FALSE)*AI26</f>
        <v>0</v>
      </c>
      <c r="AL26" s="1033">
        <f>VLOOKUP(AH26,Düngemittel!$B$6:$E$64,4,FALSE)*AI26</f>
        <v>0</v>
      </c>
      <c r="AM26" s="2179"/>
      <c r="AN26" s="1329"/>
      <c r="AO26" s="1330" t="s">
        <v>795</v>
      </c>
      <c r="AP26" s="1424">
        <v>0</v>
      </c>
      <c r="AQ26" s="1033">
        <f>VLOOKUP(AO26,Düngemittel!$B$6:$E$64,2,FALSE)*(VLOOKUP(AO26,Düngemittel!$B$6:$E$64,3,FALSE))/100*AP26</f>
        <v>0</v>
      </c>
      <c r="AR26" s="1033">
        <f>VLOOKUP(AO26,Düngemittel!$B$6:$E$64,2,FALSE)*AP26</f>
        <v>0</v>
      </c>
      <c r="AS26" s="1033">
        <f>VLOOKUP(AO26,Düngemittel!$B$6:$E$64,4,FALSE)*AP26</f>
        <v>0</v>
      </c>
      <c r="AT26" s="1371"/>
      <c r="AU26" s="1371"/>
      <c r="AV26" s="1372">
        <f t="shared" si="18"/>
        <v>0</v>
      </c>
      <c r="AW26" s="1373">
        <f t="shared" si="19"/>
        <v>0</v>
      </c>
      <c r="AX26" s="1374">
        <f t="shared" si="20"/>
        <v>0</v>
      </c>
      <c r="AY26" s="1375">
        <f t="shared" si="21"/>
        <v>0</v>
      </c>
      <c r="AZ26" s="1373">
        <f t="shared" si="22"/>
        <v>0</v>
      </c>
      <c r="BA26" s="1376"/>
      <c r="BB26" s="1372">
        <f t="shared" si="23"/>
        <v>0</v>
      </c>
      <c r="BC26" s="1372">
        <f t="shared" si="23"/>
        <v>0</v>
      </c>
      <c r="BD26" s="1372">
        <f t="shared" si="23"/>
        <v>0</v>
      </c>
      <c r="BE26" s="1816">
        <f t="shared" si="23"/>
        <v>0</v>
      </c>
      <c r="BF26" s="1372">
        <f t="shared" si="23"/>
        <v>0</v>
      </c>
      <c r="BG26" s="1377"/>
      <c r="BH26" s="1968" t="s">
        <v>1449</v>
      </c>
      <c r="BI26" s="1421">
        <v>13</v>
      </c>
      <c r="BJ26" s="1421">
        <v>95</v>
      </c>
      <c r="BK26" s="1421">
        <v>10</v>
      </c>
      <c r="BL26" s="1421">
        <v>10</v>
      </c>
      <c r="BM26" s="1421">
        <v>10</v>
      </c>
      <c r="BN26" s="1421">
        <v>0</v>
      </c>
      <c r="BO26" s="1421">
        <v>0</v>
      </c>
      <c r="BP26" s="2131">
        <v>30</v>
      </c>
      <c r="BQ26" s="2132">
        <v>1.1499999999999999</v>
      </c>
      <c r="BR26" s="357">
        <v>0</v>
      </c>
    </row>
    <row r="27" spans="1:70" ht="23.25" customHeight="1">
      <c r="A27" s="468">
        <v>20</v>
      </c>
      <c r="B27" s="1699">
        <v>0</v>
      </c>
      <c r="C27" s="1527" t="s">
        <v>31</v>
      </c>
      <c r="D27" s="1380">
        <f t="shared" si="0"/>
        <v>0</v>
      </c>
      <c r="E27" s="2342">
        <f t="shared" si="1"/>
        <v>0</v>
      </c>
      <c r="F27" s="1381">
        <f t="shared" si="2"/>
        <v>0</v>
      </c>
      <c r="G27" s="2347">
        <f t="shared" si="11"/>
        <v>0</v>
      </c>
      <c r="H27" s="1928">
        <f t="shared" si="12"/>
        <v>0</v>
      </c>
      <c r="I27" s="1928">
        <f t="shared" si="3"/>
        <v>0</v>
      </c>
      <c r="J27" s="1928">
        <f t="shared" si="4"/>
        <v>0</v>
      </c>
      <c r="K27" s="1928">
        <f t="shared" si="5"/>
        <v>0</v>
      </c>
      <c r="L27" s="1928">
        <f t="shared" si="13"/>
        <v>0</v>
      </c>
      <c r="M27" s="1702">
        <v>0</v>
      </c>
      <c r="N27" s="1424">
        <v>0</v>
      </c>
      <c r="O27" s="1370">
        <f t="shared" si="14"/>
        <v>0</v>
      </c>
      <c r="P27" s="590">
        <v>0</v>
      </c>
      <c r="Q27" s="2300">
        <f t="shared" si="15"/>
        <v>0</v>
      </c>
      <c r="R27" s="2207">
        <v>0</v>
      </c>
      <c r="S27" s="2231">
        <f t="shared" si="16"/>
        <v>0</v>
      </c>
      <c r="T27" s="2213">
        <f t="shared" si="17"/>
        <v>0</v>
      </c>
      <c r="U27" s="2216">
        <f t="shared" si="6"/>
        <v>0</v>
      </c>
      <c r="V27" s="2213">
        <f t="shared" si="7"/>
        <v>0</v>
      </c>
      <c r="W27"/>
      <c r="X27" s="1281">
        <f t="shared" si="8"/>
        <v>20</v>
      </c>
      <c r="Y27" s="2087" t="str">
        <f t="shared" si="9"/>
        <v>keine</v>
      </c>
      <c r="Z27" s="1329"/>
      <c r="AA27" s="1330" t="s">
        <v>795</v>
      </c>
      <c r="AB27" s="1424">
        <v>0</v>
      </c>
      <c r="AC27" s="1033">
        <f>VLOOKUP(AA27,Düngemittel!$B$6:$E$64,2,FALSE)*(VLOOKUP(AA27,Düngemittel!$B$6:$E$64,3,FALSE))/100*AB27</f>
        <v>0</v>
      </c>
      <c r="AD27" s="1033">
        <f>VLOOKUP(AA27,Düngemittel!$B$6:$E$64,2,FALSE)*AB27</f>
        <v>0</v>
      </c>
      <c r="AE27" s="1033">
        <f>VLOOKUP(AA27,Düngemittel!$B$6:$E$64,4,FALSE)*AB27</f>
        <v>0</v>
      </c>
      <c r="AF27" s="2179"/>
      <c r="AG27" s="1329"/>
      <c r="AH27" s="1330" t="s">
        <v>795</v>
      </c>
      <c r="AI27" s="1424">
        <v>0</v>
      </c>
      <c r="AJ27" s="1033">
        <f>VLOOKUP(AH27,Düngemittel!$B$6:$E$64,2,FALSE)*(VLOOKUP(AH27,Düngemittel!$B$6:$E$64,3,FALSE))/100*AI27</f>
        <v>0</v>
      </c>
      <c r="AK27" s="1033">
        <f>VLOOKUP(AH27,Düngemittel!$B$6:$E$64,2,FALSE)*AI27</f>
        <v>0</v>
      </c>
      <c r="AL27" s="1033">
        <f>VLOOKUP(AH27,Düngemittel!$B$6:$E$64,4,FALSE)*AI27</f>
        <v>0</v>
      </c>
      <c r="AM27" s="2179"/>
      <c r="AN27" s="1329"/>
      <c r="AO27" s="1330" t="s">
        <v>795</v>
      </c>
      <c r="AP27" s="1424">
        <v>0</v>
      </c>
      <c r="AQ27" s="1033">
        <f>VLOOKUP(AO27,Düngemittel!$B$6:$E$64,2,FALSE)*(VLOOKUP(AO27,Düngemittel!$B$6:$E$64,3,FALSE))/100*AP27</f>
        <v>0</v>
      </c>
      <c r="AR27" s="1033">
        <f>VLOOKUP(AO27,Düngemittel!$B$6:$E$64,2,FALSE)*AP27</f>
        <v>0</v>
      </c>
      <c r="AS27" s="1033">
        <f>VLOOKUP(AO27,Düngemittel!$B$6:$E$64,4,FALSE)*AP27</f>
        <v>0</v>
      </c>
      <c r="AT27" s="1371"/>
      <c r="AU27" s="1371"/>
      <c r="AV27" s="1372">
        <f t="shared" si="18"/>
        <v>0</v>
      </c>
      <c r="AW27" s="1373">
        <f t="shared" si="19"/>
        <v>0</v>
      </c>
      <c r="AX27" s="1374">
        <f t="shared" si="20"/>
        <v>0</v>
      </c>
      <c r="AY27" s="1375">
        <f t="shared" si="21"/>
        <v>0</v>
      </c>
      <c r="AZ27" s="1373">
        <f t="shared" si="22"/>
        <v>0</v>
      </c>
      <c r="BA27" s="1376"/>
      <c r="BB27" s="1372">
        <f t="shared" si="23"/>
        <v>0</v>
      </c>
      <c r="BC27" s="1372">
        <f t="shared" si="23"/>
        <v>0</v>
      </c>
      <c r="BD27" s="1372">
        <f t="shared" si="23"/>
        <v>0</v>
      </c>
      <c r="BE27" s="1816">
        <f t="shared" si="23"/>
        <v>0</v>
      </c>
      <c r="BF27" s="1372">
        <f t="shared" si="23"/>
        <v>0</v>
      </c>
      <c r="BG27" s="1377"/>
      <c r="BH27" s="1968" t="s">
        <v>1450</v>
      </c>
      <c r="BI27" s="1421">
        <v>150</v>
      </c>
      <c r="BJ27" s="1421">
        <v>80</v>
      </c>
      <c r="BK27" s="1421">
        <v>10</v>
      </c>
      <c r="BL27" s="1421">
        <v>8</v>
      </c>
      <c r="BM27" s="1421">
        <v>8</v>
      </c>
      <c r="BN27" s="1421">
        <v>0</v>
      </c>
      <c r="BO27" s="1421">
        <v>0</v>
      </c>
      <c r="BP27" s="2131">
        <v>60</v>
      </c>
      <c r="BQ27" s="2132">
        <v>0.08</v>
      </c>
      <c r="BR27" s="357">
        <v>0</v>
      </c>
    </row>
    <row r="28" spans="1:70" ht="23.25" customHeight="1">
      <c r="A28" s="468">
        <v>21</v>
      </c>
      <c r="B28" s="1699">
        <v>0</v>
      </c>
      <c r="C28" s="1527" t="s">
        <v>31</v>
      </c>
      <c r="D28" s="1380">
        <f t="shared" si="0"/>
        <v>0</v>
      </c>
      <c r="E28" s="2342">
        <f t="shared" si="1"/>
        <v>0</v>
      </c>
      <c r="F28" s="1381">
        <f t="shared" si="2"/>
        <v>0</v>
      </c>
      <c r="G28" s="2347">
        <f t="shared" si="11"/>
        <v>0</v>
      </c>
      <c r="H28" s="1928">
        <f t="shared" si="12"/>
        <v>0</v>
      </c>
      <c r="I28" s="1928">
        <f t="shared" si="3"/>
        <v>0</v>
      </c>
      <c r="J28" s="1928">
        <f t="shared" si="4"/>
        <v>0</v>
      </c>
      <c r="K28" s="1928">
        <f t="shared" si="5"/>
        <v>0</v>
      </c>
      <c r="L28" s="1928">
        <f t="shared" si="13"/>
        <v>0</v>
      </c>
      <c r="M28" s="1702">
        <v>0</v>
      </c>
      <c r="N28" s="1424">
        <v>0</v>
      </c>
      <c r="O28" s="1370">
        <f t="shared" si="14"/>
        <v>0</v>
      </c>
      <c r="P28" s="590">
        <v>0</v>
      </c>
      <c r="Q28" s="2300">
        <f t="shared" si="15"/>
        <v>0</v>
      </c>
      <c r="R28" s="2207">
        <v>0</v>
      </c>
      <c r="S28" s="2231">
        <f t="shared" si="16"/>
        <v>0</v>
      </c>
      <c r="T28" s="2213">
        <f t="shared" si="17"/>
        <v>0</v>
      </c>
      <c r="U28" s="2216">
        <f t="shared" si="6"/>
        <v>0</v>
      </c>
      <c r="V28" s="2213">
        <f t="shared" si="7"/>
        <v>0</v>
      </c>
      <c r="W28"/>
      <c r="X28" s="1281">
        <f t="shared" si="8"/>
        <v>21</v>
      </c>
      <c r="Y28" s="2087" t="str">
        <f t="shared" si="9"/>
        <v>keine</v>
      </c>
      <c r="Z28" s="1329"/>
      <c r="AA28" s="1330" t="s">
        <v>795</v>
      </c>
      <c r="AB28" s="1424">
        <v>0</v>
      </c>
      <c r="AC28" s="1033">
        <f>VLOOKUP(AA28,Düngemittel!$B$6:$E$64,2,FALSE)*(VLOOKUP(AA28,Düngemittel!$B$6:$E$64,3,FALSE))/100*AB28</f>
        <v>0</v>
      </c>
      <c r="AD28" s="1033">
        <f>VLOOKUP(AA28,Düngemittel!$B$6:$E$64,2,FALSE)*AB28</f>
        <v>0</v>
      </c>
      <c r="AE28" s="1033">
        <f>VLOOKUP(AA28,Düngemittel!$B$6:$E$64,4,FALSE)*AB28</f>
        <v>0</v>
      </c>
      <c r="AF28" s="142"/>
      <c r="AG28" s="1329"/>
      <c r="AH28" s="1330" t="s">
        <v>795</v>
      </c>
      <c r="AI28" s="1424">
        <v>0</v>
      </c>
      <c r="AJ28" s="1033">
        <f>VLOOKUP(AH28,Düngemittel!$B$6:$E$64,2,FALSE)*(VLOOKUP(AH28,Düngemittel!$B$6:$E$64,3,FALSE))/100*AI28</f>
        <v>0</v>
      </c>
      <c r="AK28" s="1033">
        <f>VLOOKUP(AH28,Düngemittel!$B$6:$E$64,2,FALSE)*AI28</f>
        <v>0</v>
      </c>
      <c r="AL28" s="1033">
        <f>VLOOKUP(AH28,Düngemittel!$B$6:$E$64,4,FALSE)*AI28</f>
        <v>0</v>
      </c>
      <c r="AM28" s="142"/>
      <c r="AN28" s="1329"/>
      <c r="AO28" s="1330" t="s">
        <v>795</v>
      </c>
      <c r="AP28" s="1424">
        <v>0</v>
      </c>
      <c r="AQ28" s="1033">
        <f>VLOOKUP(AO28,Düngemittel!$B$6:$E$64,2,FALSE)*(VLOOKUP(AO28,Düngemittel!$B$6:$E$64,3,FALSE))/100*AP28</f>
        <v>0</v>
      </c>
      <c r="AR28" s="1033">
        <f>VLOOKUP(AO28,Düngemittel!$B$6:$E$64,2,FALSE)*AP28</f>
        <v>0</v>
      </c>
      <c r="AS28" s="1033">
        <f>VLOOKUP(AO28,Düngemittel!$B$6:$E$64,4,FALSE)*AP28</f>
        <v>0</v>
      </c>
      <c r="AT28" s="1371"/>
      <c r="AU28" s="1371"/>
      <c r="AV28" s="1372">
        <f t="shared" si="18"/>
        <v>0</v>
      </c>
      <c r="AW28" s="1373">
        <f t="shared" si="19"/>
        <v>0</v>
      </c>
      <c r="AX28" s="1374">
        <f t="shared" si="20"/>
        <v>0</v>
      </c>
      <c r="AY28" s="1375">
        <f t="shared" si="21"/>
        <v>0</v>
      </c>
      <c r="AZ28" s="1373">
        <f t="shared" si="22"/>
        <v>0</v>
      </c>
      <c r="BA28" s="1376"/>
      <c r="BB28" s="1372">
        <f t="shared" si="23"/>
        <v>0</v>
      </c>
      <c r="BC28" s="1372">
        <f t="shared" si="23"/>
        <v>0</v>
      </c>
      <c r="BD28" s="1372">
        <f t="shared" si="23"/>
        <v>0</v>
      </c>
      <c r="BE28" s="1816">
        <f t="shared" si="23"/>
        <v>0</v>
      </c>
      <c r="BF28" s="1372">
        <f t="shared" si="23"/>
        <v>0</v>
      </c>
      <c r="BG28" s="1377"/>
      <c r="BH28" s="1968" t="s">
        <v>1451</v>
      </c>
      <c r="BI28" s="1421">
        <v>25</v>
      </c>
      <c r="BJ28" s="1421">
        <v>150</v>
      </c>
      <c r="BK28" s="1421">
        <v>10</v>
      </c>
      <c r="BL28" s="1421">
        <v>15</v>
      </c>
      <c r="BM28" s="1421">
        <v>15</v>
      </c>
      <c r="BN28" s="1421">
        <v>0</v>
      </c>
      <c r="BO28" s="1421">
        <v>0</v>
      </c>
      <c r="BP28" s="2131">
        <v>60</v>
      </c>
      <c r="BQ28" s="2134">
        <v>2.2200000000000002</v>
      </c>
      <c r="BR28" s="357">
        <v>0</v>
      </c>
    </row>
    <row r="29" spans="1:70" ht="24" customHeight="1">
      <c r="A29" s="468">
        <v>22</v>
      </c>
      <c r="B29" s="1699">
        <v>0</v>
      </c>
      <c r="C29" s="1527" t="s">
        <v>31</v>
      </c>
      <c r="D29" s="1380">
        <f t="shared" si="0"/>
        <v>0</v>
      </c>
      <c r="E29" s="2342">
        <f t="shared" si="1"/>
        <v>0</v>
      </c>
      <c r="F29" s="1381">
        <f t="shared" si="2"/>
        <v>0</v>
      </c>
      <c r="G29" s="2347">
        <f t="shared" si="11"/>
        <v>0</v>
      </c>
      <c r="H29" s="1928">
        <f t="shared" si="12"/>
        <v>0</v>
      </c>
      <c r="I29" s="1928">
        <f t="shared" si="3"/>
        <v>0</v>
      </c>
      <c r="J29" s="1928">
        <f t="shared" si="4"/>
        <v>0</v>
      </c>
      <c r="K29" s="1928">
        <f t="shared" si="5"/>
        <v>0</v>
      </c>
      <c r="L29" s="1928">
        <f t="shared" si="13"/>
        <v>0</v>
      </c>
      <c r="M29" s="1702">
        <v>0</v>
      </c>
      <c r="N29" s="1424">
        <v>0</v>
      </c>
      <c r="O29" s="1370">
        <f t="shared" si="14"/>
        <v>0</v>
      </c>
      <c r="P29" s="590">
        <v>0</v>
      </c>
      <c r="Q29" s="2300">
        <f t="shared" si="15"/>
        <v>0</v>
      </c>
      <c r="R29" s="2207">
        <v>0</v>
      </c>
      <c r="S29" s="2231">
        <f t="shared" si="16"/>
        <v>0</v>
      </c>
      <c r="T29" s="2213">
        <f t="shared" si="17"/>
        <v>0</v>
      </c>
      <c r="U29" s="2216">
        <f t="shared" si="6"/>
        <v>0</v>
      </c>
      <c r="V29" s="2213">
        <f t="shared" si="7"/>
        <v>0</v>
      </c>
      <c r="W29"/>
      <c r="X29" s="1281">
        <f t="shared" si="8"/>
        <v>22</v>
      </c>
      <c r="Y29" s="2087" t="str">
        <f t="shared" si="9"/>
        <v>keine</v>
      </c>
      <c r="Z29" s="1329"/>
      <c r="AA29" s="1330" t="s">
        <v>795</v>
      </c>
      <c r="AB29" s="1424">
        <v>0</v>
      </c>
      <c r="AC29" s="1033">
        <f>VLOOKUP(AA29,Düngemittel!$B$6:$E$64,2,FALSE)*(VLOOKUP(AA29,Düngemittel!$B$6:$E$64,3,FALSE))/100*AB29</f>
        <v>0</v>
      </c>
      <c r="AD29" s="1033">
        <f>VLOOKUP(AA29,Düngemittel!$B$6:$E$64,2,FALSE)*AB29</f>
        <v>0</v>
      </c>
      <c r="AE29" s="1033">
        <f>VLOOKUP(AA29,Düngemittel!$B$6:$E$64,4,FALSE)*AB29</f>
        <v>0</v>
      </c>
      <c r="AF29" s="2179"/>
      <c r="AG29" s="1329"/>
      <c r="AH29" s="1330" t="s">
        <v>795</v>
      </c>
      <c r="AI29" s="1424">
        <v>0</v>
      </c>
      <c r="AJ29" s="1033">
        <f>VLOOKUP(AH29,Düngemittel!$B$6:$E$64,2,FALSE)*(VLOOKUP(AH29,Düngemittel!$B$6:$E$64,3,FALSE))/100*AI29</f>
        <v>0</v>
      </c>
      <c r="AK29" s="1033">
        <f>VLOOKUP(AH29,Düngemittel!$B$6:$E$64,2,FALSE)*AI29</f>
        <v>0</v>
      </c>
      <c r="AL29" s="1033">
        <f>VLOOKUP(AH29,Düngemittel!$B$6:$E$64,4,FALSE)*AI29</f>
        <v>0</v>
      </c>
      <c r="AM29" s="2179"/>
      <c r="AN29" s="1329"/>
      <c r="AO29" s="1330" t="s">
        <v>795</v>
      </c>
      <c r="AP29" s="1424">
        <v>0</v>
      </c>
      <c r="AQ29" s="1033">
        <f>VLOOKUP(AO29,Düngemittel!$B$6:$E$64,2,FALSE)*(VLOOKUP(AO29,Düngemittel!$B$6:$E$64,3,FALSE))/100*AP29</f>
        <v>0</v>
      </c>
      <c r="AR29" s="1033">
        <f>VLOOKUP(AO29,Düngemittel!$B$6:$E$64,2,FALSE)*AP29</f>
        <v>0</v>
      </c>
      <c r="AS29" s="1033">
        <f>VLOOKUP(AO29,Düngemittel!$B$6:$E$64,4,FALSE)*AP29</f>
        <v>0</v>
      </c>
      <c r="AT29" s="1371"/>
      <c r="AU29" s="1371"/>
      <c r="AV29" s="1372">
        <f t="shared" si="18"/>
        <v>0</v>
      </c>
      <c r="AW29" s="1373">
        <f t="shared" si="19"/>
        <v>0</v>
      </c>
      <c r="AX29" s="1374">
        <f t="shared" si="20"/>
        <v>0</v>
      </c>
      <c r="AY29" s="1375">
        <f t="shared" si="21"/>
        <v>0</v>
      </c>
      <c r="AZ29" s="1373">
        <f t="shared" si="22"/>
        <v>0</v>
      </c>
      <c r="BA29" s="1376"/>
      <c r="BB29" s="1372">
        <f t="shared" si="23"/>
        <v>0</v>
      </c>
      <c r="BC29" s="1372">
        <f t="shared" si="23"/>
        <v>0</v>
      </c>
      <c r="BD29" s="1372">
        <f t="shared" si="23"/>
        <v>0</v>
      </c>
      <c r="BE29" s="1816">
        <f t="shared" si="23"/>
        <v>0</v>
      </c>
      <c r="BF29" s="1372">
        <f t="shared" si="23"/>
        <v>0</v>
      </c>
      <c r="BG29" s="1377"/>
      <c r="BH29" s="1968" t="s">
        <v>1452</v>
      </c>
      <c r="BI29" s="1421">
        <v>25</v>
      </c>
      <c r="BJ29" s="1421">
        <v>150</v>
      </c>
      <c r="BK29" s="1421">
        <v>10</v>
      </c>
      <c r="BL29" s="1421">
        <v>15</v>
      </c>
      <c r="BM29" s="1421">
        <v>15</v>
      </c>
      <c r="BN29" s="1421">
        <v>0</v>
      </c>
      <c r="BO29" s="1421">
        <v>0</v>
      </c>
      <c r="BP29" s="2131">
        <v>60</v>
      </c>
      <c r="BQ29" s="2132">
        <v>1.26</v>
      </c>
      <c r="BR29" s="357">
        <v>0</v>
      </c>
    </row>
    <row r="30" spans="1:70" ht="24" customHeight="1">
      <c r="A30" s="468">
        <v>23</v>
      </c>
      <c r="B30" s="1699">
        <v>0</v>
      </c>
      <c r="C30" s="1527" t="s">
        <v>31</v>
      </c>
      <c r="D30" s="1380">
        <f t="shared" si="0"/>
        <v>0</v>
      </c>
      <c r="E30" s="2342">
        <f t="shared" si="1"/>
        <v>0</v>
      </c>
      <c r="F30" s="1381">
        <f t="shared" si="2"/>
        <v>0</v>
      </c>
      <c r="G30" s="2347">
        <f t="shared" ref="G30:G50" si="24">M30-D30</f>
        <v>0</v>
      </c>
      <c r="H30" s="1928">
        <f t="shared" ref="H30:H50" si="25">IF(G30=0,0,G30*100/D30)</f>
        <v>0</v>
      </c>
      <c r="I30" s="1928">
        <f t="shared" si="3"/>
        <v>0</v>
      </c>
      <c r="J30" s="1928">
        <f t="shared" si="4"/>
        <v>0</v>
      </c>
      <c r="K30" s="1928">
        <f t="shared" si="5"/>
        <v>0</v>
      </c>
      <c r="L30" s="1928">
        <f t="shared" ref="L30:L50" si="26">IF(I30=0,0,IF(H30&gt;0,ROUNDDOWN(H30/I30,0)*J30,IF(H30&lt;=0,ROUNDDOWN(H30/I30,0)*K30,IF(G30&gt;0,G30*J30/F30,K30*G30/0))))</f>
        <v>0</v>
      </c>
      <c r="M30" s="1702">
        <v>0</v>
      </c>
      <c r="N30" s="1424">
        <v>0</v>
      </c>
      <c r="O30" s="1370">
        <f t="shared" si="14"/>
        <v>0</v>
      </c>
      <c r="P30" s="590">
        <v>1</v>
      </c>
      <c r="Q30" s="2300">
        <f t="shared" ref="Q30:Q50" si="27">P30*O30/100</f>
        <v>0</v>
      </c>
      <c r="R30" s="2207">
        <v>0</v>
      </c>
      <c r="S30" s="2231">
        <f t="shared" si="16"/>
        <v>0</v>
      </c>
      <c r="T30" s="2213">
        <f t="shared" si="17"/>
        <v>0</v>
      </c>
      <c r="U30" s="2216">
        <f t="shared" si="6"/>
        <v>0</v>
      </c>
      <c r="V30" s="2213">
        <f t="shared" si="7"/>
        <v>0</v>
      </c>
      <c r="W30"/>
      <c r="X30" s="1281">
        <f t="shared" si="8"/>
        <v>23</v>
      </c>
      <c r="Y30" s="2087" t="str">
        <f t="shared" si="9"/>
        <v>keine</v>
      </c>
      <c r="Z30" s="1329"/>
      <c r="AA30" s="1330" t="s">
        <v>795</v>
      </c>
      <c r="AB30" s="1424">
        <v>0</v>
      </c>
      <c r="AC30" s="1033">
        <f>VLOOKUP(AA30,Düngemittel!$B$6:$E$64,2,FALSE)*(VLOOKUP(AA30,Düngemittel!$B$6:$E$64,3,FALSE))/100*AB30</f>
        <v>0</v>
      </c>
      <c r="AD30" s="1033">
        <f>VLOOKUP(AA30,Düngemittel!$B$6:$E$64,2,FALSE)*AB30</f>
        <v>0</v>
      </c>
      <c r="AE30" s="1033">
        <f>VLOOKUP(AA30,Düngemittel!$B$6:$E$64,4,FALSE)*AB30</f>
        <v>0</v>
      </c>
      <c r="AF30" s="2324"/>
      <c r="AG30" s="1329"/>
      <c r="AH30" s="1330" t="s">
        <v>795</v>
      </c>
      <c r="AI30" s="1424">
        <v>0</v>
      </c>
      <c r="AJ30" s="1033">
        <f>VLOOKUP(AH30,Düngemittel!$B$6:$E$64,2,FALSE)*(VLOOKUP(AH30,Düngemittel!$B$6:$E$64,3,FALSE))/100*AI30</f>
        <v>0</v>
      </c>
      <c r="AK30" s="1033">
        <f>VLOOKUP(AH30,Düngemittel!$B$6:$E$64,2,FALSE)*AI30</f>
        <v>0</v>
      </c>
      <c r="AL30" s="1033">
        <f>VLOOKUP(AH30,Düngemittel!$B$6:$E$64,4,FALSE)*AI30</f>
        <v>0</v>
      </c>
      <c r="AM30" s="2324"/>
      <c r="AN30" s="1329"/>
      <c r="AO30" s="1330" t="s">
        <v>795</v>
      </c>
      <c r="AP30" s="1424">
        <v>0</v>
      </c>
      <c r="AQ30" s="1033">
        <f>VLOOKUP(AO30,Düngemittel!$B$6:$E$64,2,FALSE)*(VLOOKUP(AO30,Düngemittel!$B$6:$E$64,3,FALSE))/100*AP30</f>
        <v>0</v>
      </c>
      <c r="AR30" s="1033">
        <f>VLOOKUP(AO30,Düngemittel!$B$6:$E$64,2,FALSE)*AP30</f>
        <v>0</v>
      </c>
      <c r="AS30" s="1033">
        <f>VLOOKUP(AO30,Düngemittel!$B$6:$E$64,4,FALSE)*AP30</f>
        <v>0</v>
      </c>
      <c r="AT30" s="1371"/>
      <c r="AU30" s="1371"/>
      <c r="AV30" s="1372">
        <f t="shared" ref="AV30:AV50" si="28">IF(AC30&lt;AD30,0,AC30)+IF(AJ30&lt;AK30,0,AJ30)+IF(AQ30&lt;AR30,0,AQ30)</f>
        <v>0</v>
      </c>
      <c r="AW30" s="1373">
        <f t="shared" ref="AW30:AW50" si="29">SUM(AC30+AJ30+AQ30)</f>
        <v>0</v>
      </c>
      <c r="AX30" s="1374">
        <f t="shared" ref="AX30:AX50" si="30">SUM(AD30+AK30+AR30)</f>
        <v>0</v>
      </c>
      <c r="AY30" s="1375">
        <f t="shared" ref="AY30:AY50" si="31">IF(AC30&lt;AD30,AD30,0)+IF(AJ30&lt;AK30,AK30,0)+IF(AQ30&lt;AR30,AR30,0)</f>
        <v>0</v>
      </c>
      <c r="AZ30" s="1373">
        <f t="shared" ref="AZ30:AZ50" si="32">SUM(AE30+AL30+AS30)</f>
        <v>0</v>
      </c>
      <c r="BA30" s="1376"/>
      <c r="BB30" s="1372">
        <f t="shared" ref="BB30:BB50" si="33">AV30*$B30</f>
        <v>0</v>
      </c>
      <c r="BC30" s="1372">
        <f t="shared" ref="BC30:BC50" si="34">AW30*$B30</f>
        <v>0</v>
      </c>
      <c r="BD30" s="1372">
        <f t="shared" ref="BD30:BD50" si="35">AX30*$B30</f>
        <v>0</v>
      </c>
      <c r="BE30" s="1816">
        <f t="shared" ref="BE30:BE50" si="36">AY30*$B30</f>
        <v>0</v>
      </c>
      <c r="BF30" s="1372">
        <f t="shared" ref="BF30:BF50" si="37">AZ30*$B30</f>
        <v>0</v>
      </c>
      <c r="BG30" s="1377"/>
      <c r="BH30" s="1968" t="s">
        <v>1453</v>
      </c>
      <c r="BI30" s="1421">
        <v>75</v>
      </c>
      <c r="BJ30" s="1421">
        <v>80</v>
      </c>
      <c r="BK30" s="1421">
        <v>10</v>
      </c>
      <c r="BL30" s="1421">
        <v>8</v>
      </c>
      <c r="BM30" s="1421">
        <v>8</v>
      </c>
      <c r="BN30" s="1421">
        <v>0</v>
      </c>
      <c r="BO30" s="1421">
        <v>0</v>
      </c>
      <c r="BP30" s="2131">
        <v>60</v>
      </c>
      <c r="BQ30" s="2132">
        <v>0.41666666666666663</v>
      </c>
      <c r="BR30" s="357">
        <v>0</v>
      </c>
    </row>
    <row r="31" spans="1:70" ht="24" customHeight="1">
      <c r="A31" s="468">
        <v>24</v>
      </c>
      <c r="B31" s="1699">
        <v>0</v>
      </c>
      <c r="C31" s="1527" t="s">
        <v>31</v>
      </c>
      <c r="D31" s="1380">
        <f t="shared" si="0"/>
        <v>0</v>
      </c>
      <c r="E31" s="2342">
        <f t="shared" si="1"/>
        <v>0</v>
      </c>
      <c r="F31" s="1381">
        <f t="shared" si="2"/>
        <v>0</v>
      </c>
      <c r="G31" s="2347">
        <f t="shared" si="24"/>
        <v>0</v>
      </c>
      <c r="H31" s="1928">
        <f t="shared" si="25"/>
        <v>0</v>
      </c>
      <c r="I31" s="1928">
        <f t="shared" si="3"/>
        <v>0</v>
      </c>
      <c r="J31" s="1928">
        <f t="shared" si="4"/>
        <v>0</v>
      </c>
      <c r="K31" s="1928">
        <f t="shared" si="5"/>
        <v>0</v>
      </c>
      <c r="L31" s="1928">
        <f t="shared" si="26"/>
        <v>0</v>
      </c>
      <c r="M31" s="1702">
        <v>0</v>
      </c>
      <c r="N31" s="1424">
        <v>0</v>
      </c>
      <c r="O31" s="1370">
        <f t="shared" si="14"/>
        <v>0</v>
      </c>
      <c r="P31" s="590">
        <v>2</v>
      </c>
      <c r="Q31" s="2300">
        <f t="shared" si="27"/>
        <v>0</v>
      </c>
      <c r="R31" s="2207">
        <v>0</v>
      </c>
      <c r="S31" s="2231">
        <f t="shared" si="16"/>
        <v>0</v>
      </c>
      <c r="T31" s="2213">
        <f t="shared" si="17"/>
        <v>0</v>
      </c>
      <c r="U31" s="2216">
        <f t="shared" si="6"/>
        <v>0</v>
      </c>
      <c r="V31" s="2213">
        <f t="shared" si="7"/>
        <v>0</v>
      </c>
      <c r="W31"/>
      <c r="X31" s="1281">
        <f t="shared" si="8"/>
        <v>24</v>
      </c>
      <c r="Y31" s="2087" t="str">
        <f t="shared" si="9"/>
        <v>keine</v>
      </c>
      <c r="Z31" s="1329"/>
      <c r="AA31" s="1330" t="s">
        <v>795</v>
      </c>
      <c r="AB31" s="1424">
        <v>0</v>
      </c>
      <c r="AC31" s="1033">
        <f>VLOOKUP(AA31,Düngemittel!$B$6:$E$64,2,FALSE)*(VLOOKUP(AA31,Düngemittel!$B$6:$E$64,3,FALSE))/100*AB31</f>
        <v>0</v>
      </c>
      <c r="AD31" s="1033">
        <f>VLOOKUP(AA31,Düngemittel!$B$6:$E$64,2,FALSE)*AB31</f>
        <v>0</v>
      </c>
      <c r="AE31" s="1033">
        <f>VLOOKUP(AA31,Düngemittel!$B$6:$E$64,4,FALSE)*AB31</f>
        <v>0</v>
      </c>
      <c r="AF31" s="2324"/>
      <c r="AG31" s="1329"/>
      <c r="AH31" s="1330" t="s">
        <v>795</v>
      </c>
      <c r="AI31" s="1424">
        <v>0</v>
      </c>
      <c r="AJ31" s="1033">
        <f>VLOOKUP(AH31,Düngemittel!$B$6:$E$64,2,FALSE)*(VLOOKUP(AH31,Düngemittel!$B$6:$E$64,3,FALSE))/100*AI31</f>
        <v>0</v>
      </c>
      <c r="AK31" s="1033">
        <f>VLOOKUP(AH31,Düngemittel!$B$6:$E$64,2,FALSE)*AI31</f>
        <v>0</v>
      </c>
      <c r="AL31" s="1033">
        <f>VLOOKUP(AH31,Düngemittel!$B$6:$E$64,4,FALSE)*AI31</f>
        <v>0</v>
      </c>
      <c r="AM31" s="2324"/>
      <c r="AN31" s="1329"/>
      <c r="AO31" s="1330" t="s">
        <v>795</v>
      </c>
      <c r="AP31" s="1424">
        <v>0</v>
      </c>
      <c r="AQ31" s="1033">
        <f>VLOOKUP(AO31,Düngemittel!$B$6:$E$64,2,FALSE)*(VLOOKUP(AO31,Düngemittel!$B$6:$E$64,3,FALSE))/100*AP31</f>
        <v>0</v>
      </c>
      <c r="AR31" s="1033">
        <f>VLOOKUP(AO31,Düngemittel!$B$6:$E$64,2,FALSE)*AP31</f>
        <v>0</v>
      </c>
      <c r="AS31" s="1033">
        <f>VLOOKUP(AO31,Düngemittel!$B$6:$E$64,4,FALSE)*AP31</f>
        <v>0</v>
      </c>
      <c r="AT31" s="1371"/>
      <c r="AU31" s="1371"/>
      <c r="AV31" s="1372">
        <f t="shared" si="28"/>
        <v>0</v>
      </c>
      <c r="AW31" s="1373">
        <f t="shared" si="29"/>
        <v>0</v>
      </c>
      <c r="AX31" s="1374">
        <f t="shared" si="30"/>
        <v>0</v>
      </c>
      <c r="AY31" s="1375">
        <f t="shared" si="31"/>
        <v>0</v>
      </c>
      <c r="AZ31" s="1373">
        <f t="shared" si="32"/>
        <v>0</v>
      </c>
      <c r="BA31" s="1376"/>
      <c r="BB31" s="1372">
        <f t="shared" si="33"/>
        <v>0</v>
      </c>
      <c r="BC31" s="1372">
        <f t="shared" si="34"/>
        <v>0</v>
      </c>
      <c r="BD31" s="1372">
        <f t="shared" si="35"/>
        <v>0</v>
      </c>
      <c r="BE31" s="1816">
        <f t="shared" si="36"/>
        <v>0</v>
      </c>
      <c r="BF31" s="1372">
        <f t="shared" si="37"/>
        <v>0</v>
      </c>
      <c r="BG31" s="1377"/>
      <c r="BH31" s="1968" t="s">
        <v>1454</v>
      </c>
      <c r="BI31" s="1421">
        <v>75</v>
      </c>
      <c r="BJ31" s="1421">
        <v>80</v>
      </c>
      <c r="BK31" s="1421">
        <v>10</v>
      </c>
      <c r="BL31" s="1421">
        <v>8</v>
      </c>
      <c r="BM31" s="1421">
        <v>8</v>
      </c>
      <c r="BN31" s="1421">
        <v>0</v>
      </c>
      <c r="BO31" s="1421">
        <v>0</v>
      </c>
      <c r="BP31" s="2131">
        <v>60</v>
      </c>
      <c r="BQ31" s="2132">
        <v>0.25</v>
      </c>
      <c r="BR31" s="357">
        <v>0</v>
      </c>
    </row>
    <row r="32" spans="1:70" ht="24" customHeight="1">
      <c r="A32" s="468">
        <v>25</v>
      </c>
      <c r="B32" s="1699">
        <v>0</v>
      </c>
      <c r="C32" s="1527" t="s">
        <v>31</v>
      </c>
      <c r="D32" s="1380">
        <f t="shared" si="0"/>
        <v>0</v>
      </c>
      <c r="E32" s="2342">
        <f t="shared" si="1"/>
        <v>0</v>
      </c>
      <c r="F32" s="1381">
        <f t="shared" si="2"/>
        <v>0</v>
      </c>
      <c r="G32" s="2347">
        <f t="shared" si="24"/>
        <v>0</v>
      </c>
      <c r="H32" s="1928">
        <f t="shared" si="25"/>
        <v>0</v>
      </c>
      <c r="I32" s="1928">
        <f t="shared" si="3"/>
        <v>0</v>
      </c>
      <c r="J32" s="1928">
        <f t="shared" si="4"/>
        <v>0</v>
      </c>
      <c r="K32" s="1928">
        <f t="shared" si="5"/>
        <v>0</v>
      </c>
      <c r="L32" s="1928">
        <f t="shared" si="26"/>
        <v>0</v>
      </c>
      <c r="M32" s="1702">
        <v>0</v>
      </c>
      <c r="N32" s="1424">
        <v>0</v>
      </c>
      <c r="O32" s="1370">
        <f t="shared" si="14"/>
        <v>0</v>
      </c>
      <c r="P32" s="590">
        <v>3</v>
      </c>
      <c r="Q32" s="2300">
        <f t="shared" si="27"/>
        <v>0</v>
      </c>
      <c r="R32" s="2207">
        <v>0</v>
      </c>
      <c r="S32" s="2231">
        <f t="shared" si="16"/>
        <v>0</v>
      </c>
      <c r="T32" s="2213">
        <f t="shared" si="17"/>
        <v>0</v>
      </c>
      <c r="U32" s="2216">
        <f t="shared" si="6"/>
        <v>0</v>
      </c>
      <c r="V32" s="2213">
        <f t="shared" si="7"/>
        <v>0</v>
      </c>
      <c r="W32"/>
      <c r="X32" s="1281">
        <f t="shared" si="8"/>
        <v>25</v>
      </c>
      <c r="Y32" s="2087" t="str">
        <f t="shared" si="9"/>
        <v>keine</v>
      </c>
      <c r="Z32" s="1329"/>
      <c r="AA32" s="1330" t="s">
        <v>795</v>
      </c>
      <c r="AB32" s="1424">
        <v>0</v>
      </c>
      <c r="AC32" s="1033">
        <f>VLOOKUP(AA32,Düngemittel!$B$6:$E$64,2,FALSE)*(VLOOKUP(AA32,Düngemittel!$B$6:$E$64,3,FALSE))/100*AB32</f>
        <v>0</v>
      </c>
      <c r="AD32" s="1033">
        <f>VLOOKUP(AA32,Düngemittel!$B$6:$E$64,2,FALSE)*AB32</f>
        <v>0</v>
      </c>
      <c r="AE32" s="1033">
        <f>VLOOKUP(AA32,Düngemittel!$B$6:$E$64,4,FALSE)*AB32</f>
        <v>0</v>
      </c>
      <c r="AF32" s="2324"/>
      <c r="AG32" s="1329"/>
      <c r="AH32" s="1330" t="s">
        <v>795</v>
      </c>
      <c r="AI32" s="1424">
        <v>0</v>
      </c>
      <c r="AJ32" s="1033">
        <f>VLOOKUP(AH32,Düngemittel!$B$6:$E$64,2,FALSE)*(VLOOKUP(AH32,Düngemittel!$B$6:$E$64,3,FALSE))/100*AI32</f>
        <v>0</v>
      </c>
      <c r="AK32" s="1033">
        <f>VLOOKUP(AH32,Düngemittel!$B$6:$E$64,2,FALSE)*AI32</f>
        <v>0</v>
      </c>
      <c r="AL32" s="1033">
        <f>VLOOKUP(AH32,Düngemittel!$B$6:$E$64,4,FALSE)*AI32</f>
        <v>0</v>
      </c>
      <c r="AM32" s="2324"/>
      <c r="AN32" s="1329"/>
      <c r="AO32" s="1330" t="s">
        <v>795</v>
      </c>
      <c r="AP32" s="1424">
        <v>0</v>
      </c>
      <c r="AQ32" s="1033">
        <f>VLOOKUP(AO32,Düngemittel!$B$6:$E$64,2,FALSE)*(VLOOKUP(AO32,Düngemittel!$B$6:$E$64,3,FALSE))/100*AP32</f>
        <v>0</v>
      </c>
      <c r="AR32" s="1033">
        <f>VLOOKUP(AO32,Düngemittel!$B$6:$E$64,2,FALSE)*AP32</f>
        <v>0</v>
      </c>
      <c r="AS32" s="1033">
        <f>VLOOKUP(AO32,Düngemittel!$B$6:$E$64,4,FALSE)*AP32</f>
        <v>0</v>
      </c>
      <c r="AT32" s="1371"/>
      <c r="AU32" s="1371"/>
      <c r="AV32" s="1372">
        <f t="shared" si="28"/>
        <v>0</v>
      </c>
      <c r="AW32" s="1373">
        <f t="shared" si="29"/>
        <v>0</v>
      </c>
      <c r="AX32" s="1374">
        <f t="shared" si="30"/>
        <v>0</v>
      </c>
      <c r="AY32" s="1375">
        <f t="shared" si="31"/>
        <v>0</v>
      </c>
      <c r="AZ32" s="1373">
        <f t="shared" si="32"/>
        <v>0</v>
      </c>
      <c r="BA32" s="1376"/>
      <c r="BB32" s="1372">
        <f t="shared" si="33"/>
        <v>0</v>
      </c>
      <c r="BC32" s="1372">
        <f t="shared" si="34"/>
        <v>0</v>
      </c>
      <c r="BD32" s="1372">
        <f t="shared" si="35"/>
        <v>0</v>
      </c>
      <c r="BE32" s="1816">
        <f t="shared" si="36"/>
        <v>0</v>
      </c>
      <c r="BF32" s="1372">
        <f t="shared" si="37"/>
        <v>0</v>
      </c>
      <c r="BG32" s="1377"/>
      <c r="BH32" s="1968" t="s">
        <v>1455</v>
      </c>
      <c r="BI32" s="1421">
        <v>20</v>
      </c>
      <c r="BJ32" s="1421">
        <v>100</v>
      </c>
      <c r="BK32" s="1421">
        <v>10</v>
      </c>
      <c r="BL32" s="1421">
        <v>10</v>
      </c>
      <c r="BM32" s="1421">
        <v>10</v>
      </c>
      <c r="BN32" s="1421">
        <v>0</v>
      </c>
      <c r="BO32" s="1421">
        <v>0</v>
      </c>
      <c r="BP32" s="2136">
        <v>30</v>
      </c>
      <c r="BQ32" s="2132">
        <v>1.25</v>
      </c>
      <c r="BR32" s="357">
        <v>0</v>
      </c>
    </row>
    <row r="33" spans="1:70" ht="24" customHeight="1">
      <c r="A33" s="468">
        <v>26</v>
      </c>
      <c r="B33" s="1699">
        <v>0</v>
      </c>
      <c r="C33" s="1527" t="s">
        <v>31</v>
      </c>
      <c r="D33" s="1380">
        <f t="shared" si="0"/>
        <v>0</v>
      </c>
      <c r="E33" s="2342">
        <f t="shared" si="1"/>
        <v>0</v>
      </c>
      <c r="F33" s="1381">
        <f t="shared" si="2"/>
        <v>0</v>
      </c>
      <c r="G33" s="2347">
        <f t="shared" si="24"/>
        <v>0</v>
      </c>
      <c r="H33" s="1928">
        <f t="shared" si="25"/>
        <v>0</v>
      </c>
      <c r="I33" s="1928">
        <f t="shared" si="3"/>
        <v>0</v>
      </c>
      <c r="J33" s="1928">
        <f t="shared" si="4"/>
        <v>0</v>
      </c>
      <c r="K33" s="1928">
        <f t="shared" si="5"/>
        <v>0</v>
      </c>
      <c r="L33" s="1928">
        <f t="shared" si="26"/>
        <v>0</v>
      </c>
      <c r="M33" s="1702">
        <v>0</v>
      </c>
      <c r="N33" s="1424">
        <v>0</v>
      </c>
      <c r="O33" s="1370">
        <f t="shared" si="14"/>
        <v>0</v>
      </c>
      <c r="P33" s="590">
        <v>4</v>
      </c>
      <c r="Q33" s="2300">
        <f t="shared" si="27"/>
        <v>0</v>
      </c>
      <c r="R33" s="2207">
        <v>0</v>
      </c>
      <c r="S33" s="2231">
        <f t="shared" si="16"/>
        <v>0</v>
      </c>
      <c r="T33" s="2213">
        <f t="shared" si="17"/>
        <v>0</v>
      </c>
      <c r="U33" s="2216">
        <f t="shared" si="6"/>
        <v>0</v>
      </c>
      <c r="V33" s="2213">
        <f t="shared" si="7"/>
        <v>0</v>
      </c>
      <c r="W33"/>
      <c r="X33" s="1281">
        <f t="shared" si="8"/>
        <v>26</v>
      </c>
      <c r="Y33" s="2087" t="str">
        <f t="shared" si="9"/>
        <v>keine</v>
      </c>
      <c r="Z33" s="1329"/>
      <c r="AA33" s="1330" t="s">
        <v>795</v>
      </c>
      <c r="AB33" s="1424">
        <v>0</v>
      </c>
      <c r="AC33" s="1033">
        <f>VLOOKUP(AA33,Düngemittel!$B$6:$E$64,2,FALSE)*(VLOOKUP(AA33,Düngemittel!$B$6:$E$64,3,FALSE))/100*AB33</f>
        <v>0</v>
      </c>
      <c r="AD33" s="1033">
        <f>VLOOKUP(AA33,Düngemittel!$B$6:$E$64,2,FALSE)*AB33</f>
        <v>0</v>
      </c>
      <c r="AE33" s="1033">
        <f>VLOOKUP(AA33,Düngemittel!$B$6:$E$64,4,FALSE)*AB33</f>
        <v>0</v>
      </c>
      <c r="AF33" s="2324"/>
      <c r="AG33" s="1329"/>
      <c r="AH33" s="1330" t="s">
        <v>795</v>
      </c>
      <c r="AI33" s="1424">
        <v>0</v>
      </c>
      <c r="AJ33" s="1033">
        <f>VLOOKUP(AH33,Düngemittel!$B$6:$E$64,2,FALSE)*(VLOOKUP(AH33,Düngemittel!$B$6:$E$64,3,FALSE))/100*AI33</f>
        <v>0</v>
      </c>
      <c r="AK33" s="1033">
        <f>VLOOKUP(AH33,Düngemittel!$B$6:$E$64,2,FALSE)*AI33</f>
        <v>0</v>
      </c>
      <c r="AL33" s="1033">
        <f>VLOOKUP(AH33,Düngemittel!$B$6:$E$64,4,FALSE)*AI33</f>
        <v>0</v>
      </c>
      <c r="AM33" s="2324"/>
      <c r="AN33" s="1329"/>
      <c r="AO33" s="1330" t="s">
        <v>795</v>
      </c>
      <c r="AP33" s="1424">
        <v>0</v>
      </c>
      <c r="AQ33" s="1033">
        <f>VLOOKUP(AO33,Düngemittel!$B$6:$E$64,2,FALSE)*(VLOOKUP(AO33,Düngemittel!$B$6:$E$64,3,FALSE))/100*AP33</f>
        <v>0</v>
      </c>
      <c r="AR33" s="1033">
        <f>VLOOKUP(AO33,Düngemittel!$B$6:$E$64,2,FALSE)*AP33</f>
        <v>0</v>
      </c>
      <c r="AS33" s="1033">
        <f>VLOOKUP(AO33,Düngemittel!$B$6:$E$64,4,FALSE)*AP33</f>
        <v>0</v>
      </c>
      <c r="AT33" s="1371"/>
      <c r="AU33" s="1371"/>
      <c r="AV33" s="1372">
        <f t="shared" si="28"/>
        <v>0</v>
      </c>
      <c r="AW33" s="1373">
        <f t="shared" si="29"/>
        <v>0</v>
      </c>
      <c r="AX33" s="1374">
        <f t="shared" si="30"/>
        <v>0</v>
      </c>
      <c r="AY33" s="1375">
        <f t="shared" si="31"/>
        <v>0</v>
      </c>
      <c r="AZ33" s="1373">
        <f t="shared" si="32"/>
        <v>0</v>
      </c>
      <c r="BA33" s="1376"/>
      <c r="BB33" s="1372">
        <f t="shared" si="33"/>
        <v>0</v>
      </c>
      <c r="BC33" s="1372">
        <f t="shared" si="34"/>
        <v>0</v>
      </c>
      <c r="BD33" s="1372">
        <f t="shared" si="35"/>
        <v>0</v>
      </c>
      <c r="BE33" s="1816">
        <f t="shared" si="36"/>
        <v>0</v>
      </c>
      <c r="BF33" s="1372">
        <f t="shared" si="37"/>
        <v>0</v>
      </c>
      <c r="BG33" s="1377"/>
      <c r="BH33" s="1968" t="s">
        <v>1456</v>
      </c>
      <c r="BI33" s="1421">
        <v>20</v>
      </c>
      <c r="BJ33" s="1421">
        <v>100</v>
      </c>
      <c r="BK33" s="1421">
        <v>10</v>
      </c>
      <c r="BL33" s="1421">
        <v>10</v>
      </c>
      <c r="BM33" s="1421">
        <v>10</v>
      </c>
      <c r="BN33" s="1421">
        <v>0</v>
      </c>
      <c r="BO33" s="1421">
        <v>0</v>
      </c>
      <c r="BP33" s="2136">
        <v>30</v>
      </c>
      <c r="BQ33" s="2132">
        <v>0.25</v>
      </c>
      <c r="BR33" s="357">
        <v>0</v>
      </c>
    </row>
    <row r="34" spans="1:70" ht="24" customHeight="1">
      <c r="A34" s="468">
        <v>27</v>
      </c>
      <c r="B34" s="1699">
        <v>0</v>
      </c>
      <c r="C34" s="1527" t="s">
        <v>31</v>
      </c>
      <c r="D34" s="1380">
        <f t="shared" si="0"/>
        <v>0</v>
      </c>
      <c r="E34" s="2342">
        <f t="shared" si="1"/>
        <v>0</v>
      </c>
      <c r="F34" s="1381">
        <f t="shared" si="2"/>
        <v>0</v>
      </c>
      <c r="G34" s="2347">
        <f t="shared" si="24"/>
        <v>0</v>
      </c>
      <c r="H34" s="1928">
        <f t="shared" si="25"/>
        <v>0</v>
      </c>
      <c r="I34" s="1928">
        <f t="shared" si="3"/>
        <v>0</v>
      </c>
      <c r="J34" s="1928">
        <f t="shared" si="4"/>
        <v>0</v>
      </c>
      <c r="K34" s="1928">
        <f t="shared" si="5"/>
        <v>0</v>
      </c>
      <c r="L34" s="1928">
        <f t="shared" si="26"/>
        <v>0</v>
      </c>
      <c r="M34" s="1702">
        <v>0</v>
      </c>
      <c r="N34" s="1424">
        <v>0</v>
      </c>
      <c r="O34" s="1370">
        <f t="shared" si="14"/>
        <v>0</v>
      </c>
      <c r="P34" s="590">
        <v>5</v>
      </c>
      <c r="Q34" s="2300">
        <f t="shared" si="27"/>
        <v>0</v>
      </c>
      <c r="R34" s="2207">
        <v>0</v>
      </c>
      <c r="S34" s="2231">
        <f t="shared" si="16"/>
        <v>0</v>
      </c>
      <c r="T34" s="2213">
        <f t="shared" si="17"/>
        <v>0</v>
      </c>
      <c r="U34" s="2216">
        <f t="shared" si="6"/>
        <v>0</v>
      </c>
      <c r="V34" s="2213">
        <f t="shared" si="7"/>
        <v>0</v>
      </c>
      <c r="W34"/>
      <c r="X34" s="1281">
        <f t="shared" si="8"/>
        <v>27</v>
      </c>
      <c r="Y34" s="2087" t="str">
        <f t="shared" si="9"/>
        <v>keine</v>
      </c>
      <c r="Z34" s="1329"/>
      <c r="AA34" s="1330" t="s">
        <v>795</v>
      </c>
      <c r="AB34" s="1424">
        <v>0</v>
      </c>
      <c r="AC34" s="1033">
        <f>VLOOKUP(AA34,Düngemittel!$B$6:$E$64,2,FALSE)*(VLOOKUP(AA34,Düngemittel!$B$6:$E$64,3,FALSE))/100*AB34</f>
        <v>0</v>
      </c>
      <c r="AD34" s="1033">
        <f>VLOOKUP(AA34,Düngemittel!$B$6:$E$64,2,FALSE)*AB34</f>
        <v>0</v>
      </c>
      <c r="AE34" s="1033">
        <f>VLOOKUP(AA34,Düngemittel!$B$6:$E$64,4,FALSE)*AB34</f>
        <v>0</v>
      </c>
      <c r="AF34" s="2324"/>
      <c r="AG34" s="1329"/>
      <c r="AH34" s="1330" t="s">
        <v>795</v>
      </c>
      <c r="AI34" s="1424">
        <v>0</v>
      </c>
      <c r="AJ34" s="1033">
        <f>VLOOKUP(AH34,Düngemittel!$B$6:$E$64,2,FALSE)*(VLOOKUP(AH34,Düngemittel!$B$6:$E$64,3,FALSE))/100*AI34</f>
        <v>0</v>
      </c>
      <c r="AK34" s="1033">
        <f>VLOOKUP(AH34,Düngemittel!$B$6:$E$64,2,FALSE)*AI34</f>
        <v>0</v>
      </c>
      <c r="AL34" s="1033">
        <f>VLOOKUP(AH34,Düngemittel!$B$6:$E$64,4,FALSE)*AI34</f>
        <v>0</v>
      </c>
      <c r="AM34" s="2324"/>
      <c r="AN34" s="1329"/>
      <c r="AO34" s="1330" t="s">
        <v>795</v>
      </c>
      <c r="AP34" s="1424">
        <v>0</v>
      </c>
      <c r="AQ34" s="1033">
        <f>VLOOKUP(AO34,Düngemittel!$B$6:$E$64,2,FALSE)*(VLOOKUP(AO34,Düngemittel!$B$6:$E$64,3,FALSE))/100*AP34</f>
        <v>0</v>
      </c>
      <c r="AR34" s="1033">
        <f>VLOOKUP(AO34,Düngemittel!$B$6:$E$64,2,FALSE)*AP34</f>
        <v>0</v>
      </c>
      <c r="AS34" s="1033">
        <f>VLOOKUP(AO34,Düngemittel!$B$6:$E$64,4,FALSE)*AP34</f>
        <v>0</v>
      </c>
      <c r="AT34" s="1371"/>
      <c r="AU34" s="1371"/>
      <c r="AV34" s="1372">
        <f t="shared" si="28"/>
        <v>0</v>
      </c>
      <c r="AW34" s="1373">
        <f t="shared" si="29"/>
        <v>0</v>
      </c>
      <c r="AX34" s="1374">
        <f t="shared" si="30"/>
        <v>0</v>
      </c>
      <c r="AY34" s="1375">
        <f t="shared" si="31"/>
        <v>0</v>
      </c>
      <c r="AZ34" s="1373">
        <f t="shared" si="32"/>
        <v>0</v>
      </c>
      <c r="BA34" s="1376"/>
      <c r="BB34" s="1372">
        <f t="shared" si="33"/>
        <v>0</v>
      </c>
      <c r="BC34" s="1372">
        <f t="shared" si="34"/>
        <v>0</v>
      </c>
      <c r="BD34" s="1372">
        <f t="shared" si="35"/>
        <v>0</v>
      </c>
      <c r="BE34" s="1816">
        <f t="shared" si="36"/>
        <v>0</v>
      </c>
      <c r="BF34" s="1372">
        <f t="shared" si="37"/>
        <v>0</v>
      </c>
      <c r="BG34" s="1377"/>
      <c r="BH34" s="1968" t="s">
        <v>1457</v>
      </c>
      <c r="BI34" s="1421">
        <v>150</v>
      </c>
      <c r="BJ34" s="1421">
        <v>120</v>
      </c>
      <c r="BK34" s="1421">
        <v>10</v>
      </c>
      <c r="BL34" s="1421">
        <v>12</v>
      </c>
      <c r="BM34" s="1421">
        <v>12</v>
      </c>
      <c r="BN34" s="1421">
        <v>0</v>
      </c>
      <c r="BO34" s="1421">
        <v>0</v>
      </c>
      <c r="BP34" s="2131">
        <v>30</v>
      </c>
      <c r="BQ34" s="2132">
        <v>0.32333333333333336</v>
      </c>
      <c r="BR34" s="357">
        <v>0</v>
      </c>
    </row>
    <row r="35" spans="1:70" ht="24" customHeight="1">
      <c r="A35" s="468">
        <v>28</v>
      </c>
      <c r="B35" s="1699">
        <v>0</v>
      </c>
      <c r="C35" s="1527" t="s">
        <v>31</v>
      </c>
      <c r="D35" s="1380">
        <f t="shared" si="0"/>
        <v>0</v>
      </c>
      <c r="E35" s="2342">
        <f t="shared" si="1"/>
        <v>0</v>
      </c>
      <c r="F35" s="1381">
        <f t="shared" si="2"/>
        <v>0</v>
      </c>
      <c r="G35" s="2347">
        <f t="shared" si="24"/>
        <v>0</v>
      </c>
      <c r="H35" s="1928">
        <f t="shared" si="25"/>
        <v>0</v>
      </c>
      <c r="I35" s="1928">
        <f t="shared" si="3"/>
        <v>0</v>
      </c>
      <c r="J35" s="1928">
        <f t="shared" si="4"/>
        <v>0</v>
      </c>
      <c r="K35" s="1928">
        <f t="shared" si="5"/>
        <v>0</v>
      </c>
      <c r="L35" s="1928">
        <f t="shared" si="26"/>
        <v>0</v>
      </c>
      <c r="M35" s="1702">
        <v>0</v>
      </c>
      <c r="N35" s="1424">
        <v>0</v>
      </c>
      <c r="O35" s="1370">
        <f t="shared" si="14"/>
        <v>0</v>
      </c>
      <c r="P35" s="590">
        <v>6</v>
      </c>
      <c r="Q35" s="2300">
        <f t="shared" si="27"/>
        <v>0</v>
      </c>
      <c r="R35" s="2207">
        <v>0</v>
      </c>
      <c r="S35" s="2231">
        <f t="shared" si="16"/>
        <v>0</v>
      </c>
      <c r="T35" s="2213">
        <f t="shared" si="17"/>
        <v>0</v>
      </c>
      <c r="U35" s="2216">
        <f t="shared" si="6"/>
        <v>0</v>
      </c>
      <c r="V35" s="2213">
        <f t="shared" si="7"/>
        <v>0</v>
      </c>
      <c r="W35"/>
      <c r="X35" s="1281">
        <f t="shared" si="8"/>
        <v>28</v>
      </c>
      <c r="Y35" s="2087" t="str">
        <f t="shared" si="9"/>
        <v>keine</v>
      </c>
      <c r="Z35" s="1329"/>
      <c r="AA35" s="1330" t="s">
        <v>795</v>
      </c>
      <c r="AB35" s="1424">
        <v>0</v>
      </c>
      <c r="AC35" s="1033">
        <f>VLOOKUP(AA35,Düngemittel!$B$6:$E$64,2,FALSE)*(VLOOKUP(AA35,Düngemittel!$B$6:$E$64,3,FALSE))/100*AB35</f>
        <v>0</v>
      </c>
      <c r="AD35" s="1033">
        <f>VLOOKUP(AA35,Düngemittel!$B$6:$E$64,2,FALSE)*AB35</f>
        <v>0</v>
      </c>
      <c r="AE35" s="1033">
        <f>VLOOKUP(AA35,Düngemittel!$B$6:$E$64,4,FALSE)*AB35</f>
        <v>0</v>
      </c>
      <c r="AF35" s="2324"/>
      <c r="AG35" s="1329"/>
      <c r="AH35" s="1330" t="s">
        <v>795</v>
      </c>
      <c r="AI35" s="1424">
        <v>0</v>
      </c>
      <c r="AJ35" s="1033">
        <f>VLOOKUP(AH35,Düngemittel!$B$6:$E$64,2,FALSE)*(VLOOKUP(AH35,Düngemittel!$B$6:$E$64,3,FALSE))/100*AI35</f>
        <v>0</v>
      </c>
      <c r="AK35" s="1033">
        <f>VLOOKUP(AH35,Düngemittel!$B$6:$E$64,2,FALSE)*AI35</f>
        <v>0</v>
      </c>
      <c r="AL35" s="1033">
        <f>VLOOKUP(AH35,Düngemittel!$B$6:$E$64,4,FALSE)*AI35</f>
        <v>0</v>
      </c>
      <c r="AM35" s="2324"/>
      <c r="AN35" s="1329"/>
      <c r="AO35" s="1330" t="s">
        <v>795</v>
      </c>
      <c r="AP35" s="1424">
        <v>0</v>
      </c>
      <c r="AQ35" s="1033">
        <f>VLOOKUP(AO35,Düngemittel!$B$6:$E$64,2,FALSE)*(VLOOKUP(AO35,Düngemittel!$B$6:$E$64,3,FALSE))/100*AP35</f>
        <v>0</v>
      </c>
      <c r="AR35" s="1033">
        <f>VLOOKUP(AO35,Düngemittel!$B$6:$E$64,2,FALSE)*AP35</f>
        <v>0</v>
      </c>
      <c r="AS35" s="1033">
        <f>VLOOKUP(AO35,Düngemittel!$B$6:$E$64,4,FALSE)*AP35</f>
        <v>0</v>
      </c>
      <c r="AT35" s="1371"/>
      <c r="AU35" s="1371"/>
      <c r="AV35" s="1372">
        <f t="shared" si="28"/>
        <v>0</v>
      </c>
      <c r="AW35" s="1373">
        <f t="shared" si="29"/>
        <v>0</v>
      </c>
      <c r="AX35" s="1374">
        <f t="shared" si="30"/>
        <v>0</v>
      </c>
      <c r="AY35" s="1375">
        <f t="shared" si="31"/>
        <v>0</v>
      </c>
      <c r="AZ35" s="1373">
        <f t="shared" si="32"/>
        <v>0</v>
      </c>
      <c r="BA35" s="1376"/>
      <c r="BB35" s="1372">
        <f t="shared" si="33"/>
        <v>0</v>
      </c>
      <c r="BC35" s="1372">
        <f t="shared" si="34"/>
        <v>0</v>
      </c>
      <c r="BD35" s="1372">
        <f t="shared" si="35"/>
        <v>0</v>
      </c>
      <c r="BE35" s="1816">
        <f t="shared" si="36"/>
        <v>0</v>
      </c>
      <c r="BF35" s="1372">
        <f t="shared" si="37"/>
        <v>0</v>
      </c>
      <c r="BG35" s="1377"/>
      <c r="BH35" s="1968" t="s">
        <v>1458</v>
      </c>
      <c r="BI35" s="1421">
        <v>150</v>
      </c>
      <c r="BJ35" s="1421">
        <v>120</v>
      </c>
      <c r="BK35" s="1421">
        <v>10</v>
      </c>
      <c r="BL35" s="1421">
        <v>12</v>
      </c>
      <c r="BM35" s="1421">
        <v>12</v>
      </c>
      <c r="BN35" s="1421">
        <v>0</v>
      </c>
      <c r="BO35" s="1421">
        <v>0</v>
      </c>
      <c r="BP35" s="2131">
        <v>30</v>
      </c>
      <c r="BQ35" s="2132">
        <v>0.19</v>
      </c>
      <c r="BR35" s="357">
        <v>0</v>
      </c>
    </row>
    <row r="36" spans="1:70" ht="24" customHeight="1">
      <c r="A36" s="468">
        <v>29</v>
      </c>
      <c r="B36" s="1699">
        <v>0</v>
      </c>
      <c r="C36" s="1527" t="s">
        <v>31</v>
      </c>
      <c r="D36" s="1380">
        <f t="shared" si="0"/>
        <v>0</v>
      </c>
      <c r="E36" s="2342">
        <f t="shared" si="1"/>
        <v>0</v>
      </c>
      <c r="F36" s="1381">
        <f t="shared" si="2"/>
        <v>0</v>
      </c>
      <c r="G36" s="2347">
        <f t="shared" si="24"/>
        <v>0</v>
      </c>
      <c r="H36" s="1928">
        <f t="shared" si="25"/>
        <v>0</v>
      </c>
      <c r="I36" s="1928">
        <f t="shared" si="3"/>
        <v>0</v>
      </c>
      <c r="J36" s="1928">
        <f t="shared" si="4"/>
        <v>0</v>
      </c>
      <c r="K36" s="1928">
        <f t="shared" si="5"/>
        <v>0</v>
      </c>
      <c r="L36" s="1928">
        <f t="shared" si="26"/>
        <v>0</v>
      </c>
      <c r="M36" s="1702">
        <v>0</v>
      </c>
      <c r="N36" s="1424">
        <v>0</v>
      </c>
      <c r="O36" s="1370">
        <f t="shared" si="14"/>
        <v>0</v>
      </c>
      <c r="P36" s="590">
        <v>7</v>
      </c>
      <c r="Q36" s="2300">
        <f t="shared" si="27"/>
        <v>0</v>
      </c>
      <c r="R36" s="2207">
        <v>0</v>
      </c>
      <c r="S36" s="2231">
        <f t="shared" si="16"/>
        <v>0</v>
      </c>
      <c r="T36" s="2213">
        <f t="shared" si="17"/>
        <v>0</v>
      </c>
      <c r="U36" s="2216">
        <f t="shared" si="6"/>
        <v>0</v>
      </c>
      <c r="V36" s="2213">
        <f t="shared" si="7"/>
        <v>0</v>
      </c>
      <c r="W36"/>
      <c r="X36" s="1281">
        <f t="shared" si="8"/>
        <v>29</v>
      </c>
      <c r="Y36" s="2087" t="str">
        <f t="shared" si="9"/>
        <v>keine</v>
      </c>
      <c r="Z36" s="1329"/>
      <c r="AA36" s="1330" t="s">
        <v>795</v>
      </c>
      <c r="AB36" s="1424">
        <v>0</v>
      </c>
      <c r="AC36" s="1033">
        <f>VLOOKUP(AA36,Düngemittel!$B$6:$E$64,2,FALSE)*(VLOOKUP(AA36,Düngemittel!$B$6:$E$64,3,FALSE))/100*AB36</f>
        <v>0</v>
      </c>
      <c r="AD36" s="1033">
        <f>VLOOKUP(AA36,Düngemittel!$B$6:$E$64,2,FALSE)*AB36</f>
        <v>0</v>
      </c>
      <c r="AE36" s="1033">
        <f>VLOOKUP(AA36,Düngemittel!$B$6:$E$64,4,FALSE)*AB36</f>
        <v>0</v>
      </c>
      <c r="AF36" s="2324"/>
      <c r="AG36" s="1329"/>
      <c r="AH36" s="1330" t="s">
        <v>795</v>
      </c>
      <c r="AI36" s="1424">
        <v>0</v>
      </c>
      <c r="AJ36" s="1033">
        <f>VLOOKUP(AH36,Düngemittel!$B$6:$E$64,2,FALSE)*(VLOOKUP(AH36,Düngemittel!$B$6:$E$64,3,FALSE))/100*AI36</f>
        <v>0</v>
      </c>
      <c r="AK36" s="1033">
        <f>VLOOKUP(AH36,Düngemittel!$B$6:$E$64,2,FALSE)*AI36</f>
        <v>0</v>
      </c>
      <c r="AL36" s="1033">
        <f>VLOOKUP(AH36,Düngemittel!$B$6:$E$64,4,FALSE)*AI36</f>
        <v>0</v>
      </c>
      <c r="AM36" s="2324"/>
      <c r="AN36" s="1329"/>
      <c r="AO36" s="1330" t="s">
        <v>795</v>
      </c>
      <c r="AP36" s="1424">
        <v>0</v>
      </c>
      <c r="AQ36" s="1033">
        <f>VLOOKUP(AO36,Düngemittel!$B$6:$E$64,2,FALSE)*(VLOOKUP(AO36,Düngemittel!$B$6:$E$64,3,FALSE))/100*AP36</f>
        <v>0</v>
      </c>
      <c r="AR36" s="1033">
        <f>VLOOKUP(AO36,Düngemittel!$B$6:$E$64,2,FALSE)*AP36</f>
        <v>0</v>
      </c>
      <c r="AS36" s="1033">
        <f>VLOOKUP(AO36,Düngemittel!$B$6:$E$64,4,FALSE)*AP36</f>
        <v>0</v>
      </c>
      <c r="AT36" s="1371"/>
      <c r="AU36" s="1371"/>
      <c r="AV36" s="1372">
        <f t="shared" si="28"/>
        <v>0</v>
      </c>
      <c r="AW36" s="1373">
        <f t="shared" si="29"/>
        <v>0</v>
      </c>
      <c r="AX36" s="1374">
        <f t="shared" si="30"/>
        <v>0</v>
      </c>
      <c r="AY36" s="1375">
        <f t="shared" si="31"/>
        <v>0</v>
      </c>
      <c r="AZ36" s="1373">
        <f t="shared" si="32"/>
        <v>0</v>
      </c>
      <c r="BA36" s="1376"/>
      <c r="BB36" s="1372">
        <f t="shared" si="33"/>
        <v>0</v>
      </c>
      <c r="BC36" s="1372">
        <f t="shared" si="34"/>
        <v>0</v>
      </c>
      <c r="BD36" s="1372">
        <f t="shared" si="35"/>
        <v>0</v>
      </c>
      <c r="BE36" s="1816">
        <f t="shared" si="36"/>
        <v>0</v>
      </c>
      <c r="BF36" s="1372">
        <f t="shared" si="37"/>
        <v>0</v>
      </c>
      <c r="BG36" s="1377"/>
      <c r="BH36" s="1968" t="s">
        <v>1459</v>
      </c>
      <c r="BI36" s="1421">
        <v>185</v>
      </c>
      <c r="BJ36" s="1421">
        <v>150</v>
      </c>
      <c r="BK36" s="1421">
        <v>10</v>
      </c>
      <c r="BL36" s="1421">
        <v>15</v>
      </c>
      <c r="BM36" s="1421">
        <v>15</v>
      </c>
      <c r="BN36" s="1421">
        <v>0</v>
      </c>
      <c r="BO36" s="1421">
        <v>0</v>
      </c>
      <c r="BP36" s="2133">
        <v>30</v>
      </c>
      <c r="BQ36" s="2134">
        <v>0.26</v>
      </c>
      <c r="BR36" s="357">
        <v>0</v>
      </c>
    </row>
    <row r="37" spans="1:70" ht="24" customHeight="1">
      <c r="A37" s="468">
        <v>30</v>
      </c>
      <c r="B37" s="1699">
        <v>0</v>
      </c>
      <c r="C37" s="1527" t="s">
        <v>31</v>
      </c>
      <c r="D37" s="1380">
        <f t="shared" si="0"/>
        <v>0</v>
      </c>
      <c r="E37" s="2342">
        <f t="shared" si="1"/>
        <v>0</v>
      </c>
      <c r="F37" s="1381">
        <f t="shared" si="2"/>
        <v>0</v>
      </c>
      <c r="G37" s="2347">
        <f t="shared" si="24"/>
        <v>0</v>
      </c>
      <c r="H37" s="1928">
        <f t="shared" si="25"/>
        <v>0</v>
      </c>
      <c r="I37" s="1928">
        <f t="shared" si="3"/>
        <v>0</v>
      </c>
      <c r="J37" s="1928">
        <f t="shared" si="4"/>
        <v>0</v>
      </c>
      <c r="K37" s="1928">
        <f t="shared" si="5"/>
        <v>0</v>
      </c>
      <c r="L37" s="1928">
        <f t="shared" si="26"/>
        <v>0</v>
      </c>
      <c r="M37" s="1702">
        <v>0</v>
      </c>
      <c r="N37" s="1424">
        <v>0</v>
      </c>
      <c r="O37" s="1370">
        <f t="shared" si="14"/>
        <v>0</v>
      </c>
      <c r="P37" s="590">
        <v>8</v>
      </c>
      <c r="Q37" s="2300">
        <f t="shared" si="27"/>
        <v>0</v>
      </c>
      <c r="R37" s="2207">
        <v>0</v>
      </c>
      <c r="S37" s="2231">
        <f t="shared" si="16"/>
        <v>0</v>
      </c>
      <c r="T37" s="2213">
        <f t="shared" si="17"/>
        <v>0</v>
      </c>
      <c r="U37" s="2216">
        <f t="shared" si="6"/>
        <v>0</v>
      </c>
      <c r="V37" s="2213">
        <f t="shared" si="7"/>
        <v>0</v>
      </c>
      <c r="W37"/>
      <c r="X37" s="1281">
        <f t="shared" si="8"/>
        <v>30</v>
      </c>
      <c r="Y37" s="2087" t="str">
        <f t="shared" si="9"/>
        <v>keine</v>
      </c>
      <c r="Z37" s="1329"/>
      <c r="AA37" s="1330" t="s">
        <v>795</v>
      </c>
      <c r="AB37" s="1424">
        <v>0</v>
      </c>
      <c r="AC37" s="1033">
        <f>VLOOKUP(AA37,Düngemittel!$B$6:$E$64,2,FALSE)*(VLOOKUP(AA37,Düngemittel!$B$6:$E$64,3,FALSE))/100*AB37</f>
        <v>0</v>
      </c>
      <c r="AD37" s="1033">
        <f>VLOOKUP(AA37,Düngemittel!$B$6:$E$64,2,FALSE)*AB37</f>
        <v>0</v>
      </c>
      <c r="AE37" s="1033">
        <f>VLOOKUP(AA37,Düngemittel!$B$6:$E$64,4,FALSE)*AB37</f>
        <v>0</v>
      </c>
      <c r="AF37" s="2324"/>
      <c r="AG37" s="1329"/>
      <c r="AH37" s="1330" t="s">
        <v>795</v>
      </c>
      <c r="AI37" s="1424">
        <v>0</v>
      </c>
      <c r="AJ37" s="1033">
        <f>VLOOKUP(AH37,Düngemittel!$B$6:$E$64,2,FALSE)*(VLOOKUP(AH37,Düngemittel!$B$6:$E$64,3,FALSE))/100*AI37</f>
        <v>0</v>
      </c>
      <c r="AK37" s="1033">
        <f>VLOOKUP(AH37,Düngemittel!$B$6:$E$64,2,FALSE)*AI37</f>
        <v>0</v>
      </c>
      <c r="AL37" s="1033">
        <f>VLOOKUP(AH37,Düngemittel!$B$6:$E$64,4,FALSE)*AI37</f>
        <v>0</v>
      </c>
      <c r="AM37" s="2324"/>
      <c r="AN37" s="1329"/>
      <c r="AO37" s="1330" t="s">
        <v>795</v>
      </c>
      <c r="AP37" s="1424">
        <v>0</v>
      </c>
      <c r="AQ37" s="1033">
        <f>VLOOKUP(AO37,Düngemittel!$B$6:$E$64,2,FALSE)*(VLOOKUP(AO37,Düngemittel!$B$6:$E$64,3,FALSE))/100*AP37</f>
        <v>0</v>
      </c>
      <c r="AR37" s="1033">
        <f>VLOOKUP(AO37,Düngemittel!$B$6:$E$64,2,FALSE)*AP37</f>
        <v>0</v>
      </c>
      <c r="AS37" s="1033">
        <f>VLOOKUP(AO37,Düngemittel!$B$6:$E$64,4,FALSE)*AP37</f>
        <v>0</v>
      </c>
      <c r="AT37" s="1371"/>
      <c r="AU37" s="1371"/>
      <c r="AV37" s="1372">
        <f t="shared" si="28"/>
        <v>0</v>
      </c>
      <c r="AW37" s="1373">
        <f t="shared" si="29"/>
        <v>0</v>
      </c>
      <c r="AX37" s="1374">
        <f t="shared" si="30"/>
        <v>0</v>
      </c>
      <c r="AY37" s="1375">
        <f t="shared" si="31"/>
        <v>0</v>
      </c>
      <c r="AZ37" s="1373">
        <f t="shared" si="32"/>
        <v>0</v>
      </c>
      <c r="BA37" s="1376"/>
      <c r="BB37" s="1372">
        <f t="shared" si="33"/>
        <v>0</v>
      </c>
      <c r="BC37" s="1372">
        <f t="shared" si="34"/>
        <v>0</v>
      </c>
      <c r="BD37" s="1372">
        <f t="shared" si="35"/>
        <v>0</v>
      </c>
      <c r="BE37" s="1816">
        <f t="shared" si="36"/>
        <v>0</v>
      </c>
      <c r="BF37" s="1372">
        <f t="shared" si="37"/>
        <v>0</v>
      </c>
      <c r="BG37" s="1377"/>
      <c r="BH37" s="1968" t="s">
        <v>1460</v>
      </c>
      <c r="BI37" s="1421">
        <v>20</v>
      </c>
      <c r="BJ37" s="1421">
        <v>10</v>
      </c>
      <c r="BK37" s="1421">
        <v>10</v>
      </c>
      <c r="BL37" s="1421">
        <v>1</v>
      </c>
      <c r="BM37" s="1421">
        <v>1</v>
      </c>
      <c r="BN37" s="1421">
        <v>0</v>
      </c>
      <c r="BO37" s="1421">
        <v>0</v>
      </c>
      <c r="BP37" s="2131">
        <v>30</v>
      </c>
      <c r="BQ37" s="2132">
        <v>0.75</v>
      </c>
      <c r="BR37" s="357">
        <v>0</v>
      </c>
    </row>
    <row r="38" spans="1:70" ht="24" customHeight="1">
      <c r="A38" s="468">
        <v>31</v>
      </c>
      <c r="B38" s="1699">
        <v>0</v>
      </c>
      <c r="C38" s="1527" t="s">
        <v>31</v>
      </c>
      <c r="D38" s="1380">
        <f t="shared" si="0"/>
        <v>0</v>
      </c>
      <c r="E38" s="2342">
        <f t="shared" si="1"/>
        <v>0</v>
      </c>
      <c r="F38" s="1381">
        <f t="shared" si="2"/>
        <v>0</v>
      </c>
      <c r="G38" s="2347">
        <f t="shared" si="24"/>
        <v>0</v>
      </c>
      <c r="H38" s="1928">
        <f t="shared" si="25"/>
        <v>0</v>
      </c>
      <c r="I38" s="1928">
        <f t="shared" si="3"/>
        <v>0</v>
      </c>
      <c r="J38" s="1928">
        <f t="shared" si="4"/>
        <v>0</v>
      </c>
      <c r="K38" s="1928">
        <f t="shared" si="5"/>
        <v>0</v>
      </c>
      <c r="L38" s="1928">
        <f t="shared" si="26"/>
        <v>0</v>
      </c>
      <c r="M38" s="1702">
        <v>0</v>
      </c>
      <c r="N38" s="1424">
        <v>0</v>
      </c>
      <c r="O38" s="1370">
        <f t="shared" si="14"/>
        <v>0</v>
      </c>
      <c r="P38" s="590">
        <v>9</v>
      </c>
      <c r="Q38" s="2300">
        <f t="shared" si="27"/>
        <v>0</v>
      </c>
      <c r="R38" s="2207">
        <v>0</v>
      </c>
      <c r="S38" s="2231">
        <f t="shared" si="16"/>
        <v>0</v>
      </c>
      <c r="T38" s="2213">
        <f t="shared" si="17"/>
        <v>0</v>
      </c>
      <c r="U38" s="2216">
        <f t="shared" si="6"/>
        <v>0</v>
      </c>
      <c r="V38" s="2213">
        <f t="shared" si="7"/>
        <v>0</v>
      </c>
      <c r="W38"/>
      <c r="X38" s="1281">
        <f t="shared" si="8"/>
        <v>31</v>
      </c>
      <c r="Y38" s="2087" t="str">
        <f t="shared" si="9"/>
        <v>keine</v>
      </c>
      <c r="Z38" s="1329"/>
      <c r="AA38" s="1330" t="s">
        <v>795</v>
      </c>
      <c r="AB38" s="1424">
        <v>0</v>
      </c>
      <c r="AC38" s="1033">
        <f>VLOOKUP(AA38,Düngemittel!$B$6:$E$64,2,FALSE)*(VLOOKUP(AA38,Düngemittel!$B$6:$E$64,3,FALSE))/100*AB38</f>
        <v>0</v>
      </c>
      <c r="AD38" s="1033">
        <f>VLOOKUP(AA38,Düngemittel!$B$6:$E$64,2,FALSE)*AB38</f>
        <v>0</v>
      </c>
      <c r="AE38" s="1033">
        <f>VLOOKUP(AA38,Düngemittel!$B$6:$E$64,4,FALSE)*AB38</f>
        <v>0</v>
      </c>
      <c r="AF38" s="2324"/>
      <c r="AG38" s="1329"/>
      <c r="AH38" s="1330" t="s">
        <v>795</v>
      </c>
      <c r="AI38" s="1424">
        <v>0</v>
      </c>
      <c r="AJ38" s="1033">
        <f>VLOOKUP(AH38,Düngemittel!$B$6:$E$64,2,FALSE)*(VLOOKUP(AH38,Düngemittel!$B$6:$E$64,3,FALSE))/100*AI38</f>
        <v>0</v>
      </c>
      <c r="AK38" s="1033">
        <f>VLOOKUP(AH38,Düngemittel!$B$6:$E$64,2,FALSE)*AI38</f>
        <v>0</v>
      </c>
      <c r="AL38" s="1033">
        <f>VLOOKUP(AH38,Düngemittel!$B$6:$E$64,4,FALSE)*AI38</f>
        <v>0</v>
      </c>
      <c r="AM38" s="2324"/>
      <c r="AN38" s="1329"/>
      <c r="AO38" s="1330" t="s">
        <v>795</v>
      </c>
      <c r="AP38" s="1424">
        <v>0</v>
      </c>
      <c r="AQ38" s="1033">
        <f>VLOOKUP(AO38,Düngemittel!$B$6:$E$64,2,FALSE)*(VLOOKUP(AO38,Düngemittel!$B$6:$E$64,3,FALSE))/100*AP38</f>
        <v>0</v>
      </c>
      <c r="AR38" s="1033">
        <f>VLOOKUP(AO38,Düngemittel!$B$6:$E$64,2,FALSE)*AP38</f>
        <v>0</v>
      </c>
      <c r="AS38" s="1033">
        <f>VLOOKUP(AO38,Düngemittel!$B$6:$E$64,4,FALSE)*AP38</f>
        <v>0</v>
      </c>
      <c r="AT38" s="1371"/>
      <c r="AU38" s="1371"/>
      <c r="AV38" s="1372">
        <f t="shared" si="28"/>
        <v>0</v>
      </c>
      <c r="AW38" s="1373">
        <f t="shared" si="29"/>
        <v>0</v>
      </c>
      <c r="AX38" s="1374">
        <f t="shared" si="30"/>
        <v>0</v>
      </c>
      <c r="AY38" s="1375">
        <f t="shared" si="31"/>
        <v>0</v>
      </c>
      <c r="AZ38" s="1373">
        <f t="shared" si="32"/>
        <v>0</v>
      </c>
      <c r="BA38" s="1376"/>
      <c r="BB38" s="1372">
        <f t="shared" si="33"/>
        <v>0</v>
      </c>
      <c r="BC38" s="1372">
        <f t="shared" si="34"/>
        <v>0</v>
      </c>
      <c r="BD38" s="1372">
        <f t="shared" si="35"/>
        <v>0</v>
      </c>
      <c r="BE38" s="1816">
        <f t="shared" si="36"/>
        <v>0</v>
      </c>
      <c r="BF38" s="1372">
        <f t="shared" si="37"/>
        <v>0</v>
      </c>
      <c r="BG38" s="1377"/>
      <c r="BH38" s="1968" t="s">
        <v>1461</v>
      </c>
      <c r="BI38" s="1421">
        <v>25</v>
      </c>
      <c r="BJ38" s="1421">
        <v>85</v>
      </c>
      <c r="BK38" s="1421">
        <v>10</v>
      </c>
      <c r="BL38" s="1421">
        <v>8.5</v>
      </c>
      <c r="BM38" s="1421">
        <v>8.5</v>
      </c>
      <c r="BN38" s="1421">
        <v>0</v>
      </c>
      <c r="BO38" s="1421">
        <v>0</v>
      </c>
      <c r="BP38" s="2133">
        <v>30</v>
      </c>
      <c r="BQ38" s="2134">
        <v>0.43</v>
      </c>
      <c r="BR38" s="357">
        <v>0</v>
      </c>
    </row>
    <row r="39" spans="1:70" ht="24" customHeight="1">
      <c r="A39" s="468">
        <v>32</v>
      </c>
      <c r="B39" s="1699">
        <v>0</v>
      </c>
      <c r="C39" s="1527" t="s">
        <v>31</v>
      </c>
      <c r="D39" s="1380">
        <f t="shared" si="0"/>
        <v>0</v>
      </c>
      <c r="E39" s="2342">
        <f t="shared" si="1"/>
        <v>0</v>
      </c>
      <c r="F39" s="1381">
        <f t="shared" si="2"/>
        <v>0</v>
      </c>
      <c r="G39" s="2347">
        <f t="shared" si="24"/>
        <v>0</v>
      </c>
      <c r="H39" s="1928">
        <f t="shared" si="25"/>
        <v>0</v>
      </c>
      <c r="I39" s="1928">
        <f t="shared" si="3"/>
        <v>0</v>
      </c>
      <c r="J39" s="1928">
        <f t="shared" si="4"/>
        <v>0</v>
      </c>
      <c r="K39" s="1928">
        <f t="shared" si="5"/>
        <v>0</v>
      </c>
      <c r="L39" s="1928">
        <f t="shared" si="26"/>
        <v>0</v>
      </c>
      <c r="M39" s="1702">
        <v>0</v>
      </c>
      <c r="N39" s="1424">
        <v>0</v>
      </c>
      <c r="O39" s="1370">
        <f t="shared" si="14"/>
        <v>0</v>
      </c>
      <c r="P39" s="590">
        <v>10</v>
      </c>
      <c r="Q39" s="2300">
        <f t="shared" si="27"/>
        <v>0</v>
      </c>
      <c r="R39" s="2207">
        <v>0</v>
      </c>
      <c r="S39" s="2231">
        <f t="shared" si="16"/>
        <v>0</v>
      </c>
      <c r="T39" s="2213">
        <f t="shared" si="17"/>
        <v>0</v>
      </c>
      <c r="U39" s="2216">
        <f t="shared" si="6"/>
        <v>0</v>
      </c>
      <c r="V39" s="2213">
        <f t="shared" si="7"/>
        <v>0</v>
      </c>
      <c r="W39"/>
      <c r="X39" s="1281">
        <f t="shared" si="8"/>
        <v>32</v>
      </c>
      <c r="Y39" s="2087" t="str">
        <f t="shared" si="9"/>
        <v>keine</v>
      </c>
      <c r="Z39" s="1329"/>
      <c r="AA39" s="1330" t="s">
        <v>795</v>
      </c>
      <c r="AB39" s="1424">
        <v>0</v>
      </c>
      <c r="AC39" s="1033">
        <f>VLOOKUP(AA39,Düngemittel!$B$6:$E$64,2,FALSE)*(VLOOKUP(AA39,Düngemittel!$B$6:$E$64,3,FALSE))/100*AB39</f>
        <v>0</v>
      </c>
      <c r="AD39" s="1033">
        <f>VLOOKUP(AA39,Düngemittel!$B$6:$E$64,2,FALSE)*AB39</f>
        <v>0</v>
      </c>
      <c r="AE39" s="1033">
        <f>VLOOKUP(AA39,Düngemittel!$B$6:$E$64,4,FALSE)*AB39</f>
        <v>0</v>
      </c>
      <c r="AF39" s="2324"/>
      <c r="AG39" s="1329"/>
      <c r="AH39" s="1330" t="s">
        <v>795</v>
      </c>
      <c r="AI39" s="1424">
        <v>0</v>
      </c>
      <c r="AJ39" s="1033">
        <f>VLOOKUP(AH39,Düngemittel!$B$6:$E$64,2,FALSE)*(VLOOKUP(AH39,Düngemittel!$B$6:$E$64,3,FALSE))/100*AI39</f>
        <v>0</v>
      </c>
      <c r="AK39" s="1033">
        <f>VLOOKUP(AH39,Düngemittel!$B$6:$E$64,2,FALSE)*AI39</f>
        <v>0</v>
      </c>
      <c r="AL39" s="1033">
        <f>VLOOKUP(AH39,Düngemittel!$B$6:$E$64,4,FALSE)*AI39</f>
        <v>0</v>
      </c>
      <c r="AM39" s="2324"/>
      <c r="AN39" s="1329"/>
      <c r="AO39" s="1330" t="s">
        <v>795</v>
      </c>
      <c r="AP39" s="1424">
        <v>0</v>
      </c>
      <c r="AQ39" s="1033">
        <f>VLOOKUP(AO39,Düngemittel!$B$6:$E$64,2,FALSE)*(VLOOKUP(AO39,Düngemittel!$B$6:$E$64,3,FALSE))/100*AP39</f>
        <v>0</v>
      </c>
      <c r="AR39" s="1033">
        <f>VLOOKUP(AO39,Düngemittel!$B$6:$E$64,2,FALSE)*AP39</f>
        <v>0</v>
      </c>
      <c r="AS39" s="1033">
        <f>VLOOKUP(AO39,Düngemittel!$B$6:$E$64,4,FALSE)*AP39</f>
        <v>0</v>
      </c>
      <c r="AT39" s="1371"/>
      <c r="AU39" s="1371"/>
      <c r="AV39" s="1372">
        <f t="shared" si="28"/>
        <v>0</v>
      </c>
      <c r="AW39" s="1373">
        <f t="shared" si="29"/>
        <v>0</v>
      </c>
      <c r="AX39" s="1374">
        <f t="shared" si="30"/>
        <v>0</v>
      </c>
      <c r="AY39" s="1375">
        <f t="shared" si="31"/>
        <v>0</v>
      </c>
      <c r="AZ39" s="1373">
        <f t="shared" si="32"/>
        <v>0</v>
      </c>
      <c r="BA39" s="1376"/>
      <c r="BB39" s="1372">
        <f t="shared" si="33"/>
        <v>0</v>
      </c>
      <c r="BC39" s="1372">
        <f t="shared" si="34"/>
        <v>0</v>
      </c>
      <c r="BD39" s="1372">
        <f t="shared" si="35"/>
        <v>0</v>
      </c>
      <c r="BE39" s="1816">
        <f t="shared" si="36"/>
        <v>0</v>
      </c>
      <c r="BF39" s="1372">
        <f t="shared" si="37"/>
        <v>0</v>
      </c>
      <c r="BG39" s="1377"/>
      <c r="BH39" s="1968" t="s">
        <v>1462</v>
      </c>
      <c r="BI39" s="1421">
        <v>25</v>
      </c>
      <c r="BJ39" s="1421">
        <v>85</v>
      </c>
      <c r="BK39" s="1421">
        <v>10</v>
      </c>
      <c r="BL39" s="1421">
        <v>8.5</v>
      </c>
      <c r="BM39" s="1421">
        <v>8.5</v>
      </c>
      <c r="BN39" s="1421">
        <v>0</v>
      </c>
      <c r="BO39" s="1421">
        <v>0</v>
      </c>
      <c r="BP39" s="2133">
        <v>30</v>
      </c>
      <c r="BQ39" s="2134">
        <v>0.35</v>
      </c>
      <c r="BR39" s="357">
        <v>0</v>
      </c>
    </row>
    <row r="40" spans="1:70" ht="24" customHeight="1">
      <c r="A40" s="468">
        <v>33</v>
      </c>
      <c r="B40" s="1699">
        <v>0</v>
      </c>
      <c r="C40" s="1527" t="s">
        <v>31</v>
      </c>
      <c r="D40" s="1380">
        <f t="shared" si="0"/>
        <v>0</v>
      </c>
      <c r="E40" s="2342">
        <f t="shared" si="1"/>
        <v>0</v>
      </c>
      <c r="F40" s="1381">
        <f t="shared" si="2"/>
        <v>0</v>
      </c>
      <c r="G40" s="2347">
        <f t="shared" si="24"/>
        <v>0</v>
      </c>
      <c r="H40" s="1928">
        <f t="shared" si="25"/>
        <v>0</v>
      </c>
      <c r="I40" s="1928">
        <f t="shared" si="3"/>
        <v>0</v>
      </c>
      <c r="J40" s="1928">
        <f t="shared" si="4"/>
        <v>0</v>
      </c>
      <c r="K40" s="1928">
        <f t="shared" si="5"/>
        <v>0</v>
      </c>
      <c r="L40" s="1928">
        <f t="shared" si="26"/>
        <v>0</v>
      </c>
      <c r="M40" s="1702">
        <v>0</v>
      </c>
      <c r="N40" s="1424">
        <v>0</v>
      </c>
      <c r="O40" s="1370">
        <f t="shared" si="14"/>
        <v>0</v>
      </c>
      <c r="P40" s="590">
        <v>11</v>
      </c>
      <c r="Q40" s="2300">
        <f t="shared" si="27"/>
        <v>0</v>
      </c>
      <c r="R40" s="2207">
        <v>0</v>
      </c>
      <c r="S40" s="2231">
        <f t="shared" si="16"/>
        <v>0</v>
      </c>
      <c r="T40" s="2213">
        <f t="shared" si="17"/>
        <v>0</v>
      </c>
      <c r="U40" s="2216">
        <f t="shared" si="6"/>
        <v>0</v>
      </c>
      <c r="V40" s="2213">
        <f t="shared" si="7"/>
        <v>0</v>
      </c>
      <c r="W40"/>
      <c r="X40" s="1281">
        <f t="shared" si="8"/>
        <v>33</v>
      </c>
      <c r="Y40" s="2087" t="str">
        <f t="shared" si="9"/>
        <v>keine</v>
      </c>
      <c r="Z40" s="1329"/>
      <c r="AA40" s="1330" t="s">
        <v>795</v>
      </c>
      <c r="AB40" s="1424">
        <v>0</v>
      </c>
      <c r="AC40" s="1033">
        <f>VLOOKUP(AA40,Düngemittel!$B$6:$E$64,2,FALSE)*(VLOOKUP(AA40,Düngemittel!$B$6:$E$64,3,FALSE))/100*AB40</f>
        <v>0</v>
      </c>
      <c r="AD40" s="1033">
        <f>VLOOKUP(AA40,Düngemittel!$B$6:$E$64,2,FALSE)*AB40</f>
        <v>0</v>
      </c>
      <c r="AE40" s="1033">
        <f>VLOOKUP(AA40,Düngemittel!$B$6:$E$64,4,FALSE)*AB40</f>
        <v>0</v>
      </c>
      <c r="AF40" s="2324"/>
      <c r="AG40" s="1329"/>
      <c r="AH40" s="1330" t="s">
        <v>795</v>
      </c>
      <c r="AI40" s="1424">
        <v>0</v>
      </c>
      <c r="AJ40" s="1033">
        <f>VLOOKUP(AH40,Düngemittel!$B$6:$E$64,2,FALSE)*(VLOOKUP(AH40,Düngemittel!$B$6:$E$64,3,FALSE))/100*AI40</f>
        <v>0</v>
      </c>
      <c r="AK40" s="1033">
        <f>VLOOKUP(AH40,Düngemittel!$B$6:$E$64,2,FALSE)*AI40</f>
        <v>0</v>
      </c>
      <c r="AL40" s="1033">
        <f>VLOOKUP(AH40,Düngemittel!$B$6:$E$64,4,FALSE)*AI40</f>
        <v>0</v>
      </c>
      <c r="AM40" s="2324"/>
      <c r="AN40" s="1329"/>
      <c r="AO40" s="1330" t="s">
        <v>795</v>
      </c>
      <c r="AP40" s="1424">
        <v>0</v>
      </c>
      <c r="AQ40" s="1033">
        <f>VLOOKUP(AO40,Düngemittel!$B$6:$E$64,2,FALSE)*(VLOOKUP(AO40,Düngemittel!$B$6:$E$64,3,FALSE))/100*AP40</f>
        <v>0</v>
      </c>
      <c r="AR40" s="1033">
        <f>VLOOKUP(AO40,Düngemittel!$B$6:$E$64,2,FALSE)*AP40</f>
        <v>0</v>
      </c>
      <c r="AS40" s="1033">
        <f>VLOOKUP(AO40,Düngemittel!$B$6:$E$64,4,FALSE)*AP40</f>
        <v>0</v>
      </c>
      <c r="AT40" s="1371"/>
      <c r="AU40" s="1371"/>
      <c r="AV40" s="1372">
        <f t="shared" si="28"/>
        <v>0</v>
      </c>
      <c r="AW40" s="1373">
        <f t="shared" si="29"/>
        <v>0</v>
      </c>
      <c r="AX40" s="1374">
        <f t="shared" si="30"/>
        <v>0</v>
      </c>
      <c r="AY40" s="1375">
        <f t="shared" si="31"/>
        <v>0</v>
      </c>
      <c r="AZ40" s="1373">
        <f t="shared" si="32"/>
        <v>0</v>
      </c>
      <c r="BA40" s="1376"/>
      <c r="BB40" s="1372">
        <f t="shared" si="33"/>
        <v>0</v>
      </c>
      <c r="BC40" s="1372">
        <f t="shared" si="34"/>
        <v>0</v>
      </c>
      <c r="BD40" s="1372">
        <f t="shared" si="35"/>
        <v>0</v>
      </c>
      <c r="BE40" s="1816">
        <f t="shared" si="36"/>
        <v>0</v>
      </c>
      <c r="BF40" s="1372">
        <f t="shared" si="37"/>
        <v>0</v>
      </c>
      <c r="BG40" s="1377"/>
      <c r="BH40" s="1968" t="s">
        <v>1463</v>
      </c>
      <c r="BI40" s="1421">
        <v>150</v>
      </c>
      <c r="BJ40" s="1421">
        <v>120</v>
      </c>
      <c r="BK40" s="1421">
        <v>10</v>
      </c>
      <c r="BL40" s="1421">
        <v>12</v>
      </c>
      <c r="BM40" s="1421">
        <v>12</v>
      </c>
      <c r="BN40" s="1421">
        <v>0</v>
      </c>
      <c r="BO40" s="1421">
        <v>0</v>
      </c>
      <c r="BP40" s="2131">
        <v>30</v>
      </c>
      <c r="BQ40" s="2134">
        <v>0.08</v>
      </c>
      <c r="BR40" s="357">
        <v>0</v>
      </c>
    </row>
    <row r="41" spans="1:70" ht="24" customHeight="1">
      <c r="A41" s="468">
        <v>34</v>
      </c>
      <c r="B41" s="1699">
        <v>0</v>
      </c>
      <c r="C41" s="1527" t="s">
        <v>31</v>
      </c>
      <c r="D41" s="1380">
        <f t="shared" si="0"/>
        <v>0</v>
      </c>
      <c r="E41" s="2342">
        <f t="shared" si="1"/>
        <v>0</v>
      </c>
      <c r="F41" s="1381">
        <f t="shared" si="2"/>
        <v>0</v>
      </c>
      <c r="G41" s="2347">
        <f t="shared" si="24"/>
        <v>0</v>
      </c>
      <c r="H41" s="1928">
        <f t="shared" si="25"/>
        <v>0</v>
      </c>
      <c r="I41" s="1928">
        <f t="shared" si="3"/>
        <v>0</v>
      </c>
      <c r="J41" s="1928">
        <f t="shared" si="4"/>
        <v>0</v>
      </c>
      <c r="K41" s="1928">
        <f t="shared" si="5"/>
        <v>0</v>
      </c>
      <c r="L41" s="1928">
        <f t="shared" si="26"/>
        <v>0</v>
      </c>
      <c r="M41" s="1702">
        <v>0</v>
      </c>
      <c r="N41" s="1424">
        <v>0</v>
      </c>
      <c r="O41" s="1370">
        <f t="shared" si="14"/>
        <v>0</v>
      </c>
      <c r="P41" s="590">
        <v>12</v>
      </c>
      <c r="Q41" s="2300">
        <f t="shared" si="27"/>
        <v>0</v>
      </c>
      <c r="R41" s="2207">
        <v>0</v>
      </c>
      <c r="S41" s="2231">
        <f t="shared" si="16"/>
        <v>0</v>
      </c>
      <c r="T41" s="2213">
        <f t="shared" si="17"/>
        <v>0</v>
      </c>
      <c r="U41" s="2216">
        <f t="shared" si="6"/>
        <v>0</v>
      </c>
      <c r="V41" s="2213">
        <f t="shared" si="7"/>
        <v>0</v>
      </c>
      <c r="W41"/>
      <c r="X41" s="1281">
        <f t="shared" si="8"/>
        <v>34</v>
      </c>
      <c r="Y41" s="2087" t="str">
        <f t="shared" si="9"/>
        <v>keine</v>
      </c>
      <c r="Z41" s="1329"/>
      <c r="AA41" s="1330" t="s">
        <v>795</v>
      </c>
      <c r="AB41" s="1424">
        <v>0</v>
      </c>
      <c r="AC41" s="1033">
        <f>VLOOKUP(AA41,Düngemittel!$B$6:$E$64,2,FALSE)*(VLOOKUP(AA41,Düngemittel!$B$6:$E$64,3,FALSE))/100*AB41</f>
        <v>0</v>
      </c>
      <c r="AD41" s="1033">
        <f>VLOOKUP(AA41,Düngemittel!$B$6:$E$64,2,FALSE)*AB41</f>
        <v>0</v>
      </c>
      <c r="AE41" s="1033">
        <f>VLOOKUP(AA41,Düngemittel!$B$6:$E$64,4,FALSE)*AB41</f>
        <v>0</v>
      </c>
      <c r="AF41" s="2324"/>
      <c r="AG41" s="1329"/>
      <c r="AH41" s="1330" t="s">
        <v>795</v>
      </c>
      <c r="AI41" s="1424">
        <v>0</v>
      </c>
      <c r="AJ41" s="1033">
        <f>VLOOKUP(AH41,Düngemittel!$B$6:$E$64,2,FALSE)*(VLOOKUP(AH41,Düngemittel!$B$6:$E$64,3,FALSE))/100*AI41</f>
        <v>0</v>
      </c>
      <c r="AK41" s="1033">
        <f>VLOOKUP(AH41,Düngemittel!$B$6:$E$64,2,FALSE)*AI41</f>
        <v>0</v>
      </c>
      <c r="AL41" s="1033">
        <f>VLOOKUP(AH41,Düngemittel!$B$6:$E$64,4,FALSE)*AI41</f>
        <v>0</v>
      </c>
      <c r="AM41" s="2324"/>
      <c r="AN41" s="1329"/>
      <c r="AO41" s="1330" t="s">
        <v>795</v>
      </c>
      <c r="AP41" s="1424">
        <v>0</v>
      </c>
      <c r="AQ41" s="1033">
        <f>VLOOKUP(AO41,Düngemittel!$B$6:$E$64,2,FALSE)*(VLOOKUP(AO41,Düngemittel!$B$6:$E$64,3,FALSE))/100*AP41</f>
        <v>0</v>
      </c>
      <c r="AR41" s="1033">
        <f>VLOOKUP(AO41,Düngemittel!$B$6:$E$64,2,FALSE)*AP41</f>
        <v>0</v>
      </c>
      <c r="AS41" s="1033">
        <f>VLOOKUP(AO41,Düngemittel!$B$6:$E$64,4,FALSE)*AP41</f>
        <v>0</v>
      </c>
      <c r="AT41" s="1371"/>
      <c r="AU41" s="1371"/>
      <c r="AV41" s="1372">
        <f t="shared" si="28"/>
        <v>0</v>
      </c>
      <c r="AW41" s="1373">
        <f t="shared" si="29"/>
        <v>0</v>
      </c>
      <c r="AX41" s="1374">
        <f t="shared" si="30"/>
        <v>0</v>
      </c>
      <c r="AY41" s="1375">
        <f t="shared" si="31"/>
        <v>0</v>
      </c>
      <c r="AZ41" s="1373">
        <f t="shared" si="32"/>
        <v>0</v>
      </c>
      <c r="BA41" s="1376"/>
      <c r="BB41" s="1372">
        <f t="shared" si="33"/>
        <v>0</v>
      </c>
      <c r="BC41" s="1372">
        <f t="shared" si="34"/>
        <v>0</v>
      </c>
      <c r="BD41" s="1372">
        <f t="shared" si="35"/>
        <v>0</v>
      </c>
      <c r="BE41" s="1816">
        <f t="shared" si="36"/>
        <v>0</v>
      </c>
      <c r="BF41" s="1372">
        <f t="shared" si="37"/>
        <v>0</v>
      </c>
      <c r="BG41" s="1377"/>
      <c r="BH41" s="1968" t="s">
        <v>1464</v>
      </c>
      <c r="BI41" s="1421">
        <v>110</v>
      </c>
      <c r="BJ41" s="1421">
        <v>120</v>
      </c>
      <c r="BK41" s="1421">
        <v>10</v>
      </c>
      <c r="BL41" s="1421">
        <v>12</v>
      </c>
      <c r="BM41" s="1421">
        <v>12</v>
      </c>
      <c r="BN41" s="1421">
        <v>0</v>
      </c>
      <c r="BO41" s="1421">
        <v>0</v>
      </c>
      <c r="BP41" s="2133">
        <v>60</v>
      </c>
      <c r="BQ41" s="2134">
        <v>0.39727272727272728</v>
      </c>
      <c r="BR41" s="357">
        <v>0</v>
      </c>
    </row>
    <row r="42" spans="1:70" ht="24" customHeight="1">
      <c r="A42" s="468">
        <v>35</v>
      </c>
      <c r="B42" s="1699">
        <v>0</v>
      </c>
      <c r="C42" s="1527" t="s">
        <v>31</v>
      </c>
      <c r="D42" s="1380">
        <f t="shared" si="0"/>
        <v>0</v>
      </c>
      <c r="E42" s="2342">
        <f t="shared" si="1"/>
        <v>0</v>
      </c>
      <c r="F42" s="1381">
        <f t="shared" si="2"/>
        <v>0</v>
      </c>
      <c r="G42" s="2347">
        <f t="shared" si="24"/>
        <v>0</v>
      </c>
      <c r="H42" s="1928">
        <f t="shared" si="25"/>
        <v>0</v>
      </c>
      <c r="I42" s="1928">
        <f t="shared" si="3"/>
        <v>0</v>
      </c>
      <c r="J42" s="1928">
        <f t="shared" si="4"/>
        <v>0</v>
      </c>
      <c r="K42" s="1928">
        <f t="shared" si="5"/>
        <v>0</v>
      </c>
      <c r="L42" s="1928">
        <f t="shared" si="26"/>
        <v>0</v>
      </c>
      <c r="M42" s="1702">
        <v>0</v>
      </c>
      <c r="N42" s="1424">
        <v>0</v>
      </c>
      <c r="O42" s="1370">
        <f t="shared" si="14"/>
        <v>0</v>
      </c>
      <c r="P42" s="590">
        <v>13</v>
      </c>
      <c r="Q42" s="2300">
        <f t="shared" si="27"/>
        <v>0</v>
      </c>
      <c r="R42" s="2207">
        <v>0</v>
      </c>
      <c r="S42" s="2231">
        <f t="shared" si="16"/>
        <v>0</v>
      </c>
      <c r="T42" s="2213">
        <f t="shared" si="17"/>
        <v>0</v>
      </c>
      <c r="U42" s="2216">
        <f t="shared" si="6"/>
        <v>0</v>
      </c>
      <c r="V42" s="2213">
        <f t="shared" si="7"/>
        <v>0</v>
      </c>
      <c r="W42"/>
      <c r="X42" s="1281">
        <f t="shared" si="8"/>
        <v>35</v>
      </c>
      <c r="Y42" s="2087" t="str">
        <f t="shared" si="9"/>
        <v>keine</v>
      </c>
      <c r="Z42" s="1329"/>
      <c r="AA42" s="1330" t="s">
        <v>795</v>
      </c>
      <c r="AB42" s="1424">
        <v>0</v>
      </c>
      <c r="AC42" s="1033">
        <f>VLOOKUP(AA42,Düngemittel!$B$6:$E$64,2,FALSE)*(VLOOKUP(AA42,Düngemittel!$B$6:$E$64,3,FALSE))/100*AB42</f>
        <v>0</v>
      </c>
      <c r="AD42" s="1033">
        <f>VLOOKUP(AA42,Düngemittel!$B$6:$E$64,2,FALSE)*AB42</f>
        <v>0</v>
      </c>
      <c r="AE42" s="1033">
        <f>VLOOKUP(AA42,Düngemittel!$B$6:$E$64,4,FALSE)*AB42</f>
        <v>0</v>
      </c>
      <c r="AF42" s="2324"/>
      <c r="AG42" s="1329"/>
      <c r="AH42" s="1330" t="s">
        <v>795</v>
      </c>
      <c r="AI42" s="1424">
        <v>0</v>
      </c>
      <c r="AJ42" s="1033">
        <f>VLOOKUP(AH42,Düngemittel!$B$6:$E$64,2,FALSE)*(VLOOKUP(AH42,Düngemittel!$B$6:$E$64,3,FALSE))/100*AI42</f>
        <v>0</v>
      </c>
      <c r="AK42" s="1033">
        <f>VLOOKUP(AH42,Düngemittel!$B$6:$E$64,2,FALSE)*AI42</f>
        <v>0</v>
      </c>
      <c r="AL42" s="1033">
        <f>VLOOKUP(AH42,Düngemittel!$B$6:$E$64,4,FALSE)*AI42</f>
        <v>0</v>
      </c>
      <c r="AM42" s="2324"/>
      <c r="AN42" s="1329"/>
      <c r="AO42" s="1330" t="s">
        <v>795</v>
      </c>
      <c r="AP42" s="1424">
        <v>0</v>
      </c>
      <c r="AQ42" s="1033">
        <f>VLOOKUP(AO42,Düngemittel!$B$6:$E$64,2,FALSE)*(VLOOKUP(AO42,Düngemittel!$B$6:$E$64,3,FALSE))/100*AP42</f>
        <v>0</v>
      </c>
      <c r="AR42" s="1033">
        <f>VLOOKUP(AO42,Düngemittel!$B$6:$E$64,2,FALSE)*AP42</f>
        <v>0</v>
      </c>
      <c r="AS42" s="1033">
        <f>VLOOKUP(AO42,Düngemittel!$B$6:$E$64,4,FALSE)*AP42</f>
        <v>0</v>
      </c>
      <c r="AT42" s="1371"/>
      <c r="AU42" s="1371"/>
      <c r="AV42" s="1372">
        <f t="shared" si="28"/>
        <v>0</v>
      </c>
      <c r="AW42" s="1373">
        <f t="shared" si="29"/>
        <v>0</v>
      </c>
      <c r="AX42" s="1374">
        <f t="shared" si="30"/>
        <v>0</v>
      </c>
      <c r="AY42" s="1375">
        <f t="shared" si="31"/>
        <v>0</v>
      </c>
      <c r="AZ42" s="1373">
        <f t="shared" si="32"/>
        <v>0</v>
      </c>
      <c r="BA42" s="1376"/>
      <c r="BB42" s="1372">
        <f t="shared" si="33"/>
        <v>0</v>
      </c>
      <c r="BC42" s="1372">
        <f t="shared" si="34"/>
        <v>0</v>
      </c>
      <c r="BD42" s="1372">
        <f t="shared" si="35"/>
        <v>0</v>
      </c>
      <c r="BE42" s="1816">
        <f t="shared" si="36"/>
        <v>0</v>
      </c>
      <c r="BF42" s="1372">
        <f t="shared" si="37"/>
        <v>0</v>
      </c>
      <c r="BG42" s="1377"/>
      <c r="BH42" s="1968" t="s">
        <v>1465</v>
      </c>
      <c r="BI42" s="1421">
        <v>110</v>
      </c>
      <c r="BJ42" s="1421">
        <v>120</v>
      </c>
      <c r="BK42" s="1421">
        <v>10</v>
      </c>
      <c r="BL42" s="1421">
        <v>12</v>
      </c>
      <c r="BM42" s="1421">
        <v>12</v>
      </c>
      <c r="BN42" s="1421">
        <v>0</v>
      </c>
      <c r="BO42" s="1421">
        <v>0</v>
      </c>
      <c r="BP42" s="2133">
        <v>60</v>
      </c>
      <c r="BQ42" s="2134">
        <v>0.23</v>
      </c>
      <c r="BR42" s="357">
        <v>0</v>
      </c>
    </row>
    <row r="43" spans="1:70" ht="24" customHeight="1">
      <c r="A43" s="468">
        <v>36</v>
      </c>
      <c r="B43" s="1699">
        <v>0</v>
      </c>
      <c r="C43" s="1527" t="s">
        <v>31</v>
      </c>
      <c r="D43" s="1380">
        <f t="shared" si="0"/>
        <v>0</v>
      </c>
      <c r="E43" s="2342">
        <f t="shared" si="1"/>
        <v>0</v>
      </c>
      <c r="F43" s="1381">
        <f t="shared" si="2"/>
        <v>0</v>
      </c>
      <c r="G43" s="2347">
        <f t="shared" si="24"/>
        <v>0</v>
      </c>
      <c r="H43" s="1928">
        <f t="shared" si="25"/>
        <v>0</v>
      </c>
      <c r="I43" s="1928">
        <f t="shared" si="3"/>
        <v>0</v>
      </c>
      <c r="J43" s="1928">
        <f t="shared" si="4"/>
        <v>0</v>
      </c>
      <c r="K43" s="1928">
        <f t="shared" si="5"/>
        <v>0</v>
      </c>
      <c r="L43" s="1928">
        <f t="shared" si="26"/>
        <v>0</v>
      </c>
      <c r="M43" s="1702">
        <v>0</v>
      </c>
      <c r="N43" s="1424">
        <v>0</v>
      </c>
      <c r="O43" s="1370">
        <f t="shared" si="14"/>
        <v>0</v>
      </c>
      <c r="P43" s="590">
        <v>14</v>
      </c>
      <c r="Q43" s="2300">
        <f t="shared" si="27"/>
        <v>0</v>
      </c>
      <c r="R43" s="2207">
        <v>0</v>
      </c>
      <c r="S43" s="2231">
        <f t="shared" si="16"/>
        <v>0</v>
      </c>
      <c r="T43" s="2213">
        <f t="shared" si="17"/>
        <v>0</v>
      </c>
      <c r="U43" s="2216">
        <f t="shared" si="6"/>
        <v>0</v>
      </c>
      <c r="V43" s="2213">
        <f t="shared" si="7"/>
        <v>0</v>
      </c>
      <c r="W43"/>
      <c r="X43" s="1281">
        <f t="shared" si="8"/>
        <v>36</v>
      </c>
      <c r="Y43" s="2087" t="str">
        <f t="shared" si="9"/>
        <v>keine</v>
      </c>
      <c r="Z43" s="1329"/>
      <c r="AA43" s="1330" t="s">
        <v>795</v>
      </c>
      <c r="AB43" s="1424">
        <v>0</v>
      </c>
      <c r="AC43" s="1033">
        <f>VLOOKUP(AA43,Düngemittel!$B$6:$E$64,2,FALSE)*(VLOOKUP(AA43,Düngemittel!$B$6:$E$64,3,FALSE))/100*AB43</f>
        <v>0</v>
      </c>
      <c r="AD43" s="1033">
        <f>VLOOKUP(AA43,Düngemittel!$B$6:$E$64,2,FALSE)*AB43</f>
        <v>0</v>
      </c>
      <c r="AE43" s="1033">
        <f>VLOOKUP(AA43,Düngemittel!$B$6:$E$64,4,FALSE)*AB43</f>
        <v>0</v>
      </c>
      <c r="AF43" s="2324"/>
      <c r="AG43" s="1329"/>
      <c r="AH43" s="1330" t="s">
        <v>795</v>
      </c>
      <c r="AI43" s="1424">
        <v>0</v>
      </c>
      <c r="AJ43" s="1033">
        <f>VLOOKUP(AH43,Düngemittel!$B$6:$E$64,2,FALSE)*(VLOOKUP(AH43,Düngemittel!$B$6:$E$64,3,FALSE))/100*AI43</f>
        <v>0</v>
      </c>
      <c r="AK43" s="1033">
        <f>VLOOKUP(AH43,Düngemittel!$B$6:$E$64,2,FALSE)*AI43</f>
        <v>0</v>
      </c>
      <c r="AL43" s="1033">
        <f>VLOOKUP(AH43,Düngemittel!$B$6:$E$64,4,FALSE)*AI43</f>
        <v>0</v>
      </c>
      <c r="AM43" s="2324"/>
      <c r="AN43" s="1329"/>
      <c r="AO43" s="1330" t="s">
        <v>795</v>
      </c>
      <c r="AP43" s="1424">
        <v>0</v>
      </c>
      <c r="AQ43" s="1033">
        <f>VLOOKUP(AO43,Düngemittel!$B$6:$E$64,2,FALSE)*(VLOOKUP(AO43,Düngemittel!$B$6:$E$64,3,FALSE))/100*AP43</f>
        <v>0</v>
      </c>
      <c r="AR43" s="1033">
        <f>VLOOKUP(AO43,Düngemittel!$B$6:$E$64,2,FALSE)*AP43</f>
        <v>0</v>
      </c>
      <c r="AS43" s="1033">
        <f>VLOOKUP(AO43,Düngemittel!$B$6:$E$64,4,FALSE)*AP43</f>
        <v>0</v>
      </c>
      <c r="AT43" s="1371"/>
      <c r="AU43" s="1371"/>
      <c r="AV43" s="1372">
        <f t="shared" si="28"/>
        <v>0</v>
      </c>
      <c r="AW43" s="1373">
        <f t="shared" si="29"/>
        <v>0</v>
      </c>
      <c r="AX43" s="1374">
        <f t="shared" si="30"/>
        <v>0</v>
      </c>
      <c r="AY43" s="1375">
        <f t="shared" si="31"/>
        <v>0</v>
      </c>
      <c r="AZ43" s="1373">
        <f t="shared" si="32"/>
        <v>0</v>
      </c>
      <c r="BA43" s="1376"/>
      <c r="BB43" s="1372">
        <f t="shared" si="33"/>
        <v>0</v>
      </c>
      <c r="BC43" s="1372">
        <f t="shared" si="34"/>
        <v>0</v>
      </c>
      <c r="BD43" s="1372">
        <f t="shared" si="35"/>
        <v>0</v>
      </c>
      <c r="BE43" s="1816">
        <f t="shared" si="36"/>
        <v>0</v>
      </c>
      <c r="BF43" s="1372">
        <f t="shared" si="37"/>
        <v>0</v>
      </c>
      <c r="BG43" s="1377"/>
      <c r="BH43" s="1968" t="s">
        <v>1466</v>
      </c>
      <c r="BI43" s="1421">
        <v>40</v>
      </c>
      <c r="BJ43" s="1421">
        <v>70</v>
      </c>
      <c r="BK43" s="1421">
        <v>10</v>
      </c>
      <c r="BL43" s="1421">
        <v>7</v>
      </c>
      <c r="BM43" s="1421">
        <v>7</v>
      </c>
      <c r="BN43" s="1421">
        <v>0</v>
      </c>
      <c r="BO43" s="1421">
        <v>0</v>
      </c>
      <c r="BP43" s="2136">
        <v>60</v>
      </c>
      <c r="BQ43" s="2132">
        <v>0.16</v>
      </c>
      <c r="BR43" s="357">
        <v>0</v>
      </c>
    </row>
    <row r="44" spans="1:70" ht="24" customHeight="1">
      <c r="A44" s="468">
        <v>37</v>
      </c>
      <c r="B44" s="1699">
        <v>0</v>
      </c>
      <c r="C44" s="1527" t="s">
        <v>31</v>
      </c>
      <c r="D44" s="1380">
        <f t="shared" si="0"/>
        <v>0</v>
      </c>
      <c r="E44" s="2342">
        <f t="shared" si="1"/>
        <v>0</v>
      </c>
      <c r="F44" s="1381">
        <f t="shared" si="2"/>
        <v>0</v>
      </c>
      <c r="G44" s="2347">
        <f t="shared" si="24"/>
        <v>0</v>
      </c>
      <c r="H44" s="1928">
        <f t="shared" si="25"/>
        <v>0</v>
      </c>
      <c r="I44" s="1928">
        <f t="shared" si="3"/>
        <v>0</v>
      </c>
      <c r="J44" s="1928">
        <f t="shared" si="4"/>
        <v>0</v>
      </c>
      <c r="K44" s="1928">
        <f t="shared" si="5"/>
        <v>0</v>
      </c>
      <c r="L44" s="1928">
        <f t="shared" si="26"/>
        <v>0</v>
      </c>
      <c r="M44" s="1702">
        <v>0</v>
      </c>
      <c r="N44" s="1424">
        <v>0</v>
      </c>
      <c r="O44" s="1370">
        <f t="shared" si="14"/>
        <v>0</v>
      </c>
      <c r="P44" s="590">
        <v>15</v>
      </c>
      <c r="Q44" s="2300">
        <f t="shared" si="27"/>
        <v>0</v>
      </c>
      <c r="R44" s="2207">
        <v>0</v>
      </c>
      <c r="S44" s="2231">
        <f t="shared" si="16"/>
        <v>0</v>
      </c>
      <c r="T44" s="2213">
        <f t="shared" si="17"/>
        <v>0</v>
      </c>
      <c r="U44" s="2216">
        <f t="shared" si="6"/>
        <v>0</v>
      </c>
      <c r="V44" s="2213">
        <f t="shared" si="7"/>
        <v>0</v>
      </c>
      <c r="W44"/>
      <c r="X44" s="1281">
        <f t="shared" si="8"/>
        <v>37</v>
      </c>
      <c r="Y44" s="2087" t="str">
        <f t="shared" si="9"/>
        <v>keine</v>
      </c>
      <c r="Z44" s="1329"/>
      <c r="AA44" s="1330" t="s">
        <v>795</v>
      </c>
      <c r="AB44" s="1424">
        <v>0</v>
      </c>
      <c r="AC44" s="1033">
        <f>VLOOKUP(AA44,Düngemittel!$B$6:$E$64,2,FALSE)*(VLOOKUP(AA44,Düngemittel!$B$6:$E$64,3,FALSE))/100*AB44</f>
        <v>0</v>
      </c>
      <c r="AD44" s="1033">
        <f>VLOOKUP(AA44,Düngemittel!$B$6:$E$64,2,FALSE)*AB44</f>
        <v>0</v>
      </c>
      <c r="AE44" s="1033">
        <f>VLOOKUP(AA44,Düngemittel!$B$6:$E$64,4,FALSE)*AB44</f>
        <v>0</v>
      </c>
      <c r="AF44" s="2324"/>
      <c r="AG44" s="1329"/>
      <c r="AH44" s="1330" t="s">
        <v>795</v>
      </c>
      <c r="AI44" s="1424">
        <v>0</v>
      </c>
      <c r="AJ44" s="1033">
        <f>VLOOKUP(AH44,Düngemittel!$B$6:$E$64,2,FALSE)*(VLOOKUP(AH44,Düngemittel!$B$6:$E$64,3,FALSE))/100*AI44</f>
        <v>0</v>
      </c>
      <c r="AK44" s="1033">
        <f>VLOOKUP(AH44,Düngemittel!$B$6:$E$64,2,FALSE)*AI44</f>
        <v>0</v>
      </c>
      <c r="AL44" s="1033">
        <f>VLOOKUP(AH44,Düngemittel!$B$6:$E$64,4,FALSE)*AI44</f>
        <v>0</v>
      </c>
      <c r="AM44" s="2324"/>
      <c r="AN44" s="1329"/>
      <c r="AO44" s="1330" t="s">
        <v>795</v>
      </c>
      <c r="AP44" s="1424">
        <v>0</v>
      </c>
      <c r="AQ44" s="1033">
        <f>VLOOKUP(AO44,Düngemittel!$B$6:$E$64,2,FALSE)*(VLOOKUP(AO44,Düngemittel!$B$6:$E$64,3,FALSE))/100*AP44</f>
        <v>0</v>
      </c>
      <c r="AR44" s="1033">
        <f>VLOOKUP(AO44,Düngemittel!$B$6:$E$64,2,FALSE)*AP44</f>
        <v>0</v>
      </c>
      <c r="AS44" s="1033">
        <f>VLOOKUP(AO44,Düngemittel!$B$6:$E$64,4,FALSE)*AP44</f>
        <v>0</v>
      </c>
      <c r="AT44" s="1371"/>
      <c r="AU44" s="1371"/>
      <c r="AV44" s="1372">
        <f t="shared" si="28"/>
        <v>0</v>
      </c>
      <c r="AW44" s="1373">
        <f t="shared" si="29"/>
        <v>0</v>
      </c>
      <c r="AX44" s="1374">
        <f t="shared" si="30"/>
        <v>0</v>
      </c>
      <c r="AY44" s="1375">
        <f t="shared" si="31"/>
        <v>0</v>
      </c>
      <c r="AZ44" s="1373">
        <f t="shared" si="32"/>
        <v>0</v>
      </c>
      <c r="BA44" s="1376"/>
      <c r="BB44" s="1372">
        <f t="shared" si="33"/>
        <v>0</v>
      </c>
      <c r="BC44" s="1372">
        <f t="shared" si="34"/>
        <v>0</v>
      </c>
      <c r="BD44" s="1372">
        <f t="shared" si="35"/>
        <v>0</v>
      </c>
      <c r="BE44" s="1816">
        <f t="shared" si="36"/>
        <v>0</v>
      </c>
      <c r="BF44" s="1372">
        <f t="shared" si="37"/>
        <v>0</v>
      </c>
      <c r="BG44" s="1377"/>
      <c r="BH44" s="1968" t="s">
        <v>1467</v>
      </c>
      <c r="BI44" s="1421">
        <v>40</v>
      </c>
      <c r="BJ44" s="1421">
        <v>70</v>
      </c>
      <c r="BK44" s="1421">
        <v>10</v>
      </c>
      <c r="BL44" s="1421">
        <v>7</v>
      </c>
      <c r="BM44" s="1421">
        <v>7</v>
      </c>
      <c r="BN44" s="1421">
        <v>0</v>
      </c>
      <c r="BO44" s="1421">
        <v>0</v>
      </c>
      <c r="BP44" s="2136">
        <v>60</v>
      </c>
      <c r="BQ44" s="2134">
        <v>0.44000000000000006</v>
      </c>
      <c r="BR44" s="357">
        <v>0</v>
      </c>
    </row>
    <row r="45" spans="1:70" ht="24" customHeight="1">
      <c r="A45" s="468">
        <v>38</v>
      </c>
      <c r="B45" s="1699">
        <v>0</v>
      </c>
      <c r="C45" s="1527" t="s">
        <v>31</v>
      </c>
      <c r="D45" s="1380">
        <f t="shared" si="0"/>
        <v>0</v>
      </c>
      <c r="E45" s="2342">
        <f t="shared" si="1"/>
        <v>0</v>
      </c>
      <c r="F45" s="1381">
        <f t="shared" si="2"/>
        <v>0</v>
      </c>
      <c r="G45" s="2347">
        <f t="shared" si="24"/>
        <v>0</v>
      </c>
      <c r="H45" s="1928">
        <f t="shared" si="25"/>
        <v>0</v>
      </c>
      <c r="I45" s="1928">
        <f t="shared" si="3"/>
        <v>0</v>
      </c>
      <c r="J45" s="1928">
        <f t="shared" si="4"/>
        <v>0</v>
      </c>
      <c r="K45" s="1928">
        <f t="shared" si="5"/>
        <v>0</v>
      </c>
      <c r="L45" s="1928">
        <f t="shared" si="26"/>
        <v>0</v>
      </c>
      <c r="M45" s="1702">
        <v>0</v>
      </c>
      <c r="N45" s="1424">
        <v>0</v>
      </c>
      <c r="O45" s="1370">
        <f t="shared" si="14"/>
        <v>0</v>
      </c>
      <c r="P45" s="590">
        <v>16</v>
      </c>
      <c r="Q45" s="2300">
        <f t="shared" si="27"/>
        <v>0</v>
      </c>
      <c r="R45" s="2207">
        <v>0</v>
      </c>
      <c r="S45" s="2231">
        <f t="shared" si="16"/>
        <v>0</v>
      </c>
      <c r="T45" s="2213">
        <f t="shared" si="17"/>
        <v>0</v>
      </c>
      <c r="U45" s="2216">
        <f t="shared" si="6"/>
        <v>0</v>
      </c>
      <c r="V45" s="2213">
        <f t="shared" si="7"/>
        <v>0</v>
      </c>
      <c r="W45"/>
      <c r="X45" s="1281">
        <f t="shared" si="8"/>
        <v>38</v>
      </c>
      <c r="Y45" s="2087" t="str">
        <f t="shared" si="9"/>
        <v>keine</v>
      </c>
      <c r="Z45" s="1329"/>
      <c r="AA45" s="1330" t="s">
        <v>795</v>
      </c>
      <c r="AB45" s="1424">
        <v>0</v>
      </c>
      <c r="AC45" s="1033">
        <f>VLOOKUP(AA45,Düngemittel!$B$6:$E$64,2,FALSE)*(VLOOKUP(AA45,Düngemittel!$B$6:$E$64,3,FALSE))/100*AB45</f>
        <v>0</v>
      </c>
      <c r="AD45" s="1033">
        <f>VLOOKUP(AA45,Düngemittel!$B$6:$E$64,2,FALSE)*AB45</f>
        <v>0</v>
      </c>
      <c r="AE45" s="1033">
        <f>VLOOKUP(AA45,Düngemittel!$B$6:$E$64,4,FALSE)*AB45</f>
        <v>0</v>
      </c>
      <c r="AF45" s="2324"/>
      <c r="AG45" s="1329"/>
      <c r="AH45" s="1330" t="s">
        <v>795</v>
      </c>
      <c r="AI45" s="1424">
        <v>0</v>
      </c>
      <c r="AJ45" s="1033">
        <f>VLOOKUP(AH45,Düngemittel!$B$6:$E$64,2,FALSE)*(VLOOKUP(AH45,Düngemittel!$B$6:$E$64,3,FALSE))/100*AI45</f>
        <v>0</v>
      </c>
      <c r="AK45" s="1033">
        <f>VLOOKUP(AH45,Düngemittel!$B$6:$E$64,2,FALSE)*AI45</f>
        <v>0</v>
      </c>
      <c r="AL45" s="1033">
        <f>VLOOKUP(AH45,Düngemittel!$B$6:$E$64,4,FALSE)*AI45</f>
        <v>0</v>
      </c>
      <c r="AM45" s="2324"/>
      <c r="AN45" s="1329"/>
      <c r="AO45" s="1330" t="s">
        <v>795</v>
      </c>
      <c r="AP45" s="1424">
        <v>0</v>
      </c>
      <c r="AQ45" s="1033">
        <f>VLOOKUP(AO45,Düngemittel!$B$6:$E$64,2,FALSE)*(VLOOKUP(AO45,Düngemittel!$B$6:$E$64,3,FALSE))/100*AP45</f>
        <v>0</v>
      </c>
      <c r="AR45" s="1033">
        <f>VLOOKUP(AO45,Düngemittel!$B$6:$E$64,2,FALSE)*AP45</f>
        <v>0</v>
      </c>
      <c r="AS45" s="1033">
        <f>VLOOKUP(AO45,Düngemittel!$B$6:$E$64,4,FALSE)*AP45</f>
        <v>0</v>
      </c>
      <c r="AT45" s="1371"/>
      <c r="AU45" s="1371"/>
      <c r="AV45" s="1372">
        <f t="shared" si="28"/>
        <v>0</v>
      </c>
      <c r="AW45" s="1373">
        <f t="shared" si="29"/>
        <v>0</v>
      </c>
      <c r="AX45" s="1374">
        <f t="shared" si="30"/>
        <v>0</v>
      </c>
      <c r="AY45" s="1375">
        <f t="shared" si="31"/>
        <v>0</v>
      </c>
      <c r="AZ45" s="1373">
        <f t="shared" si="32"/>
        <v>0</v>
      </c>
      <c r="BA45" s="1376"/>
      <c r="BB45" s="1372">
        <f t="shared" si="33"/>
        <v>0</v>
      </c>
      <c r="BC45" s="1372">
        <f t="shared" si="34"/>
        <v>0</v>
      </c>
      <c r="BD45" s="1372">
        <f t="shared" si="35"/>
        <v>0</v>
      </c>
      <c r="BE45" s="1816">
        <f t="shared" si="36"/>
        <v>0</v>
      </c>
      <c r="BF45" s="1372">
        <f t="shared" si="37"/>
        <v>0</v>
      </c>
      <c r="BG45" s="1377"/>
      <c r="BH45" s="1968" t="s">
        <v>1468</v>
      </c>
      <c r="BI45" s="1421">
        <v>60</v>
      </c>
      <c r="BJ45" s="1421">
        <v>70</v>
      </c>
      <c r="BK45" s="1421">
        <v>10</v>
      </c>
      <c r="BL45" s="1421">
        <v>7</v>
      </c>
      <c r="BM45" s="1421">
        <v>7</v>
      </c>
      <c r="BN45" s="1421">
        <v>0</v>
      </c>
      <c r="BO45" s="1421">
        <v>0</v>
      </c>
      <c r="BP45" s="2136">
        <v>60</v>
      </c>
      <c r="BQ45" s="2134">
        <v>0.48666666666666669</v>
      </c>
      <c r="BR45" s="357">
        <v>0</v>
      </c>
    </row>
    <row r="46" spans="1:70" ht="24" customHeight="1">
      <c r="A46" s="468">
        <v>39</v>
      </c>
      <c r="B46" s="1699">
        <v>0</v>
      </c>
      <c r="C46" s="1527" t="s">
        <v>31</v>
      </c>
      <c r="D46" s="1380">
        <f t="shared" si="0"/>
        <v>0</v>
      </c>
      <c r="E46" s="2342">
        <f t="shared" si="1"/>
        <v>0</v>
      </c>
      <c r="F46" s="1381">
        <f t="shared" si="2"/>
        <v>0</v>
      </c>
      <c r="G46" s="2347">
        <f t="shared" si="24"/>
        <v>0</v>
      </c>
      <c r="H46" s="1928">
        <f t="shared" si="25"/>
        <v>0</v>
      </c>
      <c r="I46" s="1928">
        <f t="shared" si="3"/>
        <v>0</v>
      </c>
      <c r="J46" s="1928">
        <f t="shared" si="4"/>
        <v>0</v>
      </c>
      <c r="K46" s="1928">
        <f t="shared" si="5"/>
        <v>0</v>
      </c>
      <c r="L46" s="1928">
        <f t="shared" si="26"/>
        <v>0</v>
      </c>
      <c r="M46" s="1702">
        <v>0</v>
      </c>
      <c r="N46" s="1424">
        <v>0</v>
      </c>
      <c r="O46" s="1370">
        <f t="shared" si="14"/>
        <v>0</v>
      </c>
      <c r="P46" s="590">
        <v>17</v>
      </c>
      <c r="Q46" s="2300">
        <f t="shared" si="27"/>
        <v>0</v>
      </c>
      <c r="R46" s="2207">
        <v>0</v>
      </c>
      <c r="S46" s="2231">
        <f t="shared" si="16"/>
        <v>0</v>
      </c>
      <c r="T46" s="2213">
        <f t="shared" si="17"/>
        <v>0</v>
      </c>
      <c r="U46" s="2216">
        <f t="shared" si="6"/>
        <v>0</v>
      </c>
      <c r="V46" s="2213">
        <f t="shared" si="7"/>
        <v>0</v>
      </c>
      <c r="W46"/>
      <c r="X46" s="1281">
        <f t="shared" si="8"/>
        <v>39</v>
      </c>
      <c r="Y46" s="2087" t="str">
        <f t="shared" si="9"/>
        <v>keine</v>
      </c>
      <c r="Z46" s="1329"/>
      <c r="AA46" s="1330" t="s">
        <v>795</v>
      </c>
      <c r="AB46" s="1424">
        <v>0</v>
      </c>
      <c r="AC46" s="1033">
        <f>VLOOKUP(AA46,Düngemittel!$B$6:$E$64,2,FALSE)*(VLOOKUP(AA46,Düngemittel!$B$6:$E$64,3,FALSE))/100*AB46</f>
        <v>0</v>
      </c>
      <c r="AD46" s="1033">
        <f>VLOOKUP(AA46,Düngemittel!$B$6:$E$64,2,FALSE)*AB46</f>
        <v>0</v>
      </c>
      <c r="AE46" s="1033">
        <f>VLOOKUP(AA46,Düngemittel!$B$6:$E$64,4,FALSE)*AB46</f>
        <v>0</v>
      </c>
      <c r="AF46" s="2324"/>
      <c r="AG46" s="1329"/>
      <c r="AH46" s="1330" t="s">
        <v>795</v>
      </c>
      <c r="AI46" s="1424">
        <v>0</v>
      </c>
      <c r="AJ46" s="1033">
        <f>VLOOKUP(AH46,Düngemittel!$B$6:$E$64,2,FALSE)*(VLOOKUP(AH46,Düngemittel!$B$6:$E$64,3,FALSE))/100*AI46</f>
        <v>0</v>
      </c>
      <c r="AK46" s="1033">
        <f>VLOOKUP(AH46,Düngemittel!$B$6:$E$64,2,FALSE)*AI46</f>
        <v>0</v>
      </c>
      <c r="AL46" s="1033">
        <f>VLOOKUP(AH46,Düngemittel!$B$6:$E$64,4,FALSE)*AI46</f>
        <v>0</v>
      </c>
      <c r="AM46" s="2324"/>
      <c r="AN46" s="1329"/>
      <c r="AO46" s="1330" t="s">
        <v>795</v>
      </c>
      <c r="AP46" s="1424">
        <v>0</v>
      </c>
      <c r="AQ46" s="1033">
        <f>VLOOKUP(AO46,Düngemittel!$B$6:$E$64,2,FALSE)*(VLOOKUP(AO46,Düngemittel!$B$6:$E$64,3,FALSE))/100*AP46</f>
        <v>0</v>
      </c>
      <c r="AR46" s="1033">
        <f>VLOOKUP(AO46,Düngemittel!$B$6:$E$64,2,FALSE)*AP46</f>
        <v>0</v>
      </c>
      <c r="AS46" s="1033">
        <f>VLOOKUP(AO46,Düngemittel!$B$6:$E$64,4,FALSE)*AP46</f>
        <v>0</v>
      </c>
      <c r="AT46" s="1371"/>
      <c r="AU46" s="1371"/>
      <c r="AV46" s="1372">
        <f t="shared" si="28"/>
        <v>0</v>
      </c>
      <c r="AW46" s="1373">
        <f t="shared" si="29"/>
        <v>0</v>
      </c>
      <c r="AX46" s="1374">
        <f t="shared" si="30"/>
        <v>0</v>
      </c>
      <c r="AY46" s="1375">
        <f t="shared" si="31"/>
        <v>0</v>
      </c>
      <c r="AZ46" s="1373">
        <f t="shared" si="32"/>
        <v>0</v>
      </c>
      <c r="BA46" s="1376"/>
      <c r="BB46" s="1372">
        <f t="shared" si="33"/>
        <v>0</v>
      </c>
      <c r="BC46" s="1372">
        <f t="shared" si="34"/>
        <v>0</v>
      </c>
      <c r="BD46" s="1372">
        <f t="shared" si="35"/>
        <v>0</v>
      </c>
      <c r="BE46" s="1816">
        <f t="shared" si="36"/>
        <v>0</v>
      </c>
      <c r="BF46" s="1372">
        <f t="shared" si="37"/>
        <v>0</v>
      </c>
      <c r="BG46" s="1377"/>
      <c r="BH46" s="1968" t="s">
        <v>1469</v>
      </c>
      <c r="BI46" s="1421">
        <v>60</v>
      </c>
      <c r="BJ46" s="1421">
        <v>70</v>
      </c>
      <c r="BK46" s="1421">
        <v>10</v>
      </c>
      <c r="BL46" s="1421">
        <v>7</v>
      </c>
      <c r="BM46" s="1421">
        <v>7</v>
      </c>
      <c r="BN46" s="1421">
        <v>0</v>
      </c>
      <c r="BO46" s="1421">
        <v>0</v>
      </c>
      <c r="BP46" s="2136">
        <v>60</v>
      </c>
      <c r="BQ46" s="2132">
        <v>0.3</v>
      </c>
      <c r="BR46" s="357">
        <v>0</v>
      </c>
    </row>
    <row r="47" spans="1:70" ht="24" customHeight="1">
      <c r="A47" s="468">
        <v>40</v>
      </c>
      <c r="B47" s="1699">
        <v>0</v>
      </c>
      <c r="C47" s="1527" t="s">
        <v>31</v>
      </c>
      <c r="D47" s="1380">
        <f t="shared" si="0"/>
        <v>0</v>
      </c>
      <c r="E47" s="2342">
        <f t="shared" si="1"/>
        <v>0</v>
      </c>
      <c r="F47" s="1381">
        <f t="shared" si="2"/>
        <v>0</v>
      </c>
      <c r="G47" s="2347">
        <f t="shared" si="24"/>
        <v>0</v>
      </c>
      <c r="H47" s="1928">
        <f t="shared" si="25"/>
        <v>0</v>
      </c>
      <c r="I47" s="1928">
        <f t="shared" si="3"/>
        <v>0</v>
      </c>
      <c r="J47" s="1928">
        <f t="shared" si="4"/>
        <v>0</v>
      </c>
      <c r="K47" s="1928">
        <f t="shared" si="5"/>
        <v>0</v>
      </c>
      <c r="L47" s="1928">
        <f t="shared" si="26"/>
        <v>0</v>
      </c>
      <c r="M47" s="1702">
        <v>0</v>
      </c>
      <c r="N47" s="1424">
        <v>0</v>
      </c>
      <c r="O47" s="1370">
        <f t="shared" si="14"/>
        <v>0</v>
      </c>
      <c r="P47" s="590">
        <v>18</v>
      </c>
      <c r="Q47" s="2300">
        <f t="shared" si="27"/>
        <v>0</v>
      </c>
      <c r="R47" s="2207">
        <v>0</v>
      </c>
      <c r="S47" s="2231">
        <f t="shared" si="16"/>
        <v>0</v>
      </c>
      <c r="T47" s="2213">
        <f t="shared" si="17"/>
        <v>0</v>
      </c>
      <c r="U47" s="2216">
        <f t="shared" si="6"/>
        <v>0</v>
      </c>
      <c r="V47" s="2213">
        <f t="shared" si="7"/>
        <v>0</v>
      </c>
      <c r="W47"/>
      <c r="X47" s="1281">
        <f t="shared" si="8"/>
        <v>40</v>
      </c>
      <c r="Y47" s="2087" t="str">
        <f t="shared" si="9"/>
        <v>keine</v>
      </c>
      <c r="Z47" s="1329"/>
      <c r="AA47" s="1330" t="s">
        <v>795</v>
      </c>
      <c r="AB47" s="1424">
        <v>0</v>
      </c>
      <c r="AC47" s="1033">
        <f>VLOOKUP(AA47,Düngemittel!$B$6:$E$64,2,FALSE)*(VLOOKUP(AA47,Düngemittel!$B$6:$E$64,3,FALSE))/100*AB47</f>
        <v>0</v>
      </c>
      <c r="AD47" s="1033">
        <f>VLOOKUP(AA47,Düngemittel!$B$6:$E$64,2,FALSE)*AB47</f>
        <v>0</v>
      </c>
      <c r="AE47" s="1033">
        <f>VLOOKUP(AA47,Düngemittel!$B$6:$E$64,4,FALSE)*AB47</f>
        <v>0</v>
      </c>
      <c r="AF47" s="2324"/>
      <c r="AG47" s="1329"/>
      <c r="AH47" s="1330" t="s">
        <v>795</v>
      </c>
      <c r="AI47" s="1424">
        <v>0</v>
      </c>
      <c r="AJ47" s="1033">
        <f>VLOOKUP(AH47,Düngemittel!$B$6:$E$64,2,FALSE)*(VLOOKUP(AH47,Düngemittel!$B$6:$E$64,3,FALSE))/100*AI47</f>
        <v>0</v>
      </c>
      <c r="AK47" s="1033">
        <f>VLOOKUP(AH47,Düngemittel!$B$6:$E$64,2,FALSE)*AI47</f>
        <v>0</v>
      </c>
      <c r="AL47" s="1033">
        <f>VLOOKUP(AH47,Düngemittel!$B$6:$E$64,4,FALSE)*AI47</f>
        <v>0</v>
      </c>
      <c r="AM47" s="2324"/>
      <c r="AN47" s="1329"/>
      <c r="AO47" s="1330" t="s">
        <v>795</v>
      </c>
      <c r="AP47" s="1424">
        <v>0</v>
      </c>
      <c r="AQ47" s="1033">
        <f>VLOOKUP(AO47,Düngemittel!$B$6:$E$64,2,FALSE)*(VLOOKUP(AO47,Düngemittel!$B$6:$E$64,3,FALSE))/100*AP47</f>
        <v>0</v>
      </c>
      <c r="AR47" s="1033">
        <f>VLOOKUP(AO47,Düngemittel!$B$6:$E$64,2,FALSE)*AP47</f>
        <v>0</v>
      </c>
      <c r="AS47" s="1033">
        <f>VLOOKUP(AO47,Düngemittel!$B$6:$E$64,4,FALSE)*AP47</f>
        <v>0</v>
      </c>
      <c r="AT47" s="1371"/>
      <c r="AU47" s="1371"/>
      <c r="AV47" s="1372">
        <f t="shared" si="28"/>
        <v>0</v>
      </c>
      <c r="AW47" s="1373">
        <f t="shared" si="29"/>
        <v>0</v>
      </c>
      <c r="AX47" s="1374">
        <f t="shared" si="30"/>
        <v>0</v>
      </c>
      <c r="AY47" s="1375">
        <f t="shared" si="31"/>
        <v>0</v>
      </c>
      <c r="AZ47" s="1373">
        <f t="shared" si="32"/>
        <v>0</v>
      </c>
      <c r="BA47" s="1376"/>
      <c r="BB47" s="1372">
        <f t="shared" si="33"/>
        <v>0</v>
      </c>
      <c r="BC47" s="1372">
        <f t="shared" si="34"/>
        <v>0</v>
      </c>
      <c r="BD47" s="1372">
        <f t="shared" si="35"/>
        <v>0</v>
      </c>
      <c r="BE47" s="1816">
        <f t="shared" si="36"/>
        <v>0</v>
      </c>
      <c r="BF47" s="1372">
        <f t="shared" si="37"/>
        <v>0</v>
      </c>
      <c r="BG47" s="1377"/>
      <c r="BH47" s="1968" t="s">
        <v>1470</v>
      </c>
      <c r="BI47" s="1421">
        <v>135</v>
      </c>
      <c r="BJ47" s="1421">
        <v>130</v>
      </c>
      <c r="BK47" s="1421">
        <v>10</v>
      </c>
      <c r="BL47" s="1421">
        <v>13</v>
      </c>
      <c r="BM47" s="1421">
        <v>13</v>
      </c>
      <c r="BN47" s="1421">
        <v>0</v>
      </c>
      <c r="BO47" s="1421">
        <v>0</v>
      </c>
      <c r="BP47" s="2131">
        <v>60</v>
      </c>
      <c r="BQ47" s="2132">
        <v>0.16</v>
      </c>
      <c r="BR47" s="357">
        <v>0</v>
      </c>
    </row>
    <row r="48" spans="1:70" ht="24" customHeight="1">
      <c r="A48" s="468">
        <v>41</v>
      </c>
      <c r="B48" s="1699">
        <v>0</v>
      </c>
      <c r="C48" s="1527" t="s">
        <v>31</v>
      </c>
      <c r="D48" s="1380">
        <f t="shared" si="0"/>
        <v>0</v>
      </c>
      <c r="E48" s="2342">
        <f t="shared" si="1"/>
        <v>0</v>
      </c>
      <c r="F48" s="1381">
        <f t="shared" si="2"/>
        <v>0</v>
      </c>
      <c r="G48" s="2347">
        <f t="shared" si="24"/>
        <v>0</v>
      </c>
      <c r="H48" s="1928">
        <f t="shared" si="25"/>
        <v>0</v>
      </c>
      <c r="I48" s="1928">
        <f t="shared" si="3"/>
        <v>0</v>
      </c>
      <c r="J48" s="1928">
        <f t="shared" si="4"/>
        <v>0</v>
      </c>
      <c r="K48" s="1928">
        <f t="shared" si="5"/>
        <v>0</v>
      </c>
      <c r="L48" s="1928">
        <f t="shared" si="26"/>
        <v>0</v>
      </c>
      <c r="M48" s="1702">
        <v>0</v>
      </c>
      <c r="N48" s="1424">
        <v>0</v>
      </c>
      <c r="O48" s="1370">
        <f t="shared" si="14"/>
        <v>0</v>
      </c>
      <c r="P48" s="590">
        <v>19</v>
      </c>
      <c r="Q48" s="2300">
        <f t="shared" si="27"/>
        <v>0</v>
      </c>
      <c r="R48" s="2207">
        <v>0</v>
      </c>
      <c r="S48" s="2231">
        <f t="shared" si="16"/>
        <v>0</v>
      </c>
      <c r="T48" s="2213">
        <f t="shared" si="17"/>
        <v>0</v>
      </c>
      <c r="U48" s="2216">
        <f t="shared" si="6"/>
        <v>0</v>
      </c>
      <c r="V48" s="2213">
        <f t="shared" si="7"/>
        <v>0</v>
      </c>
      <c r="W48"/>
      <c r="X48" s="1281">
        <f t="shared" si="8"/>
        <v>41</v>
      </c>
      <c r="Y48" s="2087" t="str">
        <f t="shared" si="9"/>
        <v>keine</v>
      </c>
      <c r="Z48" s="1329"/>
      <c r="AA48" s="1330" t="s">
        <v>795</v>
      </c>
      <c r="AB48" s="1424">
        <v>0</v>
      </c>
      <c r="AC48" s="1033">
        <f>VLOOKUP(AA48,Düngemittel!$B$6:$E$64,2,FALSE)*(VLOOKUP(AA48,Düngemittel!$B$6:$E$64,3,FALSE))/100*AB48</f>
        <v>0</v>
      </c>
      <c r="AD48" s="1033">
        <f>VLOOKUP(AA48,Düngemittel!$B$6:$E$64,2,FALSE)*AB48</f>
        <v>0</v>
      </c>
      <c r="AE48" s="1033">
        <f>VLOOKUP(AA48,Düngemittel!$B$6:$E$64,4,FALSE)*AB48</f>
        <v>0</v>
      </c>
      <c r="AF48" s="2324"/>
      <c r="AG48" s="1329"/>
      <c r="AH48" s="1330" t="s">
        <v>795</v>
      </c>
      <c r="AI48" s="1424">
        <v>0</v>
      </c>
      <c r="AJ48" s="1033">
        <f>VLOOKUP(AH48,Düngemittel!$B$6:$E$64,2,FALSE)*(VLOOKUP(AH48,Düngemittel!$B$6:$E$64,3,FALSE))/100*AI48</f>
        <v>0</v>
      </c>
      <c r="AK48" s="1033">
        <f>VLOOKUP(AH48,Düngemittel!$B$6:$E$64,2,FALSE)*AI48</f>
        <v>0</v>
      </c>
      <c r="AL48" s="1033">
        <f>VLOOKUP(AH48,Düngemittel!$B$6:$E$64,4,FALSE)*AI48</f>
        <v>0</v>
      </c>
      <c r="AM48" s="2324"/>
      <c r="AN48" s="1329"/>
      <c r="AO48" s="1330" t="s">
        <v>795</v>
      </c>
      <c r="AP48" s="1424">
        <v>0</v>
      </c>
      <c r="AQ48" s="1033">
        <f>VLOOKUP(AO48,Düngemittel!$B$6:$E$64,2,FALSE)*(VLOOKUP(AO48,Düngemittel!$B$6:$E$64,3,FALSE))/100*AP48</f>
        <v>0</v>
      </c>
      <c r="AR48" s="1033">
        <f>VLOOKUP(AO48,Düngemittel!$B$6:$E$64,2,FALSE)*AP48</f>
        <v>0</v>
      </c>
      <c r="AS48" s="1033">
        <f>VLOOKUP(AO48,Düngemittel!$B$6:$E$64,4,FALSE)*AP48</f>
        <v>0</v>
      </c>
      <c r="AT48" s="1371"/>
      <c r="AU48" s="1371"/>
      <c r="AV48" s="1372">
        <f t="shared" si="28"/>
        <v>0</v>
      </c>
      <c r="AW48" s="1373">
        <f t="shared" si="29"/>
        <v>0</v>
      </c>
      <c r="AX48" s="1374">
        <f t="shared" si="30"/>
        <v>0</v>
      </c>
      <c r="AY48" s="1375">
        <f t="shared" si="31"/>
        <v>0</v>
      </c>
      <c r="AZ48" s="1373">
        <f t="shared" si="32"/>
        <v>0</v>
      </c>
      <c r="BA48" s="1376"/>
      <c r="BB48" s="1372">
        <f t="shared" si="33"/>
        <v>0</v>
      </c>
      <c r="BC48" s="1372">
        <f t="shared" si="34"/>
        <v>0</v>
      </c>
      <c r="BD48" s="1372">
        <f t="shared" si="35"/>
        <v>0</v>
      </c>
      <c r="BE48" s="1816">
        <f t="shared" si="36"/>
        <v>0</v>
      </c>
      <c r="BF48" s="1372">
        <f t="shared" si="37"/>
        <v>0</v>
      </c>
      <c r="BG48" s="1377"/>
      <c r="BH48" s="1968" t="s">
        <v>1471</v>
      </c>
      <c r="BI48" s="1421">
        <v>50</v>
      </c>
      <c r="BJ48" s="1421">
        <v>60</v>
      </c>
      <c r="BK48" s="1421">
        <v>10</v>
      </c>
      <c r="BL48" s="1421">
        <v>6</v>
      </c>
      <c r="BM48" s="1421">
        <v>6</v>
      </c>
      <c r="BN48" s="1421">
        <v>0</v>
      </c>
      <c r="BO48" s="1421">
        <v>0</v>
      </c>
      <c r="BP48" s="2133">
        <v>30</v>
      </c>
      <c r="BQ48" s="2134">
        <v>0.38</v>
      </c>
      <c r="BR48" s="357">
        <v>0</v>
      </c>
    </row>
    <row r="49" spans="1:70" ht="24" customHeight="1">
      <c r="A49" s="468">
        <v>42</v>
      </c>
      <c r="B49" s="1699">
        <v>0</v>
      </c>
      <c r="C49" s="1527" t="s">
        <v>31</v>
      </c>
      <c r="D49" s="1380">
        <f t="shared" si="0"/>
        <v>0</v>
      </c>
      <c r="E49" s="2342">
        <f t="shared" si="1"/>
        <v>0</v>
      </c>
      <c r="F49" s="1381">
        <f t="shared" si="2"/>
        <v>0</v>
      </c>
      <c r="G49" s="2347">
        <f t="shared" si="24"/>
        <v>0</v>
      </c>
      <c r="H49" s="1928">
        <f t="shared" si="25"/>
        <v>0</v>
      </c>
      <c r="I49" s="1928">
        <f t="shared" si="3"/>
        <v>0</v>
      </c>
      <c r="J49" s="1928">
        <f t="shared" si="4"/>
        <v>0</v>
      </c>
      <c r="K49" s="1928">
        <f t="shared" si="5"/>
        <v>0</v>
      </c>
      <c r="L49" s="1928">
        <f t="shared" si="26"/>
        <v>0</v>
      </c>
      <c r="M49" s="1702">
        <v>0</v>
      </c>
      <c r="N49" s="1424">
        <v>0</v>
      </c>
      <c r="O49" s="1370">
        <f t="shared" si="14"/>
        <v>0</v>
      </c>
      <c r="P49" s="590">
        <v>20</v>
      </c>
      <c r="Q49" s="2300">
        <f t="shared" si="27"/>
        <v>0</v>
      </c>
      <c r="R49" s="2207">
        <v>0</v>
      </c>
      <c r="S49" s="2231">
        <f t="shared" si="16"/>
        <v>0</v>
      </c>
      <c r="T49" s="2213">
        <f t="shared" si="17"/>
        <v>0</v>
      </c>
      <c r="U49" s="2216">
        <f t="shared" si="6"/>
        <v>0</v>
      </c>
      <c r="V49" s="2213">
        <f t="shared" si="7"/>
        <v>0</v>
      </c>
      <c r="W49"/>
      <c r="X49" s="1281">
        <f t="shared" si="8"/>
        <v>42</v>
      </c>
      <c r="Y49" s="2087" t="str">
        <f t="shared" si="9"/>
        <v>keine</v>
      </c>
      <c r="Z49" s="1329"/>
      <c r="AA49" s="1330" t="s">
        <v>795</v>
      </c>
      <c r="AB49" s="1424">
        <v>0</v>
      </c>
      <c r="AC49" s="1033">
        <f>VLOOKUP(AA49,Düngemittel!$B$6:$E$64,2,FALSE)*(VLOOKUP(AA49,Düngemittel!$B$6:$E$64,3,FALSE))/100*AB49</f>
        <v>0</v>
      </c>
      <c r="AD49" s="1033">
        <f>VLOOKUP(AA49,Düngemittel!$B$6:$E$64,2,FALSE)*AB49</f>
        <v>0</v>
      </c>
      <c r="AE49" s="1033">
        <f>VLOOKUP(AA49,Düngemittel!$B$6:$E$64,4,FALSE)*AB49</f>
        <v>0</v>
      </c>
      <c r="AF49" s="2324"/>
      <c r="AG49" s="1329"/>
      <c r="AH49" s="1330" t="s">
        <v>795</v>
      </c>
      <c r="AI49" s="1424">
        <v>0</v>
      </c>
      <c r="AJ49" s="1033">
        <f>VLOOKUP(AH49,Düngemittel!$B$6:$E$64,2,FALSE)*(VLOOKUP(AH49,Düngemittel!$B$6:$E$64,3,FALSE))/100*AI49</f>
        <v>0</v>
      </c>
      <c r="AK49" s="1033">
        <f>VLOOKUP(AH49,Düngemittel!$B$6:$E$64,2,FALSE)*AI49</f>
        <v>0</v>
      </c>
      <c r="AL49" s="1033">
        <f>VLOOKUP(AH49,Düngemittel!$B$6:$E$64,4,FALSE)*AI49</f>
        <v>0</v>
      </c>
      <c r="AM49" s="2324"/>
      <c r="AN49" s="1329"/>
      <c r="AO49" s="1330" t="s">
        <v>795</v>
      </c>
      <c r="AP49" s="1424">
        <v>0</v>
      </c>
      <c r="AQ49" s="1033">
        <f>VLOOKUP(AO49,Düngemittel!$B$6:$E$64,2,FALSE)*(VLOOKUP(AO49,Düngemittel!$B$6:$E$64,3,FALSE))/100*AP49</f>
        <v>0</v>
      </c>
      <c r="AR49" s="1033">
        <f>VLOOKUP(AO49,Düngemittel!$B$6:$E$64,2,FALSE)*AP49</f>
        <v>0</v>
      </c>
      <c r="AS49" s="1033">
        <f>VLOOKUP(AO49,Düngemittel!$B$6:$E$64,4,FALSE)*AP49</f>
        <v>0</v>
      </c>
      <c r="AT49" s="1371"/>
      <c r="AU49" s="1371"/>
      <c r="AV49" s="1372">
        <f t="shared" si="28"/>
        <v>0</v>
      </c>
      <c r="AW49" s="1373">
        <f t="shared" si="29"/>
        <v>0</v>
      </c>
      <c r="AX49" s="1374">
        <f t="shared" si="30"/>
        <v>0</v>
      </c>
      <c r="AY49" s="1375">
        <f t="shared" si="31"/>
        <v>0</v>
      </c>
      <c r="AZ49" s="1373">
        <f t="shared" si="32"/>
        <v>0</v>
      </c>
      <c r="BA49" s="1376"/>
      <c r="BB49" s="1372">
        <f t="shared" si="33"/>
        <v>0</v>
      </c>
      <c r="BC49" s="1372">
        <f t="shared" si="34"/>
        <v>0</v>
      </c>
      <c r="BD49" s="1372">
        <f t="shared" si="35"/>
        <v>0</v>
      </c>
      <c r="BE49" s="1816">
        <f t="shared" si="36"/>
        <v>0</v>
      </c>
      <c r="BF49" s="1372">
        <f t="shared" si="37"/>
        <v>0</v>
      </c>
      <c r="BG49" s="1377"/>
      <c r="BH49" s="1968" t="s">
        <v>1472</v>
      </c>
      <c r="BI49" s="1421">
        <v>50</v>
      </c>
      <c r="BJ49" s="1421">
        <v>60</v>
      </c>
      <c r="BK49" s="1421">
        <v>10</v>
      </c>
      <c r="BL49" s="1421">
        <v>6</v>
      </c>
      <c r="BM49" s="1421">
        <v>6</v>
      </c>
      <c r="BN49" s="1421">
        <v>0</v>
      </c>
      <c r="BO49" s="1421">
        <v>0</v>
      </c>
      <c r="BP49" s="2133">
        <v>30</v>
      </c>
      <c r="BQ49" s="2134">
        <v>0.17</v>
      </c>
      <c r="BR49" s="357">
        <v>0</v>
      </c>
    </row>
    <row r="50" spans="1:70" ht="24" customHeight="1">
      <c r="A50" s="468">
        <v>43</v>
      </c>
      <c r="B50" s="1699">
        <v>0</v>
      </c>
      <c r="C50" s="1527" t="s">
        <v>31</v>
      </c>
      <c r="D50" s="1380">
        <f t="shared" si="0"/>
        <v>0</v>
      </c>
      <c r="E50" s="2342">
        <f t="shared" si="1"/>
        <v>0</v>
      </c>
      <c r="F50" s="1381">
        <f t="shared" si="2"/>
        <v>0</v>
      </c>
      <c r="G50" s="2347">
        <f t="shared" si="24"/>
        <v>0</v>
      </c>
      <c r="H50" s="1928">
        <f t="shared" si="25"/>
        <v>0</v>
      </c>
      <c r="I50" s="1928">
        <f t="shared" si="3"/>
        <v>0</v>
      </c>
      <c r="J50" s="1928">
        <f t="shared" si="4"/>
        <v>0</v>
      </c>
      <c r="K50" s="1928">
        <f t="shared" si="5"/>
        <v>0</v>
      </c>
      <c r="L50" s="1928">
        <f t="shared" si="26"/>
        <v>0</v>
      </c>
      <c r="M50" s="1702">
        <v>0</v>
      </c>
      <c r="N50" s="1424">
        <v>0</v>
      </c>
      <c r="O50" s="1370">
        <f t="shared" si="14"/>
        <v>0</v>
      </c>
      <c r="P50" s="590">
        <v>21</v>
      </c>
      <c r="Q50" s="2300">
        <f t="shared" si="27"/>
        <v>0</v>
      </c>
      <c r="R50" s="2207">
        <v>0</v>
      </c>
      <c r="S50" s="2231">
        <f t="shared" si="16"/>
        <v>0</v>
      </c>
      <c r="T50" s="2213">
        <f t="shared" si="17"/>
        <v>0</v>
      </c>
      <c r="U50" s="2216">
        <f t="shared" si="6"/>
        <v>0</v>
      </c>
      <c r="V50" s="2213">
        <f t="shared" si="7"/>
        <v>0</v>
      </c>
      <c r="W50"/>
      <c r="X50" s="1281">
        <f t="shared" si="8"/>
        <v>43</v>
      </c>
      <c r="Y50" s="2087" t="str">
        <f t="shared" si="9"/>
        <v>keine</v>
      </c>
      <c r="Z50" s="1329"/>
      <c r="AA50" s="1330" t="s">
        <v>795</v>
      </c>
      <c r="AB50" s="1424">
        <v>0</v>
      </c>
      <c r="AC50" s="1033">
        <f>VLOOKUP(AA50,Düngemittel!$B$6:$E$64,2,FALSE)*(VLOOKUP(AA50,Düngemittel!$B$6:$E$64,3,FALSE))/100*AB50</f>
        <v>0</v>
      </c>
      <c r="AD50" s="1033">
        <f>VLOOKUP(AA50,Düngemittel!$B$6:$E$64,2,FALSE)*AB50</f>
        <v>0</v>
      </c>
      <c r="AE50" s="1033">
        <f>VLOOKUP(AA50,Düngemittel!$B$6:$E$64,4,FALSE)*AB50</f>
        <v>0</v>
      </c>
      <c r="AF50" s="2324"/>
      <c r="AG50" s="1329"/>
      <c r="AH50" s="1330" t="s">
        <v>795</v>
      </c>
      <c r="AI50" s="1424">
        <v>0</v>
      </c>
      <c r="AJ50" s="1033">
        <f>VLOOKUP(AH50,Düngemittel!$B$6:$E$64,2,FALSE)*(VLOOKUP(AH50,Düngemittel!$B$6:$E$64,3,FALSE))/100*AI50</f>
        <v>0</v>
      </c>
      <c r="AK50" s="1033">
        <f>VLOOKUP(AH50,Düngemittel!$B$6:$E$64,2,FALSE)*AI50</f>
        <v>0</v>
      </c>
      <c r="AL50" s="1033">
        <f>VLOOKUP(AH50,Düngemittel!$B$6:$E$64,4,FALSE)*AI50</f>
        <v>0</v>
      </c>
      <c r="AM50" s="2324"/>
      <c r="AN50" s="1329"/>
      <c r="AO50" s="1330" t="s">
        <v>795</v>
      </c>
      <c r="AP50" s="1424">
        <v>0</v>
      </c>
      <c r="AQ50" s="1033">
        <f>VLOOKUP(AO50,Düngemittel!$B$6:$E$64,2,FALSE)*(VLOOKUP(AO50,Düngemittel!$B$6:$E$64,3,FALSE))/100*AP50</f>
        <v>0</v>
      </c>
      <c r="AR50" s="1033">
        <f>VLOOKUP(AO50,Düngemittel!$B$6:$E$64,2,FALSE)*AP50</f>
        <v>0</v>
      </c>
      <c r="AS50" s="1033">
        <f>VLOOKUP(AO50,Düngemittel!$B$6:$E$64,4,FALSE)*AP50</f>
        <v>0</v>
      </c>
      <c r="AT50" s="1371"/>
      <c r="AU50" s="1371"/>
      <c r="AV50" s="1372">
        <f t="shared" si="28"/>
        <v>0</v>
      </c>
      <c r="AW50" s="1373">
        <f t="shared" si="29"/>
        <v>0</v>
      </c>
      <c r="AX50" s="1374">
        <f t="shared" si="30"/>
        <v>0</v>
      </c>
      <c r="AY50" s="1375">
        <f t="shared" si="31"/>
        <v>0</v>
      </c>
      <c r="AZ50" s="1373">
        <f t="shared" si="32"/>
        <v>0</v>
      </c>
      <c r="BA50" s="1376"/>
      <c r="BB50" s="1372">
        <f t="shared" si="33"/>
        <v>0</v>
      </c>
      <c r="BC50" s="1372">
        <f t="shared" si="34"/>
        <v>0</v>
      </c>
      <c r="BD50" s="1372">
        <f t="shared" si="35"/>
        <v>0</v>
      </c>
      <c r="BE50" s="1816">
        <f t="shared" si="36"/>
        <v>0</v>
      </c>
      <c r="BF50" s="1372">
        <f t="shared" si="37"/>
        <v>0</v>
      </c>
      <c r="BG50" s="1377"/>
      <c r="BH50" s="1968" t="s">
        <v>1473</v>
      </c>
      <c r="BI50" s="1421">
        <v>250</v>
      </c>
      <c r="BJ50" s="1421">
        <v>190</v>
      </c>
      <c r="BK50" s="1421">
        <v>10</v>
      </c>
      <c r="BL50" s="1421">
        <v>19</v>
      </c>
      <c r="BM50" s="1421">
        <v>19</v>
      </c>
      <c r="BN50" s="1421">
        <v>0</v>
      </c>
      <c r="BO50" s="1421">
        <v>0</v>
      </c>
      <c r="BP50" s="2131">
        <v>60</v>
      </c>
      <c r="BQ50" s="2132">
        <v>0.15</v>
      </c>
      <c r="BR50" s="357">
        <v>0</v>
      </c>
    </row>
    <row r="51" spans="1:70" ht="24" customHeight="1">
      <c r="A51" s="468">
        <v>44</v>
      </c>
      <c r="B51" s="1699">
        <v>0</v>
      </c>
      <c r="C51" s="1527" t="s">
        <v>31</v>
      </c>
      <c r="D51" s="1380">
        <f t="shared" si="0"/>
        <v>0</v>
      </c>
      <c r="E51" s="2342">
        <f t="shared" si="1"/>
        <v>0</v>
      </c>
      <c r="F51" s="1381">
        <f t="shared" si="2"/>
        <v>0</v>
      </c>
      <c r="G51" s="2347">
        <f t="shared" si="11"/>
        <v>0</v>
      </c>
      <c r="H51" s="1928">
        <f t="shared" si="12"/>
        <v>0</v>
      </c>
      <c r="I51" s="1928">
        <f t="shared" si="3"/>
        <v>0</v>
      </c>
      <c r="J51" s="1928">
        <f t="shared" si="4"/>
        <v>0</v>
      </c>
      <c r="K51" s="1928">
        <f t="shared" si="5"/>
        <v>0</v>
      </c>
      <c r="L51" s="1928">
        <f t="shared" si="13"/>
        <v>0</v>
      </c>
      <c r="M51" s="1702">
        <v>0</v>
      </c>
      <c r="N51" s="1424">
        <v>0</v>
      </c>
      <c r="O51" s="1370">
        <f t="shared" si="14"/>
        <v>0</v>
      </c>
      <c r="P51" s="590">
        <v>0</v>
      </c>
      <c r="Q51" s="2300">
        <f t="shared" si="15"/>
        <v>0</v>
      </c>
      <c r="R51" s="2207">
        <v>0</v>
      </c>
      <c r="S51" s="2231">
        <f t="shared" si="16"/>
        <v>0</v>
      </c>
      <c r="T51" s="2213">
        <f t="shared" si="17"/>
        <v>0</v>
      </c>
      <c r="U51" s="2216">
        <f t="shared" si="6"/>
        <v>0</v>
      </c>
      <c r="V51" s="2213">
        <f t="shared" si="7"/>
        <v>0</v>
      </c>
      <c r="W51"/>
      <c r="X51" s="1281">
        <f t="shared" si="8"/>
        <v>44</v>
      </c>
      <c r="Y51" s="2087" t="str">
        <f t="shared" si="9"/>
        <v>keine</v>
      </c>
      <c r="Z51" s="1329"/>
      <c r="AA51" s="1330" t="s">
        <v>795</v>
      </c>
      <c r="AB51" s="1424">
        <v>0</v>
      </c>
      <c r="AC51" s="1033">
        <f>VLOOKUP(AA51,Düngemittel!$B$6:$E$64,2,FALSE)*(VLOOKUP(AA51,Düngemittel!$B$6:$E$64,3,FALSE))/100*AB51</f>
        <v>0</v>
      </c>
      <c r="AD51" s="1033">
        <f>VLOOKUP(AA51,Düngemittel!$B$6:$E$64,2,FALSE)*AB51</f>
        <v>0</v>
      </c>
      <c r="AE51" s="1033">
        <f>VLOOKUP(AA51,Düngemittel!$B$6:$E$64,4,FALSE)*AB51</f>
        <v>0</v>
      </c>
      <c r="AF51" s="2179"/>
      <c r="AG51" s="1329"/>
      <c r="AH51" s="1330" t="s">
        <v>795</v>
      </c>
      <c r="AI51" s="1424">
        <v>0</v>
      </c>
      <c r="AJ51" s="1033">
        <f>VLOOKUP(AH51,Düngemittel!$B$6:$E$64,2,FALSE)*(VLOOKUP(AH51,Düngemittel!$B$6:$E$64,3,FALSE))/100*AI51</f>
        <v>0</v>
      </c>
      <c r="AK51" s="1033">
        <f>VLOOKUP(AH51,Düngemittel!$B$6:$E$64,2,FALSE)*AI51</f>
        <v>0</v>
      </c>
      <c r="AL51" s="1033">
        <f>VLOOKUP(AH51,Düngemittel!$B$6:$E$64,4,FALSE)*AI51</f>
        <v>0</v>
      </c>
      <c r="AM51" s="2179"/>
      <c r="AN51" s="1329"/>
      <c r="AO51" s="1330" t="s">
        <v>795</v>
      </c>
      <c r="AP51" s="1424">
        <v>0</v>
      </c>
      <c r="AQ51" s="1033">
        <f>VLOOKUP(AO51,Düngemittel!$B$6:$E$64,2,FALSE)*(VLOOKUP(AO51,Düngemittel!$B$6:$E$64,3,FALSE))/100*AP51</f>
        <v>0</v>
      </c>
      <c r="AR51" s="1033">
        <f>VLOOKUP(AO51,Düngemittel!$B$6:$E$64,2,FALSE)*AP51</f>
        <v>0</v>
      </c>
      <c r="AS51" s="1033">
        <f>VLOOKUP(AO51,Düngemittel!$B$6:$E$64,4,FALSE)*AP51</f>
        <v>0</v>
      </c>
      <c r="AT51" s="1371"/>
      <c r="AU51" s="1371"/>
      <c r="AV51" s="1372">
        <f t="shared" si="18"/>
        <v>0</v>
      </c>
      <c r="AW51" s="1373">
        <f t="shared" si="19"/>
        <v>0</v>
      </c>
      <c r="AX51" s="1374">
        <f t="shared" si="20"/>
        <v>0</v>
      </c>
      <c r="AY51" s="1375">
        <f t="shared" si="21"/>
        <v>0</v>
      </c>
      <c r="AZ51" s="1373">
        <f t="shared" si="22"/>
        <v>0</v>
      </c>
      <c r="BA51" s="1376"/>
      <c r="BB51" s="1372">
        <f t="shared" si="23"/>
        <v>0</v>
      </c>
      <c r="BC51" s="1372">
        <f t="shared" si="23"/>
        <v>0</v>
      </c>
      <c r="BD51" s="1372">
        <f t="shared" si="23"/>
        <v>0</v>
      </c>
      <c r="BE51" s="1816">
        <f t="shared" si="23"/>
        <v>0</v>
      </c>
      <c r="BF51" s="1372">
        <f t="shared" si="23"/>
        <v>0</v>
      </c>
      <c r="BG51" s="1377"/>
      <c r="BH51" s="1968" t="s">
        <v>1474</v>
      </c>
      <c r="BI51" s="1421">
        <v>70</v>
      </c>
      <c r="BJ51" s="1421">
        <v>155</v>
      </c>
      <c r="BK51" s="1421">
        <v>10</v>
      </c>
      <c r="BL51" s="1421">
        <v>15.5</v>
      </c>
      <c r="BM51" s="1421">
        <v>15.5</v>
      </c>
      <c r="BN51" s="1421">
        <v>0</v>
      </c>
      <c r="BO51" s="1421">
        <v>0</v>
      </c>
      <c r="BP51" s="2131">
        <v>60</v>
      </c>
      <c r="BQ51" s="2132">
        <v>0.92</v>
      </c>
      <c r="BR51" s="357">
        <v>0</v>
      </c>
    </row>
    <row r="52" spans="1:70" ht="24" customHeight="1" thickBot="1">
      <c r="A52" s="468">
        <v>45</v>
      </c>
      <c r="B52" s="1699">
        <v>0</v>
      </c>
      <c r="C52" s="2343" t="s">
        <v>31</v>
      </c>
      <c r="D52" s="1385">
        <f t="shared" si="0"/>
        <v>0</v>
      </c>
      <c r="E52" s="2344">
        <f t="shared" si="1"/>
        <v>0</v>
      </c>
      <c r="F52" s="1525">
        <f t="shared" si="2"/>
        <v>0</v>
      </c>
      <c r="G52" s="2348">
        <f t="shared" si="11"/>
        <v>0</v>
      </c>
      <c r="H52" s="1930">
        <f t="shared" si="12"/>
        <v>0</v>
      </c>
      <c r="I52" s="1930">
        <f t="shared" si="3"/>
        <v>0</v>
      </c>
      <c r="J52" s="1930">
        <f t="shared" si="4"/>
        <v>0</v>
      </c>
      <c r="K52" s="1930">
        <f t="shared" si="5"/>
        <v>0</v>
      </c>
      <c r="L52" s="1930">
        <f t="shared" si="13"/>
        <v>0</v>
      </c>
      <c r="M52" s="1702">
        <v>0</v>
      </c>
      <c r="N52" s="1424">
        <v>0</v>
      </c>
      <c r="O52" s="1370">
        <f t="shared" si="14"/>
        <v>0</v>
      </c>
      <c r="P52" s="2301">
        <v>0</v>
      </c>
      <c r="Q52" s="2302">
        <f t="shared" si="15"/>
        <v>0</v>
      </c>
      <c r="R52" s="2207">
        <v>0</v>
      </c>
      <c r="S52" s="2232">
        <f t="shared" si="16"/>
        <v>0</v>
      </c>
      <c r="T52" s="2214">
        <f t="shared" si="17"/>
        <v>0</v>
      </c>
      <c r="U52" s="2217">
        <f t="shared" si="6"/>
        <v>0</v>
      </c>
      <c r="V52" s="2214">
        <f t="shared" si="7"/>
        <v>0</v>
      </c>
      <c r="W52"/>
      <c r="X52" s="1281">
        <f t="shared" si="8"/>
        <v>45</v>
      </c>
      <c r="Y52" s="2087" t="str">
        <f t="shared" si="9"/>
        <v>keine</v>
      </c>
      <c r="Z52" s="1329"/>
      <c r="AA52" s="1330" t="s">
        <v>795</v>
      </c>
      <c r="AB52" s="1424">
        <v>0</v>
      </c>
      <c r="AC52" s="1033">
        <f>VLOOKUP(AA52,Düngemittel!$B$6:$E$64,2,FALSE)*(VLOOKUP(AA52,Düngemittel!$B$6:$E$64,3,FALSE))/100*AB52</f>
        <v>0</v>
      </c>
      <c r="AD52" s="1033">
        <f>VLOOKUP(AA52,Düngemittel!$B$6:$E$64,2,FALSE)*AB52</f>
        <v>0</v>
      </c>
      <c r="AE52" s="1033">
        <f>VLOOKUP(AA52,Düngemittel!$B$6:$E$64,4,FALSE)*AB52</f>
        <v>0</v>
      </c>
      <c r="AF52" s="2179"/>
      <c r="AG52" s="1329"/>
      <c r="AH52" s="1330" t="s">
        <v>795</v>
      </c>
      <c r="AI52" s="1424">
        <v>0</v>
      </c>
      <c r="AJ52" s="1033">
        <f>VLOOKUP(AH52,Düngemittel!$B$6:$E$64,2,FALSE)*(VLOOKUP(AH52,Düngemittel!$B$6:$E$64,3,FALSE))/100*AI52</f>
        <v>0</v>
      </c>
      <c r="AK52" s="1033">
        <f>VLOOKUP(AH52,Düngemittel!$B$6:$E$64,2,FALSE)*AI52</f>
        <v>0</v>
      </c>
      <c r="AL52" s="1033">
        <f>VLOOKUP(AH52,Düngemittel!$B$6:$E$64,4,FALSE)*AI52</f>
        <v>0</v>
      </c>
      <c r="AM52" s="2179"/>
      <c r="AN52" s="1329"/>
      <c r="AO52" s="1330" t="s">
        <v>795</v>
      </c>
      <c r="AP52" s="1424">
        <v>0</v>
      </c>
      <c r="AQ52" s="1033">
        <f>VLOOKUP(AO52,Düngemittel!$B$6:$E$64,2,FALSE)*(VLOOKUP(AO52,Düngemittel!$B$6:$E$64,3,FALSE))/100*AP52</f>
        <v>0</v>
      </c>
      <c r="AR52" s="1033">
        <f>VLOOKUP(AO52,Düngemittel!$B$6:$E$64,2,FALSE)*AP52</f>
        <v>0</v>
      </c>
      <c r="AS52" s="1033">
        <f>VLOOKUP(AO52,Düngemittel!$B$6:$E$64,4,FALSE)*AP52</f>
        <v>0</v>
      </c>
      <c r="AT52" s="1371"/>
      <c r="AU52" s="1371"/>
      <c r="AV52" s="1372">
        <f t="shared" si="18"/>
        <v>0</v>
      </c>
      <c r="AW52" s="1373">
        <f t="shared" si="19"/>
        <v>0</v>
      </c>
      <c r="AX52" s="1374">
        <f t="shared" si="20"/>
        <v>0</v>
      </c>
      <c r="AY52" s="1375">
        <f t="shared" si="21"/>
        <v>0</v>
      </c>
      <c r="AZ52" s="1373">
        <f t="shared" si="22"/>
        <v>0</v>
      </c>
      <c r="BA52" s="1376"/>
      <c r="BB52" s="1372">
        <f t="shared" si="23"/>
        <v>0</v>
      </c>
      <c r="BC52" s="1372">
        <f t="shared" si="23"/>
        <v>0</v>
      </c>
      <c r="BD52" s="1372">
        <f t="shared" si="23"/>
        <v>0</v>
      </c>
      <c r="BE52" s="1816">
        <f t="shared" si="23"/>
        <v>0</v>
      </c>
      <c r="BF52" s="1372">
        <f t="shared" si="23"/>
        <v>0</v>
      </c>
      <c r="BG52" s="1377"/>
      <c r="BH52" s="1968" t="s">
        <v>1475</v>
      </c>
      <c r="BI52" s="1421">
        <v>70</v>
      </c>
      <c r="BJ52" s="1421">
        <v>155</v>
      </c>
      <c r="BK52" s="1421">
        <v>10</v>
      </c>
      <c r="BL52" s="1421">
        <v>15.5</v>
      </c>
      <c r="BM52" s="1421">
        <v>15.5</v>
      </c>
      <c r="BN52" s="1421">
        <v>0</v>
      </c>
      <c r="BO52" s="1421">
        <v>0</v>
      </c>
      <c r="BP52" s="2131">
        <v>60</v>
      </c>
      <c r="BQ52" s="2132">
        <v>0.17</v>
      </c>
      <c r="BR52" s="357">
        <v>0</v>
      </c>
    </row>
    <row r="53" spans="1:70" ht="23.25" customHeight="1" thickBot="1">
      <c r="A53" s="1385" t="s">
        <v>286</v>
      </c>
      <c r="B53" s="2204">
        <f>SUM(B8:B52)</f>
        <v>0</v>
      </c>
      <c r="C53" s="2198"/>
      <c r="D53" s="594"/>
      <c r="E53" s="1524"/>
      <c r="F53" s="594"/>
      <c r="G53" s="594"/>
      <c r="H53" s="594"/>
      <c r="I53" s="594"/>
      <c r="J53" s="594"/>
      <c r="K53" s="594"/>
      <c r="L53" s="594"/>
      <c r="M53" s="551"/>
      <c r="N53" s="551"/>
      <c r="O53" s="551"/>
      <c r="P53" s="551"/>
      <c r="Q53" s="550"/>
      <c r="R53" s="550"/>
      <c r="S53" s="2218"/>
      <c r="T53" s="2211">
        <f>SUM(T8:T52)</f>
        <v>0</v>
      </c>
      <c r="U53" s="2306"/>
      <c r="V53" s="2211">
        <f>SUM(V8:V52)</f>
        <v>0</v>
      </c>
      <c r="W53"/>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543"/>
      <c r="AW53" s="1386"/>
      <c r="AX53" s="1386"/>
      <c r="AY53" s="1387"/>
      <c r="AZ53" s="1386"/>
      <c r="BA53" s="1388"/>
      <c r="BB53" s="414">
        <f>SUM(BB5:BB52)</f>
        <v>0</v>
      </c>
      <c r="BC53" s="414">
        <f>SUM(BC5:BC52)</f>
        <v>0</v>
      </c>
      <c r="BD53" s="414">
        <f>SUM(BD5:BD52)</f>
        <v>0</v>
      </c>
      <c r="BE53" s="1157">
        <f>SUM(BE5:BE52)</f>
        <v>0</v>
      </c>
      <c r="BF53" s="414">
        <f>SUM(BF5:BF52)</f>
        <v>0</v>
      </c>
      <c r="BG53" s="1389" t="s">
        <v>1081</v>
      </c>
      <c r="BH53" s="1968" t="s">
        <v>1476</v>
      </c>
      <c r="BI53" s="1421">
        <v>5</v>
      </c>
      <c r="BJ53" s="1421">
        <v>55</v>
      </c>
      <c r="BK53" s="1421">
        <v>10</v>
      </c>
      <c r="BL53" s="1421">
        <v>3</v>
      </c>
      <c r="BM53" s="1421">
        <v>3</v>
      </c>
      <c r="BN53" s="1421">
        <v>0</v>
      </c>
      <c r="BO53" s="1421">
        <v>0</v>
      </c>
      <c r="BP53" s="2131">
        <v>60</v>
      </c>
      <c r="BQ53" s="2132">
        <v>3.08</v>
      </c>
      <c r="BR53" s="357">
        <v>0</v>
      </c>
    </row>
    <row r="54" spans="1:70" ht="24" customHeight="1">
      <c r="A54" s="1391"/>
      <c r="B54" s="1392"/>
      <c r="C54" s="1353"/>
      <c r="D54" s="2248"/>
      <c r="E54" s="1345"/>
      <c r="F54" s="2248"/>
      <c r="G54" s="2322"/>
      <c r="H54" s="2322"/>
      <c r="I54" s="2322"/>
      <c r="J54" s="2322"/>
      <c r="K54" s="2322"/>
      <c r="L54" s="2322"/>
      <c r="M54" s="1353"/>
      <c r="N54" s="1353"/>
      <c r="O54" s="1353"/>
      <c r="P54" s="1353"/>
      <c r="Q54" s="2248"/>
      <c r="R54" s="2248"/>
      <c r="S54" s="1393"/>
      <c r="T54" s="2638" t="s">
        <v>1100</v>
      </c>
      <c r="U54" s="2248"/>
      <c r="V54" s="2638" t="s">
        <v>1101</v>
      </c>
      <c r="W54" s="21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441" t="e">
        <f>BB54</f>
        <v>#DIV/0!</v>
      </c>
      <c r="AW54" s="1441" t="e">
        <f t="shared" ref="AW54:AZ54" si="38">BC54</f>
        <v>#DIV/0!</v>
      </c>
      <c r="AX54" s="1441" t="e">
        <f t="shared" si="38"/>
        <v>#DIV/0!</v>
      </c>
      <c r="AY54" s="1157" t="e">
        <f t="shared" si="38"/>
        <v>#DIV/0!</v>
      </c>
      <c r="AZ54" s="1441" t="e">
        <f t="shared" si="38"/>
        <v>#DIV/0!</v>
      </c>
      <c r="BA54" s="1388"/>
      <c r="BB54" s="1441" t="e">
        <f>BB53/$B53</f>
        <v>#DIV/0!</v>
      </c>
      <c r="BC54" s="1441" t="e">
        <f>BC53/$B53</f>
        <v>#DIV/0!</v>
      </c>
      <c r="BD54" s="1441" t="e">
        <f>BD53/$B53</f>
        <v>#DIV/0!</v>
      </c>
      <c r="BE54" s="1157" t="e">
        <f>BE53/$B53</f>
        <v>#DIV/0!</v>
      </c>
      <c r="BF54" s="414" t="e">
        <f>BF53/$B53</f>
        <v>#DIV/0!</v>
      </c>
      <c r="BG54" s="1389" t="s">
        <v>1060</v>
      </c>
      <c r="BH54" s="1968" t="s">
        <v>1477</v>
      </c>
      <c r="BI54" s="1421">
        <v>5</v>
      </c>
      <c r="BJ54" s="1421">
        <v>55</v>
      </c>
      <c r="BK54" s="1421">
        <v>10</v>
      </c>
      <c r="BL54" s="1421">
        <v>3</v>
      </c>
      <c r="BM54" s="1421">
        <v>3</v>
      </c>
      <c r="BN54" s="1421">
        <v>0</v>
      </c>
      <c r="BO54" s="1421">
        <v>0</v>
      </c>
      <c r="BP54" s="2131">
        <v>60</v>
      </c>
      <c r="BQ54" s="2132">
        <v>1.4</v>
      </c>
      <c r="BR54" s="357">
        <v>0</v>
      </c>
    </row>
    <row r="55" spans="1:70" ht="54" customHeight="1" thickBot="1">
      <c r="A55" s="1355"/>
      <c r="B55" s="1394"/>
      <c r="C55" s="1353"/>
      <c r="D55" s="2248"/>
      <c r="E55" s="1345"/>
      <c r="F55" s="2248"/>
      <c r="G55" s="2322"/>
      <c r="H55" s="2322"/>
      <c r="I55" s="2322"/>
      <c r="J55" s="2322"/>
      <c r="K55" s="2322"/>
      <c r="L55" s="2322"/>
      <c r="M55" s="1353"/>
      <c r="N55" s="1353"/>
      <c r="O55" s="1353"/>
      <c r="P55" s="1353"/>
      <c r="Q55" s="2248"/>
      <c r="R55" s="2248"/>
      <c r="S55" s="1388"/>
      <c r="T55" s="2639"/>
      <c r="U55" s="2248"/>
      <c r="V55" s="2639"/>
      <c r="W55" s="21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63" t="s">
        <v>1080</v>
      </c>
      <c r="AW55" s="2187" t="s">
        <v>1066</v>
      </c>
      <c r="AX55" s="2187" t="s">
        <v>1067</v>
      </c>
      <c r="AY55" s="1364" t="s">
        <v>1241</v>
      </c>
      <c r="AZ55" s="2187" t="s">
        <v>284</v>
      </c>
      <c r="BA55" s="1355"/>
      <c r="BB55" s="1821" t="s">
        <v>1080</v>
      </c>
      <c r="BC55" s="1822" t="s">
        <v>1307</v>
      </c>
      <c r="BD55" s="1822" t="s">
        <v>1308</v>
      </c>
      <c r="BE55" s="1364" t="s">
        <v>1241</v>
      </c>
      <c r="BF55" s="2187" t="s">
        <v>284</v>
      </c>
      <c r="BH55" s="1968" t="s">
        <v>1478</v>
      </c>
      <c r="BI55" s="1421">
        <v>450</v>
      </c>
      <c r="BJ55" s="1421">
        <v>185</v>
      </c>
      <c r="BK55" s="1421">
        <v>10</v>
      </c>
      <c r="BL55" s="1421">
        <v>18.5</v>
      </c>
      <c r="BM55" s="1421">
        <v>18.5</v>
      </c>
      <c r="BN55" s="1421">
        <v>0</v>
      </c>
      <c r="BO55" s="1421">
        <v>0</v>
      </c>
      <c r="BP55" s="2131">
        <v>30</v>
      </c>
      <c r="BQ55" s="2132">
        <v>0.12</v>
      </c>
      <c r="BR55" s="357">
        <v>0</v>
      </c>
    </row>
    <row r="56" spans="1:70" ht="24" customHeight="1">
      <c r="B56" s="546"/>
      <c r="D56" s="357"/>
      <c r="E56" s="546"/>
      <c r="S56" s="357"/>
      <c r="T56" s="556"/>
      <c r="W56" s="2184"/>
      <c r="X56" s="1384"/>
      <c r="Y56" s="1384"/>
      <c r="Z56" s="1384"/>
      <c r="AA56" s="1384"/>
      <c r="AB56" s="1384"/>
      <c r="AC56" s="1384"/>
      <c r="AD56" s="1384"/>
      <c r="AE56" s="1384"/>
      <c r="AF56" s="1384"/>
      <c r="AG56" s="1384"/>
      <c r="AH56" s="1384"/>
      <c r="AI56" s="1384"/>
      <c r="AJ56" s="1384"/>
      <c r="AK56" s="1384"/>
      <c r="AL56" s="1384"/>
      <c r="AM56" s="1384"/>
      <c r="AN56" s="1384"/>
      <c r="AO56" s="1384"/>
      <c r="AP56" s="1384"/>
      <c r="AQ56" s="1384"/>
      <c r="AR56" s="1384"/>
      <c r="AS56" s="1384"/>
      <c r="AT56" s="1384"/>
      <c r="AU56" s="1384"/>
      <c r="AV56" s="1384"/>
      <c r="AW56" s="1384"/>
      <c r="AX56" s="1384"/>
      <c r="AY56" s="1384"/>
      <c r="AZ56" s="1384"/>
      <c r="BA56" s="1396"/>
      <c r="BB56" s="1396"/>
      <c r="BC56" s="1397"/>
      <c r="BD56" s="1397"/>
      <c r="BE56" s="1397"/>
      <c r="BF56" s="1397"/>
      <c r="BH56" s="1968" t="s">
        <v>1479</v>
      </c>
      <c r="BI56" s="1421">
        <v>300</v>
      </c>
      <c r="BJ56" s="1421">
        <v>110</v>
      </c>
      <c r="BK56" s="1421">
        <v>10</v>
      </c>
      <c r="BL56" s="1421">
        <v>6</v>
      </c>
      <c r="BM56" s="1421">
        <v>6</v>
      </c>
      <c r="BN56" s="1421">
        <v>0</v>
      </c>
      <c r="BO56" s="1421">
        <v>0</v>
      </c>
      <c r="BP56" s="2131">
        <v>60</v>
      </c>
      <c r="BQ56" s="2132">
        <v>0.05</v>
      </c>
      <c r="BR56" s="357">
        <v>0</v>
      </c>
    </row>
    <row r="57" spans="1:70" ht="24.75" customHeight="1">
      <c r="A57" s="2624" t="s">
        <v>1068</v>
      </c>
      <c r="B57" s="2625"/>
      <c r="C57" s="2627" t="s">
        <v>1072</v>
      </c>
      <c r="D57" s="2628"/>
      <c r="E57" s="2628"/>
      <c r="F57" s="2628"/>
      <c r="G57" s="2628"/>
      <c r="H57" s="2628"/>
      <c r="I57" s="2628"/>
      <c r="J57" s="2628"/>
      <c r="K57" s="2628"/>
      <c r="L57" s="2628"/>
      <c r="M57" s="2628"/>
      <c r="N57" s="2628"/>
      <c r="O57" s="2628"/>
      <c r="P57" s="2628"/>
      <c r="Q57" s="2628"/>
      <c r="R57" s="2628"/>
      <c r="S57" s="2628"/>
      <c r="T57" s="2628"/>
      <c r="U57" s="2628"/>
      <c r="V57" s="2628"/>
      <c r="W57" s="661"/>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557"/>
      <c r="BH57" s="1968" t="s">
        <v>1480</v>
      </c>
      <c r="BI57" s="1421">
        <v>300</v>
      </c>
      <c r="BJ57" s="1421">
        <v>140</v>
      </c>
      <c r="BK57" s="1421">
        <v>10</v>
      </c>
      <c r="BL57" s="1421">
        <v>14</v>
      </c>
      <c r="BM57" s="1421">
        <v>14</v>
      </c>
      <c r="BN57" s="1421">
        <v>0</v>
      </c>
      <c r="BO57" s="1421">
        <v>0</v>
      </c>
      <c r="BP57" s="2131">
        <v>60</v>
      </c>
      <c r="BQ57" s="2132">
        <v>0.17</v>
      </c>
      <c r="BR57" s="357">
        <v>0</v>
      </c>
    </row>
    <row r="58" spans="1:70" ht="32.25" customHeight="1">
      <c r="A58" s="2625"/>
      <c r="B58" s="2625"/>
      <c r="C58" s="2631"/>
      <c r="D58" s="2632"/>
      <c r="E58" s="2632"/>
      <c r="F58" s="2632"/>
      <c r="G58" s="2632"/>
      <c r="H58" s="2632"/>
      <c r="I58" s="2632"/>
      <c r="J58" s="2632"/>
      <c r="K58" s="2632"/>
      <c r="L58" s="2632"/>
      <c r="M58" s="2632"/>
      <c r="N58" s="2632"/>
      <c r="O58" s="2632"/>
      <c r="P58" s="2632"/>
      <c r="Q58" s="2632"/>
      <c r="R58" s="2632"/>
      <c r="S58" s="2632"/>
      <c r="T58" s="2632"/>
      <c r="U58" s="2632"/>
      <c r="V58" s="2632"/>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AY58" s="661"/>
      <c r="AZ58" s="661"/>
      <c r="BA58" s="661"/>
      <c r="BB58" s="661"/>
      <c r="BC58" s="661"/>
      <c r="BD58" s="661"/>
      <c r="BE58" s="661"/>
      <c r="BF58" s="661"/>
      <c r="BG58" s="2184"/>
      <c r="BH58" s="1968" t="s">
        <v>1481</v>
      </c>
      <c r="BI58" s="1421">
        <v>180</v>
      </c>
      <c r="BJ58" s="1421">
        <v>195</v>
      </c>
      <c r="BK58" s="1421">
        <v>10</v>
      </c>
      <c r="BL58" s="1421">
        <v>19.5</v>
      </c>
      <c r="BM58" s="1421">
        <v>19.5</v>
      </c>
      <c r="BN58" s="1421">
        <v>0</v>
      </c>
      <c r="BO58" s="1421">
        <v>0</v>
      </c>
      <c r="BP58" s="2131">
        <v>60</v>
      </c>
      <c r="BQ58" s="2134">
        <v>0.26</v>
      </c>
      <c r="BR58" s="357">
        <v>0</v>
      </c>
    </row>
    <row r="59" spans="1:70" ht="30.75" customHeight="1">
      <c r="A59" s="2626"/>
      <c r="B59" s="2626"/>
      <c r="C59" s="2635"/>
      <c r="D59" s="2636"/>
      <c r="E59" s="2636"/>
      <c r="F59" s="2636"/>
      <c r="G59" s="2636"/>
      <c r="H59" s="2636"/>
      <c r="I59" s="2636"/>
      <c r="J59" s="2636"/>
      <c r="K59" s="2636"/>
      <c r="L59" s="2636"/>
      <c r="M59" s="2636"/>
      <c r="N59" s="2636"/>
      <c r="O59" s="2636"/>
      <c r="P59" s="2636"/>
      <c r="Q59" s="2636"/>
      <c r="R59" s="2636"/>
      <c r="S59" s="2636"/>
      <c r="T59" s="2636"/>
      <c r="U59" s="2636"/>
      <c r="V59" s="2636"/>
      <c r="W59" s="661"/>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c r="AS59" s="2184"/>
      <c r="AT59" s="2184"/>
      <c r="AU59" s="2184"/>
      <c r="AV59" s="2184"/>
      <c r="AW59" s="2184"/>
      <c r="AX59" s="2184"/>
      <c r="AY59" s="2184"/>
      <c r="AZ59" s="2184"/>
      <c r="BA59" s="2184"/>
      <c r="BB59" s="2184"/>
      <c r="BC59" s="2184"/>
      <c r="BD59" s="2184"/>
      <c r="BE59" s="2184"/>
      <c r="BF59" s="2184"/>
      <c r="BH59" s="1968" t="s">
        <v>1482</v>
      </c>
      <c r="BI59" s="1421">
        <v>80</v>
      </c>
      <c r="BJ59" s="1421">
        <v>195</v>
      </c>
      <c r="BK59" s="1421">
        <v>10</v>
      </c>
      <c r="BL59" s="1421">
        <v>19.5</v>
      </c>
      <c r="BM59" s="1421">
        <v>19.5</v>
      </c>
      <c r="BN59" s="1421">
        <v>0</v>
      </c>
      <c r="BO59" s="1421">
        <v>0</v>
      </c>
      <c r="BP59" s="2131">
        <v>60</v>
      </c>
      <c r="BQ59" s="2134">
        <v>0.34888888888888892</v>
      </c>
      <c r="BR59" s="357">
        <v>0</v>
      </c>
    </row>
    <row r="60" spans="1:70" ht="30.75" customHeight="1">
      <c r="B60" s="546"/>
      <c r="D60" s="357"/>
      <c r="E60" s="546"/>
      <c r="S60" s="357"/>
      <c r="T60" s="556"/>
      <c r="W60" s="1044"/>
      <c r="X60" s="1400"/>
      <c r="Y60" s="1400"/>
      <c r="Z60" s="1400"/>
      <c r="AA60" s="1400"/>
      <c r="AB60" s="1400"/>
      <c r="AC60" s="1400"/>
      <c r="AD60" s="1400"/>
      <c r="AE60" s="1400"/>
      <c r="AF60" s="1400"/>
      <c r="AG60" s="1400"/>
      <c r="AH60" s="1400"/>
      <c r="AI60" s="1400"/>
      <c r="AJ60" s="1400"/>
      <c r="AK60" s="1400"/>
      <c r="AL60" s="1400"/>
      <c r="AM60" s="1400"/>
      <c r="AN60" s="1400"/>
      <c r="AO60" s="1400"/>
      <c r="AP60" s="1400"/>
      <c r="AQ60" s="1400"/>
      <c r="AR60" s="1400"/>
      <c r="AS60" s="1400"/>
      <c r="AT60" s="1400"/>
      <c r="AU60" s="1400"/>
      <c r="AV60" s="1400"/>
      <c r="AW60" s="1400"/>
      <c r="AX60" s="1400"/>
      <c r="AY60" s="1400"/>
      <c r="AZ60" s="1400"/>
      <c r="BA60" s="1400"/>
      <c r="BB60" s="1400"/>
      <c r="BC60" s="1400"/>
      <c r="BD60" s="1400"/>
      <c r="BE60" s="1400"/>
      <c r="BF60" s="1400"/>
      <c r="BG60" s="2184"/>
      <c r="BH60" s="1968" t="s">
        <v>1483</v>
      </c>
      <c r="BI60" s="1421">
        <v>80</v>
      </c>
      <c r="BJ60" s="1421">
        <v>195</v>
      </c>
      <c r="BK60" s="1421">
        <v>10</v>
      </c>
      <c r="BL60" s="1421">
        <v>19.5</v>
      </c>
      <c r="BM60" s="1421">
        <v>19.5</v>
      </c>
      <c r="BN60" s="1421">
        <v>0</v>
      </c>
      <c r="BO60" s="1421">
        <v>0</v>
      </c>
      <c r="BP60" s="2131">
        <v>60</v>
      </c>
      <c r="BQ60" s="2132">
        <v>0.2</v>
      </c>
      <c r="BR60" s="357">
        <v>0</v>
      </c>
    </row>
    <row r="61" spans="1:70" ht="19.5" customHeight="1">
      <c r="A61" s="2481" t="s">
        <v>609</v>
      </c>
      <c r="B61" s="2482"/>
      <c r="C61" s="2615" t="s">
        <v>1073</v>
      </c>
      <c r="D61" s="2616"/>
      <c r="E61" s="2616"/>
      <c r="F61" s="2616"/>
      <c r="G61" s="2616"/>
      <c r="H61" s="2616"/>
      <c r="I61" s="2616"/>
      <c r="J61" s="2616"/>
      <c r="K61" s="2616"/>
      <c r="L61" s="2616"/>
      <c r="M61" s="2616"/>
      <c r="N61" s="2616"/>
      <c r="O61" s="2616"/>
      <c r="P61" s="2616"/>
      <c r="Q61" s="2616"/>
      <c r="R61" s="2616"/>
      <c r="S61" s="2616"/>
      <c r="T61" s="2616"/>
      <c r="U61" s="2616"/>
      <c r="V61" s="2616"/>
      <c r="W61" s="557"/>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c r="BB61" s="661"/>
      <c r="BC61" s="661"/>
      <c r="BD61" s="661"/>
      <c r="BE61" s="661"/>
      <c r="BF61" s="661"/>
      <c r="BG61" s="2184"/>
      <c r="BH61" s="1968" t="s">
        <v>1484</v>
      </c>
      <c r="BI61" s="1421">
        <v>120</v>
      </c>
      <c r="BJ61" s="1421">
        <v>125</v>
      </c>
      <c r="BK61" s="1421">
        <v>10</v>
      </c>
      <c r="BL61" s="1421">
        <v>12.5</v>
      </c>
      <c r="BM61" s="1421">
        <v>12.5</v>
      </c>
      <c r="BN61" s="1421">
        <v>0</v>
      </c>
      <c r="BO61" s="1421">
        <v>0</v>
      </c>
      <c r="BP61" s="2131">
        <v>30</v>
      </c>
      <c r="BQ61" s="2132">
        <v>0.15</v>
      </c>
      <c r="BR61" s="357">
        <v>0</v>
      </c>
    </row>
    <row r="62" spans="1:70" ht="15.75" customHeight="1">
      <c r="A62" s="2483"/>
      <c r="B62" s="2484"/>
      <c r="C62" s="2616"/>
      <c r="D62" s="2616"/>
      <c r="E62" s="2616"/>
      <c r="F62" s="2616"/>
      <c r="G62" s="2616"/>
      <c r="H62" s="2616"/>
      <c r="I62" s="2616"/>
      <c r="J62" s="2616"/>
      <c r="K62" s="2616"/>
      <c r="L62" s="2616"/>
      <c r="M62" s="2616"/>
      <c r="N62" s="2616"/>
      <c r="O62" s="2616"/>
      <c r="P62" s="2616"/>
      <c r="Q62" s="2616"/>
      <c r="R62" s="2616"/>
      <c r="S62" s="2616"/>
      <c r="T62" s="2616"/>
      <c r="U62" s="2616"/>
      <c r="V62" s="2616"/>
      <c r="W62" s="2184"/>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c r="BB62" s="661"/>
      <c r="BC62" s="661"/>
      <c r="BD62" s="661"/>
      <c r="BE62" s="661"/>
      <c r="BF62" s="661"/>
      <c r="BG62" s="2184"/>
      <c r="BH62" s="1968" t="s">
        <v>1485</v>
      </c>
      <c r="BI62" s="1421">
        <v>150</v>
      </c>
      <c r="BJ62" s="1421">
        <v>65</v>
      </c>
      <c r="BK62" s="1421">
        <v>10</v>
      </c>
      <c r="BL62" s="1421">
        <v>6.5</v>
      </c>
      <c r="BM62" s="1421">
        <v>6.5</v>
      </c>
      <c r="BN62" s="1421">
        <v>0</v>
      </c>
      <c r="BO62" s="1421">
        <v>0</v>
      </c>
      <c r="BP62" s="2131">
        <v>30</v>
      </c>
      <c r="BQ62" s="2132">
        <v>9.1999999999999998E-2</v>
      </c>
      <c r="BR62" s="357">
        <v>0</v>
      </c>
    </row>
    <row r="63" spans="1:70" ht="15.75" customHeight="1">
      <c r="A63" s="2613"/>
      <c r="B63" s="2614"/>
      <c r="C63" s="2616"/>
      <c r="D63" s="2616"/>
      <c r="E63" s="2616"/>
      <c r="F63" s="2616"/>
      <c r="G63" s="2616"/>
      <c r="H63" s="2616"/>
      <c r="I63" s="2616"/>
      <c r="J63" s="2616"/>
      <c r="K63" s="2616"/>
      <c r="L63" s="2616"/>
      <c r="M63" s="2616"/>
      <c r="N63" s="2616"/>
      <c r="O63" s="2616"/>
      <c r="P63" s="2616"/>
      <c r="Q63" s="2616"/>
      <c r="R63" s="2616"/>
      <c r="S63" s="2616"/>
      <c r="T63" s="2616"/>
      <c r="U63" s="2616"/>
      <c r="V63" s="2616"/>
      <c r="W63" s="2184"/>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AY63" s="661"/>
      <c r="AZ63" s="661"/>
      <c r="BA63" s="661"/>
      <c r="BB63" s="661"/>
      <c r="BC63" s="661"/>
      <c r="BD63" s="661"/>
      <c r="BE63" s="661"/>
      <c r="BF63" s="661"/>
      <c r="BG63" s="2184"/>
      <c r="BH63" s="1968" t="s">
        <v>1486</v>
      </c>
      <c r="BI63" s="1421">
        <v>250</v>
      </c>
      <c r="BJ63" s="1421">
        <v>105</v>
      </c>
      <c r="BK63" s="1421">
        <v>10</v>
      </c>
      <c r="BL63" s="1421">
        <v>10.5</v>
      </c>
      <c r="BM63" s="1421">
        <v>10.5</v>
      </c>
      <c r="BN63" s="1421">
        <v>0</v>
      </c>
      <c r="BO63" s="1421">
        <v>0</v>
      </c>
      <c r="BP63" s="2131">
        <v>30</v>
      </c>
      <c r="BQ63" s="2132">
        <v>9.1999999999999998E-2</v>
      </c>
      <c r="BR63" s="357">
        <v>0</v>
      </c>
    </row>
    <row r="64" spans="1:70" ht="15.75" customHeight="1">
      <c r="A64" s="2601"/>
      <c r="B64" s="2603"/>
      <c r="C64" s="2615" t="s">
        <v>588</v>
      </c>
      <c r="D64" s="2616"/>
      <c r="E64" s="2616"/>
      <c r="F64" s="2616"/>
      <c r="G64" s="2616"/>
      <c r="H64" s="2616"/>
      <c r="I64" s="2616"/>
      <c r="J64" s="2616"/>
      <c r="K64" s="2616"/>
      <c r="L64" s="2616"/>
      <c r="M64" s="2616"/>
      <c r="N64" s="2616"/>
      <c r="O64" s="2616"/>
      <c r="P64" s="2616"/>
      <c r="Q64" s="2616"/>
      <c r="R64" s="2616"/>
      <c r="S64" s="2616"/>
      <c r="T64" s="2616"/>
      <c r="U64" s="2616"/>
      <c r="V64" s="2616"/>
      <c r="W64" s="218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44"/>
      <c r="AV64" s="1044"/>
      <c r="AW64" s="1044"/>
      <c r="AX64" s="1044"/>
      <c r="AY64" s="1044"/>
      <c r="AZ64" s="1044"/>
      <c r="BA64" s="1044"/>
      <c r="BB64" s="1044"/>
      <c r="BC64" s="1044"/>
      <c r="BD64" s="1044"/>
      <c r="BE64" s="1044"/>
      <c r="BF64" s="1044"/>
      <c r="BG64" s="2184"/>
      <c r="BH64" s="1968" t="s">
        <v>1487</v>
      </c>
      <c r="BI64" s="1421">
        <v>50</v>
      </c>
      <c r="BJ64" s="1421">
        <v>85</v>
      </c>
      <c r="BK64" s="1421">
        <v>10</v>
      </c>
      <c r="BL64" s="1421">
        <v>4</v>
      </c>
      <c r="BM64" s="1421">
        <v>4</v>
      </c>
      <c r="BN64" s="1421">
        <v>0</v>
      </c>
      <c r="BO64" s="1421">
        <v>0</v>
      </c>
      <c r="BP64" s="2133">
        <v>30</v>
      </c>
      <c r="BQ64" s="2134">
        <v>0.17</v>
      </c>
      <c r="BR64" s="357">
        <v>0</v>
      </c>
    </row>
    <row r="65" spans="1:70" ht="24.75" customHeight="1">
      <c r="A65" s="2100"/>
      <c r="B65" s="2101"/>
      <c r="C65" s="2101"/>
      <c r="D65" s="2398"/>
      <c r="E65" s="2101"/>
      <c r="F65" s="2101"/>
      <c r="G65" s="2101"/>
      <c r="H65" s="2101"/>
      <c r="I65" s="2101"/>
      <c r="J65" s="2101"/>
      <c r="K65" s="2101"/>
      <c r="L65" s="2101"/>
      <c r="M65" s="2101"/>
      <c r="N65" s="2101"/>
      <c r="O65" s="2101"/>
      <c r="P65" s="2101"/>
      <c r="Q65" s="2101"/>
      <c r="R65" s="2101"/>
      <c r="S65" s="2101"/>
      <c r="T65" s="2101"/>
      <c r="U65" s="2101"/>
      <c r="V65" s="2101"/>
      <c r="W65" s="2102"/>
      <c r="X65" s="2386"/>
      <c r="Y65" s="2386"/>
      <c r="Z65" s="2386"/>
      <c r="AA65" s="2386"/>
      <c r="AB65" s="2386"/>
      <c r="AC65" s="2386"/>
      <c r="AD65" s="2386"/>
      <c r="AE65" s="2386"/>
      <c r="AF65" s="2386"/>
      <c r="AG65" s="2386"/>
      <c r="AH65" s="2279"/>
      <c r="AI65" s="2279"/>
      <c r="AJ65" s="557"/>
      <c r="AK65" s="557"/>
      <c r="AL65" s="557"/>
      <c r="AM65" s="557"/>
      <c r="AN65" s="557"/>
      <c r="AO65" s="557"/>
      <c r="AP65" s="557"/>
      <c r="AQ65" s="557"/>
      <c r="AR65" s="557"/>
      <c r="AS65" s="557"/>
      <c r="AT65" s="557"/>
      <c r="AU65" s="557"/>
      <c r="AV65" s="557"/>
      <c r="AW65" s="557"/>
      <c r="AX65" s="557"/>
      <c r="AY65" s="557"/>
      <c r="AZ65" s="557"/>
      <c r="BA65" s="557"/>
      <c r="BB65" s="557"/>
      <c r="BC65" s="557"/>
      <c r="BD65" s="557"/>
      <c r="BE65" s="557"/>
      <c r="BF65" s="557"/>
      <c r="BG65" s="2184"/>
      <c r="BH65" s="1968" t="s">
        <v>1488</v>
      </c>
      <c r="BI65" s="1421">
        <v>20</v>
      </c>
      <c r="BJ65" s="1421">
        <v>100</v>
      </c>
      <c r="BK65" s="1421">
        <v>10</v>
      </c>
      <c r="BL65" s="1421">
        <v>10</v>
      </c>
      <c r="BM65" s="1421">
        <v>10</v>
      </c>
      <c r="BN65" s="1421">
        <v>0</v>
      </c>
      <c r="BO65" s="1421">
        <v>0</v>
      </c>
      <c r="BP65" s="2133">
        <v>60</v>
      </c>
      <c r="BQ65" s="2134">
        <v>2.15</v>
      </c>
      <c r="BR65" s="357">
        <v>0</v>
      </c>
    </row>
    <row r="66" spans="1:70" ht="24.75" customHeight="1">
      <c r="A66" s="2100"/>
      <c r="B66" s="2101"/>
      <c r="C66" s="2102"/>
      <c r="D66" s="2399" t="s">
        <v>1431</v>
      </c>
      <c r="E66" s="2102"/>
      <c r="F66" s="2399"/>
      <c r="G66" s="2399"/>
      <c r="H66" s="2399"/>
      <c r="I66" s="2399"/>
      <c r="J66" s="2399"/>
      <c r="K66" s="2399"/>
      <c r="L66" s="2399"/>
      <c r="M66" s="2399" t="s">
        <v>8</v>
      </c>
      <c r="N66" s="2102"/>
      <c r="O66" s="2399"/>
      <c r="P66" s="2400" t="s">
        <v>1430</v>
      </c>
      <c r="Q66" s="2401"/>
      <c r="R66" s="2102"/>
      <c r="S66" s="2400"/>
      <c r="T66" s="2402"/>
      <c r="U66" s="2102"/>
      <c r="V66" s="2102"/>
      <c r="W66" s="2102"/>
      <c r="X66" s="2102"/>
      <c r="Y66" s="2102"/>
      <c r="Z66" s="2102"/>
      <c r="AA66" s="2102"/>
      <c r="AB66" s="2102"/>
      <c r="AC66" s="2102"/>
      <c r="AD66" s="2102"/>
      <c r="AE66" s="2102"/>
      <c r="AF66" s="2102"/>
      <c r="AG66" s="2102"/>
      <c r="AH66" s="2364"/>
      <c r="AI66" s="2364"/>
      <c r="AJ66" s="1327"/>
      <c r="AK66" s="1327"/>
      <c r="AL66" s="1327"/>
      <c r="AM66" s="1327"/>
      <c r="AN66" s="1327"/>
      <c r="AO66" s="1327"/>
      <c r="AP66" s="1327"/>
      <c r="AQ66" s="1327"/>
      <c r="AR66" s="1327"/>
      <c r="AS66" s="1327"/>
      <c r="AT66" s="1327"/>
      <c r="AU66" s="1327"/>
      <c r="AV66" s="1327"/>
      <c r="AZ66" s="1390"/>
      <c r="BH66" s="1968" t="s">
        <v>1489</v>
      </c>
      <c r="BI66" s="1421">
        <v>20</v>
      </c>
      <c r="BJ66" s="1421">
        <v>100</v>
      </c>
      <c r="BK66" s="1421">
        <v>10</v>
      </c>
      <c r="BL66" s="1421">
        <v>10</v>
      </c>
      <c r="BM66" s="1421">
        <v>10</v>
      </c>
      <c r="BN66" s="1421">
        <v>0</v>
      </c>
      <c r="BO66" s="1421">
        <v>0</v>
      </c>
      <c r="BP66" s="2133">
        <v>60</v>
      </c>
      <c r="BQ66" s="2134">
        <v>1.6</v>
      </c>
      <c r="BR66" s="357">
        <v>0</v>
      </c>
    </row>
    <row r="67" spans="1:70" ht="24.75" customHeight="1">
      <c r="A67" s="2100"/>
      <c r="B67" s="2101"/>
      <c r="C67" s="2102"/>
      <c r="D67" s="2400" t="s">
        <v>1129</v>
      </c>
      <c r="E67" s="2400" t="s">
        <v>1432</v>
      </c>
      <c r="F67" s="2400" t="s">
        <v>1433</v>
      </c>
      <c r="G67" s="2400"/>
      <c r="H67" s="2400"/>
      <c r="I67" s="2400"/>
      <c r="J67" s="2400"/>
      <c r="K67" s="2400"/>
      <c r="L67" s="2400"/>
      <c r="M67" s="2400" t="s">
        <v>1129</v>
      </c>
      <c r="N67" s="2400" t="s">
        <v>1432</v>
      </c>
      <c r="O67" s="2400" t="s">
        <v>1433</v>
      </c>
      <c r="P67" s="2400" t="s">
        <v>1129</v>
      </c>
      <c r="Q67" s="2400" t="s">
        <v>1432</v>
      </c>
      <c r="R67" s="2400" t="s">
        <v>1433</v>
      </c>
      <c r="S67" s="2400"/>
      <c r="T67" s="2402"/>
      <c r="U67" s="2102"/>
      <c r="V67" s="2102"/>
      <c r="W67" s="2102"/>
      <c r="X67" s="2102"/>
      <c r="Y67" s="2102"/>
      <c r="Z67" s="2102"/>
      <c r="AA67" s="2102"/>
      <c r="AB67" s="2102"/>
      <c r="AC67" s="2102"/>
      <c r="AD67" s="2102"/>
      <c r="AE67" s="2102"/>
      <c r="AF67" s="2102"/>
      <c r="AG67" s="2102"/>
      <c r="AH67" s="2364"/>
      <c r="AI67" s="2364"/>
      <c r="AJ67" s="2094"/>
      <c r="AK67" s="2094"/>
      <c r="AL67" s="2094"/>
      <c r="AM67" s="2094"/>
      <c r="AN67" s="2094"/>
      <c r="AO67" s="2094"/>
      <c r="AP67" s="2094"/>
      <c r="AQ67" s="2094"/>
      <c r="AR67" s="2094"/>
      <c r="AS67" s="2094"/>
      <c r="AT67" s="2094"/>
      <c r="AU67" s="2094"/>
      <c r="AV67" s="2094"/>
      <c r="AZ67" s="1390"/>
      <c r="BH67" s="1968" t="s">
        <v>1490</v>
      </c>
      <c r="BI67" s="1421">
        <v>500</v>
      </c>
      <c r="BJ67" s="1421">
        <v>175</v>
      </c>
      <c r="BK67" s="1421">
        <v>10</v>
      </c>
      <c r="BL67" s="1421">
        <v>18</v>
      </c>
      <c r="BM67" s="1421">
        <v>18</v>
      </c>
      <c r="BN67" s="1421">
        <v>0</v>
      </c>
      <c r="BO67" s="1421">
        <v>0</v>
      </c>
      <c r="BP67" s="2131">
        <v>60</v>
      </c>
      <c r="BQ67" s="2132">
        <v>0.11</v>
      </c>
      <c r="BR67" s="357">
        <v>0</v>
      </c>
    </row>
    <row r="68" spans="1:70" ht="24.75" customHeight="1">
      <c r="A68" s="2100"/>
      <c r="B68" s="2101"/>
      <c r="C68" s="2102" t="str">
        <f t="shared" ref="C68:C89" si="39">C8</f>
        <v>keine</v>
      </c>
      <c r="D68" s="2403">
        <f t="shared" ref="D68:D89" si="40">B8</f>
        <v>0</v>
      </c>
      <c r="E68" s="2403">
        <f>T8</f>
        <v>0</v>
      </c>
      <c r="F68" s="2404">
        <f t="shared" ref="F68:F89" si="41">V8</f>
        <v>0</v>
      </c>
      <c r="G68" s="2404"/>
      <c r="H68" s="2404"/>
      <c r="I68" s="2404"/>
      <c r="J68" s="2404"/>
      <c r="K68" s="2404"/>
      <c r="L68" s="2404"/>
      <c r="M68" s="2102">
        <f>IF(OR("Zwischenfrucht ohne Ernte"=C68,"Zwischenfrucht mit Ernte"=C68),D68,0)</f>
        <v>0</v>
      </c>
      <c r="N68" s="2102">
        <f t="shared" ref="N68:N91" si="42">IF(OR("Zwischenfrucht ohne Ernte"=C68,"Zwischenfrucht mit Ernte"=C68),E68,0)</f>
        <v>0</v>
      </c>
      <c r="O68" s="2102">
        <f t="shared" ref="O68:O91" si="43">IF(OR("Zwischenfrucht ohne Ernte"=C68,"Zwischenfrucht mit Ernte"=C68),F68,0)</f>
        <v>0</v>
      </c>
      <c r="P68" s="2102"/>
      <c r="Q68" s="2102"/>
      <c r="R68" s="2102"/>
      <c r="S68" s="2400"/>
      <c r="T68" s="2402"/>
      <c r="U68" s="2102"/>
      <c r="V68" s="2101"/>
      <c r="W68" s="2102"/>
      <c r="X68" s="2102"/>
      <c r="Y68" s="2102"/>
      <c r="Z68" s="2102"/>
      <c r="AA68" s="2102"/>
      <c r="AB68" s="2102"/>
      <c r="AC68" s="2102"/>
      <c r="AD68" s="2102"/>
      <c r="AE68" s="2102"/>
      <c r="AF68" s="2102"/>
      <c r="AG68" s="2102"/>
      <c r="AH68" s="2364"/>
      <c r="AI68" s="2364"/>
      <c r="AJ68" s="1327"/>
      <c r="AK68" s="1327"/>
      <c r="AL68" s="1327"/>
      <c r="AM68" s="1327"/>
      <c r="AN68" s="1327"/>
      <c r="AO68" s="1327"/>
      <c r="AP68" s="1327"/>
      <c r="AQ68" s="1327"/>
      <c r="AR68" s="1327"/>
      <c r="AS68" s="1327"/>
      <c r="AT68" s="1327"/>
      <c r="AU68" s="1327"/>
      <c r="AV68" s="1327"/>
      <c r="AZ68" s="1390"/>
      <c r="BH68" s="1968" t="s">
        <v>1491</v>
      </c>
      <c r="BI68" s="1421">
        <v>100</v>
      </c>
      <c r="BJ68" s="1421">
        <v>60</v>
      </c>
      <c r="BK68" s="1421">
        <v>10</v>
      </c>
      <c r="BL68" s="1421">
        <v>6</v>
      </c>
      <c r="BM68" s="1421">
        <v>6</v>
      </c>
      <c r="BN68" s="1421">
        <v>0</v>
      </c>
      <c r="BO68" s="1421">
        <v>0</v>
      </c>
      <c r="BP68" s="2133">
        <v>60</v>
      </c>
      <c r="BQ68" s="2134">
        <v>0.12</v>
      </c>
      <c r="BR68" s="357">
        <v>0</v>
      </c>
    </row>
    <row r="69" spans="1:70" ht="24" customHeight="1">
      <c r="A69" s="2100"/>
      <c r="B69" s="2101"/>
      <c r="C69" s="2102" t="str">
        <f t="shared" si="39"/>
        <v>keine</v>
      </c>
      <c r="D69" s="2403">
        <f t="shared" si="40"/>
        <v>0</v>
      </c>
      <c r="E69" s="2403">
        <f t="shared" ref="E69:E91" si="44">T9</f>
        <v>0</v>
      </c>
      <c r="F69" s="2404">
        <f t="shared" si="41"/>
        <v>0</v>
      </c>
      <c r="G69" s="2404"/>
      <c r="H69" s="2404"/>
      <c r="I69" s="2404"/>
      <c r="J69" s="2404"/>
      <c r="K69" s="2404"/>
      <c r="L69" s="2404"/>
      <c r="M69" s="2102">
        <f t="shared" ref="M69:M91" si="45">IF(OR("Zwischenfrucht ohne Ernte"=C69,"Zwischenfrucht mit Ernte"=C69),D69,0)</f>
        <v>0</v>
      </c>
      <c r="N69" s="2102">
        <f t="shared" si="42"/>
        <v>0</v>
      </c>
      <c r="O69" s="2102">
        <f t="shared" si="43"/>
        <v>0</v>
      </c>
      <c r="P69" s="2102"/>
      <c r="Q69" s="2102"/>
      <c r="R69" s="2405"/>
      <c r="S69" s="2400"/>
      <c r="T69" s="2402"/>
      <c r="U69" s="2406"/>
      <c r="V69" s="2101"/>
      <c r="W69" s="2102"/>
      <c r="X69" s="2102"/>
      <c r="Y69" s="2102"/>
      <c r="Z69" s="2102"/>
      <c r="AA69" s="2102"/>
      <c r="AB69" s="2102"/>
      <c r="AC69" s="2102"/>
      <c r="AD69" s="2102"/>
      <c r="AE69" s="2102"/>
      <c r="AF69" s="2102"/>
      <c r="AG69" s="2102"/>
      <c r="AH69" s="2364"/>
      <c r="AI69" s="2364"/>
      <c r="AJ69" s="1327"/>
      <c r="AK69" s="1327"/>
      <c r="AL69" s="1327"/>
      <c r="AM69" s="1327"/>
      <c r="AN69" s="1327"/>
      <c r="AO69" s="1327"/>
      <c r="AP69" s="1327"/>
      <c r="AQ69" s="1327"/>
      <c r="AR69" s="1327"/>
      <c r="AS69" s="1327"/>
      <c r="AT69" s="1327"/>
      <c r="AU69" s="1327"/>
      <c r="AV69" s="1327"/>
      <c r="BH69" s="1968" t="s">
        <v>1492</v>
      </c>
      <c r="BI69" s="1421">
        <v>150</v>
      </c>
      <c r="BJ69" s="1421">
        <v>141</v>
      </c>
      <c r="BK69" s="1421">
        <v>10</v>
      </c>
      <c r="BL69" s="1421">
        <v>14</v>
      </c>
      <c r="BM69" s="1421">
        <v>14</v>
      </c>
      <c r="BN69" s="1421">
        <v>0</v>
      </c>
      <c r="BO69" s="1421">
        <v>0</v>
      </c>
      <c r="BP69" s="2131">
        <v>60</v>
      </c>
      <c r="BQ69" s="2132">
        <v>0.34666666666666668</v>
      </c>
      <c r="BR69" s="357">
        <v>0</v>
      </c>
    </row>
    <row r="70" spans="1:70" ht="10.5" customHeight="1">
      <c r="A70" s="2100"/>
      <c r="B70" s="2101"/>
      <c r="C70" s="2102" t="str">
        <f t="shared" si="39"/>
        <v>keine</v>
      </c>
      <c r="D70" s="2403">
        <f t="shared" si="40"/>
        <v>0</v>
      </c>
      <c r="E70" s="2403">
        <f t="shared" si="44"/>
        <v>0</v>
      </c>
      <c r="F70" s="2404">
        <f t="shared" si="41"/>
        <v>0</v>
      </c>
      <c r="G70" s="2404"/>
      <c r="H70" s="2404"/>
      <c r="I70" s="2404"/>
      <c r="J70" s="2404"/>
      <c r="K70" s="2404"/>
      <c r="L70" s="2404"/>
      <c r="M70" s="2102">
        <f t="shared" si="45"/>
        <v>0</v>
      </c>
      <c r="N70" s="2102">
        <f t="shared" si="42"/>
        <v>0</v>
      </c>
      <c r="O70" s="2102">
        <f t="shared" si="43"/>
        <v>0</v>
      </c>
      <c r="P70" s="2102"/>
      <c r="Q70" s="2102"/>
      <c r="R70" s="2102"/>
      <c r="S70" s="2400"/>
      <c r="T70" s="2402"/>
      <c r="U70" s="2406"/>
      <c r="V70" s="2101"/>
      <c r="W70" s="2102"/>
      <c r="X70" s="2102"/>
      <c r="Y70" s="2102"/>
      <c r="Z70" s="2102"/>
      <c r="AA70" s="2102"/>
      <c r="AB70" s="2102"/>
      <c r="AC70" s="2102"/>
      <c r="AD70" s="2102"/>
      <c r="AE70" s="2102"/>
      <c r="AF70" s="2102"/>
      <c r="AG70" s="2102"/>
      <c r="AH70" s="2364"/>
      <c r="AI70" s="2364"/>
      <c r="AJ70" s="1327"/>
      <c r="AK70" s="1327"/>
      <c r="AL70" s="1327"/>
      <c r="AM70" s="1327"/>
      <c r="AN70" s="1327"/>
      <c r="AO70" s="1327"/>
      <c r="AP70" s="1327"/>
      <c r="AQ70" s="1327"/>
      <c r="AR70" s="1327"/>
      <c r="AS70" s="1327"/>
      <c r="AT70" s="1327"/>
      <c r="AU70" s="1327"/>
      <c r="AV70" s="1327"/>
      <c r="AW70" s="2184"/>
      <c r="BH70" s="1968" t="s">
        <v>1493</v>
      </c>
      <c r="BI70" s="1421">
        <v>150</v>
      </c>
      <c r="BJ70" s="1421">
        <v>140</v>
      </c>
      <c r="BK70" s="1421">
        <v>10</v>
      </c>
      <c r="BL70" s="1421">
        <v>14</v>
      </c>
      <c r="BM70" s="1421">
        <v>14</v>
      </c>
      <c r="BN70" s="1421">
        <v>0</v>
      </c>
      <c r="BO70" s="1421">
        <v>0</v>
      </c>
      <c r="BP70" s="2131">
        <v>60</v>
      </c>
      <c r="BQ70" s="2132">
        <v>0.3</v>
      </c>
      <c r="BR70" s="357">
        <v>0</v>
      </c>
    </row>
    <row r="71" spans="1:70" ht="32.25" customHeight="1">
      <c r="A71" s="2100"/>
      <c r="B71" s="2101"/>
      <c r="C71" s="2102" t="str">
        <f t="shared" si="39"/>
        <v>keine</v>
      </c>
      <c r="D71" s="2403">
        <f t="shared" si="40"/>
        <v>0</v>
      </c>
      <c r="E71" s="2403">
        <f t="shared" si="44"/>
        <v>0</v>
      </c>
      <c r="F71" s="2404">
        <f t="shared" si="41"/>
        <v>0</v>
      </c>
      <c r="G71" s="2404"/>
      <c r="H71" s="2404"/>
      <c r="I71" s="2404"/>
      <c r="J71" s="2404"/>
      <c r="K71" s="2404"/>
      <c r="L71" s="2404"/>
      <c r="M71" s="2102">
        <f t="shared" si="45"/>
        <v>0</v>
      </c>
      <c r="N71" s="2102">
        <f t="shared" si="42"/>
        <v>0</v>
      </c>
      <c r="O71" s="2102">
        <f t="shared" si="43"/>
        <v>0</v>
      </c>
      <c r="P71" s="2102"/>
      <c r="Q71" s="2102"/>
      <c r="R71" s="2102"/>
      <c r="S71" s="2400"/>
      <c r="T71" s="2402"/>
      <c r="U71" s="2101"/>
      <c r="V71" s="2102"/>
      <c r="W71" s="2387"/>
      <c r="X71" s="2387"/>
      <c r="Y71" s="2387"/>
      <c r="Z71" s="2387"/>
      <c r="AA71" s="2387"/>
      <c r="AB71" s="2387"/>
      <c r="AC71" s="2387"/>
      <c r="AD71" s="2387"/>
      <c r="AE71" s="2387"/>
      <c r="AF71" s="2387"/>
      <c r="AG71" s="2387"/>
      <c r="AH71" s="2222"/>
      <c r="AI71" s="2222"/>
      <c r="AJ71" s="1328"/>
      <c r="AK71" s="1328"/>
      <c r="AL71" s="1328"/>
      <c r="AM71" s="1328"/>
      <c r="AN71" s="1328"/>
      <c r="AO71" s="1328"/>
      <c r="AP71" s="1328"/>
      <c r="AQ71" s="1328"/>
      <c r="AR71" s="1328"/>
      <c r="AS71" s="1328"/>
      <c r="AT71" s="1328"/>
      <c r="AU71" s="1328"/>
      <c r="AV71" s="1328"/>
      <c r="AW71" s="2192"/>
      <c r="BH71" s="1968" t="s">
        <v>1494</v>
      </c>
      <c r="BI71" s="1421">
        <v>230</v>
      </c>
      <c r="BJ71" s="1421">
        <v>155</v>
      </c>
      <c r="BK71" s="1421">
        <v>10</v>
      </c>
      <c r="BL71" s="1421">
        <v>15.5</v>
      </c>
      <c r="BM71" s="1421">
        <v>15.5</v>
      </c>
      <c r="BN71" s="1421">
        <v>0</v>
      </c>
      <c r="BO71" s="1421">
        <v>0</v>
      </c>
      <c r="BP71" s="2131">
        <v>60</v>
      </c>
      <c r="BQ71" s="2132">
        <v>0.14000000000000001</v>
      </c>
      <c r="BR71" s="357">
        <v>0</v>
      </c>
    </row>
    <row r="72" spans="1:70" ht="32.25" customHeight="1">
      <c r="A72" s="2100"/>
      <c r="B72" s="2101"/>
      <c r="C72" s="2102" t="str">
        <f t="shared" si="39"/>
        <v>keine</v>
      </c>
      <c r="D72" s="2403">
        <f t="shared" si="40"/>
        <v>0</v>
      </c>
      <c r="E72" s="2403">
        <f t="shared" si="44"/>
        <v>0</v>
      </c>
      <c r="F72" s="2404">
        <f t="shared" si="41"/>
        <v>0</v>
      </c>
      <c r="G72" s="2404"/>
      <c r="H72" s="2404"/>
      <c r="I72" s="2404"/>
      <c r="J72" s="2404"/>
      <c r="K72" s="2404"/>
      <c r="L72" s="2404"/>
      <c r="M72" s="2102">
        <f t="shared" si="45"/>
        <v>0</v>
      </c>
      <c r="N72" s="2102">
        <f t="shared" si="42"/>
        <v>0</v>
      </c>
      <c r="O72" s="2102">
        <f t="shared" si="43"/>
        <v>0</v>
      </c>
      <c r="P72" s="2102"/>
      <c r="Q72" s="2102"/>
      <c r="R72" s="2102"/>
      <c r="S72" s="2400"/>
      <c r="T72" s="2402"/>
      <c r="U72" s="2102"/>
      <c r="V72" s="2102"/>
      <c r="W72" s="2387"/>
      <c r="X72" s="2387"/>
      <c r="Y72" s="2387"/>
      <c r="Z72" s="2387"/>
      <c r="AA72" s="2387"/>
      <c r="AB72" s="2387"/>
      <c r="AC72" s="2387"/>
      <c r="AD72" s="2387"/>
      <c r="AE72" s="2387"/>
      <c r="AF72" s="2387"/>
      <c r="AG72" s="2387"/>
      <c r="AH72" s="2222"/>
      <c r="AI72" s="2222"/>
      <c r="AJ72" s="1328"/>
      <c r="AK72" s="1328"/>
      <c r="AL72" s="1328"/>
      <c r="AM72" s="1328"/>
      <c r="AN72" s="1328"/>
      <c r="AO72" s="1328"/>
      <c r="AP72" s="1328"/>
      <c r="AQ72" s="1328"/>
      <c r="AR72" s="1328"/>
      <c r="AS72" s="1328"/>
      <c r="AT72" s="1328"/>
      <c r="AU72" s="1328"/>
      <c r="AV72" s="1328"/>
      <c r="AW72" s="2192"/>
      <c r="BH72" s="1968" t="s">
        <v>1495</v>
      </c>
      <c r="BI72" s="1421">
        <v>200</v>
      </c>
      <c r="BJ72" s="1421">
        <v>140</v>
      </c>
      <c r="BK72" s="1421">
        <v>10</v>
      </c>
      <c r="BL72" s="1421">
        <v>14</v>
      </c>
      <c r="BM72" s="1421">
        <v>14</v>
      </c>
      <c r="BN72" s="1421">
        <v>0</v>
      </c>
      <c r="BO72" s="1421">
        <v>0</v>
      </c>
      <c r="BP72" s="2131">
        <v>60</v>
      </c>
      <c r="BQ72" s="2132">
        <v>0.37</v>
      </c>
      <c r="BR72" s="357">
        <v>0</v>
      </c>
    </row>
    <row r="73" spans="1:70">
      <c r="A73" s="2100"/>
      <c r="B73" s="2101"/>
      <c r="C73" s="2102" t="str">
        <f t="shared" si="39"/>
        <v>keine</v>
      </c>
      <c r="D73" s="2403">
        <f t="shared" si="40"/>
        <v>0</v>
      </c>
      <c r="E73" s="2403">
        <f t="shared" si="44"/>
        <v>0</v>
      </c>
      <c r="F73" s="2404">
        <f t="shared" si="41"/>
        <v>0</v>
      </c>
      <c r="G73" s="2404"/>
      <c r="H73" s="2404"/>
      <c r="I73" s="2404"/>
      <c r="J73" s="2404"/>
      <c r="K73" s="2404"/>
      <c r="L73" s="2404"/>
      <c r="M73" s="2102">
        <f t="shared" si="45"/>
        <v>0</v>
      </c>
      <c r="N73" s="2102">
        <f t="shared" si="42"/>
        <v>0</v>
      </c>
      <c r="O73" s="2102">
        <f t="shared" si="43"/>
        <v>0</v>
      </c>
      <c r="P73" s="2102"/>
      <c r="Q73" s="2102"/>
      <c r="R73" s="2102"/>
      <c r="S73" s="2400"/>
      <c r="T73" s="2402"/>
      <c r="U73" s="2101"/>
      <c r="V73" s="2102"/>
      <c r="W73" s="2102"/>
      <c r="X73" s="2102"/>
      <c r="Y73" s="2102"/>
      <c r="Z73" s="2102"/>
      <c r="AA73" s="2102"/>
      <c r="AB73" s="2102"/>
      <c r="AC73" s="2102"/>
      <c r="AD73" s="2102"/>
      <c r="AE73" s="2102"/>
      <c r="AF73" s="2102"/>
      <c r="AG73" s="2102"/>
      <c r="AH73" s="2364"/>
      <c r="AI73" s="2364"/>
      <c r="AJ73" s="1327"/>
      <c r="AK73" s="1327"/>
      <c r="AL73" s="1327"/>
      <c r="AM73" s="1327"/>
      <c r="AN73" s="1327"/>
      <c r="AO73" s="1327"/>
      <c r="AP73" s="1327"/>
      <c r="AQ73" s="1327"/>
      <c r="AR73" s="1327"/>
      <c r="AS73" s="1327"/>
      <c r="AT73" s="1327"/>
      <c r="AU73" s="1327"/>
      <c r="AV73" s="1327"/>
      <c r="AW73" s="2184"/>
      <c r="BH73" s="1968" t="s">
        <v>1496</v>
      </c>
      <c r="BI73" s="1421">
        <v>200</v>
      </c>
      <c r="BJ73" s="1421">
        <v>140</v>
      </c>
      <c r="BK73" s="1421">
        <v>10</v>
      </c>
      <c r="BL73" s="1421">
        <v>14</v>
      </c>
      <c r="BM73" s="1421">
        <v>14</v>
      </c>
      <c r="BN73" s="1421">
        <v>0</v>
      </c>
      <c r="BO73" s="1421">
        <v>0</v>
      </c>
      <c r="BP73" s="2131">
        <v>60</v>
      </c>
      <c r="BQ73" s="2132">
        <v>0.23</v>
      </c>
      <c r="BR73" s="357">
        <v>0</v>
      </c>
    </row>
    <row r="74" spans="1:70" ht="19.5" customHeight="1">
      <c r="A74" s="2100"/>
      <c r="B74" s="2101"/>
      <c r="C74" s="2102" t="str">
        <f t="shared" si="39"/>
        <v>keine</v>
      </c>
      <c r="D74" s="2403">
        <f t="shared" si="40"/>
        <v>0</v>
      </c>
      <c r="E74" s="2403">
        <f t="shared" si="44"/>
        <v>0</v>
      </c>
      <c r="F74" s="2404">
        <f t="shared" si="41"/>
        <v>0</v>
      </c>
      <c r="G74" s="2404"/>
      <c r="H74" s="2404"/>
      <c r="I74" s="2404"/>
      <c r="J74" s="2404"/>
      <c r="K74" s="2404"/>
      <c r="L74" s="2404"/>
      <c r="M74" s="2102">
        <f t="shared" si="45"/>
        <v>0</v>
      </c>
      <c r="N74" s="2102">
        <f t="shared" si="42"/>
        <v>0</v>
      </c>
      <c r="O74" s="2102">
        <f t="shared" si="43"/>
        <v>0</v>
      </c>
      <c r="P74" s="2102"/>
      <c r="Q74" s="2102"/>
      <c r="R74" s="2102"/>
      <c r="S74" s="2400"/>
      <c r="T74" s="2402"/>
      <c r="U74" s="2101"/>
      <c r="V74" s="2101"/>
      <c r="W74" s="2388"/>
      <c r="X74" s="2388"/>
      <c r="Y74" s="2388"/>
      <c r="Z74" s="2388"/>
      <c r="AA74" s="2388"/>
      <c r="AB74" s="2388"/>
      <c r="AC74" s="2388"/>
      <c r="AD74" s="2388"/>
      <c r="AE74" s="2388"/>
      <c r="AF74" s="2388"/>
      <c r="AG74" s="2388"/>
      <c r="AH74" s="2363"/>
      <c r="AI74" s="2363"/>
      <c r="AJ74" s="1403"/>
      <c r="AK74" s="1403"/>
      <c r="AL74" s="1403"/>
      <c r="AM74" s="1403"/>
      <c r="AN74" s="1403"/>
      <c r="AO74" s="1403"/>
      <c r="AP74" s="1403"/>
      <c r="AQ74" s="1403"/>
      <c r="AR74" s="1403"/>
      <c r="AS74" s="1403"/>
      <c r="AT74" s="1403"/>
      <c r="AU74" s="1403"/>
      <c r="AV74" s="1403"/>
      <c r="BH74" s="1968" t="s">
        <v>1497</v>
      </c>
      <c r="BI74" s="1421">
        <v>200</v>
      </c>
      <c r="BJ74" s="1421">
        <v>190</v>
      </c>
      <c r="BK74" s="1421">
        <v>10</v>
      </c>
      <c r="BL74" s="1421">
        <v>19</v>
      </c>
      <c r="BM74" s="1421">
        <v>19</v>
      </c>
      <c r="BN74" s="1421">
        <v>0</v>
      </c>
      <c r="BO74" s="1421">
        <v>0</v>
      </c>
      <c r="BP74" s="2131">
        <v>60</v>
      </c>
      <c r="BQ74" s="2132">
        <v>0.41000000000000003</v>
      </c>
      <c r="BR74" s="357">
        <v>0</v>
      </c>
    </row>
    <row r="75" spans="1:70" ht="15.75">
      <c r="A75" s="2100"/>
      <c r="B75" s="2101"/>
      <c r="C75" s="2102" t="str">
        <f t="shared" si="39"/>
        <v>keine</v>
      </c>
      <c r="D75" s="2403">
        <f t="shared" si="40"/>
        <v>0</v>
      </c>
      <c r="E75" s="2403">
        <f t="shared" si="44"/>
        <v>0</v>
      </c>
      <c r="F75" s="2404">
        <f t="shared" si="41"/>
        <v>0</v>
      </c>
      <c r="G75" s="2404"/>
      <c r="H75" s="2404"/>
      <c r="I75" s="2404"/>
      <c r="J75" s="2404"/>
      <c r="K75" s="2404"/>
      <c r="L75" s="2404"/>
      <c r="M75" s="2102">
        <f t="shared" si="45"/>
        <v>0</v>
      </c>
      <c r="N75" s="2102">
        <f t="shared" si="42"/>
        <v>0</v>
      </c>
      <c r="O75" s="2102">
        <f t="shared" si="43"/>
        <v>0</v>
      </c>
      <c r="P75" s="2102"/>
      <c r="Q75" s="2102"/>
      <c r="R75" s="2102"/>
      <c r="S75" s="2400"/>
      <c r="T75" s="2402"/>
      <c r="U75" s="2101"/>
      <c r="V75" s="2101"/>
      <c r="W75" s="2389"/>
      <c r="X75" s="2389"/>
      <c r="Y75" s="2389"/>
      <c r="Z75" s="2389"/>
      <c r="AA75" s="2389"/>
      <c r="AB75" s="2389"/>
      <c r="AC75" s="2389"/>
      <c r="AD75" s="2389"/>
      <c r="AE75" s="2389"/>
      <c r="AF75" s="2389"/>
      <c r="AG75" s="2389"/>
      <c r="AH75" s="1404"/>
      <c r="AI75" s="1404"/>
      <c r="AJ75" s="1404"/>
      <c r="AK75" s="1404"/>
      <c r="AL75" s="1404"/>
      <c r="AM75" s="1404"/>
      <c r="AN75" s="1404"/>
      <c r="AO75" s="1404"/>
      <c r="AP75" s="1404"/>
      <c r="AQ75" s="1404"/>
      <c r="AR75" s="1404"/>
      <c r="AS75" s="1404"/>
      <c r="AT75" s="1404"/>
      <c r="AU75" s="1404"/>
      <c r="AV75" s="1404"/>
      <c r="BH75" s="1968" t="s">
        <v>1498</v>
      </c>
      <c r="BI75" s="1421">
        <v>200</v>
      </c>
      <c r="BJ75" s="1421">
        <v>190</v>
      </c>
      <c r="BK75" s="1421">
        <v>10</v>
      </c>
      <c r="BL75" s="1421">
        <v>16</v>
      </c>
      <c r="BM75" s="1421">
        <v>16</v>
      </c>
      <c r="BN75" s="1421">
        <v>0</v>
      </c>
      <c r="BO75" s="1421">
        <v>0</v>
      </c>
      <c r="BP75" s="2131">
        <v>60</v>
      </c>
      <c r="BQ75" s="2132">
        <v>0.25</v>
      </c>
      <c r="BR75" s="357">
        <v>0</v>
      </c>
    </row>
    <row r="76" spans="1:70" ht="15.75">
      <c r="A76" s="2100"/>
      <c r="B76" s="2101"/>
      <c r="C76" s="2102" t="str">
        <f t="shared" si="39"/>
        <v>keine</v>
      </c>
      <c r="D76" s="2403">
        <f t="shared" si="40"/>
        <v>0</v>
      </c>
      <c r="E76" s="2403">
        <f t="shared" si="44"/>
        <v>0</v>
      </c>
      <c r="F76" s="2404">
        <f t="shared" si="41"/>
        <v>0</v>
      </c>
      <c r="G76" s="2404"/>
      <c r="H76" s="2404"/>
      <c r="I76" s="2404"/>
      <c r="J76" s="2404"/>
      <c r="K76" s="2404"/>
      <c r="L76" s="2404"/>
      <c r="M76" s="2102">
        <f t="shared" si="45"/>
        <v>0</v>
      </c>
      <c r="N76" s="2102">
        <f t="shared" si="42"/>
        <v>0</v>
      </c>
      <c r="O76" s="2102">
        <f t="shared" si="43"/>
        <v>0</v>
      </c>
      <c r="P76" s="2102"/>
      <c r="Q76" s="2102"/>
      <c r="R76" s="2102"/>
      <c r="S76" s="2400"/>
      <c r="T76" s="2402"/>
      <c r="U76" s="2101"/>
      <c r="V76" s="2101"/>
      <c r="W76" s="2390"/>
      <c r="X76" s="2390"/>
      <c r="Y76" s="2390"/>
      <c r="Z76" s="2390"/>
      <c r="AA76" s="2390"/>
      <c r="AB76" s="2390"/>
      <c r="AC76" s="2390"/>
      <c r="AD76" s="2390"/>
      <c r="AE76" s="2390"/>
      <c r="AF76" s="2390"/>
      <c r="AG76" s="2390"/>
      <c r="AH76" s="1406"/>
      <c r="AI76" s="1406"/>
      <c r="AJ76" s="1406"/>
      <c r="AK76" s="1406"/>
      <c r="AL76" s="1406"/>
      <c r="AM76" s="1406"/>
      <c r="AN76" s="1406"/>
      <c r="AO76" s="1406"/>
      <c r="AP76" s="1406"/>
      <c r="AQ76" s="1406"/>
      <c r="AR76" s="1406"/>
      <c r="AS76" s="1406"/>
      <c r="AT76" s="1406"/>
      <c r="AU76" s="1406"/>
      <c r="AV76" s="1406"/>
      <c r="BH76" s="1968" t="s">
        <v>1499</v>
      </c>
      <c r="BI76" s="1421">
        <v>20</v>
      </c>
      <c r="BJ76" s="1421">
        <v>45</v>
      </c>
      <c r="BK76" s="1421">
        <v>10</v>
      </c>
      <c r="BL76" s="1421">
        <v>2</v>
      </c>
      <c r="BM76" s="1421">
        <v>2</v>
      </c>
      <c r="BN76" s="1421">
        <v>0</v>
      </c>
      <c r="BO76" s="1421">
        <v>0</v>
      </c>
      <c r="BP76" s="2133">
        <v>30</v>
      </c>
      <c r="BQ76" s="2134">
        <v>0.2</v>
      </c>
      <c r="BR76" s="357">
        <v>0</v>
      </c>
    </row>
    <row r="77" spans="1:70" ht="15.75">
      <c r="A77" s="2100"/>
      <c r="B77" s="2101"/>
      <c r="C77" s="2102" t="str">
        <f t="shared" si="39"/>
        <v>keine</v>
      </c>
      <c r="D77" s="2403">
        <f t="shared" si="40"/>
        <v>0</v>
      </c>
      <c r="E77" s="2403">
        <f t="shared" si="44"/>
        <v>0</v>
      </c>
      <c r="F77" s="2404">
        <f t="shared" si="41"/>
        <v>0</v>
      </c>
      <c r="G77" s="2404"/>
      <c r="H77" s="2404"/>
      <c r="I77" s="2404"/>
      <c r="J77" s="2404"/>
      <c r="K77" s="2404"/>
      <c r="L77" s="2404"/>
      <c r="M77" s="2102">
        <f t="shared" si="45"/>
        <v>0</v>
      </c>
      <c r="N77" s="2102">
        <f t="shared" si="42"/>
        <v>0</v>
      </c>
      <c r="O77" s="2102">
        <f t="shared" si="43"/>
        <v>0</v>
      </c>
      <c r="P77" s="2102"/>
      <c r="Q77" s="2102"/>
      <c r="R77" s="2102"/>
      <c r="S77" s="2400"/>
      <c r="T77" s="2402"/>
      <c r="U77" s="2101"/>
      <c r="V77" s="2101"/>
      <c r="W77" s="2390"/>
      <c r="X77" s="2390"/>
      <c r="Y77" s="2390"/>
      <c r="Z77" s="2390"/>
      <c r="AA77" s="2390"/>
      <c r="AB77" s="2390"/>
      <c r="AC77" s="2390"/>
      <c r="AD77" s="2390"/>
      <c r="AE77" s="2390"/>
      <c r="AF77" s="2390"/>
      <c r="AG77" s="2390"/>
      <c r="AH77" s="1406"/>
      <c r="AI77" s="1406"/>
      <c r="AJ77" s="1406"/>
      <c r="AK77" s="1406"/>
      <c r="AL77" s="1406"/>
      <c r="AM77" s="1406"/>
      <c r="AN77" s="1406"/>
      <c r="AO77" s="1406"/>
      <c r="AP77" s="1406"/>
      <c r="AQ77" s="1406"/>
      <c r="AR77" s="1406"/>
      <c r="AS77" s="1406"/>
      <c r="AT77" s="1406"/>
      <c r="AU77" s="1406"/>
      <c r="AV77" s="1406"/>
      <c r="BH77" s="1968" t="s">
        <v>1500</v>
      </c>
      <c r="BI77" s="1421">
        <v>300</v>
      </c>
      <c r="BJ77" s="1421">
        <v>130</v>
      </c>
      <c r="BK77" s="1421">
        <v>10</v>
      </c>
      <c r="BL77" s="1421">
        <v>13</v>
      </c>
      <c r="BM77" s="1421">
        <v>13</v>
      </c>
      <c r="BN77" s="1421">
        <v>0</v>
      </c>
      <c r="BO77" s="1421">
        <v>0</v>
      </c>
      <c r="BP77" s="2136">
        <v>30</v>
      </c>
      <c r="BQ77" s="2132">
        <v>0.2</v>
      </c>
      <c r="BR77" s="357">
        <v>0</v>
      </c>
    </row>
    <row r="78" spans="1:70" ht="15.75">
      <c r="A78" s="2100"/>
      <c r="B78" s="2101"/>
      <c r="C78" s="2102" t="str">
        <f t="shared" si="39"/>
        <v>keine</v>
      </c>
      <c r="D78" s="2403">
        <f t="shared" si="40"/>
        <v>0</v>
      </c>
      <c r="E78" s="2403">
        <f t="shared" si="44"/>
        <v>0</v>
      </c>
      <c r="F78" s="2404">
        <f t="shared" si="41"/>
        <v>0</v>
      </c>
      <c r="G78" s="2404"/>
      <c r="H78" s="2404"/>
      <c r="I78" s="2404"/>
      <c r="J78" s="2404"/>
      <c r="K78" s="2404"/>
      <c r="L78" s="2404"/>
      <c r="M78" s="2102">
        <f t="shared" si="45"/>
        <v>0</v>
      </c>
      <c r="N78" s="2102">
        <f t="shared" si="42"/>
        <v>0</v>
      </c>
      <c r="O78" s="2102">
        <f t="shared" si="43"/>
        <v>0</v>
      </c>
      <c r="P78" s="2102"/>
      <c r="Q78" s="2102"/>
      <c r="R78" s="2102"/>
      <c r="S78" s="2400"/>
      <c r="T78" s="2402"/>
      <c r="U78" s="2101"/>
      <c r="V78" s="2101"/>
      <c r="W78" s="2390"/>
      <c r="X78" s="2390"/>
      <c r="Y78" s="2390"/>
      <c r="Z78" s="2390"/>
      <c r="AA78" s="2390"/>
      <c r="AB78" s="2390"/>
      <c r="AC78" s="2390"/>
      <c r="AD78" s="2390"/>
      <c r="AE78" s="2390"/>
      <c r="AF78" s="2390"/>
      <c r="AG78" s="2390"/>
      <c r="AH78" s="1406"/>
      <c r="AI78" s="1406"/>
      <c r="AJ78" s="1406"/>
      <c r="AK78" s="1406"/>
      <c r="AL78" s="1406"/>
      <c r="AM78" s="1406"/>
      <c r="AN78" s="1406"/>
      <c r="AO78" s="1406"/>
      <c r="AP78" s="1406"/>
      <c r="AQ78" s="1406"/>
      <c r="AR78" s="1406"/>
      <c r="AS78" s="1406"/>
      <c r="AT78" s="1406"/>
      <c r="AU78" s="1406"/>
      <c r="AV78" s="1406"/>
      <c r="BH78" s="1968" t="s">
        <v>1501</v>
      </c>
      <c r="BI78" s="1421">
        <v>150</v>
      </c>
      <c r="BJ78" s="1421">
        <v>125</v>
      </c>
      <c r="BK78" s="1421">
        <v>10</v>
      </c>
      <c r="BL78" s="1421">
        <v>12.5</v>
      </c>
      <c r="BM78" s="1421">
        <v>12.5</v>
      </c>
      <c r="BN78" s="1421">
        <v>0</v>
      </c>
      <c r="BO78" s="1421">
        <v>0</v>
      </c>
      <c r="BP78" s="2131">
        <v>30</v>
      </c>
      <c r="BQ78" s="2132">
        <v>0.16</v>
      </c>
      <c r="BR78" s="357">
        <v>0</v>
      </c>
    </row>
    <row r="79" spans="1:70" ht="15.75">
      <c r="A79" s="2100"/>
      <c r="B79" s="2101"/>
      <c r="C79" s="2102" t="str">
        <f t="shared" si="39"/>
        <v>keine</v>
      </c>
      <c r="D79" s="2403">
        <f t="shared" si="40"/>
        <v>0</v>
      </c>
      <c r="E79" s="2403">
        <f t="shared" si="44"/>
        <v>0</v>
      </c>
      <c r="F79" s="2404">
        <f t="shared" si="41"/>
        <v>0</v>
      </c>
      <c r="G79" s="2404"/>
      <c r="H79" s="2404"/>
      <c r="I79" s="2404"/>
      <c r="J79" s="2404"/>
      <c r="K79" s="2404"/>
      <c r="L79" s="2404"/>
      <c r="M79" s="2102">
        <f t="shared" si="45"/>
        <v>0</v>
      </c>
      <c r="N79" s="2102">
        <f t="shared" si="42"/>
        <v>0</v>
      </c>
      <c r="O79" s="2102">
        <f t="shared" si="43"/>
        <v>0</v>
      </c>
      <c r="P79" s="2102"/>
      <c r="Q79" s="2102"/>
      <c r="R79" s="2102"/>
      <c r="S79" s="2400"/>
      <c r="T79" s="2402"/>
      <c r="U79" s="2101"/>
      <c r="V79" s="2101"/>
      <c r="W79" s="2390"/>
      <c r="X79" s="2390"/>
      <c r="Y79" s="2390"/>
      <c r="Z79" s="2390"/>
      <c r="AA79" s="2390"/>
      <c r="AB79" s="2390"/>
      <c r="AC79" s="2390"/>
      <c r="AD79" s="2390"/>
      <c r="AE79" s="2390"/>
      <c r="AF79" s="2390"/>
      <c r="AG79" s="2390"/>
      <c r="AH79" s="1406"/>
      <c r="AI79" s="1406"/>
      <c r="AJ79" s="1406"/>
      <c r="AK79" s="1406"/>
      <c r="AL79" s="1406"/>
      <c r="AM79" s="1406"/>
      <c r="AN79" s="1406"/>
      <c r="AO79" s="1406"/>
      <c r="AP79" s="1406"/>
      <c r="AQ79" s="1406"/>
      <c r="AR79" s="1406"/>
      <c r="AS79" s="1406"/>
      <c r="AT79" s="1406"/>
      <c r="AU79" s="1406"/>
      <c r="AV79" s="1406"/>
      <c r="BH79" s="1968" t="s">
        <v>1502</v>
      </c>
      <c r="BI79" s="1421">
        <v>40</v>
      </c>
      <c r="BJ79" s="1421">
        <v>120</v>
      </c>
      <c r="BK79" s="1421">
        <v>10</v>
      </c>
      <c r="BL79" s="1421">
        <v>12</v>
      </c>
      <c r="BM79" s="1421">
        <v>12</v>
      </c>
      <c r="BN79" s="1421">
        <v>0</v>
      </c>
      <c r="BO79" s="1421">
        <v>0</v>
      </c>
      <c r="BP79" s="2131">
        <v>60</v>
      </c>
      <c r="BQ79" s="2134">
        <v>1.22</v>
      </c>
      <c r="BR79" s="357">
        <v>0</v>
      </c>
    </row>
    <row r="80" spans="1:70" ht="15.75">
      <c r="A80" s="2100"/>
      <c r="B80" s="2101"/>
      <c r="C80" s="2102" t="str">
        <f t="shared" si="39"/>
        <v>keine</v>
      </c>
      <c r="D80" s="2403">
        <f t="shared" si="40"/>
        <v>0</v>
      </c>
      <c r="E80" s="2403">
        <f t="shared" si="44"/>
        <v>0</v>
      </c>
      <c r="F80" s="2404">
        <f t="shared" si="41"/>
        <v>0</v>
      </c>
      <c r="G80" s="2404"/>
      <c r="H80" s="2404"/>
      <c r="I80" s="2404"/>
      <c r="J80" s="2404"/>
      <c r="K80" s="2404"/>
      <c r="L80" s="2404"/>
      <c r="M80" s="2102">
        <f t="shared" si="45"/>
        <v>0</v>
      </c>
      <c r="N80" s="2102">
        <f t="shared" si="42"/>
        <v>0</v>
      </c>
      <c r="O80" s="2102">
        <f t="shared" si="43"/>
        <v>0</v>
      </c>
      <c r="P80" s="2102"/>
      <c r="Q80" s="2102"/>
      <c r="R80" s="2102"/>
      <c r="S80" s="2400"/>
      <c r="T80" s="2402"/>
      <c r="U80" s="2101"/>
      <c r="V80" s="2101"/>
      <c r="W80" s="2390"/>
      <c r="X80" s="2390"/>
      <c r="Y80" s="2390"/>
      <c r="Z80" s="2390"/>
      <c r="AA80" s="2390"/>
      <c r="AB80" s="2390"/>
      <c r="AC80" s="2390"/>
      <c r="AD80" s="2390"/>
      <c r="AE80" s="2390"/>
      <c r="AF80" s="2390"/>
      <c r="AG80" s="2390"/>
      <c r="AH80" s="1406"/>
      <c r="AI80" s="1406"/>
      <c r="AJ80" s="1406"/>
      <c r="AK80" s="1406"/>
      <c r="AL80" s="1406"/>
      <c r="AM80" s="1406"/>
      <c r="AN80" s="1406"/>
      <c r="AO80" s="1406"/>
      <c r="AP80" s="1406"/>
      <c r="AQ80" s="1406"/>
      <c r="AR80" s="1406"/>
      <c r="AS80" s="1406"/>
      <c r="AT80" s="1406"/>
      <c r="AU80" s="1406"/>
      <c r="AV80" s="1406"/>
      <c r="BH80" s="1968" t="s">
        <v>1503</v>
      </c>
      <c r="BI80" s="1421">
        <v>40</v>
      </c>
      <c r="BJ80" s="1421">
        <v>120</v>
      </c>
      <c r="BK80" s="1421">
        <v>10</v>
      </c>
      <c r="BL80" s="1421">
        <v>12</v>
      </c>
      <c r="BM80" s="1421">
        <v>12</v>
      </c>
      <c r="BN80" s="1421">
        <v>0</v>
      </c>
      <c r="BO80" s="1421">
        <v>0</v>
      </c>
      <c r="BP80" s="2131">
        <v>60</v>
      </c>
      <c r="BQ80" s="2134">
        <v>0.83</v>
      </c>
      <c r="BR80" s="357">
        <v>0</v>
      </c>
    </row>
    <row r="81" spans="1:70" ht="15.75">
      <c r="A81" s="2100"/>
      <c r="B81" s="2101"/>
      <c r="C81" s="2102" t="str">
        <f t="shared" si="39"/>
        <v>keine</v>
      </c>
      <c r="D81" s="2403">
        <f t="shared" si="40"/>
        <v>0</v>
      </c>
      <c r="E81" s="2403">
        <f t="shared" si="44"/>
        <v>0</v>
      </c>
      <c r="F81" s="2404">
        <f t="shared" si="41"/>
        <v>0</v>
      </c>
      <c r="G81" s="2404"/>
      <c r="H81" s="2404"/>
      <c r="I81" s="2404"/>
      <c r="J81" s="2404"/>
      <c r="K81" s="2404"/>
      <c r="L81" s="2404"/>
      <c r="M81" s="2102">
        <f t="shared" si="45"/>
        <v>0</v>
      </c>
      <c r="N81" s="2102">
        <f t="shared" si="42"/>
        <v>0</v>
      </c>
      <c r="O81" s="2102">
        <f t="shared" si="43"/>
        <v>0</v>
      </c>
      <c r="P81" s="2102"/>
      <c r="Q81" s="2102"/>
      <c r="R81" s="2102"/>
      <c r="S81" s="2400"/>
      <c r="T81" s="2402"/>
      <c r="U81" s="2101"/>
      <c r="V81" s="2101"/>
      <c r="W81" s="2390"/>
      <c r="X81" s="2390"/>
      <c r="Y81" s="2390"/>
      <c r="Z81" s="2390"/>
      <c r="AA81" s="2390"/>
      <c r="AB81" s="2390"/>
      <c r="AC81" s="2390"/>
      <c r="AD81" s="2390"/>
      <c r="AE81" s="2390"/>
      <c r="AF81" s="2390"/>
      <c r="AG81" s="2390"/>
      <c r="AH81" s="1406"/>
      <c r="AI81" s="1406"/>
      <c r="AJ81" s="1406"/>
      <c r="AK81" s="1406"/>
      <c r="AL81" s="1406"/>
      <c r="AM81" s="1406"/>
      <c r="AN81" s="1406"/>
      <c r="AO81" s="1406"/>
      <c r="AP81" s="1406"/>
      <c r="AQ81" s="1406"/>
      <c r="AR81" s="1406"/>
      <c r="AS81" s="1406"/>
      <c r="AT81" s="1406"/>
      <c r="AU81" s="1406"/>
      <c r="AV81" s="1406"/>
      <c r="BH81" s="1968" t="s">
        <v>1504</v>
      </c>
      <c r="BI81" s="1421">
        <v>150</v>
      </c>
      <c r="BJ81" s="1421">
        <v>190</v>
      </c>
      <c r="BK81" s="1421">
        <v>10</v>
      </c>
      <c r="BL81" s="1421">
        <v>19</v>
      </c>
      <c r="BM81" s="1421">
        <v>19</v>
      </c>
      <c r="BN81" s="1421">
        <v>0</v>
      </c>
      <c r="BO81" s="1421">
        <v>0</v>
      </c>
      <c r="BP81" s="2133">
        <v>60</v>
      </c>
      <c r="BQ81" s="2134">
        <v>0.23</v>
      </c>
      <c r="BR81" s="357">
        <v>0</v>
      </c>
    </row>
    <row r="82" spans="1:70" ht="15.75">
      <c r="A82" s="2100"/>
      <c r="B82" s="2101"/>
      <c r="C82" s="2102" t="str">
        <f t="shared" si="39"/>
        <v>keine</v>
      </c>
      <c r="D82" s="2403">
        <f t="shared" si="40"/>
        <v>0</v>
      </c>
      <c r="E82" s="2403">
        <f t="shared" si="44"/>
        <v>0</v>
      </c>
      <c r="F82" s="2404">
        <f t="shared" si="41"/>
        <v>0</v>
      </c>
      <c r="G82" s="2404"/>
      <c r="H82" s="2404"/>
      <c r="I82" s="2404"/>
      <c r="J82" s="2404"/>
      <c r="K82" s="2404"/>
      <c r="L82" s="2404"/>
      <c r="M82" s="2102">
        <f t="shared" si="45"/>
        <v>0</v>
      </c>
      <c r="N82" s="2102">
        <f t="shared" si="42"/>
        <v>0</v>
      </c>
      <c r="O82" s="2102">
        <f t="shared" si="43"/>
        <v>0</v>
      </c>
      <c r="P82" s="2102"/>
      <c r="Q82" s="2102"/>
      <c r="R82" s="2102"/>
      <c r="S82" s="2400"/>
      <c r="T82" s="2402"/>
      <c r="U82" s="2101"/>
      <c r="V82" s="2101"/>
      <c r="W82" s="2390"/>
      <c r="X82" s="2390"/>
      <c r="Y82" s="2390"/>
      <c r="Z82" s="2390"/>
      <c r="AA82" s="2390"/>
      <c r="AB82" s="2390"/>
      <c r="AC82" s="2390"/>
      <c r="AD82" s="2390"/>
      <c r="AE82" s="2390"/>
      <c r="AF82" s="2390"/>
      <c r="AG82" s="2390"/>
      <c r="AH82" s="1406"/>
      <c r="AI82" s="1406"/>
      <c r="AJ82" s="1406"/>
      <c r="AK82" s="1406"/>
      <c r="AL82" s="1406"/>
      <c r="AM82" s="1406"/>
      <c r="AN82" s="1406"/>
      <c r="AO82" s="1406"/>
      <c r="AP82" s="1406"/>
      <c r="AQ82" s="1406"/>
      <c r="AR82" s="1406"/>
      <c r="AS82" s="1406"/>
      <c r="AT82" s="1406"/>
      <c r="AU82" s="1406"/>
      <c r="AV82" s="1406"/>
      <c r="BH82" s="1968" t="s">
        <v>1505</v>
      </c>
      <c r="BI82" s="1421">
        <v>220</v>
      </c>
      <c r="BJ82" s="1421">
        <v>135</v>
      </c>
      <c r="BK82" s="1421">
        <v>10</v>
      </c>
      <c r="BL82" s="1421">
        <v>13.5</v>
      </c>
      <c r="BM82" s="1421">
        <v>13.5</v>
      </c>
      <c r="BN82" s="1421">
        <v>0</v>
      </c>
      <c r="BO82" s="1421">
        <v>0</v>
      </c>
      <c r="BP82" s="2135">
        <v>60</v>
      </c>
      <c r="BQ82" s="2132">
        <v>0.08</v>
      </c>
      <c r="BR82" s="357">
        <v>0</v>
      </c>
    </row>
    <row r="83" spans="1:70" ht="15.75">
      <c r="A83" s="2100"/>
      <c r="B83" s="2101"/>
      <c r="C83" s="2102" t="str">
        <f t="shared" si="39"/>
        <v>keine</v>
      </c>
      <c r="D83" s="2403">
        <f t="shared" si="40"/>
        <v>0</v>
      </c>
      <c r="E83" s="2403">
        <f t="shared" si="44"/>
        <v>0</v>
      </c>
      <c r="F83" s="2404">
        <f t="shared" si="41"/>
        <v>0</v>
      </c>
      <c r="G83" s="2404"/>
      <c r="H83" s="2404"/>
      <c r="I83" s="2404"/>
      <c r="J83" s="2404"/>
      <c r="K83" s="2404"/>
      <c r="L83" s="2404"/>
      <c r="M83" s="2102">
        <f t="shared" si="45"/>
        <v>0</v>
      </c>
      <c r="N83" s="2102">
        <f t="shared" si="42"/>
        <v>0</v>
      </c>
      <c r="O83" s="2102">
        <f t="shared" si="43"/>
        <v>0</v>
      </c>
      <c r="P83" s="2102"/>
      <c r="Q83" s="2102"/>
      <c r="R83" s="2102"/>
      <c r="S83" s="2400"/>
      <c r="T83" s="2402"/>
      <c r="U83" s="2101"/>
      <c r="V83" s="2101"/>
      <c r="W83" s="2390"/>
      <c r="X83" s="2390"/>
      <c r="Y83" s="2390"/>
      <c r="Z83" s="2390"/>
      <c r="AA83" s="2390"/>
      <c r="AB83" s="2390"/>
      <c r="AC83" s="2390"/>
      <c r="AD83" s="2390"/>
      <c r="AE83" s="2390"/>
      <c r="AF83" s="2390"/>
      <c r="AG83" s="2390"/>
      <c r="AH83" s="1406"/>
      <c r="AI83" s="1406"/>
      <c r="AJ83" s="1406"/>
      <c r="AK83" s="1406"/>
      <c r="AL83" s="1406"/>
      <c r="AM83" s="1406"/>
      <c r="AN83" s="1406"/>
      <c r="AO83" s="1406"/>
      <c r="AP83" s="1406"/>
      <c r="AQ83" s="1406"/>
      <c r="AR83" s="1406"/>
      <c r="AS83" s="1406"/>
      <c r="AT83" s="1406"/>
      <c r="AU83" s="1406"/>
      <c r="AV83" s="1406"/>
      <c r="BH83" s="1968" t="s">
        <v>1506</v>
      </c>
      <c r="BI83" s="1421">
        <v>480</v>
      </c>
      <c r="BJ83" s="1421">
        <v>195</v>
      </c>
      <c r="BK83" s="1421">
        <v>10</v>
      </c>
      <c r="BL83" s="1421">
        <v>19.5</v>
      </c>
      <c r="BM83" s="1421">
        <v>19.5</v>
      </c>
      <c r="BN83" s="1421">
        <v>0</v>
      </c>
      <c r="BO83" s="1421">
        <v>0</v>
      </c>
      <c r="BP83" s="2135">
        <v>60</v>
      </c>
      <c r="BQ83" s="2132">
        <v>0.05</v>
      </c>
      <c r="BR83" s="357">
        <v>0</v>
      </c>
    </row>
    <row r="84" spans="1:70" ht="15.75">
      <c r="A84" s="2100"/>
      <c r="B84" s="2101"/>
      <c r="C84" s="2102" t="str">
        <f t="shared" si="39"/>
        <v>keine</v>
      </c>
      <c r="D84" s="2403">
        <f t="shared" si="40"/>
        <v>0</v>
      </c>
      <c r="E84" s="2403">
        <f t="shared" si="44"/>
        <v>0</v>
      </c>
      <c r="F84" s="2404">
        <f t="shared" si="41"/>
        <v>0</v>
      </c>
      <c r="G84" s="2404"/>
      <c r="H84" s="2404"/>
      <c r="I84" s="2404"/>
      <c r="J84" s="2404"/>
      <c r="K84" s="2404"/>
      <c r="L84" s="2404"/>
      <c r="M84" s="2102">
        <f t="shared" si="45"/>
        <v>0</v>
      </c>
      <c r="N84" s="2102">
        <f t="shared" si="42"/>
        <v>0</v>
      </c>
      <c r="O84" s="2102">
        <f t="shared" si="43"/>
        <v>0</v>
      </c>
      <c r="P84" s="2102"/>
      <c r="Q84" s="2102"/>
      <c r="R84" s="2102"/>
      <c r="S84" s="2400"/>
      <c r="T84" s="2402"/>
      <c r="U84" s="2101"/>
      <c r="V84" s="2101"/>
      <c r="W84" s="2390"/>
      <c r="X84" s="2390"/>
      <c r="Y84" s="2390"/>
      <c r="Z84" s="2390"/>
      <c r="AA84" s="2390"/>
      <c r="AB84" s="2390"/>
      <c r="AC84" s="2390"/>
      <c r="AD84" s="2390"/>
      <c r="AE84" s="2390"/>
      <c r="AF84" s="2390"/>
      <c r="AG84" s="2390"/>
      <c r="AH84" s="1406"/>
      <c r="AI84" s="1406"/>
      <c r="AJ84" s="1406"/>
      <c r="AK84" s="1406"/>
      <c r="AL84" s="1406"/>
      <c r="AM84" s="1406"/>
      <c r="AN84" s="1406"/>
      <c r="AO84" s="1406"/>
      <c r="AP84" s="1406"/>
      <c r="AQ84" s="1406"/>
      <c r="AR84" s="1406"/>
      <c r="AS84" s="1406"/>
      <c r="AT84" s="1406"/>
      <c r="AU84" s="1406"/>
      <c r="AV84" s="1406"/>
      <c r="BH84" s="1968" t="s">
        <v>1507</v>
      </c>
      <c r="BI84" s="1421">
        <v>300</v>
      </c>
      <c r="BJ84" s="1421">
        <v>155</v>
      </c>
      <c r="BK84" s="1421">
        <v>10</v>
      </c>
      <c r="BL84" s="1421">
        <v>15.5</v>
      </c>
      <c r="BM84" s="1421">
        <v>15.5</v>
      </c>
      <c r="BN84" s="1421">
        <v>0</v>
      </c>
      <c r="BO84" s="1421">
        <v>0</v>
      </c>
      <c r="BP84" s="2131">
        <v>30</v>
      </c>
      <c r="BQ84" s="2132">
        <v>0.14000000000000001</v>
      </c>
      <c r="BR84" s="357">
        <v>0</v>
      </c>
    </row>
    <row r="85" spans="1:70" ht="15.75">
      <c r="A85" s="2100"/>
      <c r="B85" s="2101"/>
      <c r="C85" s="2102" t="str">
        <f t="shared" si="39"/>
        <v>keine</v>
      </c>
      <c r="D85" s="2403">
        <f t="shared" si="40"/>
        <v>0</v>
      </c>
      <c r="E85" s="2403">
        <f t="shared" si="44"/>
        <v>0</v>
      </c>
      <c r="F85" s="2404">
        <f t="shared" si="41"/>
        <v>0</v>
      </c>
      <c r="G85" s="2404"/>
      <c r="H85" s="2404"/>
      <c r="I85" s="2404"/>
      <c r="J85" s="2404"/>
      <c r="K85" s="2404"/>
      <c r="L85" s="2404"/>
      <c r="M85" s="2102">
        <f t="shared" si="45"/>
        <v>0</v>
      </c>
      <c r="N85" s="2102">
        <f t="shared" si="42"/>
        <v>0</v>
      </c>
      <c r="O85" s="2102">
        <f t="shared" si="43"/>
        <v>0</v>
      </c>
      <c r="P85" s="2102"/>
      <c r="Q85" s="2102"/>
      <c r="R85" s="2102"/>
      <c r="S85" s="2400"/>
      <c r="T85" s="2402"/>
      <c r="U85" s="2101"/>
      <c r="V85" s="2101"/>
      <c r="W85" s="2390"/>
      <c r="X85" s="2390"/>
      <c r="Y85" s="2390"/>
      <c r="Z85" s="2390"/>
      <c r="AA85" s="2390"/>
      <c r="AB85" s="2390"/>
      <c r="AC85" s="2390"/>
      <c r="AD85" s="2390"/>
      <c r="AE85" s="2390"/>
      <c r="AF85" s="2390"/>
      <c r="AG85" s="2390"/>
      <c r="AH85" s="1406"/>
      <c r="AI85" s="1406"/>
      <c r="AJ85" s="1406"/>
      <c r="AK85" s="1406"/>
      <c r="AL85" s="1406"/>
      <c r="AM85" s="1406"/>
      <c r="AN85" s="1406"/>
      <c r="AO85" s="1406"/>
      <c r="AP85" s="1406"/>
      <c r="AQ85" s="1406"/>
      <c r="AR85" s="1406"/>
      <c r="AS85" s="1406"/>
      <c r="AT85" s="1406"/>
      <c r="AU85" s="1406"/>
      <c r="AV85" s="1406"/>
      <c r="BH85" s="1968" t="s">
        <v>1508</v>
      </c>
      <c r="BI85" s="1421">
        <v>300</v>
      </c>
      <c r="BJ85" s="1421">
        <v>150</v>
      </c>
      <c r="BK85" s="1421">
        <v>10</v>
      </c>
      <c r="BL85" s="1421">
        <v>15</v>
      </c>
      <c r="BM85" s="1421">
        <v>15</v>
      </c>
      <c r="BN85" s="1421">
        <v>0</v>
      </c>
      <c r="BO85" s="1421">
        <v>0</v>
      </c>
      <c r="BP85" s="2131">
        <v>60</v>
      </c>
      <c r="BQ85" s="2134">
        <v>0.17</v>
      </c>
      <c r="BR85" s="357">
        <v>0</v>
      </c>
    </row>
    <row r="86" spans="1:70" ht="15.75">
      <c r="A86" s="2100"/>
      <c r="B86" s="2101"/>
      <c r="C86" s="2102" t="str">
        <f t="shared" si="39"/>
        <v>keine</v>
      </c>
      <c r="D86" s="2403">
        <f t="shared" si="40"/>
        <v>0</v>
      </c>
      <c r="E86" s="2403">
        <f t="shared" si="44"/>
        <v>0</v>
      </c>
      <c r="F86" s="2404">
        <f t="shared" si="41"/>
        <v>0</v>
      </c>
      <c r="G86" s="2404"/>
      <c r="H86" s="2404"/>
      <c r="I86" s="2404"/>
      <c r="J86" s="2404"/>
      <c r="K86" s="2404"/>
      <c r="L86" s="2404"/>
      <c r="M86" s="2102">
        <f t="shared" si="45"/>
        <v>0</v>
      </c>
      <c r="N86" s="2102">
        <f t="shared" si="42"/>
        <v>0</v>
      </c>
      <c r="O86" s="2102">
        <f t="shared" si="43"/>
        <v>0</v>
      </c>
      <c r="P86" s="2102"/>
      <c r="Q86" s="2102"/>
      <c r="R86" s="2102"/>
      <c r="S86" s="2400"/>
      <c r="T86" s="2402"/>
      <c r="U86" s="2101"/>
      <c r="V86" s="2101"/>
      <c r="W86" s="2390"/>
      <c r="X86" s="2390"/>
      <c r="Y86" s="2390"/>
      <c r="Z86" s="2390"/>
      <c r="AA86" s="2390"/>
      <c r="AB86" s="2390"/>
      <c r="AC86" s="2390"/>
      <c r="AD86" s="2390"/>
      <c r="AE86" s="2390"/>
      <c r="AF86" s="2390"/>
      <c r="AG86" s="2390"/>
      <c r="AH86" s="1406"/>
      <c r="AI86" s="1406"/>
      <c r="AJ86" s="1406"/>
      <c r="AK86" s="1406"/>
      <c r="AL86" s="1406"/>
      <c r="AM86" s="1406"/>
      <c r="AN86" s="1406"/>
      <c r="AO86" s="1406"/>
      <c r="AP86" s="1406"/>
      <c r="AQ86" s="1406"/>
      <c r="AR86" s="1406"/>
      <c r="AS86" s="1406"/>
      <c r="AT86" s="1406"/>
      <c r="AU86" s="1406"/>
      <c r="AV86" s="1406"/>
      <c r="BH86" s="1968" t="s">
        <v>1509</v>
      </c>
      <c r="BI86" s="1421">
        <v>150</v>
      </c>
      <c r="BJ86" s="1421">
        <v>120</v>
      </c>
      <c r="BK86" s="1421">
        <v>10</v>
      </c>
      <c r="BL86" s="1421">
        <v>12</v>
      </c>
      <c r="BM86" s="1421">
        <v>12</v>
      </c>
      <c r="BN86" s="1421">
        <v>0</v>
      </c>
      <c r="BO86" s="1421">
        <v>0</v>
      </c>
      <c r="BP86" s="2131">
        <v>30</v>
      </c>
      <c r="BQ86" s="2134">
        <v>0.26</v>
      </c>
      <c r="BR86" s="357">
        <v>0</v>
      </c>
    </row>
    <row r="87" spans="1:70" ht="15.75">
      <c r="A87" s="2100"/>
      <c r="B87" s="2101"/>
      <c r="C87" s="2102" t="str">
        <f t="shared" si="39"/>
        <v>keine</v>
      </c>
      <c r="D87" s="2403">
        <f t="shared" si="40"/>
        <v>0</v>
      </c>
      <c r="E87" s="2403">
        <f t="shared" si="44"/>
        <v>0</v>
      </c>
      <c r="F87" s="2404">
        <f t="shared" si="41"/>
        <v>0</v>
      </c>
      <c r="G87" s="2404"/>
      <c r="H87" s="2404"/>
      <c r="I87" s="2404"/>
      <c r="J87" s="2404"/>
      <c r="K87" s="2404"/>
      <c r="L87" s="2404"/>
      <c r="M87" s="2102">
        <f t="shared" si="45"/>
        <v>0</v>
      </c>
      <c r="N87" s="2102">
        <f t="shared" si="42"/>
        <v>0</v>
      </c>
      <c r="O87" s="2102">
        <f t="shared" si="43"/>
        <v>0</v>
      </c>
      <c r="P87" s="2102"/>
      <c r="Q87" s="2102"/>
      <c r="R87" s="2102"/>
      <c r="S87" s="2400"/>
      <c r="T87" s="2402"/>
      <c r="U87" s="2101"/>
      <c r="V87" s="2101"/>
      <c r="W87" s="2390"/>
      <c r="X87" s="2390"/>
      <c r="Y87" s="2390"/>
      <c r="Z87" s="2390"/>
      <c r="AA87" s="2390"/>
      <c r="AB87" s="2390"/>
      <c r="AC87" s="2390"/>
      <c r="AD87" s="2390"/>
      <c r="AE87" s="2390"/>
      <c r="AF87" s="2390"/>
      <c r="AG87" s="2390"/>
      <c r="AH87" s="1406"/>
      <c r="AI87" s="1406"/>
      <c r="AJ87" s="1406"/>
      <c r="AK87" s="1406"/>
      <c r="AL87" s="1406"/>
      <c r="AM87" s="1406"/>
      <c r="AN87" s="1406"/>
      <c r="AO87" s="1406"/>
      <c r="AP87" s="1406"/>
      <c r="AQ87" s="1406"/>
      <c r="AR87" s="1406"/>
      <c r="AS87" s="1406"/>
      <c r="AT87" s="1406"/>
      <c r="AU87" s="1406"/>
      <c r="AV87" s="1406"/>
      <c r="BH87" s="1968" t="s">
        <v>1510</v>
      </c>
      <c r="BI87" s="1421">
        <v>55</v>
      </c>
      <c r="BJ87" s="1421">
        <v>75</v>
      </c>
      <c r="BK87" s="1421">
        <v>10</v>
      </c>
      <c r="BL87" s="1421">
        <v>4</v>
      </c>
      <c r="BM87" s="1421">
        <v>4</v>
      </c>
      <c r="BN87" s="1421">
        <v>0</v>
      </c>
      <c r="BO87" s="1421">
        <v>0</v>
      </c>
      <c r="BP87" s="2133">
        <v>60</v>
      </c>
      <c r="BQ87" s="2134">
        <v>0.2</v>
      </c>
      <c r="BR87" s="357">
        <v>0</v>
      </c>
    </row>
    <row r="88" spans="1:70" ht="15.75">
      <c r="A88" s="2100"/>
      <c r="B88" s="2101"/>
      <c r="C88" s="2102" t="str">
        <f t="shared" si="39"/>
        <v>keine</v>
      </c>
      <c r="D88" s="2403">
        <f t="shared" si="40"/>
        <v>0</v>
      </c>
      <c r="E88" s="2403">
        <f t="shared" si="44"/>
        <v>0</v>
      </c>
      <c r="F88" s="2404">
        <f t="shared" si="41"/>
        <v>0</v>
      </c>
      <c r="G88" s="2404"/>
      <c r="H88" s="2404"/>
      <c r="I88" s="2404"/>
      <c r="J88" s="2404"/>
      <c r="K88" s="2404"/>
      <c r="L88" s="2404"/>
      <c r="M88" s="2102">
        <f t="shared" si="45"/>
        <v>0</v>
      </c>
      <c r="N88" s="2102">
        <f t="shared" si="42"/>
        <v>0</v>
      </c>
      <c r="O88" s="2102">
        <f t="shared" si="43"/>
        <v>0</v>
      </c>
      <c r="P88" s="2102"/>
      <c r="Q88" s="2102"/>
      <c r="R88" s="2102"/>
      <c r="S88" s="2400"/>
      <c r="T88" s="2402"/>
      <c r="U88" s="2101"/>
      <c r="V88" s="2101"/>
      <c r="W88" s="2390"/>
      <c r="X88" s="2390"/>
      <c r="Y88" s="2390"/>
      <c r="Z88" s="2390"/>
      <c r="AA88" s="2390"/>
      <c r="AB88" s="2390"/>
      <c r="AC88" s="2390"/>
      <c r="AD88" s="2390"/>
      <c r="AE88" s="2390"/>
      <c r="AF88" s="2390"/>
      <c r="AG88" s="2390"/>
      <c r="AH88" s="1406"/>
      <c r="AI88" s="1406"/>
      <c r="AJ88" s="1406"/>
      <c r="AK88" s="1406"/>
      <c r="AL88" s="1406"/>
      <c r="AM88" s="1406"/>
      <c r="AN88" s="1406"/>
      <c r="AO88" s="1406"/>
      <c r="AP88" s="1406"/>
      <c r="AQ88" s="1406"/>
      <c r="AR88" s="1406"/>
      <c r="AS88" s="1406"/>
      <c r="AT88" s="1406"/>
      <c r="AU88" s="1406"/>
      <c r="AV88" s="1406"/>
      <c r="BH88" s="1968" t="s">
        <v>1511</v>
      </c>
      <c r="BI88" s="1421">
        <v>6</v>
      </c>
      <c r="BJ88" s="1421">
        <v>25</v>
      </c>
      <c r="BK88" s="1421">
        <v>10</v>
      </c>
      <c r="BL88" s="1421">
        <v>1</v>
      </c>
      <c r="BM88" s="1421">
        <v>1</v>
      </c>
      <c r="BN88" s="1421">
        <v>0</v>
      </c>
      <c r="BO88" s="1421">
        <v>0</v>
      </c>
      <c r="BP88" s="2133">
        <v>30</v>
      </c>
      <c r="BQ88" s="2134">
        <v>0.24</v>
      </c>
      <c r="BR88" s="357">
        <v>0</v>
      </c>
    </row>
    <row r="89" spans="1:70" ht="15.75">
      <c r="A89" s="2100"/>
      <c r="B89" s="2101"/>
      <c r="C89" s="2102" t="str">
        <f t="shared" si="39"/>
        <v>keine</v>
      </c>
      <c r="D89" s="2403">
        <f t="shared" si="40"/>
        <v>0</v>
      </c>
      <c r="E89" s="2403">
        <f t="shared" si="44"/>
        <v>0</v>
      </c>
      <c r="F89" s="2404">
        <f t="shared" si="41"/>
        <v>0</v>
      </c>
      <c r="G89" s="2404"/>
      <c r="H89" s="2404"/>
      <c r="I89" s="2404"/>
      <c r="J89" s="2404"/>
      <c r="K89" s="2404"/>
      <c r="L89" s="2404"/>
      <c r="M89" s="2102">
        <f t="shared" si="45"/>
        <v>0</v>
      </c>
      <c r="N89" s="2102">
        <f t="shared" si="42"/>
        <v>0</v>
      </c>
      <c r="O89" s="2102">
        <f t="shared" si="43"/>
        <v>0</v>
      </c>
      <c r="P89" s="2102"/>
      <c r="Q89" s="2102"/>
      <c r="R89" s="2102"/>
      <c r="S89" s="2400"/>
      <c r="T89" s="2402"/>
      <c r="U89" s="2101"/>
      <c r="V89" s="2101"/>
      <c r="W89" s="2390"/>
      <c r="X89" s="2390"/>
      <c r="Y89" s="2390"/>
      <c r="Z89" s="2390"/>
      <c r="AA89" s="2390"/>
      <c r="AB89" s="2390"/>
      <c r="AC89" s="2390"/>
      <c r="AD89" s="2390"/>
      <c r="AE89" s="2390"/>
      <c r="AF89" s="2390"/>
      <c r="AG89" s="2390"/>
      <c r="AH89" s="1406"/>
      <c r="AI89" s="1406"/>
      <c r="AJ89" s="1406"/>
      <c r="AK89" s="1406"/>
      <c r="AL89" s="1406"/>
      <c r="AM89" s="1406"/>
      <c r="AN89" s="1406"/>
      <c r="AO89" s="1406"/>
      <c r="AP89" s="1406"/>
      <c r="AQ89" s="1406"/>
      <c r="AR89" s="1406"/>
      <c r="AS89" s="1406"/>
      <c r="AT89" s="1406"/>
      <c r="AU89" s="1406"/>
      <c r="AV89" s="1406"/>
      <c r="BH89" s="1968" t="s">
        <v>1512</v>
      </c>
      <c r="BI89" s="1421">
        <v>210</v>
      </c>
      <c r="BJ89" s="1421">
        <v>165</v>
      </c>
      <c r="BK89" s="1421">
        <v>10</v>
      </c>
      <c r="BL89" s="1421">
        <v>16.5</v>
      </c>
      <c r="BM89" s="1421">
        <v>16.5</v>
      </c>
      <c r="BN89" s="1421">
        <v>0</v>
      </c>
      <c r="BO89" s="1421">
        <v>0</v>
      </c>
      <c r="BP89" s="2131">
        <v>60</v>
      </c>
      <c r="BQ89" s="2132">
        <v>0.21</v>
      </c>
      <c r="BR89" s="357">
        <v>0</v>
      </c>
    </row>
    <row r="90" spans="1:70" ht="15.75">
      <c r="A90" s="2100"/>
      <c r="B90" s="2101"/>
      <c r="C90" s="2102" t="str">
        <f t="shared" ref="C90:C91" si="46">C51</f>
        <v>keine</v>
      </c>
      <c r="D90" s="2403">
        <f t="shared" ref="D90:D91" si="47">B51</f>
        <v>0</v>
      </c>
      <c r="E90" s="2403">
        <f t="shared" si="44"/>
        <v>0</v>
      </c>
      <c r="F90" s="2404">
        <f t="shared" ref="F90:F91" si="48">V51</f>
        <v>0</v>
      </c>
      <c r="G90" s="2404"/>
      <c r="H90" s="2404"/>
      <c r="I90" s="2404"/>
      <c r="J90" s="2404"/>
      <c r="K90" s="2404"/>
      <c r="L90" s="2404"/>
      <c r="M90" s="2102">
        <f t="shared" si="45"/>
        <v>0</v>
      </c>
      <c r="N90" s="2102">
        <f t="shared" si="42"/>
        <v>0</v>
      </c>
      <c r="O90" s="2102">
        <f t="shared" si="43"/>
        <v>0</v>
      </c>
      <c r="P90" s="2102"/>
      <c r="Q90" s="2102"/>
      <c r="R90" s="2102"/>
      <c r="S90" s="2400"/>
      <c r="T90" s="2402"/>
      <c r="U90" s="2101"/>
      <c r="V90" s="2101"/>
      <c r="W90" s="2390"/>
      <c r="X90" s="2390"/>
      <c r="Y90" s="2390"/>
      <c r="Z90" s="2390"/>
      <c r="AA90" s="2390"/>
      <c r="AB90" s="2390"/>
      <c r="AC90" s="2390"/>
      <c r="AD90" s="2390"/>
      <c r="AE90" s="2390"/>
      <c r="AF90" s="2390"/>
      <c r="AG90" s="2390"/>
      <c r="AH90" s="1406"/>
      <c r="AI90" s="1406"/>
      <c r="AJ90" s="1406"/>
      <c r="AK90" s="1406"/>
      <c r="AL90" s="1406"/>
      <c r="AM90" s="1406"/>
      <c r="AN90" s="1406"/>
      <c r="AO90" s="1406"/>
      <c r="AP90" s="1406"/>
      <c r="AQ90" s="1406"/>
      <c r="AR90" s="1406"/>
      <c r="AS90" s="1406"/>
      <c r="AT90" s="1406"/>
      <c r="AU90" s="1406"/>
      <c r="AV90" s="1406"/>
      <c r="BH90" s="1968" t="s">
        <v>1513</v>
      </c>
      <c r="BI90" s="1421">
        <v>115</v>
      </c>
      <c r="BJ90" s="1421">
        <v>110</v>
      </c>
      <c r="BK90" s="1421">
        <v>10</v>
      </c>
      <c r="BL90" s="1421">
        <v>6</v>
      </c>
      <c r="BM90" s="1421">
        <v>6</v>
      </c>
      <c r="BN90" s="1421">
        <v>0</v>
      </c>
      <c r="BO90" s="1421">
        <v>0</v>
      </c>
      <c r="BP90" s="2133">
        <v>60</v>
      </c>
      <c r="BQ90" s="2134">
        <v>0.22</v>
      </c>
      <c r="BR90" s="357">
        <v>0</v>
      </c>
    </row>
    <row r="91" spans="1:70" ht="15.75">
      <c r="A91" s="2100"/>
      <c r="B91" s="2101"/>
      <c r="C91" s="2102" t="str">
        <f t="shared" si="46"/>
        <v>keine</v>
      </c>
      <c r="D91" s="2403">
        <f t="shared" si="47"/>
        <v>0</v>
      </c>
      <c r="E91" s="2403">
        <f t="shared" si="44"/>
        <v>0</v>
      </c>
      <c r="F91" s="2404">
        <f t="shared" si="48"/>
        <v>0</v>
      </c>
      <c r="G91" s="2404"/>
      <c r="H91" s="2404"/>
      <c r="I91" s="2404"/>
      <c r="J91" s="2404"/>
      <c r="K91" s="2404"/>
      <c r="L91" s="2404"/>
      <c r="M91" s="2102">
        <f t="shared" si="45"/>
        <v>0</v>
      </c>
      <c r="N91" s="2102">
        <f t="shared" si="42"/>
        <v>0</v>
      </c>
      <c r="O91" s="2102">
        <f t="shared" si="43"/>
        <v>0</v>
      </c>
      <c r="P91" s="2102"/>
      <c r="Q91" s="2102"/>
      <c r="R91" s="2102"/>
      <c r="S91" s="2400"/>
      <c r="T91" s="2402"/>
      <c r="U91" s="2101"/>
      <c r="V91" s="2101"/>
      <c r="W91" s="2390"/>
      <c r="X91" s="2390"/>
      <c r="Y91" s="2390"/>
      <c r="Z91" s="2390"/>
      <c r="AA91" s="2390"/>
      <c r="AB91" s="2390"/>
      <c r="AC91" s="2390"/>
      <c r="AD91" s="2390"/>
      <c r="AE91" s="2390"/>
      <c r="AF91" s="2390"/>
      <c r="AG91" s="2390"/>
      <c r="AH91" s="1406"/>
      <c r="AI91" s="1406"/>
      <c r="AJ91" s="1406"/>
      <c r="AK91" s="1406"/>
      <c r="AL91" s="1406"/>
      <c r="AM91" s="1406"/>
      <c r="AN91" s="1406"/>
      <c r="AO91" s="1406"/>
      <c r="AP91" s="1406"/>
      <c r="AQ91" s="1406"/>
      <c r="AR91" s="1406"/>
      <c r="AS91" s="1406"/>
      <c r="AT91" s="1406"/>
      <c r="AU91" s="1406"/>
      <c r="AV91" s="1406"/>
      <c r="BH91" s="1968" t="s">
        <v>1514</v>
      </c>
      <c r="BI91" s="1421">
        <v>420</v>
      </c>
      <c r="BJ91" s="1421">
        <v>200</v>
      </c>
      <c r="BK91" s="1421">
        <v>10</v>
      </c>
      <c r="BL91" s="1421">
        <v>20</v>
      </c>
      <c r="BM91" s="1421">
        <v>20</v>
      </c>
      <c r="BN91" s="1421">
        <v>0</v>
      </c>
      <c r="BO91" s="1421">
        <v>0</v>
      </c>
      <c r="BP91" s="2133">
        <v>60</v>
      </c>
      <c r="BQ91" s="2134">
        <v>7.0000000000000007E-2</v>
      </c>
      <c r="BR91" s="357">
        <v>0</v>
      </c>
    </row>
    <row r="92" spans="1:70" ht="15.75">
      <c r="A92" s="2100"/>
      <c r="B92" s="2101"/>
      <c r="C92" s="2102" t="s">
        <v>286</v>
      </c>
      <c r="D92" s="2403">
        <f>SUM(D68:D91)</f>
        <v>0</v>
      </c>
      <c r="E92" s="2403">
        <f>SUM(E68:E91)</f>
        <v>0</v>
      </c>
      <c r="F92" s="2403">
        <f>SUM(F68:F91)</f>
        <v>0</v>
      </c>
      <c r="G92" s="2403"/>
      <c r="H92" s="2403"/>
      <c r="I92" s="2403"/>
      <c r="J92" s="2403"/>
      <c r="K92" s="2403"/>
      <c r="L92" s="2403"/>
      <c r="M92" s="2403">
        <f t="shared" ref="M92" si="49">SUM(M68:M91)</f>
        <v>0</v>
      </c>
      <c r="N92" s="2403">
        <f>SUM(N68:N91)</f>
        <v>0</v>
      </c>
      <c r="O92" s="2403">
        <f>SUM(O68:O91)</f>
        <v>0</v>
      </c>
      <c r="P92" s="2403">
        <f>D92-M92</f>
        <v>0</v>
      </c>
      <c r="Q92" s="2403">
        <f>E92-N92</f>
        <v>0</v>
      </c>
      <c r="R92" s="2403">
        <f>F92-O92</f>
        <v>0</v>
      </c>
      <c r="S92" s="2400"/>
      <c r="T92" s="2402"/>
      <c r="U92" s="2101"/>
      <c r="V92" s="2101"/>
      <c r="W92" s="2390"/>
      <c r="X92" s="2390"/>
      <c r="Y92" s="2390"/>
      <c r="Z92" s="2390"/>
      <c r="AA92" s="2390"/>
      <c r="AB92" s="2390"/>
      <c r="AC92" s="2390"/>
      <c r="AD92" s="2390"/>
      <c r="AE92" s="2390"/>
      <c r="AF92" s="2390"/>
      <c r="AG92" s="2390"/>
      <c r="AH92" s="1406"/>
      <c r="AI92" s="1406"/>
      <c r="AJ92" s="1406"/>
      <c r="AK92" s="1406"/>
      <c r="AL92" s="1406"/>
      <c r="AM92" s="1406"/>
      <c r="AN92" s="1406"/>
      <c r="AO92" s="1406"/>
      <c r="AP92" s="1406"/>
      <c r="AQ92" s="1406"/>
      <c r="AR92" s="1406"/>
      <c r="AS92" s="1406"/>
      <c r="AT92" s="1406"/>
      <c r="AU92" s="1406"/>
      <c r="AV92" s="1406"/>
      <c r="BH92" s="1968" t="s">
        <v>1515</v>
      </c>
      <c r="BI92" s="1421">
        <v>200</v>
      </c>
      <c r="BJ92" s="1421">
        <v>145</v>
      </c>
      <c r="BK92" s="1421">
        <v>10</v>
      </c>
      <c r="BL92" s="1421">
        <v>15</v>
      </c>
      <c r="BM92" s="1421">
        <v>15</v>
      </c>
      <c r="BN92" s="1421">
        <v>0</v>
      </c>
      <c r="BO92" s="1421">
        <v>0</v>
      </c>
      <c r="BP92" s="2131">
        <v>60</v>
      </c>
      <c r="BQ92" s="2132">
        <v>0.2</v>
      </c>
      <c r="BR92" s="357">
        <v>0</v>
      </c>
    </row>
    <row r="93" spans="1:70" ht="15.75">
      <c r="A93" s="2100"/>
      <c r="B93" s="2101"/>
      <c r="C93" s="2102"/>
      <c r="D93" s="2400" t="s">
        <v>1431</v>
      </c>
      <c r="E93" s="2102" t="s">
        <v>1437</v>
      </c>
      <c r="F93" s="2102"/>
      <c r="G93" s="2102"/>
      <c r="H93" s="2102"/>
      <c r="I93" s="2102"/>
      <c r="J93" s="2102"/>
      <c r="K93" s="2102"/>
      <c r="L93" s="2102"/>
      <c r="M93" s="2102"/>
      <c r="N93" s="2102"/>
      <c r="O93" s="2102" t="s">
        <v>8</v>
      </c>
      <c r="P93" s="2102"/>
      <c r="Q93" s="2102"/>
      <c r="R93" s="2102"/>
      <c r="S93" s="2102"/>
      <c r="T93" s="2102" t="s">
        <v>1430</v>
      </c>
      <c r="U93" s="2400"/>
      <c r="V93" s="2402"/>
      <c r="W93" s="2101"/>
      <c r="X93" s="2101"/>
      <c r="Y93" s="2390"/>
      <c r="Z93" s="2390"/>
      <c r="AA93" s="2390"/>
      <c r="AB93" s="2390"/>
      <c r="AC93" s="2390"/>
      <c r="AD93" s="2390"/>
      <c r="AE93" s="2390"/>
      <c r="AF93" s="2390"/>
      <c r="AG93" s="2390"/>
      <c r="AH93" s="1406"/>
      <c r="AI93" s="1406"/>
      <c r="AJ93" s="1406"/>
      <c r="AK93" s="1406"/>
      <c r="AL93" s="1406"/>
      <c r="AM93" s="1406"/>
      <c r="AN93" s="1406"/>
      <c r="AO93" s="1406"/>
      <c r="AP93" s="1406"/>
      <c r="AQ93" s="1406"/>
      <c r="AR93" s="1406"/>
      <c r="AS93" s="1406"/>
      <c r="AT93" s="1406"/>
      <c r="AU93" s="1406"/>
      <c r="AV93" s="1406"/>
      <c r="BH93" s="1968" t="s">
        <v>1516</v>
      </c>
      <c r="BI93" s="1421">
        <v>45</v>
      </c>
      <c r="BJ93" s="1421">
        <v>75</v>
      </c>
      <c r="BK93" s="1421">
        <v>10</v>
      </c>
      <c r="BL93" s="1421">
        <v>4</v>
      </c>
      <c r="BM93" s="1421">
        <v>4</v>
      </c>
      <c r="BN93" s="1421">
        <v>0</v>
      </c>
      <c r="BO93" s="1421">
        <v>0</v>
      </c>
      <c r="BP93" s="2136">
        <v>60</v>
      </c>
      <c r="BQ93" s="2134">
        <v>0.32999999999999996</v>
      </c>
      <c r="BR93" s="357">
        <v>0</v>
      </c>
    </row>
    <row r="94" spans="1:70" ht="15.75">
      <c r="A94" s="2100"/>
      <c r="B94" s="2101"/>
      <c r="C94" s="2101" t="s">
        <v>623</v>
      </c>
      <c r="D94" s="2398" t="s">
        <v>1080</v>
      </c>
      <c r="E94" s="2101" t="s">
        <v>1434</v>
      </c>
      <c r="F94" s="2101" t="s">
        <v>1435</v>
      </c>
      <c r="G94" s="2101"/>
      <c r="H94" s="2101"/>
      <c r="I94" s="2101"/>
      <c r="J94" s="2101"/>
      <c r="K94" s="2101"/>
      <c r="L94" s="2101"/>
      <c r="M94" s="2101" t="s">
        <v>1241</v>
      </c>
      <c r="N94" s="2101" t="s">
        <v>1436</v>
      </c>
      <c r="O94" s="2398" t="s">
        <v>1080</v>
      </c>
      <c r="P94" s="2101" t="s">
        <v>1434</v>
      </c>
      <c r="Q94" s="2101" t="s">
        <v>1435</v>
      </c>
      <c r="R94" s="2101" t="s">
        <v>1241</v>
      </c>
      <c r="S94" s="2101" t="s">
        <v>1436</v>
      </c>
      <c r="T94" s="2398" t="s">
        <v>1080</v>
      </c>
      <c r="U94" s="2101" t="s">
        <v>1434</v>
      </c>
      <c r="V94" s="2101" t="s">
        <v>1435</v>
      </c>
      <c r="W94" s="2101" t="s">
        <v>1241</v>
      </c>
      <c r="X94" s="2101" t="s">
        <v>1436</v>
      </c>
      <c r="Y94" s="2390"/>
      <c r="Z94" s="2390"/>
      <c r="AA94" s="2390"/>
      <c r="AB94" s="2390"/>
      <c r="AC94" s="2390"/>
      <c r="AD94" s="2390"/>
      <c r="AE94" s="2390"/>
      <c r="AF94" s="2390"/>
      <c r="AG94" s="2390"/>
      <c r="AH94" s="1406"/>
      <c r="AI94" s="1406"/>
      <c r="AJ94" s="1406"/>
      <c r="AK94" s="1406"/>
      <c r="AL94" s="1406"/>
      <c r="AM94" s="1406"/>
      <c r="AN94" s="1406"/>
      <c r="AO94" s="1406"/>
      <c r="AP94" s="1406"/>
      <c r="AQ94" s="1406"/>
      <c r="AR94" s="1406"/>
      <c r="AS94" s="1406"/>
      <c r="AT94" s="1406"/>
      <c r="AU94" s="1406"/>
      <c r="AV94" s="1406"/>
      <c r="BH94" s="1968" t="s">
        <v>1517</v>
      </c>
      <c r="BI94" s="1421">
        <v>45</v>
      </c>
      <c r="BJ94" s="1421">
        <v>75</v>
      </c>
      <c r="BK94" s="1421">
        <v>10</v>
      </c>
      <c r="BL94" s="1421">
        <v>4</v>
      </c>
      <c r="BM94" s="1421">
        <v>4</v>
      </c>
      <c r="BN94" s="1421">
        <v>0</v>
      </c>
      <c r="BO94" s="1421">
        <v>0</v>
      </c>
      <c r="BP94" s="2136">
        <v>60</v>
      </c>
      <c r="BQ94" s="2134">
        <v>0.21</v>
      </c>
      <c r="BR94" s="357">
        <v>0</v>
      </c>
    </row>
    <row r="95" spans="1:70" ht="15.75">
      <c r="A95" s="2100"/>
      <c r="B95" s="2101"/>
      <c r="C95" s="2407" t="str">
        <f t="shared" ref="C95:C116" si="50">C8</f>
        <v>keine</v>
      </c>
      <c r="D95" s="2408">
        <f>AV8</f>
        <v>0</v>
      </c>
      <c r="E95" s="2408">
        <f>AW8</f>
        <v>0</v>
      </c>
      <c r="F95" s="2408">
        <f>AX8</f>
        <v>0</v>
      </c>
      <c r="G95" s="2408"/>
      <c r="H95" s="2408"/>
      <c r="I95" s="2408"/>
      <c r="J95" s="2408"/>
      <c r="K95" s="2408"/>
      <c r="L95" s="2408"/>
      <c r="M95" s="2408">
        <f>AY8</f>
        <v>0</v>
      </c>
      <c r="N95" s="2408">
        <f>AZ8</f>
        <v>0</v>
      </c>
      <c r="O95" s="2101">
        <f>IF(OR("Zwischenfrucht ohne Ernte"=C95,"Zwischenfrucht mit Ernte"=C95),D95,0)</f>
        <v>0</v>
      </c>
      <c r="P95" s="2101">
        <f>IF(OR("Zwischenfrucht ohne Ernte"=C95,"Zwischenfrucht mit Ernte"=C95),E95,0)</f>
        <v>0</v>
      </c>
      <c r="Q95" s="2101">
        <f>IF(OR("Zwischenfrucht ohne Ernte"=C95,"Zwischenfrucht mit Ernte"=C95),F95,0)</f>
        <v>0</v>
      </c>
      <c r="R95" s="2101">
        <f>IF(OR("Zwischenfrucht ohne Ernte"=C95,"Zwischenfrucht mit Ernte"=C95),M95,0)</f>
        <v>0</v>
      </c>
      <c r="S95" s="2101">
        <f>IF(OR("Zwischenfrucht ohne Ernte"=C95,"Zwischenfrucht mit Ernte"=C95),N95,0)</f>
        <v>0</v>
      </c>
      <c r="T95" s="2101"/>
      <c r="U95" s="2398"/>
      <c r="V95" s="2402"/>
      <c r="W95" s="2101"/>
      <c r="X95" s="2101"/>
      <c r="Y95" s="2390"/>
      <c r="Z95" s="2390"/>
      <c r="AA95" s="2390"/>
      <c r="AB95" s="2390"/>
      <c r="AC95" s="2390"/>
      <c r="AD95" s="2390"/>
      <c r="AE95" s="2390"/>
      <c r="AF95" s="2390"/>
      <c r="AG95" s="2390"/>
      <c r="AH95" s="1406"/>
      <c r="AI95" s="1406"/>
      <c r="AJ95" s="1406"/>
      <c r="AK95" s="1406"/>
      <c r="AL95" s="1406"/>
      <c r="AM95" s="1406"/>
      <c r="AN95" s="1406"/>
      <c r="AO95" s="1406"/>
      <c r="AP95" s="1406"/>
      <c r="AQ95" s="1406"/>
      <c r="AR95" s="1406"/>
      <c r="AS95" s="1406"/>
      <c r="AT95" s="1406"/>
      <c r="AU95" s="1406"/>
      <c r="AV95" s="1406"/>
      <c r="BH95" s="1968" t="s">
        <v>1518</v>
      </c>
      <c r="BI95" s="1421">
        <v>20</v>
      </c>
      <c r="BJ95" s="1421">
        <v>65</v>
      </c>
      <c r="BK95" s="1421">
        <v>10</v>
      </c>
      <c r="BL95" s="1421">
        <v>3</v>
      </c>
      <c r="BM95" s="1421">
        <v>3</v>
      </c>
      <c r="BN95" s="1421">
        <v>0</v>
      </c>
      <c r="BO95" s="1421">
        <v>0</v>
      </c>
      <c r="BP95" s="2136">
        <v>60</v>
      </c>
      <c r="BQ95" s="2134">
        <v>0.48</v>
      </c>
      <c r="BR95" s="357">
        <v>0</v>
      </c>
    </row>
    <row r="96" spans="1:70" ht="15.75">
      <c r="A96" s="2100"/>
      <c r="B96" s="2101"/>
      <c r="C96" s="2407" t="str">
        <f t="shared" si="50"/>
        <v>keine</v>
      </c>
      <c r="D96" s="2408">
        <f t="shared" ref="D96:D118" si="51">AV9</f>
        <v>0</v>
      </c>
      <c r="E96" s="2408">
        <f t="shared" ref="E96:E118" si="52">AW9</f>
        <v>0</v>
      </c>
      <c r="F96" s="2408">
        <f t="shared" ref="F96:F118" si="53">AX9</f>
        <v>0</v>
      </c>
      <c r="G96" s="2408"/>
      <c r="H96" s="2408"/>
      <c r="I96" s="2408"/>
      <c r="J96" s="2408"/>
      <c r="K96" s="2408"/>
      <c r="L96" s="2408"/>
      <c r="M96" s="2408">
        <f t="shared" ref="M96:M118" si="54">AY9</f>
        <v>0</v>
      </c>
      <c r="N96" s="2408">
        <f t="shared" ref="N96:N118" si="55">AZ9</f>
        <v>0</v>
      </c>
      <c r="O96" s="2101">
        <f t="shared" ref="O96:O118" si="56">IF(OR("Zwischenfrucht ohne Ernte"=C96,"Zwischenfrucht mit Ernte"=C96),D96,0)</f>
        <v>0</v>
      </c>
      <c r="P96" s="2101">
        <f t="shared" ref="P96:P118" si="57">IF(OR("Zwischenfrucht ohne Ernte"=C96,"Zwischenfrucht mit Ernte"=C96),E96,0)</f>
        <v>0</v>
      </c>
      <c r="Q96" s="2101">
        <f t="shared" ref="Q96:Q118" si="58">IF(OR("Zwischenfrucht ohne Ernte"=C96,"Zwischenfrucht mit Ernte"=C96),F96,0)</f>
        <v>0</v>
      </c>
      <c r="R96" s="2101">
        <f t="shared" ref="R96:R118" si="59">IF(OR("Zwischenfrucht ohne Ernte"=C96,"Zwischenfrucht mit Ernte"=C96),M96,0)</f>
        <v>0</v>
      </c>
      <c r="S96" s="2101">
        <f t="shared" ref="S96:S118" si="60">IF(OR("Zwischenfrucht ohne Ernte"=C96,"Zwischenfrucht mit Ernte"=C96),N96,0)</f>
        <v>0</v>
      </c>
      <c r="T96" s="2101"/>
      <c r="U96" s="2398"/>
      <c r="V96" s="2402"/>
      <c r="W96" s="2101"/>
      <c r="X96" s="2101"/>
      <c r="Y96" s="2390"/>
      <c r="Z96" s="2390"/>
      <c r="AA96" s="2390"/>
      <c r="AB96" s="2390"/>
      <c r="AC96" s="2390"/>
      <c r="AD96" s="2390"/>
      <c r="AE96" s="2390"/>
      <c r="AF96" s="2390"/>
      <c r="AG96" s="2390"/>
      <c r="AH96" s="1406"/>
      <c r="AI96" s="1406"/>
      <c r="AJ96" s="1406"/>
      <c r="AK96" s="1406"/>
      <c r="AL96" s="1406"/>
      <c r="AM96" s="1406"/>
      <c r="AN96" s="1406"/>
      <c r="AO96" s="1406"/>
      <c r="AP96" s="1406"/>
      <c r="AQ96" s="1406"/>
      <c r="AR96" s="1406"/>
      <c r="AS96" s="1406"/>
      <c r="AT96" s="1406"/>
      <c r="AU96" s="1406"/>
      <c r="AV96" s="1406"/>
      <c r="BH96" s="1968" t="s">
        <v>1519</v>
      </c>
      <c r="BI96" s="1421">
        <v>20</v>
      </c>
      <c r="BJ96" s="1421">
        <v>65</v>
      </c>
      <c r="BK96" s="1421">
        <v>10</v>
      </c>
      <c r="BL96" s="1421">
        <v>3</v>
      </c>
      <c r="BM96" s="1421">
        <v>3</v>
      </c>
      <c r="BN96" s="1421">
        <v>0</v>
      </c>
      <c r="BO96" s="1421">
        <v>0</v>
      </c>
      <c r="BP96" s="2136">
        <v>60</v>
      </c>
      <c r="BQ96" s="2132">
        <v>0.21</v>
      </c>
      <c r="BR96" s="357">
        <v>0</v>
      </c>
    </row>
    <row r="97" spans="1:70" ht="15.75">
      <c r="A97" s="2100"/>
      <c r="B97" s="2101"/>
      <c r="C97" s="2407" t="str">
        <f t="shared" si="50"/>
        <v>keine</v>
      </c>
      <c r="D97" s="2408">
        <f t="shared" si="51"/>
        <v>0</v>
      </c>
      <c r="E97" s="2408">
        <f t="shared" si="52"/>
        <v>0</v>
      </c>
      <c r="F97" s="2408">
        <f t="shared" si="53"/>
        <v>0</v>
      </c>
      <c r="G97" s="2408"/>
      <c r="H97" s="2408"/>
      <c r="I97" s="2408"/>
      <c r="J97" s="2408"/>
      <c r="K97" s="2408"/>
      <c r="L97" s="2408"/>
      <c r="M97" s="2408">
        <f t="shared" si="54"/>
        <v>0</v>
      </c>
      <c r="N97" s="2408">
        <f t="shared" si="55"/>
        <v>0</v>
      </c>
      <c r="O97" s="2101">
        <f t="shared" si="56"/>
        <v>0</v>
      </c>
      <c r="P97" s="2101">
        <f t="shared" si="57"/>
        <v>0</v>
      </c>
      <c r="Q97" s="2101">
        <f t="shared" si="58"/>
        <v>0</v>
      </c>
      <c r="R97" s="2101">
        <f t="shared" si="59"/>
        <v>0</v>
      </c>
      <c r="S97" s="2101">
        <f t="shared" si="60"/>
        <v>0</v>
      </c>
      <c r="T97" s="2101"/>
      <c r="U97" s="2398"/>
      <c r="V97" s="2402"/>
      <c r="W97" s="2101"/>
      <c r="X97" s="2101"/>
      <c r="Y97" s="2390"/>
      <c r="Z97" s="2390"/>
      <c r="AA97" s="2390"/>
      <c r="AB97" s="2390"/>
      <c r="AC97" s="2390"/>
      <c r="AD97" s="2390"/>
      <c r="AE97" s="2390"/>
      <c r="AF97" s="2390"/>
      <c r="AG97" s="2390"/>
      <c r="AH97" s="1406"/>
      <c r="AI97" s="1406"/>
      <c r="AJ97" s="1406"/>
      <c r="AK97" s="1406"/>
      <c r="AL97" s="1406"/>
      <c r="AM97" s="1406"/>
      <c r="AN97" s="1406"/>
      <c r="AO97" s="1406"/>
      <c r="AP97" s="1406"/>
      <c r="AQ97" s="1406"/>
      <c r="AR97" s="1406"/>
      <c r="AS97" s="1406"/>
      <c r="AT97" s="1406"/>
      <c r="AU97" s="1406"/>
      <c r="AV97" s="1406"/>
      <c r="BH97" s="1968" t="s">
        <v>1520</v>
      </c>
      <c r="BI97" s="1421">
        <v>185</v>
      </c>
      <c r="BJ97" s="1421">
        <v>135</v>
      </c>
      <c r="BK97" s="1421">
        <v>10</v>
      </c>
      <c r="BL97" s="1421">
        <v>13.5</v>
      </c>
      <c r="BM97" s="1421">
        <v>13.5</v>
      </c>
      <c r="BN97" s="1421">
        <v>0</v>
      </c>
      <c r="BO97" s="1421">
        <v>0</v>
      </c>
      <c r="BP97" s="2131">
        <v>30</v>
      </c>
      <c r="BQ97" s="2134">
        <v>0.16</v>
      </c>
      <c r="BR97" s="357">
        <v>0</v>
      </c>
    </row>
    <row r="98" spans="1:70" ht="15.75">
      <c r="A98" s="2100"/>
      <c r="B98" s="2101"/>
      <c r="C98" s="2407" t="str">
        <f t="shared" si="50"/>
        <v>keine</v>
      </c>
      <c r="D98" s="2408">
        <f t="shared" si="51"/>
        <v>0</v>
      </c>
      <c r="E98" s="2408">
        <f t="shared" si="52"/>
        <v>0</v>
      </c>
      <c r="F98" s="2408">
        <f t="shared" si="53"/>
        <v>0</v>
      </c>
      <c r="G98" s="2408"/>
      <c r="H98" s="2408"/>
      <c r="I98" s="2408"/>
      <c r="J98" s="2408"/>
      <c r="K98" s="2408"/>
      <c r="L98" s="2408"/>
      <c r="M98" s="2408">
        <f t="shared" si="54"/>
        <v>0</v>
      </c>
      <c r="N98" s="2408">
        <f t="shared" si="55"/>
        <v>0</v>
      </c>
      <c r="O98" s="2101">
        <f t="shared" si="56"/>
        <v>0</v>
      </c>
      <c r="P98" s="2101">
        <f t="shared" si="57"/>
        <v>0</v>
      </c>
      <c r="Q98" s="2101">
        <f t="shared" si="58"/>
        <v>0</v>
      </c>
      <c r="R98" s="2101">
        <f t="shared" si="59"/>
        <v>0</v>
      </c>
      <c r="S98" s="2101">
        <f t="shared" si="60"/>
        <v>0</v>
      </c>
      <c r="T98" s="2101"/>
      <c r="U98" s="2398"/>
      <c r="V98" s="2402"/>
      <c r="W98" s="2101"/>
      <c r="X98" s="2101"/>
      <c r="Y98" s="2390"/>
      <c r="Z98" s="2390"/>
      <c r="AA98" s="2390"/>
      <c r="AB98" s="2390"/>
      <c r="AC98" s="2390"/>
      <c r="AD98" s="2390"/>
      <c r="AE98" s="2390"/>
      <c r="AF98" s="2390"/>
      <c r="AG98" s="2390"/>
      <c r="AH98" s="1406"/>
      <c r="AI98" s="1406"/>
      <c r="AJ98" s="1406"/>
      <c r="AK98" s="1406"/>
      <c r="AL98" s="1406"/>
      <c r="AM98" s="1406"/>
      <c r="AN98" s="1406"/>
      <c r="AO98" s="1406"/>
      <c r="AP98" s="1406"/>
      <c r="AQ98" s="1406"/>
      <c r="AR98" s="1406"/>
      <c r="AS98" s="1406"/>
      <c r="AT98" s="1406"/>
      <c r="AU98" s="1406"/>
      <c r="AV98" s="1406"/>
      <c r="BH98" s="1968" t="s">
        <v>1521</v>
      </c>
      <c r="BI98" s="1421">
        <v>200</v>
      </c>
      <c r="BJ98" s="1421">
        <v>185</v>
      </c>
      <c r="BK98" s="1421">
        <v>10</v>
      </c>
      <c r="BL98" s="1421">
        <v>18.5</v>
      </c>
      <c r="BM98" s="1421">
        <v>18.5</v>
      </c>
      <c r="BN98" s="1421">
        <v>0</v>
      </c>
      <c r="BO98" s="1421">
        <v>0</v>
      </c>
      <c r="BP98" s="2133">
        <v>60</v>
      </c>
      <c r="BQ98" s="2134">
        <v>0.14000000000000001</v>
      </c>
      <c r="BR98" s="357">
        <v>0</v>
      </c>
    </row>
    <row r="99" spans="1:70" ht="15.75">
      <c r="A99" s="2100"/>
      <c r="B99" s="2101"/>
      <c r="C99" s="2407" t="str">
        <f t="shared" si="50"/>
        <v>keine</v>
      </c>
      <c r="D99" s="2408">
        <f t="shared" si="51"/>
        <v>0</v>
      </c>
      <c r="E99" s="2408">
        <f t="shared" si="52"/>
        <v>0</v>
      </c>
      <c r="F99" s="2408">
        <f t="shared" si="53"/>
        <v>0</v>
      </c>
      <c r="G99" s="2408"/>
      <c r="H99" s="2408"/>
      <c r="I99" s="2408"/>
      <c r="J99" s="2408"/>
      <c r="K99" s="2408"/>
      <c r="L99" s="2408"/>
      <c r="M99" s="2408">
        <f t="shared" si="54"/>
        <v>0</v>
      </c>
      <c r="N99" s="2408">
        <f t="shared" si="55"/>
        <v>0</v>
      </c>
      <c r="O99" s="2101">
        <f t="shared" si="56"/>
        <v>0</v>
      </c>
      <c r="P99" s="2101">
        <f t="shared" si="57"/>
        <v>0</v>
      </c>
      <c r="Q99" s="2101">
        <f t="shared" si="58"/>
        <v>0</v>
      </c>
      <c r="R99" s="2101">
        <f t="shared" si="59"/>
        <v>0</v>
      </c>
      <c r="S99" s="2101">
        <f t="shared" si="60"/>
        <v>0</v>
      </c>
      <c r="T99" s="2101"/>
      <c r="U99" s="2398"/>
      <c r="V99" s="2402"/>
      <c r="W99" s="2101"/>
      <c r="X99" s="2101"/>
      <c r="Y99" s="2390"/>
      <c r="Z99" s="2390"/>
      <c r="AA99" s="2390"/>
      <c r="AB99" s="2390"/>
      <c r="AC99" s="2390"/>
      <c r="AD99" s="2390"/>
      <c r="AE99" s="2390"/>
      <c r="AF99" s="2390"/>
      <c r="AG99" s="2390"/>
      <c r="AH99" s="1406"/>
      <c r="AI99" s="1406"/>
      <c r="AJ99" s="1406"/>
      <c r="AK99" s="1406"/>
      <c r="AL99" s="1406"/>
      <c r="AM99" s="1406"/>
      <c r="AN99" s="1406"/>
      <c r="AO99" s="1406"/>
      <c r="AP99" s="1406"/>
      <c r="AQ99" s="1406"/>
      <c r="AR99" s="1406"/>
      <c r="AS99" s="1406"/>
      <c r="AT99" s="1406"/>
      <c r="AU99" s="1406"/>
      <c r="AV99" s="1406"/>
      <c r="BH99" s="1968" t="s">
        <v>1522</v>
      </c>
      <c r="BI99" s="1421">
        <v>190</v>
      </c>
      <c r="BJ99" s="1421">
        <v>120</v>
      </c>
      <c r="BK99" s="1421">
        <v>10</v>
      </c>
      <c r="BL99" s="1421">
        <v>12</v>
      </c>
      <c r="BM99" s="1421">
        <v>12</v>
      </c>
      <c r="BN99" s="1421">
        <v>0</v>
      </c>
      <c r="BO99" s="1421">
        <v>0</v>
      </c>
      <c r="BP99" s="2131">
        <v>30</v>
      </c>
      <c r="BQ99" s="2132">
        <v>0.1</v>
      </c>
      <c r="BR99" s="357">
        <v>0</v>
      </c>
    </row>
    <row r="100" spans="1:70" ht="15.75">
      <c r="A100" s="2100"/>
      <c r="B100" s="2101"/>
      <c r="C100" s="2407" t="str">
        <f t="shared" si="50"/>
        <v>keine</v>
      </c>
      <c r="D100" s="2408">
        <f t="shared" si="51"/>
        <v>0</v>
      </c>
      <c r="E100" s="2408">
        <f t="shared" si="52"/>
        <v>0</v>
      </c>
      <c r="F100" s="2408">
        <f t="shared" si="53"/>
        <v>0</v>
      </c>
      <c r="G100" s="2408"/>
      <c r="H100" s="2408"/>
      <c r="I100" s="2408"/>
      <c r="J100" s="2408"/>
      <c r="K100" s="2408"/>
      <c r="L100" s="2408"/>
      <c r="M100" s="2408">
        <f t="shared" si="54"/>
        <v>0</v>
      </c>
      <c r="N100" s="2408">
        <f t="shared" si="55"/>
        <v>0</v>
      </c>
      <c r="O100" s="2101">
        <f t="shared" si="56"/>
        <v>0</v>
      </c>
      <c r="P100" s="2101">
        <f t="shared" si="57"/>
        <v>0</v>
      </c>
      <c r="Q100" s="2101">
        <f t="shared" si="58"/>
        <v>0</v>
      </c>
      <c r="R100" s="2101">
        <f t="shared" si="59"/>
        <v>0</v>
      </c>
      <c r="S100" s="2101">
        <f t="shared" si="60"/>
        <v>0</v>
      </c>
      <c r="T100" s="2101"/>
      <c r="U100" s="2398"/>
      <c r="V100" s="2402"/>
      <c r="W100" s="2101"/>
      <c r="X100" s="2101"/>
      <c r="Y100" s="2390"/>
      <c r="Z100" s="2390"/>
      <c r="AA100" s="2390"/>
      <c r="AB100" s="2390"/>
      <c r="AC100" s="2390"/>
      <c r="AD100" s="2390"/>
      <c r="AE100" s="2390"/>
      <c r="AF100" s="2390"/>
      <c r="AG100" s="2390"/>
      <c r="AH100" s="1406"/>
      <c r="AI100" s="1406"/>
      <c r="AJ100" s="1406"/>
      <c r="AK100" s="1406"/>
      <c r="AL100" s="1406"/>
      <c r="AM100" s="1406"/>
      <c r="AN100" s="1406"/>
      <c r="AO100" s="1406"/>
      <c r="AP100" s="1406"/>
      <c r="AQ100" s="1406"/>
      <c r="AR100" s="1406"/>
      <c r="AS100" s="1406"/>
      <c r="AT100" s="1406"/>
      <c r="AU100" s="1406"/>
      <c r="AV100" s="1406"/>
      <c r="BH100" s="1968" t="s">
        <v>1523</v>
      </c>
      <c r="BI100" s="1421">
        <v>80</v>
      </c>
      <c r="BJ100" s="1421">
        <v>85</v>
      </c>
      <c r="BK100" s="1421">
        <v>10</v>
      </c>
      <c r="BL100" s="1421">
        <v>8.5</v>
      </c>
      <c r="BM100" s="1421">
        <v>8.5</v>
      </c>
      <c r="BN100" s="1421">
        <v>0</v>
      </c>
      <c r="BO100" s="1421">
        <v>0</v>
      </c>
      <c r="BP100" s="2131">
        <v>30</v>
      </c>
      <c r="BQ100" s="2134">
        <v>0.28250000000000003</v>
      </c>
      <c r="BR100" s="357">
        <v>0</v>
      </c>
    </row>
    <row r="101" spans="1:70" ht="15.75">
      <c r="A101" s="2100"/>
      <c r="B101" s="2101"/>
      <c r="C101" s="2407" t="str">
        <f t="shared" si="50"/>
        <v>keine</v>
      </c>
      <c r="D101" s="2408">
        <f t="shared" si="51"/>
        <v>0</v>
      </c>
      <c r="E101" s="2408">
        <f t="shared" si="52"/>
        <v>0</v>
      </c>
      <c r="F101" s="2408">
        <f t="shared" si="53"/>
        <v>0</v>
      </c>
      <c r="G101" s="2408"/>
      <c r="H101" s="2408"/>
      <c r="I101" s="2408"/>
      <c r="J101" s="2408"/>
      <c r="K101" s="2408"/>
      <c r="L101" s="2408"/>
      <c r="M101" s="2408">
        <f t="shared" si="54"/>
        <v>0</v>
      </c>
      <c r="N101" s="2408">
        <f t="shared" si="55"/>
        <v>0</v>
      </c>
      <c r="O101" s="2101">
        <f t="shared" si="56"/>
        <v>0</v>
      </c>
      <c r="P101" s="2101">
        <f t="shared" si="57"/>
        <v>0</v>
      </c>
      <c r="Q101" s="2101">
        <f t="shared" si="58"/>
        <v>0</v>
      </c>
      <c r="R101" s="2101">
        <f t="shared" si="59"/>
        <v>0</v>
      </c>
      <c r="S101" s="2101">
        <f t="shared" si="60"/>
        <v>0</v>
      </c>
      <c r="T101" s="2101"/>
      <c r="U101" s="2398"/>
      <c r="V101" s="2402"/>
      <c r="W101" s="2101"/>
      <c r="X101" s="2101"/>
      <c r="Y101" s="2390"/>
      <c r="Z101" s="2390"/>
      <c r="AA101" s="2390"/>
      <c r="AB101" s="2390"/>
      <c r="AC101" s="2390"/>
      <c r="AD101" s="2390"/>
      <c r="AE101" s="2390"/>
      <c r="AF101" s="2390"/>
      <c r="AG101" s="2390"/>
      <c r="AH101" s="1406"/>
      <c r="AI101" s="1406"/>
      <c r="AJ101" s="1406"/>
      <c r="AK101" s="1406"/>
      <c r="AL101" s="1406"/>
      <c r="AM101" s="1406"/>
      <c r="AN101" s="1406"/>
      <c r="AO101" s="1406"/>
      <c r="AP101" s="1406"/>
      <c r="AQ101" s="1406"/>
      <c r="AR101" s="1406"/>
      <c r="AS101" s="1406"/>
      <c r="AT101" s="1406"/>
      <c r="AU101" s="1406"/>
      <c r="AV101" s="1406"/>
      <c r="BH101" s="1968" t="s">
        <v>1524</v>
      </c>
      <c r="BI101" s="1421">
        <v>80</v>
      </c>
      <c r="BJ101" s="1421">
        <v>85</v>
      </c>
      <c r="BK101" s="1421">
        <v>10</v>
      </c>
      <c r="BL101" s="1421">
        <v>8.5</v>
      </c>
      <c r="BM101" s="1421">
        <v>8.5</v>
      </c>
      <c r="BN101" s="1421">
        <v>0</v>
      </c>
      <c r="BO101" s="1421">
        <v>0</v>
      </c>
      <c r="BP101" s="2131">
        <v>30</v>
      </c>
      <c r="BQ101" s="2134">
        <v>0.17</v>
      </c>
      <c r="BR101" s="357">
        <v>0</v>
      </c>
    </row>
    <row r="102" spans="1:70" ht="15.75">
      <c r="A102" s="2100"/>
      <c r="B102" s="2101"/>
      <c r="C102" s="2407" t="str">
        <f t="shared" si="50"/>
        <v>keine</v>
      </c>
      <c r="D102" s="2408">
        <f t="shared" si="51"/>
        <v>0</v>
      </c>
      <c r="E102" s="2408">
        <f t="shared" si="52"/>
        <v>0</v>
      </c>
      <c r="F102" s="2408">
        <f t="shared" si="53"/>
        <v>0</v>
      </c>
      <c r="G102" s="2408"/>
      <c r="H102" s="2408"/>
      <c r="I102" s="2408"/>
      <c r="J102" s="2408"/>
      <c r="K102" s="2408"/>
      <c r="L102" s="2408"/>
      <c r="M102" s="2408">
        <f t="shared" si="54"/>
        <v>0</v>
      </c>
      <c r="N102" s="2408">
        <f t="shared" si="55"/>
        <v>0</v>
      </c>
      <c r="O102" s="2101">
        <f t="shared" si="56"/>
        <v>0</v>
      </c>
      <c r="P102" s="2101">
        <f t="shared" si="57"/>
        <v>0</v>
      </c>
      <c r="Q102" s="2101">
        <f t="shared" si="58"/>
        <v>0</v>
      </c>
      <c r="R102" s="2101">
        <f t="shared" si="59"/>
        <v>0</v>
      </c>
      <c r="S102" s="2101">
        <f t="shared" si="60"/>
        <v>0</v>
      </c>
      <c r="T102" s="2101"/>
      <c r="U102" s="2398"/>
      <c r="V102" s="2402"/>
      <c r="W102" s="2101"/>
      <c r="X102" s="2101"/>
      <c r="Y102" s="2390"/>
      <c r="Z102" s="2390"/>
      <c r="AA102" s="2390"/>
      <c r="AB102" s="2390"/>
      <c r="AC102" s="2390"/>
      <c r="AD102" s="2390"/>
      <c r="AE102" s="2390"/>
      <c r="AF102" s="2390"/>
      <c r="AG102" s="2390"/>
      <c r="AH102" s="1406"/>
      <c r="AI102" s="1406"/>
      <c r="AJ102" s="1406"/>
      <c r="AK102" s="1406"/>
      <c r="AL102" s="1406"/>
      <c r="AM102" s="1406"/>
      <c r="AN102" s="1406"/>
      <c r="AO102" s="1406"/>
      <c r="AP102" s="1406"/>
      <c r="AQ102" s="1406"/>
      <c r="AR102" s="1406"/>
      <c r="AS102" s="1406"/>
      <c r="AT102" s="1406"/>
      <c r="AU102" s="1406"/>
      <c r="AV102" s="1406"/>
      <c r="BH102" s="1968" t="s">
        <v>1525</v>
      </c>
      <c r="BI102" s="1421">
        <v>120</v>
      </c>
      <c r="BJ102" s="1421">
        <v>100</v>
      </c>
      <c r="BK102" s="1421">
        <v>10</v>
      </c>
      <c r="BL102" s="1421">
        <v>5</v>
      </c>
      <c r="BM102" s="1421">
        <v>5</v>
      </c>
      <c r="BN102" s="1421">
        <v>0</v>
      </c>
      <c r="BO102" s="1421">
        <v>0</v>
      </c>
      <c r="BP102" s="2131">
        <v>30</v>
      </c>
      <c r="BQ102" s="2134">
        <v>0.14000000000000001</v>
      </c>
      <c r="BR102" s="357">
        <v>0</v>
      </c>
    </row>
    <row r="103" spans="1:70" ht="15.75">
      <c r="A103" s="2100"/>
      <c r="B103" s="2101"/>
      <c r="C103" s="2407" t="str">
        <f t="shared" si="50"/>
        <v>keine</v>
      </c>
      <c r="D103" s="2408">
        <f t="shared" si="51"/>
        <v>0</v>
      </c>
      <c r="E103" s="2408">
        <f t="shared" si="52"/>
        <v>0</v>
      </c>
      <c r="F103" s="2408">
        <f t="shared" si="53"/>
        <v>0</v>
      </c>
      <c r="G103" s="2408"/>
      <c r="H103" s="2408"/>
      <c r="I103" s="2408"/>
      <c r="J103" s="2408"/>
      <c r="K103" s="2408"/>
      <c r="L103" s="2408"/>
      <c r="M103" s="2408">
        <f t="shared" si="54"/>
        <v>0</v>
      </c>
      <c r="N103" s="2408">
        <f t="shared" si="55"/>
        <v>0</v>
      </c>
      <c r="O103" s="2101">
        <f t="shared" si="56"/>
        <v>0</v>
      </c>
      <c r="P103" s="2101">
        <f t="shared" si="57"/>
        <v>0</v>
      </c>
      <c r="Q103" s="2101">
        <f t="shared" si="58"/>
        <v>0</v>
      </c>
      <c r="R103" s="2101">
        <f t="shared" si="59"/>
        <v>0</v>
      </c>
      <c r="S103" s="2101">
        <f t="shared" si="60"/>
        <v>0</v>
      </c>
      <c r="T103" s="2101"/>
      <c r="U103" s="2398"/>
      <c r="V103" s="2402"/>
      <c r="W103" s="2101"/>
      <c r="X103" s="2101"/>
      <c r="Y103" s="2390"/>
      <c r="Z103" s="2390"/>
      <c r="AA103" s="2390"/>
      <c r="AB103" s="2390"/>
      <c r="AC103" s="2390"/>
      <c r="AD103" s="2390"/>
      <c r="AE103" s="2390"/>
      <c r="AF103" s="2390"/>
      <c r="AG103" s="2390"/>
      <c r="AH103" s="1406"/>
      <c r="AI103" s="1406"/>
      <c r="AJ103" s="1406"/>
      <c r="AK103" s="1406"/>
      <c r="AL103" s="1406"/>
      <c r="AM103" s="1406"/>
      <c r="AN103" s="1406"/>
      <c r="AO103" s="1406"/>
      <c r="AP103" s="1406"/>
      <c r="AQ103" s="1406"/>
      <c r="AR103" s="1406"/>
      <c r="AS103" s="1406"/>
      <c r="AT103" s="1406"/>
      <c r="AU103" s="1406"/>
      <c r="AV103" s="1406"/>
      <c r="BH103" s="1968" t="s">
        <v>1526</v>
      </c>
      <c r="BI103" s="1421">
        <v>20</v>
      </c>
      <c r="BJ103" s="1421">
        <v>80</v>
      </c>
      <c r="BK103" s="1421">
        <v>10</v>
      </c>
      <c r="BL103" s="1421">
        <v>8</v>
      </c>
      <c r="BM103" s="1421">
        <v>8</v>
      </c>
      <c r="BN103" s="1421">
        <v>0</v>
      </c>
      <c r="BO103" s="1421">
        <v>0</v>
      </c>
      <c r="BP103" s="2136">
        <v>60</v>
      </c>
      <c r="BQ103" s="2134">
        <v>2.15</v>
      </c>
      <c r="BR103" s="357">
        <v>0</v>
      </c>
    </row>
    <row r="104" spans="1:70" ht="15.75">
      <c r="A104" s="2100"/>
      <c r="B104" s="2101"/>
      <c r="C104" s="2407" t="str">
        <f t="shared" si="50"/>
        <v>keine</v>
      </c>
      <c r="D104" s="2408">
        <f t="shared" si="51"/>
        <v>0</v>
      </c>
      <c r="E104" s="2408">
        <f t="shared" si="52"/>
        <v>0</v>
      </c>
      <c r="F104" s="2408">
        <f t="shared" si="53"/>
        <v>0</v>
      </c>
      <c r="G104" s="2408"/>
      <c r="H104" s="2408"/>
      <c r="I104" s="2408"/>
      <c r="J104" s="2408"/>
      <c r="K104" s="2408"/>
      <c r="L104" s="2408"/>
      <c r="M104" s="2408">
        <f t="shared" si="54"/>
        <v>0</v>
      </c>
      <c r="N104" s="2408">
        <f t="shared" si="55"/>
        <v>0</v>
      </c>
      <c r="O104" s="2101">
        <f t="shared" si="56"/>
        <v>0</v>
      </c>
      <c r="P104" s="2101">
        <f t="shared" si="57"/>
        <v>0</v>
      </c>
      <c r="Q104" s="2101">
        <f t="shared" si="58"/>
        <v>0</v>
      </c>
      <c r="R104" s="2101">
        <f t="shared" si="59"/>
        <v>0</v>
      </c>
      <c r="S104" s="2101">
        <f t="shared" si="60"/>
        <v>0</v>
      </c>
      <c r="T104" s="2101"/>
      <c r="U104" s="2398"/>
      <c r="V104" s="2402"/>
      <c r="W104" s="2101"/>
      <c r="X104" s="2101"/>
      <c r="Y104" s="2390"/>
      <c r="Z104" s="2390"/>
      <c r="AA104" s="2390"/>
      <c r="AB104" s="2390"/>
      <c r="AC104" s="2390"/>
      <c r="AD104" s="2390"/>
      <c r="AE104" s="2390"/>
      <c r="AF104" s="2390"/>
      <c r="AG104" s="2390"/>
      <c r="AH104" s="1406"/>
      <c r="AI104" s="1406"/>
      <c r="AJ104" s="1406"/>
      <c r="AK104" s="1406"/>
      <c r="AL104" s="1406"/>
      <c r="AM104" s="1406"/>
      <c r="AN104" s="1406"/>
      <c r="AO104" s="1406"/>
      <c r="AP104" s="1406"/>
      <c r="AQ104" s="1406"/>
      <c r="AR104" s="1406"/>
      <c r="AS104" s="1406"/>
      <c r="AT104" s="1406"/>
      <c r="AU104" s="1406"/>
      <c r="AV104" s="1406"/>
      <c r="BH104" s="1968" t="s">
        <v>1527</v>
      </c>
      <c r="BI104" s="1421">
        <v>20</v>
      </c>
      <c r="BJ104" s="1421">
        <v>80</v>
      </c>
      <c r="BK104" s="1421">
        <v>10</v>
      </c>
      <c r="BL104" s="1421">
        <v>8</v>
      </c>
      <c r="BM104" s="1421">
        <v>8</v>
      </c>
      <c r="BN104" s="1421">
        <v>0</v>
      </c>
      <c r="BO104" s="1421">
        <v>0</v>
      </c>
      <c r="BP104" s="2136">
        <v>60</v>
      </c>
      <c r="BQ104" s="2132">
        <v>1.1000000000000001</v>
      </c>
      <c r="BR104" s="357">
        <v>0</v>
      </c>
    </row>
    <row r="105" spans="1:70" ht="15.75">
      <c r="A105" s="2100"/>
      <c r="B105" s="2101"/>
      <c r="C105" s="2407" t="str">
        <f t="shared" si="50"/>
        <v>keine</v>
      </c>
      <c r="D105" s="2408">
        <f t="shared" si="51"/>
        <v>0</v>
      </c>
      <c r="E105" s="2408">
        <f t="shared" si="52"/>
        <v>0</v>
      </c>
      <c r="F105" s="2408">
        <f t="shared" si="53"/>
        <v>0</v>
      </c>
      <c r="G105" s="2408"/>
      <c r="H105" s="2408"/>
      <c r="I105" s="2408"/>
      <c r="J105" s="2408"/>
      <c r="K105" s="2408"/>
      <c r="L105" s="2408"/>
      <c r="M105" s="2408">
        <f t="shared" si="54"/>
        <v>0</v>
      </c>
      <c r="N105" s="2408">
        <f t="shared" si="55"/>
        <v>0</v>
      </c>
      <c r="O105" s="2101">
        <f t="shared" si="56"/>
        <v>0</v>
      </c>
      <c r="P105" s="2101">
        <f t="shared" si="57"/>
        <v>0</v>
      </c>
      <c r="Q105" s="2101">
        <f t="shared" si="58"/>
        <v>0</v>
      </c>
      <c r="R105" s="2101">
        <f t="shared" si="59"/>
        <v>0</v>
      </c>
      <c r="S105" s="2101">
        <f t="shared" si="60"/>
        <v>0</v>
      </c>
      <c r="T105" s="2101"/>
      <c r="U105" s="2398"/>
      <c r="V105" s="2402"/>
      <c r="W105" s="2101"/>
      <c r="X105" s="2101"/>
      <c r="Y105" s="2390"/>
      <c r="Z105" s="2390"/>
      <c r="AA105" s="2390"/>
      <c r="AB105" s="2390"/>
      <c r="AC105" s="2390"/>
      <c r="AD105" s="2390"/>
      <c r="AE105" s="2390"/>
      <c r="AF105" s="2390"/>
      <c r="AG105" s="2390"/>
      <c r="AH105" s="1406"/>
      <c r="AI105" s="1406"/>
      <c r="AJ105" s="1406"/>
      <c r="AK105" s="1406"/>
      <c r="AL105" s="1406"/>
      <c r="AM105" s="1406"/>
      <c r="AN105" s="1406"/>
      <c r="AO105" s="1406"/>
      <c r="AP105" s="1406"/>
      <c r="AQ105" s="1406"/>
      <c r="AR105" s="1406"/>
      <c r="AS105" s="1406"/>
      <c r="AT105" s="1406"/>
      <c r="AU105" s="1406"/>
      <c r="AV105" s="1406"/>
      <c r="BH105" s="1968" t="s">
        <v>1528</v>
      </c>
      <c r="BI105" s="1421">
        <v>200</v>
      </c>
      <c r="BJ105" s="1421">
        <v>115</v>
      </c>
      <c r="BK105" s="1421">
        <v>10</v>
      </c>
      <c r="BL105" s="1421">
        <v>11.5</v>
      </c>
      <c r="BM105" s="1421">
        <v>11.5</v>
      </c>
      <c r="BN105" s="1421">
        <v>0</v>
      </c>
      <c r="BO105" s="1421">
        <v>0</v>
      </c>
      <c r="BP105" s="2131">
        <v>30</v>
      </c>
      <c r="BQ105" s="2132">
        <v>0.1</v>
      </c>
      <c r="BR105" s="357">
        <v>0</v>
      </c>
    </row>
    <row r="106" spans="1:70" ht="15.75">
      <c r="A106" s="2100"/>
      <c r="B106" s="2101"/>
      <c r="C106" s="2407" t="str">
        <f t="shared" si="50"/>
        <v>keine</v>
      </c>
      <c r="D106" s="2408">
        <f t="shared" si="51"/>
        <v>0</v>
      </c>
      <c r="E106" s="2408">
        <f t="shared" si="52"/>
        <v>0</v>
      </c>
      <c r="F106" s="2408">
        <f t="shared" si="53"/>
        <v>0</v>
      </c>
      <c r="G106" s="2408"/>
      <c r="H106" s="2408"/>
      <c r="I106" s="2408"/>
      <c r="J106" s="2408"/>
      <c r="K106" s="2408"/>
      <c r="L106" s="2408"/>
      <c r="M106" s="2408">
        <f t="shared" si="54"/>
        <v>0</v>
      </c>
      <c r="N106" s="2408">
        <f t="shared" si="55"/>
        <v>0</v>
      </c>
      <c r="O106" s="2101">
        <f t="shared" si="56"/>
        <v>0</v>
      </c>
      <c r="P106" s="2101">
        <f t="shared" si="57"/>
        <v>0</v>
      </c>
      <c r="Q106" s="2101">
        <f t="shared" si="58"/>
        <v>0</v>
      </c>
      <c r="R106" s="2101">
        <f t="shared" si="59"/>
        <v>0</v>
      </c>
      <c r="S106" s="2101">
        <f t="shared" si="60"/>
        <v>0</v>
      </c>
      <c r="T106" s="2101"/>
      <c r="U106" s="2398"/>
      <c r="V106" s="2402"/>
      <c r="W106" s="2101"/>
      <c r="X106" s="2101"/>
      <c r="Y106" s="2390"/>
      <c r="Z106" s="2390"/>
      <c r="AA106" s="2390"/>
      <c r="AB106" s="2390"/>
      <c r="AC106" s="2390"/>
      <c r="AD106" s="2390"/>
      <c r="AE106" s="2390"/>
      <c r="AF106" s="2390"/>
      <c r="AG106" s="2390"/>
      <c r="AH106" s="1406"/>
      <c r="AI106" s="1406"/>
      <c r="AJ106" s="1406"/>
      <c r="AK106" s="1406"/>
      <c r="AL106" s="1406"/>
      <c r="AM106" s="1406"/>
      <c r="AN106" s="1406"/>
      <c r="AO106" s="1406"/>
      <c r="AP106" s="1406"/>
      <c r="AQ106" s="1406"/>
      <c r="AR106" s="1406"/>
      <c r="AS106" s="1406"/>
      <c r="AT106" s="1406"/>
      <c r="AU106" s="1406"/>
      <c r="AV106" s="1406"/>
      <c r="BH106" s="1968" t="s">
        <v>1529</v>
      </c>
      <c r="BI106" s="1421">
        <v>70</v>
      </c>
      <c r="BJ106" s="1421">
        <v>160</v>
      </c>
      <c r="BK106" s="1421">
        <v>10</v>
      </c>
      <c r="BL106" s="1421">
        <v>16</v>
      </c>
      <c r="BM106" s="1421">
        <v>16</v>
      </c>
      <c r="BN106" s="1421">
        <v>0</v>
      </c>
      <c r="BO106" s="1421">
        <v>0</v>
      </c>
      <c r="BP106" s="2131">
        <v>30</v>
      </c>
      <c r="BQ106" s="2134">
        <v>0.32</v>
      </c>
      <c r="BR106" s="357">
        <v>0</v>
      </c>
    </row>
    <row r="107" spans="1:70" ht="15.75">
      <c r="A107" s="2100"/>
      <c r="B107" s="2101"/>
      <c r="C107" s="2407" t="str">
        <f t="shared" si="50"/>
        <v>keine</v>
      </c>
      <c r="D107" s="2408">
        <f t="shared" si="51"/>
        <v>0</v>
      </c>
      <c r="E107" s="2408">
        <f t="shared" si="52"/>
        <v>0</v>
      </c>
      <c r="F107" s="2408">
        <f t="shared" si="53"/>
        <v>0</v>
      </c>
      <c r="G107" s="2408"/>
      <c r="H107" s="2408"/>
      <c r="I107" s="2408"/>
      <c r="J107" s="2408"/>
      <c r="K107" s="2408"/>
      <c r="L107" s="2408"/>
      <c r="M107" s="2408">
        <f t="shared" si="54"/>
        <v>0</v>
      </c>
      <c r="N107" s="2408">
        <f t="shared" si="55"/>
        <v>0</v>
      </c>
      <c r="O107" s="2101">
        <f t="shared" si="56"/>
        <v>0</v>
      </c>
      <c r="P107" s="2101">
        <f t="shared" si="57"/>
        <v>0</v>
      </c>
      <c r="Q107" s="2101">
        <f t="shared" si="58"/>
        <v>0</v>
      </c>
      <c r="R107" s="2101">
        <f t="shared" si="59"/>
        <v>0</v>
      </c>
      <c r="S107" s="2101">
        <f t="shared" si="60"/>
        <v>0</v>
      </c>
      <c r="T107" s="2101"/>
      <c r="U107" s="2398"/>
      <c r="V107" s="2402"/>
      <c r="W107" s="2101"/>
      <c r="X107" s="2101"/>
      <c r="Y107" s="2390"/>
      <c r="Z107" s="2390"/>
      <c r="AA107" s="2390"/>
      <c r="AB107" s="2390"/>
      <c r="AC107" s="2390"/>
      <c r="AD107" s="2390"/>
      <c r="AE107" s="2390"/>
      <c r="AF107" s="2390"/>
      <c r="AG107" s="2390"/>
      <c r="AH107" s="1406"/>
      <c r="AI107" s="1406"/>
      <c r="AJ107" s="1406"/>
      <c r="AK107" s="1406"/>
      <c r="AL107" s="1406"/>
      <c r="AM107" s="1406"/>
      <c r="AN107" s="1406"/>
      <c r="AO107" s="1406"/>
      <c r="AP107" s="1406"/>
      <c r="AQ107" s="1406"/>
      <c r="AR107" s="1406"/>
      <c r="AS107" s="1406"/>
      <c r="AT107" s="1406"/>
      <c r="AU107" s="1406"/>
      <c r="AV107" s="1406"/>
      <c r="BH107" s="1968" t="s">
        <v>1530</v>
      </c>
      <c r="BI107" s="1421">
        <v>70</v>
      </c>
      <c r="BJ107" s="1421">
        <v>160</v>
      </c>
      <c r="BK107" s="1421">
        <v>10</v>
      </c>
      <c r="BL107" s="1421">
        <v>16</v>
      </c>
      <c r="BM107" s="1421">
        <v>16</v>
      </c>
      <c r="BN107" s="1421">
        <v>0</v>
      </c>
      <c r="BO107" s="1421">
        <v>0</v>
      </c>
      <c r="BP107" s="2131">
        <v>30</v>
      </c>
      <c r="BQ107" s="2132">
        <v>0.19</v>
      </c>
      <c r="BR107" s="357">
        <v>0</v>
      </c>
    </row>
    <row r="108" spans="1:70" ht="15.75">
      <c r="A108" s="2100"/>
      <c r="B108" s="2101"/>
      <c r="C108" s="2407" t="str">
        <f t="shared" si="50"/>
        <v>keine</v>
      </c>
      <c r="D108" s="2408">
        <f t="shared" si="51"/>
        <v>0</v>
      </c>
      <c r="E108" s="2408">
        <f t="shared" si="52"/>
        <v>0</v>
      </c>
      <c r="F108" s="2408">
        <f t="shared" si="53"/>
        <v>0</v>
      </c>
      <c r="G108" s="2408"/>
      <c r="H108" s="2408"/>
      <c r="I108" s="2408"/>
      <c r="J108" s="2408"/>
      <c r="K108" s="2408"/>
      <c r="L108" s="2408"/>
      <c r="M108" s="2408">
        <f t="shared" si="54"/>
        <v>0</v>
      </c>
      <c r="N108" s="2408">
        <f t="shared" si="55"/>
        <v>0</v>
      </c>
      <c r="O108" s="2101">
        <f t="shared" si="56"/>
        <v>0</v>
      </c>
      <c r="P108" s="2101">
        <f t="shared" si="57"/>
        <v>0</v>
      </c>
      <c r="Q108" s="2101">
        <f t="shared" si="58"/>
        <v>0</v>
      </c>
      <c r="R108" s="2101">
        <f t="shared" si="59"/>
        <v>0</v>
      </c>
      <c r="S108" s="2101">
        <f t="shared" si="60"/>
        <v>0</v>
      </c>
      <c r="T108" s="2101"/>
      <c r="U108" s="2398"/>
      <c r="V108" s="2402"/>
      <c r="W108" s="2101"/>
      <c r="X108" s="2101"/>
      <c r="Y108" s="2390"/>
      <c r="Z108" s="2390"/>
      <c r="AA108" s="2390"/>
      <c r="AB108" s="2390"/>
      <c r="AC108" s="2390"/>
      <c r="AD108" s="2390"/>
      <c r="AE108" s="2390"/>
      <c r="AF108" s="2390"/>
      <c r="AG108" s="2390"/>
      <c r="AH108" s="1406"/>
      <c r="AI108" s="1406"/>
      <c r="AJ108" s="1406"/>
      <c r="AK108" s="1406"/>
      <c r="AL108" s="1406"/>
      <c r="AM108" s="1406"/>
      <c r="AN108" s="1406"/>
      <c r="AO108" s="1406"/>
      <c r="AP108" s="1406"/>
      <c r="AQ108" s="1406"/>
      <c r="AR108" s="1406"/>
      <c r="AS108" s="1406"/>
      <c r="AT108" s="1406"/>
      <c r="AU108" s="1406"/>
      <c r="AV108" s="1406"/>
      <c r="BH108" s="1968" t="s">
        <v>1531</v>
      </c>
      <c r="BI108" s="1421">
        <v>95</v>
      </c>
      <c r="BJ108" s="1421">
        <v>40</v>
      </c>
      <c r="BK108" s="1421">
        <v>9.5</v>
      </c>
      <c r="BL108" s="1421">
        <v>2</v>
      </c>
      <c r="BM108" s="1421">
        <v>2</v>
      </c>
      <c r="BN108" s="1421">
        <v>0</v>
      </c>
      <c r="BO108" s="1421">
        <v>0</v>
      </c>
      <c r="BP108" s="2133">
        <v>30</v>
      </c>
      <c r="BQ108" s="2134">
        <v>0.12</v>
      </c>
      <c r="BR108" s="357">
        <v>0</v>
      </c>
    </row>
    <row r="109" spans="1:70" ht="15.75">
      <c r="A109" s="2100"/>
      <c r="B109" s="2101"/>
      <c r="C109" s="2407" t="str">
        <f t="shared" si="50"/>
        <v>keine</v>
      </c>
      <c r="D109" s="2408">
        <f t="shared" si="51"/>
        <v>0</v>
      </c>
      <c r="E109" s="2408">
        <f t="shared" si="52"/>
        <v>0</v>
      </c>
      <c r="F109" s="2408">
        <f t="shared" si="53"/>
        <v>0</v>
      </c>
      <c r="G109" s="2408"/>
      <c r="H109" s="2408"/>
      <c r="I109" s="2408"/>
      <c r="J109" s="2408"/>
      <c r="K109" s="2408"/>
      <c r="L109" s="2408"/>
      <c r="M109" s="2408">
        <f t="shared" si="54"/>
        <v>0</v>
      </c>
      <c r="N109" s="2408">
        <f t="shared" si="55"/>
        <v>0</v>
      </c>
      <c r="O109" s="2101">
        <f t="shared" si="56"/>
        <v>0</v>
      </c>
      <c r="P109" s="2101">
        <f t="shared" si="57"/>
        <v>0</v>
      </c>
      <c r="Q109" s="2101">
        <f t="shared" si="58"/>
        <v>0</v>
      </c>
      <c r="R109" s="2101">
        <f t="shared" si="59"/>
        <v>0</v>
      </c>
      <c r="S109" s="2101">
        <f t="shared" si="60"/>
        <v>0</v>
      </c>
      <c r="T109" s="2101"/>
      <c r="U109" s="2398"/>
      <c r="V109" s="2402"/>
      <c r="W109" s="2101"/>
      <c r="X109" s="2101"/>
      <c r="Y109" s="2390"/>
      <c r="Z109" s="2390"/>
      <c r="AA109" s="2390"/>
      <c r="AB109" s="2390"/>
      <c r="AC109" s="2390"/>
      <c r="AD109" s="2390"/>
      <c r="AE109" s="2390"/>
      <c r="AF109" s="2390"/>
      <c r="AG109" s="2390"/>
      <c r="AH109" s="1406"/>
      <c r="AI109" s="1406"/>
      <c r="AJ109" s="1406"/>
      <c r="AK109" s="1406"/>
      <c r="AL109" s="1406"/>
      <c r="AM109" s="1406"/>
      <c r="AN109" s="1406"/>
      <c r="AO109" s="1406"/>
      <c r="AP109" s="1406"/>
      <c r="AQ109" s="1406"/>
      <c r="AR109" s="1406"/>
      <c r="AS109" s="1406"/>
      <c r="AT109" s="1406"/>
      <c r="AU109" s="1406"/>
      <c r="AV109" s="1406"/>
      <c r="BH109" s="1968" t="s">
        <v>1532</v>
      </c>
      <c r="BI109" s="1421">
        <v>25</v>
      </c>
      <c r="BJ109" s="1421">
        <v>30</v>
      </c>
      <c r="BK109" s="1421">
        <v>10</v>
      </c>
      <c r="BL109" s="1421">
        <v>2</v>
      </c>
      <c r="BM109" s="1421">
        <v>2</v>
      </c>
      <c r="BN109" s="1421">
        <v>0</v>
      </c>
      <c r="BO109" s="1421">
        <v>0</v>
      </c>
      <c r="BP109" s="2133">
        <v>30</v>
      </c>
      <c r="BQ109" s="2134">
        <v>0.22</v>
      </c>
      <c r="BR109" s="357">
        <v>0</v>
      </c>
    </row>
    <row r="110" spans="1:70" ht="15.75">
      <c r="A110" s="2100"/>
      <c r="B110" s="2101"/>
      <c r="C110" s="2407" t="str">
        <f t="shared" si="50"/>
        <v>keine</v>
      </c>
      <c r="D110" s="2408">
        <f t="shared" si="51"/>
        <v>0</v>
      </c>
      <c r="E110" s="2408">
        <f t="shared" si="52"/>
        <v>0</v>
      </c>
      <c r="F110" s="2408">
        <f t="shared" si="53"/>
        <v>0</v>
      </c>
      <c r="G110" s="2408"/>
      <c r="H110" s="2408"/>
      <c r="I110" s="2408"/>
      <c r="J110" s="2408"/>
      <c r="K110" s="2408"/>
      <c r="L110" s="2408"/>
      <c r="M110" s="2408">
        <f t="shared" si="54"/>
        <v>0</v>
      </c>
      <c r="N110" s="2408">
        <f t="shared" si="55"/>
        <v>0</v>
      </c>
      <c r="O110" s="2101">
        <f t="shared" si="56"/>
        <v>0</v>
      </c>
      <c r="P110" s="2101">
        <f t="shared" si="57"/>
        <v>0</v>
      </c>
      <c r="Q110" s="2101">
        <f t="shared" si="58"/>
        <v>0</v>
      </c>
      <c r="R110" s="2101">
        <f t="shared" si="59"/>
        <v>0</v>
      </c>
      <c r="S110" s="2101">
        <f t="shared" si="60"/>
        <v>0</v>
      </c>
      <c r="T110" s="2101"/>
      <c r="U110" s="2398"/>
      <c r="V110" s="2402"/>
      <c r="W110" s="2101"/>
      <c r="X110" s="2101"/>
      <c r="Y110" s="2388"/>
      <c r="Z110" s="2388"/>
      <c r="AA110" s="2388"/>
      <c r="AB110" s="2388"/>
      <c r="AC110" s="2388"/>
      <c r="AD110" s="2388"/>
      <c r="AE110" s="2388"/>
      <c r="AF110" s="2388"/>
      <c r="AG110" s="2388"/>
      <c r="AH110" s="1403"/>
      <c r="AI110" s="1403"/>
      <c r="AJ110" s="1403"/>
      <c r="AK110" s="1403"/>
      <c r="AL110" s="1403"/>
      <c r="AM110" s="1403"/>
      <c r="AN110" s="1403"/>
      <c r="AO110" s="1403"/>
      <c r="AP110" s="1403"/>
      <c r="AQ110" s="1403"/>
      <c r="AR110" s="1403"/>
      <c r="AS110" s="1403"/>
      <c r="AT110" s="1403"/>
      <c r="AU110" s="1403"/>
      <c r="AV110" s="1403"/>
      <c r="BH110" s="1968" t="s">
        <v>1533</v>
      </c>
      <c r="BI110" s="1421">
        <v>20</v>
      </c>
      <c r="BJ110" s="1421">
        <v>110</v>
      </c>
      <c r="BK110" s="1421">
        <v>10</v>
      </c>
      <c r="BL110" s="1421">
        <v>11</v>
      </c>
      <c r="BM110" s="1421">
        <v>11</v>
      </c>
      <c r="BN110" s="1421">
        <v>0</v>
      </c>
      <c r="BO110" s="1421">
        <v>0</v>
      </c>
      <c r="BP110" s="2136">
        <v>60</v>
      </c>
      <c r="BQ110" s="2134">
        <v>2.7249999999999996</v>
      </c>
      <c r="BR110" s="357">
        <v>0</v>
      </c>
    </row>
    <row r="111" spans="1:70" ht="15.75">
      <c r="A111" s="2100"/>
      <c r="B111" s="2101"/>
      <c r="C111" s="2407" t="str">
        <f t="shared" si="50"/>
        <v>keine</v>
      </c>
      <c r="D111" s="2408">
        <f t="shared" si="51"/>
        <v>0</v>
      </c>
      <c r="E111" s="2408">
        <f t="shared" si="52"/>
        <v>0</v>
      </c>
      <c r="F111" s="2408">
        <f t="shared" si="53"/>
        <v>0</v>
      </c>
      <c r="G111" s="2408"/>
      <c r="H111" s="2408"/>
      <c r="I111" s="2408"/>
      <c r="J111" s="2408"/>
      <c r="K111" s="2408"/>
      <c r="L111" s="2408"/>
      <c r="M111" s="2408">
        <f t="shared" si="54"/>
        <v>0</v>
      </c>
      <c r="N111" s="2408">
        <f t="shared" si="55"/>
        <v>0</v>
      </c>
      <c r="O111" s="2101">
        <f t="shared" si="56"/>
        <v>0</v>
      </c>
      <c r="P111" s="2101">
        <f t="shared" si="57"/>
        <v>0</v>
      </c>
      <c r="Q111" s="2101">
        <f t="shared" si="58"/>
        <v>0</v>
      </c>
      <c r="R111" s="2101">
        <f t="shared" si="59"/>
        <v>0</v>
      </c>
      <c r="S111" s="2101">
        <f t="shared" si="60"/>
        <v>0</v>
      </c>
      <c r="T111" s="2101"/>
      <c r="U111" s="2398"/>
      <c r="V111" s="2402"/>
      <c r="W111" s="2101"/>
      <c r="X111" s="2101"/>
      <c r="Y111" s="2390"/>
      <c r="Z111" s="2390"/>
      <c r="AA111" s="2390"/>
      <c r="AB111" s="2390"/>
      <c r="AC111" s="2390"/>
      <c r="AD111" s="2390"/>
      <c r="AE111" s="2390"/>
      <c r="AF111" s="2390"/>
      <c r="AG111" s="2390"/>
      <c r="AH111" s="1406"/>
      <c r="AI111" s="1406"/>
      <c r="AJ111" s="1406"/>
      <c r="AK111" s="1406"/>
      <c r="AL111" s="1406"/>
      <c r="AM111" s="1406"/>
      <c r="AN111" s="1406"/>
      <c r="AO111" s="1406"/>
      <c r="AP111" s="1406"/>
      <c r="AQ111" s="1406"/>
      <c r="AR111" s="1406"/>
      <c r="AS111" s="1406"/>
      <c r="AT111" s="1406"/>
      <c r="AU111" s="1406"/>
      <c r="AV111" s="1406"/>
      <c r="BH111" s="1968" t="s">
        <v>1534</v>
      </c>
      <c r="BI111" s="1421">
        <v>20</v>
      </c>
      <c r="BJ111" s="1421">
        <v>110</v>
      </c>
      <c r="BK111" s="1421">
        <v>10</v>
      </c>
      <c r="BL111" s="1421">
        <v>11</v>
      </c>
      <c r="BM111" s="1421">
        <v>11</v>
      </c>
      <c r="BN111" s="1421">
        <v>0</v>
      </c>
      <c r="BO111" s="1421">
        <v>0</v>
      </c>
      <c r="BP111" s="2136">
        <v>60</v>
      </c>
      <c r="BQ111" s="2134">
        <v>1.1499999999999999</v>
      </c>
      <c r="BR111" s="357">
        <v>0</v>
      </c>
    </row>
    <row r="112" spans="1:70">
      <c r="A112" s="2100"/>
      <c r="B112" s="2101"/>
      <c r="C112" s="2407" t="str">
        <f t="shared" si="50"/>
        <v>keine</v>
      </c>
      <c r="D112" s="2408">
        <f t="shared" si="51"/>
        <v>0</v>
      </c>
      <c r="E112" s="2408">
        <f t="shared" si="52"/>
        <v>0</v>
      </c>
      <c r="F112" s="2408">
        <f t="shared" si="53"/>
        <v>0</v>
      </c>
      <c r="G112" s="2408"/>
      <c r="H112" s="2408"/>
      <c r="I112" s="2408"/>
      <c r="J112" s="2408"/>
      <c r="K112" s="2408"/>
      <c r="L112" s="2408"/>
      <c r="M112" s="2408">
        <f t="shared" si="54"/>
        <v>0</v>
      </c>
      <c r="N112" s="2408">
        <f t="shared" si="55"/>
        <v>0</v>
      </c>
      <c r="O112" s="2101">
        <f t="shared" si="56"/>
        <v>0</v>
      </c>
      <c r="P112" s="2101">
        <f t="shared" si="57"/>
        <v>0</v>
      </c>
      <c r="Q112" s="2101">
        <f t="shared" si="58"/>
        <v>0</v>
      </c>
      <c r="R112" s="2101">
        <f t="shared" si="59"/>
        <v>0</v>
      </c>
      <c r="S112" s="2101">
        <f t="shared" si="60"/>
        <v>0</v>
      </c>
      <c r="T112" s="2101"/>
      <c r="U112" s="2398"/>
      <c r="V112" s="2402"/>
      <c r="W112" s="2101"/>
      <c r="X112" s="2101"/>
      <c r="Y112" s="2391"/>
      <c r="Z112" s="2391"/>
      <c r="AA112" s="2391"/>
      <c r="AB112" s="2391"/>
      <c r="AC112" s="2391"/>
      <c r="AD112" s="2391"/>
      <c r="AE112" s="2391"/>
      <c r="AF112" s="2391"/>
      <c r="AG112" s="2391"/>
      <c r="AH112" s="1410"/>
      <c r="AI112" s="1410"/>
      <c r="AJ112" s="1410"/>
      <c r="AK112" s="1410"/>
      <c r="AL112" s="1410"/>
      <c r="AM112" s="1410"/>
      <c r="AN112" s="1410"/>
      <c r="AO112" s="1410"/>
      <c r="AP112" s="1410"/>
      <c r="AQ112" s="1410"/>
      <c r="AR112" s="1410"/>
      <c r="AS112" s="1410"/>
      <c r="AT112" s="1410"/>
      <c r="AU112" s="1410"/>
      <c r="AV112" s="1410"/>
      <c r="BH112" s="1968" t="s">
        <v>1535</v>
      </c>
      <c r="BI112" s="1421">
        <v>23</v>
      </c>
      <c r="BJ112" s="1421">
        <v>120</v>
      </c>
      <c r="BK112" s="1421">
        <v>10</v>
      </c>
      <c r="BL112" s="1421">
        <v>12</v>
      </c>
      <c r="BM112" s="1421">
        <v>12</v>
      </c>
      <c r="BN112" s="1421">
        <v>0</v>
      </c>
      <c r="BO112" s="1421">
        <v>0</v>
      </c>
      <c r="BP112" s="2131">
        <v>60</v>
      </c>
      <c r="BQ112" s="2134">
        <v>2.7021739130434779</v>
      </c>
      <c r="BR112" s="357">
        <v>0</v>
      </c>
    </row>
    <row r="113" spans="1:70">
      <c r="A113" s="2100"/>
      <c r="B113" s="2101"/>
      <c r="C113" s="2407" t="str">
        <f t="shared" si="50"/>
        <v>keine</v>
      </c>
      <c r="D113" s="2408">
        <f t="shared" si="51"/>
        <v>0</v>
      </c>
      <c r="E113" s="2408">
        <f t="shared" si="52"/>
        <v>0</v>
      </c>
      <c r="F113" s="2408">
        <f t="shared" si="53"/>
        <v>0</v>
      </c>
      <c r="G113" s="2408"/>
      <c r="H113" s="2408"/>
      <c r="I113" s="2408"/>
      <c r="J113" s="2408"/>
      <c r="K113" s="2408"/>
      <c r="L113" s="2408"/>
      <c r="M113" s="2408">
        <f t="shared" si="54"/>
        <v>0</v>
      </c>
      <c r="N113" s="2408">
        <f t="shared" si="55"/>
        <v>0</v>
      </c>
      <c r="O113" s="2101">
        <f t="shared" si="56"/>
        <v>0</v>
      </c>
      <c r="P113" s="2101">
        <f t="shared" si="57"/>
        <v>0</v>
      </c>
      <c r="Q113" s="2101">
        <f t="shared" si="58"/>
        <v>0</v>
      </c>
      <c r="R113" s="2101">
        <f t="shared" si="59"/>
        <v>0</v>
      </c>
      <c r="S113" s="2101">
        <f t="shared" si="60"/>
        <v>0</v>
      </c>
      <c r="T113" s="2101"/>
      <c r="U113" s="2398"/>
      <c r="V113" s="2402"/>
      <c r="W113" s="2101"/>
      <c r="X113" s="2101"/>
      <c r="Y113" s="2391"/>
      <c r="Z113" s="2391"/>
      <c r="AA113" s="2391"/>
      <c r="AB113" s="2391"/>
      <c r="AC113" s="2391"/>
      <c r="AD113" s="2391"/>
      <c r="AE113" s="2391"/>
      <c r="AF113" s="2391"/>
      <c r="AG113" s="2391"/>
      <c r="AH113" s="1410"/>
      <c r="AI113" s="1410"/>
      <c r="AJ113" s="1410"/>
      <c r="AK113" s="1410"/>
      <c r="AL113" s="1410"/>
      <c r="AM113" s="1410"/>
      <c r="AN113" s="1410"/>
      <c r="AO113" s="1410"/>
      <c r="AP113" s="1410"/>
      <c r="AQ113" s="1410"/>
      <c r="AR113" s="1410"/>
      <c r="AS113" s="1410"/>
      <c r="AT113" s="1410"/>
      <c r="AU113" s="1410"/>
      <c r="AV113" s="1410"/>
      <c r="BH113" s="1968" t="s">
        <v>1536</v>
      </c>
      <c r="BI113" s="1421">
        <v>23</v>
      </c>
      <c r="BJ113" s="1421">
        <v>120</v>
      </c>
      <c r="BK113" s="1421">
        <v>10</v>
      </c>
      <c r="BL113" s="1421">
        <v>12</v>
      </c>
      <c r="BM113" s="1421">
        <v>12</v>
      </c>
      <c r="BN113" s="1421">
        <v>0</v>
      </c>
      <c r="BO113" s="1421">
        <v>0</v>
      </c>
      <c r="BP113" s="2131">
        <v>60</v>
      </c>
      <c r="BQ113" s="2132">
        <v>1.1499999999999999</v>
      </c>
      <c r="BR113" s="357">
        <v>0</v>
      </c>
    </row>
    <row r="114" spans="1:70">
      <c r="A114" s="2100"/>
      <c r="B114" s="2101"/>
      <c r="C114" s="2407" t="str">
        <f t="shared" si="50"/>
        <v>keine</v>
      </c>
      <c r="D114" s="2408">
        <f t="shared" si="51"/>
        <v>0</v>
      </c>
      <c r="E114" s="2408">
        <f t="shared" si="52"/>
        <v>0</v>
      </c>
      <c r="F114" s="2408">
        <f t="shared" si="53"/>
        <v>0</v>
      </c>
      <c r="G114" s="2408"/>
      <c r="H114" s="2408"/>
      <c r="I114" s="2408"/>
      <c r="J114" s="2408"/>
      <c r="K114" s="2408"/>
      <c r="L114" s="2408"/>
      <c r="M114" s="2408">
        <f t="shared" si="54"/>
        <v>0</v>
      </c>
      <c r="N114" s="2408">
        <f t="shared" si="55"/>
        <v>0</v>
      </c>
      <c r="O114" s="2101">
        <f t="shared" si="56"/>
        <v>0</v>
      </c>
      <c r="P114" s="2101">
        <f t="shared" si="57"/>
        <v>0</v>
      </c>
      <c r="Q114" s="2101">
        <f t="shared" si="58"/>
        <v>0</v>
      </c>
      <c r="R114" s="2101">
        <f t="shared" si="59"/>
        <v>0</v>
      </c>
      <c r="S114" s="2101">
        <f t="shared" si="60"/>
        <v>0</v>
      </c>
      <c r="T114" s="2101"/>
      <c r="U114" s="2398"/>
      <c r="V114" s="2402"/>
      <c r="W114" s="2101"/>
      <c r="X114" s="2101"/>
      <c r="Y114" s="2101"/>
      <c r="Z114" s="2101"/>
      <c r="AA114" s="2101"/>
      <c r="AB114" s="2101"/>
      <c r="AC114" s="2101"/>
      <c r="AD114" s="2101"/>
      <c r="AE114" s="2101"/>
      <c r="AF114" s="2101"/>
      <c r="AG114" s="2101"/>
      <c r="BH114" s="1968" t="s">
        <v>1537</v>
      </c>
      <c r="BI114" s="1421">
        <v>0</v>
      </c>
      <c r="BJ114" s="1421">
        <v>20</v>
      </c>
      <c r="BK114" s="1421">
        <v>10</v>
      </c>
      <c r="BL114" s="1421">
        <v>1</v>
      </c>
      <c r="BM114" s="1421">
        <v>1</v>
      </c>
      <c r="BN114" s="1421">
        <v>0</v>
      </c>
      <c r="BO114" s="1421">
        <v>0</v>
      </c>
      <c r="BP114" s="2133">
        <v>60</v>
      </c>
      <c r="BQ114" s="2134">
        <v>1.1499999999999999</v>
      </c>
      <c r="BR114" s="357">
        <v>0</v>
      </c>
    </row>
    <row r="115" spans="1:70" ht="15.75">
      <c r="A115" s="2100"/>
      <c r="B115" s="2101"/>
      <c r="C115" s="2407" t="str">
        <f t="shared" si="50"/>
        <v>keine</v>
      </c>
      <c r="D115" s="2408">
        <f t="shared" si="51"/>
        <v>0</v>
      </c>
      <c r="E115" s="2408">
        <f t="shared" si="52"/>
        <v>0</v>
      </c>
      <c r="F115" s="2408">
        <f t="shared" si="53"/>
        <v>0</v>
      </c>
      <c r="G115" s="2408"/>
      <c r="H115" s="2408"/>
      <c r="I115" s="2408"/>
      <c r="J115" s="2408"/>
      <c r="K115" s="2408"/>
      <c r="L115" s="2408"/>
      <c r="M115" s="2408">
        <f t="shared" si="54"/>
        <v>0</v>
      </c>
      <c r="N115" s="2408">
        <f t="shared" si="55"/>
        <v>0</v>
      </c>
      <c r="O115" s="2101">
        <f t="shared" si="56"/>
        <v>0</v>
      </c>
      <c r="P115" s="2101">
        <f t="shared" si="57"/>
        <v>0</v>
      </c>
      <c r="Q115" s="2101">
        <f t="shared" si="58"/>
        <v>0</v>
      </c>
      <c r="R115" s="2101">
        <f t="shared" si="59"/>
        <v>0</v>
      </c>
      <c r="S115" s="2101">
        <f t="shared" si="60"/>
        <v>0</v>
      </c>
      <c r="T115" s="2101"/>
      <c r="U115" s="2398"/>
      <c r="V115" s="2402"/>
      <c r="W115" s="2101"/>
      <c r="X115" s="2101"/>
      <c r="Y115" s="2392"/>
      <c r="Z115" s="2392"/>
      <c r="AA115" s="2392"/>
      <c r="AB115" s="2392"/>
      <c r="AC115" s="2392"/>
      <c r="AD115" s="2392"/>
      <c r="AE115" s="2392"/>
      <c r="AF115" s="2392"/>
      <c r="AG115" s="2392"/>
      <c r="AH115" s="1413"/>
      <c r="AI115" s="1413"/>
      <c r="AJ115" s="1413"/>
      <c r="AK115" s="1413"/>
      <c r="AL115" s="1413"/>
      <c r="AM115" s="1413"/>
      <c r="AN115" s="1413"/>
      <c r="AO115" s="1413"/>
      <c r="AP115" s="1413"/>
      <c r="AQ115" s="1413"/>
      <c r="AR115" s="1413"/>
      <c r="AS115" s="1413"/>
      <c r="AT115" s="1413"/>
      <c r="AU115" s="1413"/>
      <c r="AV115" s="1413"/>
      <c r="BH115" s="1968" t="s">
        <v>1538</v>
      </c>
      <c r="BI115" s="1421">
        <v>25</v>
      </c>
      <c r="BJ115" s="1421">
        <v>90</v>
      </c>
      <c r="BK115" s="1421">
        <v>10</v>
      </c>
      <c r="BL115" s="1421">
        <v>9</v>
      </c>
      <c r="BM115" s="1421">
        <v>9</v>
      </c>
      <c r="BN115" s="1421">
        <v>0</v>
      </c>
      <c r="BO115" s="1421">
        <v>0</v>
      </c>
      <c r="BP115" s="2136">
        <v>60</v>
      </c>
      <c r="BQ115" s="2132">
        <v>0.13</v>
      </c>
      <c r="BR115" s="357">
        <v>0</v>
      </c>
    </row>
    <row r="116" spans="1:70" ht="15.75">
      <c r="A116" s="2100"/>
      <c r="B116" s="2101"/>
      <c r="C116" s="2407" t="str">
        <f t="shared" si="50"/>
        <v>keine</v>
      </c>
      <c r="D116" s="2408">
        <f t="shared" si="51"/>
        <v>0</v>
      </c>
      <c r="E116" s="2408">
        <f t="shared" si="52"/>
        <v>0</v>
      </c>
      <c r="F116" s="2408">
        <f t="shared" si="53"/>
        <v>0</v>
      </c>
      <c r="G116" s="2408"/>
      <c r="H116" s="2408"/>
      <c r="I116" s="2408"/>
      <c r="J116" s="2408"/>
      <c r="K116" s="2408"/>
      <c r="L116" s="2408"/>
      <c r="M116" s="2408">
        <f t="shared" si="54"/>
        <v>0</v>
      </c>
      <c r="N116" s="2408">
        <f t="shared" si="55"/>
        <v>0</v>
      </c>
      <c r="O116" s="2101">
        <f t="shared" si="56"/>
        <v>0</v>
      </c>
      <c r="P116" s="2101">
        <f t="shared" si="57"/>
        <v>0</v>
      </c>
      <c r="Q116" s="2101">
        <f t="shared" si="58"/>
        <v>0</v>
      </c>
      <c r="R116" s="2101">
        <f t="shared" si="59"/>
        <v>0</v>
      </c>
      <c r="S116" s="2101">
        <f t="shared" si="60"/>
        <v>0</v>
      </c>
      <c r="T116" s="2101"/>
      <c r="U116" s="2398"/>
      <c r="V116" s="2402"/>
      <c r="W116" s="2101"/>
      <c r="X116" s="2101"/>
      <c r="Y116" s="2393"/>
      <c r="Z116" s="2393"/>
      <c r="AA116" s="2393"/>
      <c r="AB116" s="2393"/>
      <c r="AC116" s="2393"/>
      <c r="AD116" s="2393"/>
      <c r="AE116" s="2393"/>
      <c r="AF116" s="2393"/>
      <c r="AG116" s="2393"/>
      <c r="AH116" s="1386"/>
      <c r="AI116" s="1386"/>
      <c r="AJ116" s="1386"/>
      <c r="AK116" s="1386"/>
      <c r="AL116" s="1386"/>
      <c r="AM116" s="1386"/>
      <c r="AN116" s="1386"/>
      <c r="AO116" s="1386"/>
      <c r="AP116" s="1386"/>
      <c r="AQ116" s="1386"/>
      <c r="AR116" s="1386"/>
      <c r="AS116" s="1386"/>
      <c r="AT116" s="1386"/>
      <c r="AU116" s="1386"/>
      <c r="AV116" s="1386"/>
      <c r="BH116" s="1968" t="s">
        <v>1539</v>
      </c>
      <c r="BI116" s="1421">
        <v>550</v>
      </c>
      <c r="BJ116" s="1421">
        <v>245</v>
      </c>
      <c r="BK116" s="1421">
        <v>10</v>
      </c>
      <c r="BL116" s="1421">
        <v>25</v>
      </c>
      <c r="BM116" s="1421">
        <v>25</v>
      </c>
      <c r="BN116" s="1421">
        <v>0</v>
      </c>
      <c r="BO116" s="1421">
        <v>0</v>
      </c>
      <c r="BP116" s="2131">
        <v>60</v>
      </c>
      <c r="BQ116" s="2132">
        <v>0.11</v>
      </c>
      <c r="BR116" s="357">
        <v>0</v>
      </c>
    </row>
    <row r="117" spans="1:70" ht="15.75">
      <c r="A117" s="2100"/>
      <c r="B117" s="2101"/>
      <c r="C117" s="2407" t="str">
        <f t="shared" ref="C117:C118" si="61">C51</f>
        <v>keine</v>
      </c>
      <c r="D117" s="2408">
        <f t="shared" si="51"/>
        <v>0</v>
      </c>
      <c r="E117" s="2408">
        <f t="shared" si="52"/>
        <v>0</v>
      </c>
      <c r="F117" s="2408">
        <f t="shared" si="53"/>
        <v>0</v>
      </c>
      <c r="G117" s="2408"/>
      <c r="H117" s="2408"/>
      <c r="I117" s="2408"/>
      <c r="J117" s="2408"/>
      <c r="K117" s="2408"/>
      <c r="L117" s="2408"/>
      <c r="M117" s="2408">
        <f t="shared" si="54"/>
        <v>0</v>
      </c>
      <c r="N117" s="2408">
        <f t="shared" si="55"/>
        <v>0</v>
      </c>
      <c r="O117" s="2101">
        <f t="shared" si="56"/>
        <v>0</v>
      </c>
      <c r="P117" s="2101">
        <f t="shared" si="57"/>
        <v>0</v>
      </c>
      <c r="Q117" s="2101">
        <f t="shared" si="58"/>
        <v>0</v>
      </c>
      <c r="R117" s="2101">
        <f t="shared" si="59"/>
        <v>0</v>
      </c>
      <c r="S117" s="2101">
        <f t="shared" si="60"/>
        <v>0</v>
      </c>
      <c r="T117" s="2101"/>
      <c r="U117" s="2398"/>
      <c r="V117" s="2402"/>
      <c r="W117" s="2101"/>
      <c r="X117" s="2101"/>
      <c r="Y117" s="2393"/>
      <c r="Z117" s="2393"/>
      <c r="AA117" s="2393"/>
      <c r="AB117" s="2393"/>
      <c r="AC117" s="2393"/>
      <c r="AD117" s="2393"/>
      <c r="AE117" s="2393"/>
      <c r="AF117" s="2393"/>
      <c r="AG117" s="2393"/>
      <c r="AH117" s="1386"/>
      <c r="AI117" s="1386"/>
      <c r="AJ117" s="1386"/>
      <c r="AK117" s="1386"/>
      <c r="AL117" s="1386"/>
      <c r="AM117" s="1386"/>
      <c r="AN117" s="1386"/>
      <c r="AO117" s="1386"/>
      <c r="AP117" s="1386"/>
      <c r="AQ117" s="1386"/>
      <c r="AR117" s="1386"/>
      <c r="AS117" s="1386"/>
      <c r="AT117" s="1386"/>
      <c r="AU117" s="1386"/>
      <c r="AV117" s="1386"/>
      <c r="BH117" s="1968" t="s">
        <v>1540</v>
      </c>
      <c r="BI117" s="1421">
        <v>550</v>
      </c>
      <c r="BJ117" s="1421">
        <v>245</v>
      </c>
      <c r="BK117" s="1421">
        <v>10</v>
      </c>
      <c r="BL117" s="1421">
        <v>25</v>
      </c>
      <c r="BM117" s="1421">
        <v>25</v>
      </c>
      <c r="BN117" s="1421">
        <v>0</v>
      </c>
      <c r="BO117" s="1421">
        <v>0</v>
      </c>
      <c r="BP117" s="2131">
        <v>60</v>
      </c>
      <c r="BQ117" s="2132">
        <v>0.65416666666666667</v>
      </c>
      <c r="BR117" s="357">
        <v>0</v>
      </c>
    </row>
    <row r="118" spans="1:70" ht="15.75">
      <c r="A118" s="2100"/>
      <c r="B118" s="2101"/>
      <c r="C118" s="2407" t="str">
        <f t="shared" si="61"/>
        <v>keine</v>
      </c>
      <c r="D118" s="2408">
        <f t="shared" si="51"/>
        <v>0</v>
      </c>
      <c r="E118" s="2408">
        <f t="shared" si="52"/>
        <v>0</v>
      </c>
      <c r="F118" s="2408">
        <f t="shared" si="53"/>
        <v>0</v>
      </c>
      <c r="G118" s="2408"/>
      <c r="H118" s="2408"/>
      <c r="I118" s="2408"/>
      <c r="J118" s="2408"/>
      <c r="K118" s="2408"/>
      <c r="L118" s="2408"/>
      <c r="M118" s="2408">
        <f t="shared" si="54"/>
        <v>0</v>
      </c>
      <c r="N118" s="2408">
        <f t="shared" si="55"/>
        <v>0</v>
      </c>
      <c r="O118" s="2101">
        <f t="shared" si="56"/>
        <v>0</v>
      </c>
      <c r="P118" s="2101">
        <f t="shared" si="57"/>
        <v>0</v>
      </c>
      <c r="Q118" s="2101">
        <f t="shared" si="58"/>
        <v>0</v>
      </c>
      <c r="R118" s="2101">
        <f t="shared" si="59"/>
        <v>0</v>
      </c>
      <c r="S118" s="2101">
        <f t="shared" si="60"/>
        <v>0</v>
      </c>
      <c r="T118" s="2101"/>
      <c r="U118" s="2398"/>
      <c r="V118" s="2402"/>
      <c r="W118" s="2101"/>
      <c r="X118" s="2101"/>
      <c r="Y118" s="2393"/>
      <c r="Z118" s="2393"/>
      <c r="AA118" s="2393"/>
      <c r="AB118" s="2393"/>
      <c r="AC118" s="2393"/>
      <c r="AD118" s="2393"/>
      <c r="AE118" s="2393"/>
      <c r="AF118" s="2393"/>
      <c r="AG118" s="2393"/>
      <c r="AH118" s="1386"/>
      <c r="AI118" s="1386"/>
      <c r="AJ118" s="1386"/>
      <c r="AK118" s="1386"/>
      <c r="AL118" s="1386"/>
      <c r="AM118" s="1386"/>
      <c r="AN118" s="1386"/>
      <c r="AO118" s="1386"/>
      <c r="AP118" s="1386"/>
      <c r="AQ118" s="1386"/>
      <c r="AR118" s="1386"/>
      <c r="AS118" s="1386"/>
      <c r="AT118" s="1386"/>
      <c r="AU118" s="1386"/>
      <c r="AV118" s="1386"/>
      <c r="BH118" s="1421" t="s">
        <v>1541</v>
      </c>
      <c r="BI118" s="1421">
        <v>120</v>
      </c>
      <c r="BJ118" s="1421">
        <v>245</v>
      </c>
      <c r="BK118" s="1421">
        <v>10</v>
      </c>
      <c r="BL118" s="1421">
        <v>25</v>
      </c>
      <c r="BM118" s="1421">
        <v>25</v>
      </c>
      <c r="BN118" s="1421">
        <v>0</v>
      </c>
      <c r="BO118" s="1421">
        <v>0</v>
      </c>
      <c r="BP118" s="2131">
        <v>60</v>
      </c>
      <c r="BQ118" s="2132">
        <v>0.15</v>
      </c>
      <c r="BR118" s="357">
        <v>0</v>
      </c>
    </row>
    <row r="119" spans="1:70" ht="15.75">
      <c r="A119" s="2100"/>
      <c r="B119" s="2101"/>
      <c r="C119" s="2407" t="s">
        <v>286</v>
      </c>
      <c r="D119" s="2408">
        <f>SUM(D95:D118)</f>
        <v>0</v>
      </c>
      <c r="E119" s="2408">
        <f>SUM(E95:E118)</f>
        <v>0</v>
      </c>
      <c r="F119" s="2408">
        <f>SUM(F95:F118)</f>
        <v>0</v>
      </c>
      <c r="G119" s="2408"/>
      <c r="H119" s="2408"/>
      <c r="I119" s="2408"/>
      <c r="J119" s="2408"/>
      <c r="K119" s="2408"/>
      <c r="L119" s="2408"/>
      <c r="M119" s="2408">
        <f t="shared" ref="M119:S119" si="62">SUM(M95:M118)</f>
        <v>0</v>
      </c>
      <c r="N119" s="2408">
        <f t="shared" si="62"/>
        <v>0</v>
      </c>
      <c r="O119" s="2408">
        <f t="shared" si="62"/>
        <v>0</v>
      </c>
      <c r="P119" s="2408">
        <f t="shared" si="62"/>
        <v>0</v>
      </c>
      <c r="Q119" s="2408">
        <f t="shared" si="62"/>
        <v>0</v>
      </c>
      <c r="R119" s="2408">
        <f t="shared" si="62"/>
        <v>0</v>
      </c>
      <c r="S119" s="2408">
        <f t="shared" si="62"/>
        <v>0</v>
      </c>
      <c r="T119" s="2409">
        <f>D119-O119</f>
        <v>0</v>
      </c>
      <c r="U119" s="2409">
        <f>E119-P119</f>
        <v>0</v>
      </c>
      <c r="V119" s="2409">
        <f>F119-Q119</f>
        <v>0</v>
      </c>
      <c r="W119" s="2409">
        <f t="shared" ref="W119:X119" si="63">M119-R119</f>
        <v>0</v>
      </c>
      <c r="X119" s="2409">
        <f t="shared" si="63"/>
        <v>0</v>
      </c>
      <c r="Y119" s="2394"/>
      <c r="Z119" s="2394"/>
      <c r="AA119" s="2394"/>
      <c r="AB119" s="2394"/>
      <c r="AC119" s="2394"/>
      <c r="AD119" s="2394"/>
      <c r="AE119" s="2394"/>
      <c r="AF119" s="2394"/>
      <c r="AG119" s="2394"/>
      <c r="AH119" s="1414"/>
      <c r="AI119" s="1414"/>
      <c r="AJ119" s="1414"/>
      <c r="AK119" s="1414"/>
      <c r="AL119" s="1414"/>
      <c r="AM119" s="1414"/>
      <c r="AN119" s="1414"/>
      <c r="AO119" s="1414"/>
      <c r="AP119" s="1414"/>
      <c r="AQ119" s="1414"/>
      <c r="AR119" s="1414"/>
      <c r="AS119" s="1414"/>
      <c r="AT119" s="1414"/>
      <c r="AU119" s="1414"/>
      <c r="AV119" s="1414"/>
      <c r="BH119" s="1421" t="s">
        <v>1542</v>
      </c>
      <c r="BI119" s="1421">
        <v>30</v>
      </c>
      <c r="BJ119" s="1421">
        <v>100</v>
      </c>
      <c r="BK119" s="1421">
        <v>10</v>
      </c>
      <c r="BL119" s="1421">
        <v>5</v>
      </c>
      <c r="BM119" s="1421">
        <v>5</v>
      </c>
      <c r="BN119" s="1421">
        <v>0</v>
      </c>
      <c r="BO119" s="1421">
        <v>0</v>
      </c>
      <c r="BP119" s="2135">
        <v>30</v>
      </c>
      <c r="BQ119" s="2132">
        <v>0.21</v>
      </c>
      <c r="BR119" s="357">
        <v>0</v>
      </c>
    </row>
    <row r="120" spans="1:70" ht="15.75">
      <c r="A120" s="2100"/>
      <c r="B120" s="2101"/>
      <c r="C120" s="2407"/>
      <c r="D120" s="2398"/>
      <c r="E120" s="2101"/>
      <c r="F120" s="2101"/>
      <c r="G120" s="2101"/>
      <c r="H120" s="2101"/>
      <c r="I120" s="2101"/>
      <c r="J120" s="2101"/>
      <c r="K120" s="2101"/>
      <c r="L120" s="2101"/>
      <c r="M120" s="2101"/>
      <c r="N120" s="2101"/>
      <c r="O120" s="2101"/>
      <c r="P120" s="2101"/>
      <c r="Q120" s="2101"/>
      <c r="R120" s="2101"/>
      <c r="S120" s="2398"/>
      <c r="T120" s="2402"/>
      <c r="U120" s="2101"/>
      <c r="V120" s="2101"/>
      <c r="W120" s="2389"/>
      <c r="X120" s="2394"/>
      <c r="Y120" s="2394"/>
      <c r="Z120" s="2394"/>
      <c r="AA120" s="2394"/>
      <c r="AB120" s="2394"/>
      <c r="AC120" s="2394"/>
      <c r="AD120" s="2394"/>
      <c r="AE120" s="2394"/>
      <c r="AF120" s="2394"/>
      <c r="AG120" s="2394"/>
      <c r="AH120" s="1414"/>
      <c r="AI120" s="1414"/>
      <c r="AJ120" s="1414"/>
      <c r="AK120" s="1414"/>
      <c r="AL120" s="1414"/>
      <c r="AM120" s="1414"/>
      <c r="AN120" s="1414"/>
      <c r="AO120" s="1414"/>
      <c r="AP120" s="1414"/>
      <c r="AQ120" s="1414"/>
      <c r="AR120" s="1414"/>
      <c r="AS120" s="1414"/>
      <c r="AT120" s="1414"/>
      <c r="AU120" s="1414"/>
      <c r="AV120" s="1414"/>
      <c r="BH120" s="1421" t="s">
        <v>1543</v>
      </c>
      <c r="BI120" s="1421">
        <v>275</v>
      </c>
      <c r="BJ120" s="2137">
        <v>135</v>
      </c>
      <c r="BK120" s="1421">
        <v>10</v>
      </c>
      <c r="BL120" s="1421">
        <v>14</v>
      </c>
      <c r="BM120" s="1421">
        <v>14</v>
      </c>
      <c r="BN120" s="1421">
        <v>0</v>
      </c>
      <c r="BO120" s="1421">
        <v>0</v>
      </c>
      <c r="BP120" s="2136">
        <v>60</v>
      </c>
      <c r="BQ120" s="2132">
        <v>0.11</v>
      </c>
      <c r="BR120" s="357">
        <v>0</v>
      </c>
    </row>
    <row r="121" spans="1:70" ht="15.75">
      <c r="A121" s="2100"/>
      <c r="B121" s="2220"/>
      <c r="C121" s="2396"/>
      <c r="D121" s="2100"/>
      <c r="E121" s="1357"/>
      <c r="F121" s="1357"/>
      <c r="G121" s="1357"/>
      <c r="H121" s="1357"/>
      <c r="I121" s="1357"/>
      <c r="J121" s="1357"/>
      <c r="K121" s="1357"/>
      <c r="L121" s="1357"/>
      <c r="M121" s="1357"/>
      <c r="N121" s="1357"/>
      <c r="O121" s="1357"/>
      <c r="P121" s="1357"/>
      <c r="Q121" s="1357"/>
      <c r="R121" s="1357"/>
      <c r="S121" s="2100"/>
      <c r="T121" s="2395"/>
      <c r="U121" s="1357"/>
      <c r="V121" s="1357"/>
      <c r="W121" s="2303"/>
      <c r="X121" s="2397"/>
      <c r="Y121" s="2394"/>
      <c r="Z121" s="2394"/>
      <c r="AA121" s="2394"/>
      <c r="AB121" s="2394"/>
      <c r="AC121" s="2394"/>
      <c r="AD121" s="2394"/>
      <c r="AE121" s="2394"/>
      <c r="AF121" s="2394"/>
      <c r="AG121" s="2394"/>
      <c r="AH121" s="1414"/>
      <c r="AI121" s="1414"/>
      <c r="AJ121" s="1414"/>
      <c r="AK121" s="1414"/>
      <c r="AL121" s="1414"/>
      <c r="AM121" s="1414"/>
      <c r="AN121" s="1414"/>
      <c r="AO121" s="1414"/>
      <c r="AP121" s="1414"/>
      <c r="AQ121" s="1414"/>
      <c r="AR121" s="1414"/>
      <c r="AS121" s="1414"/>
      <c r="AT121" s="1414"/>
      <c r="AU121" s="1414"/>
      <c r="AV121" s="1414"/>
      <c r="BH121" s="1421" t="s">
        <v>1544</v>
      </c>
      <c r="BI121" s="1421">
        <v>100</v>
      </c>
      <c r="BJ121" s="2137">
        <v>70</v>
      </c>
      <c r="BK121" s="1421">
        <v>10</v>
      </c>
      <c r="BL121" s="1421">
        <v>7</v>
      </c>
      <c r="BM121" s="1421">
        <v>7</v>
      </c>
      <c r="BN121" s="1421">
        <v>0</v>
      </c>
      <c r="BO121" s="1421">
        <v>0</v>
      </c>
      <c r="BP121" s="2131">
        <v>60</v>
      </c>
      <c r="BQ121" s="2132">
        <v>0.2</v>
      </c>
      <c r="BR121" s="357">
        <v>0</v>
      </c>
    </row>
    <row r="122" spans="1:70" ht="15.75">
      <c r="A122" s="2100"/>
      <c r="B122" s="2220"/>
      <c r="C122" s="2396"/>
      <c r="D122" s="2100"/>
      <c r="E122" s="1357"/>
      <c r="F122" s="1357"/>
      <c r="G122" s="1357"/>
      <c r="H122" s="1357"/>
      <c r="I122" s="1357"/>
      <c r="J122" s="1357"/>
      <c r="K122" s="1357"/>
      <c r="L122" s="1357"/>
      <c r="M122" s="1357"/>
      <c r="N122" s="1357"/>
      <c r="O122" s="1357"/>
      <c r="P122" s="1357"/>
      <c r="Q122" s="1357"/>
      <c r="R122" s="1357"/>
      <c r="S122" s="2100"/>
      <c r="T122" s="2395"/>
      <c r="U122" s="1357"/>
      <c r="V122" s="1357"/>
      <c r="W122" s="2304"/>
      <c r="X122" s="2305"/>
      <c r="Y122" s="2393"/>
      <c r="Z122" s="2393"/>
      <c r="AA122" s="2393"/>
      <c r="AB122" s="2393"/>
      <c r="AC122" s="2393"/>
      <c r="AD122" s="2393"/>
      <c r="AE122" s="2393"/>
      <c r="AF122" s="2393"/>
      <c r="AG122" s="2393"/>
      <c r="AH122" s="1386"/>
      <c r="AI122" s="1386"/>
      <c r="AJ122" s="1386"/>
      <c r="AK122" s="1386"/>
      <c r="AL122" s="1386"/>
      <c r="AM122" s="1386"/>
      <c r="AN122" s="1386"/>
      <c r="AO122" s="1386"/>
      <c r="AP122" s="1386"/>
      <c r="AQ122" s="1386"/>
      <c r="AR122" s="1386"/>
      <c r="AS122" s="1386"/>
      <c r="AT122" s="1386"/>
      <c r="AU122" s="1386"/>
      <c r="AV122" s="1386"/>
      <c r="BH122" s="1421" t="s">
        <v>1545</v>
      </c>
      <c r="BI122" s="1421">
        <v>200</v>
      </c>
      <c r="BJ122" s="2137">
        <v>135</v>
      </c>
      <c r="BK122" s="1421">
        <v>10</v>
      </c>
      <c r="BL122" s="1421">
        <v>14</v>
      </c>
      <c r="BM122" s="1421">
        <v>14</v>
      </c>
      <c r="BN122" s="1421">
        <v>0</v>
      </c>
      <c r="BO122" s="1421">
        <v>0</v>
      </c>
      <c r="BP122" s="2131">
        <v>30</v>
      </c>
      <c r="BQ122" s="2132">
        <v>0.14000000000000001</v>
      </c>
      <c r="BR122" s="357">
        <v>0</v>
      </c>
    </row>
    <row r="123" spans="1:70" ht="15.75">
      <c r="A123" s="2100"/>
      <c r="B123" s="2220"/>
      <c r="C123" s="2396"/>
      <c r="D123" s="2100"/>
      <c r="E123" s="1357"/>
      <c r="F123" s="1357"/>
      <c r="G123" s="1357"/>
      <c r="H123" s="1357"/>
      <c r="I123" s="1357"/>
      <c r="J123" s="1357"/>
      <c r="K123" s="1357"/>
      <c r="L123" s="1357"/>
      <c r="M123" s="1357"/>
      <c r="N123" s="1357"/>
      <c r="O123" s="1357"/>
      <c r="P123" s="1357"/>
      <c r="Q123" s="1357"/>
      <c r="R123" s="1357"/>
      <c r="S123" s="2100"/>
      <c r="T123" s="2395"/>
      <c r="U123" s="1357"/>
      <c r="V123" s="1357"/>
      <c r="W123" s="2303"/>
      <c r="X123" s="2397"/>
      <c r="Y123" s="2394"/>
      <c r="Z123" s="2394"/>
      <c r="AA123" s="2394"/>
      <c r="AB123" s="2394"/>
      <c r="AC123" s="2394"/>
      <c r="AD123" s="2394"/>
      <c r="AE123" s="2394"/>
      <c r="AF123" s="2394"/>
      <c r="AG123" s="2394"/>
      <c r="AH123" s="1414"/>
      <c r="AI123" s="1414"/>
      <c r="AJ123" s="1414"/>
      <c r="AK123" s="1414"/>
      <c r="AL123" s="1414"/>
      <c r="AM123" s="1414"/>
      <c r="AN123" s="1414"/>
      <c r="AO123" s="1414"/>
      <c r="AP123" s="1414"/>
      <c r="AQ123" s="1414"/>
      <c r="AR123" s="1414"/>
      <c r="AS123" s="1414"/>
      <c r="AT123" s="1414"/>
      <c r="AU123" s="1414"/>
      <c r="AV123" s="1414"/>
      <c r="BH123" s="1421" t="s">
        <v>1546</v>
      </c>
      <c r="BI123" s="1421">
        <v>500</v>
      </c>
      <c r="BJ123" s="1967">
        <v>215</v>
      </c>
      <c r="BK123" s="1421">
        <v>10</v>
      </c>
      <c r="BL123" s="1421">
        <v>21.5</v>
      </c>
      <c r="BM123" s="1421">
        <v>21.5</v>
      </c>
      <c r="BN123" s="1421">
        <v>0</v>
      </c>
      <c r="BO123" s="1421">
        <v>0</v>
      </c>
      <c r="BP123" s="2131">
        <v>60</v>
      </c>
      <c r="BQ123" s="2132">
        <v>0.16</v>
      </c>
      <c r="BR123" s="357">
        <v>0</v>
      </c>
    </row>
    <row r="124" spans="1:70" ht="15.75">
      <c r="A124" s="2100"/>
      <c r="B124" s="2220"/>
      <c r="C124" s="2396"/>
      <c r="D124" s="2100"/>
      <c r="E124" s="1357"/>
      <c r="F124" s="1357"/>
      <c r="G124" s="1357"/>
      <c r="H124" s="1357"/>
      <c r="I124" s="1357"/>
      <c r="J124" s="1357"/>
      <c r="K124" s="1357"/>
      <c r="L124" s="1357"/>
      <c r="M124" s="1357"/>
      <c r="N124" s="1357"/>
      <c r="O124" s="1357"/>
      <c r="P124" s="1357"/>
      <c r="Q124" s="1357"/>
      <c r="R124" s="1357"/>
      <c r="S124" s="2100"/>
      <c r="T124" s="2395"/>
      <c r="U124" s="1357"/>
      <c r="V124" s="1357"/>
      <c r="W124" s="2303"/>
      <c r="X124" s="2397"/>
      <c r="Y124" s="2394"/>
      <c r="Z124" s="2394"/>
      <c r="AA124" s="2394"/>
      <c r="AB124" s="2394"/>
      <c r="AC124" s="2394"/>
      <c r="AD124" s="2394"/>
      <c r="AE124" s="2394"/>
      <c r="AF124" s="2394"/>
      <c r="AG124" s="2394"/>
      <c r="AH124" s="1414"/>
      <c r="AI124" s="1414"/>
      <c r="AJ124" s="1414"/>
      <c r="AK124" s="1414"/>
      <c r="AL124" s="1414"/>
      <c r="AM124" s="1414"/>
      <c r="AN124" s="1414"/>
      <c r="AO124" s="1414"/>
      <c r="AP124" s="1414"/>
      <c r="AQ124" s="1414"/>
      <c r="AR124" s="1414"/>
      <c r="AS124" s="1414"/>
      <c r="AT124" s="1414"/>
      <c r="AU124" s="1414"/>
      <c r="AV124" s="1414"/>
      <c r="BH124" s="1421" t="s">
        <v>1547</v>
      </c>
      <c r="BI124" s="1421">
        <v>100</v>
      </c>
      <c r="BJ124" s="1967">
        <v>235</v>
      </c>
      <c r="BK124" s="1421">
        <v>10</v>
      </c>
      <c r="BL124" s="1421">
        <v>23.5</v>
      </c>
      <c r="BM124" s="1421">
        <v>23.5</v>
      </c>
      <c r="BN124" s="1421">
        <v>0</v>
      </c>
      <c r="BO124" s="1421">
        <v>0</v>
      </c>
      <c r="BP124" s="2131">
        <v>60</v>
      </c>
      <c r="BQ124" s="2132">
        <v>0.88</v>
      </c>
      <c r="BR124" s="357">
        <v>0</v>
      </c>
    </row>
    <row r="125" spans="1:70" ht="15.75">
      <c r="A125" s="2100"/>
      <c r="B125" s="2220"/>
      <c r="C125" s="1357"/>
      <c r="D125" s="2100"/>
      <c r="E125" s="1357"/>
      <c r="F125" s="1357"/>
      <c r="G125" s="1357"/>
      <c r="H125" s="1357"/>
      <c r="I125" s="1357"/>
      <c r="J125" s="1357"/>
      <c r="K125" s="1357"/>
      <c r="L125" s="1357"/>
      <c r="M125" s="1357"/>
      <c r="N125" s="1357"/>
      <c r="O125" s="1357"/>
      <c r="P125" s="1357"/>
      <c r="Q125" s="1357"/>
      <c r="R125" s="1357"/>
      <c r="S125" s="2100"/>
      <c r="T125" s="2395"/>
      <c r="U125" s="1357"/>
      <c r="V125" s="1357"/>
      <c r="W125" s="2303"/>
      <c r="X125" s="2397"/>
      <c r="Y125" s="2394"/>
      <c r="Z125" s="2394"/>
      <c r="AA125" s="2394"/>
      <c r="AB125" s="2394"/>
      <c r="AC125" s="2394"/>
      <c r="AD125" s="2394"/>
      <c r="AE125" s="2394"/>
      <c r="AF125" s="2394"/>
      <c r="AG125" s="2394"/>
      <c r="AH125" s="1414"/>
      <c r="AI125" s="1414"/>
      <c r="AJ125" s="1414"/>
      <c r="AK125" s="1414"/>
      <c r="AL125" s="1414"/>
      <c r="AM125" s="1414"/>
      <c r="AN125" s="1414"/>
      <c r="AO125" s="1414"/>
      <c r="AP125" s="1414"/>
      <c r="AQ125" s="1414"/>
      <c r="AR125" s="1414"/>
      <c r="AS125" s="1414"/>
      <c r="AT125" s="1414"/>
      <c r="AU125" s="1414"/>
      <c r="AV125" s="1414"/>
      <c r="BH125" s="1421" t="s">
        <v>1548</v>
      </c>
      <c r="BI125" s="1421">
        <v>100</v>
      </c>
      <c r="BJ125" s="1967">
        <v>235</v>
      </c>
      <c r="BK125" s="1421">
        <v>10</v>
      </c>
      <c r="BL125" s="1421">
        <v>23.5</v>
      </c>
      <c r="BM125" s="1421">
        <v>23.5</v>
      </c>
      <c r="BN125" s="1421">
        <v>0</v>
      </c>
      <c r="BO125" s="1421">
        <v>0</v>
      </c>
      <c r="BP125" s="2131">
        <v>60</v>
      </c>
      <c r="BQ125" s="2132">
        <v>0.16</v>
      </c>
      <c r="BR125" s="357">
        <v>0</v>
      </c>
    </row>
    <row r="126" spans="1:70" ht="15.75">
      <c r="A126" s="2100"/>
      <c r="B126" s="1357"/>
      <c r="C126" s="1357"/>
      <c r="D126" s="2100"/>
      <c r="E126" s="1357"/>
      <c r="F126" s="1357"/>
      <c r="G126" s="1357"/>
      <c r="H126" s="1357"/>
      <c r="I126" s="1357"/>
      <c r="J126" s="1357"/>
      <c r="K126" s="1357"/>
      <c r="L126" s="1357"/>
      <c r="M126" s="1357"/>
      <c r="N126" s="1357"/>
      <c r="O126" s="1357"/>
      <c r="P126" s="1357"/>
      <c r="Q126" s="1357"/>
      <c r="R126" s="1357"/>
      <c r="S126" s="2100"/>
      <c r="T126" s="2395"/>
      <c r="U126" s="1357"/>
      <c r="V126" s="1357"/>
      <c r="W126" s="2303"/>
      <c r="X126" s="2397"/>
      <c r="Y126" s="2394"/>
      <c r="Z126" s="2394"/>
      <c r="AA126" s="2394"/>
      <c r="AB126" s="2394"/>
      <c r="AC126" s="2394"/>
      <c r="AD126" s="2394"/>
      <c r="AE126" s="2394"/>
      <c r="AF126" s="2394"/>
      <c r="AG126" s="2394"/>
      <c r="AH126" s="1414"/>
      <c r="AI126" s="1414"/>
      <c r="AJ126" s="1414"/>
      <c r="AK126" s="1414"/>
      <c r="AL126" s="1414"/>
      <c r="AM126" s="1414"/>
      <c r="AN126" s="1414"/>
      <c r="AO126" s="1414"/>
      <c r="AP126" s="1414"/>
      <c r="AQ126" s="1414"/>
      <c r="AR126" s="1414"/>
      <c r="AS126" s="1414"/>
      <c r="AT126" s="1414"/>
      <c r="AU126" s="1414"/>
      <c r="AV126" s="1414"/>
      <c r="BH126" s="1421" t="s">
        <v>1549</v>
      </c>
      <c r="BI126" s="1421">
        <v>280</v>
      </c>
      <c r="BJ126" s="1967">
        <v>105</v>
      </c>
      <c r="BK126" s="1421">
        <v>10</v>
      </c>
      <c r="BL126" s="1421">
        <v>5</v>
      </c>
      <c r="BM126" s="1421">
        <v>5</v>
      </c>
      <c r="BN126" s="1421">
        <v>0</v>
      </c>
      <c r="BO126" s="1421">
        <v>0</v>
      </c>
      <c r="BP126" s="2133">
        <v>60</v>
      </c>
      <c r="BQ126" s="2134">
        <v>0.12</v>
      </c>
      <c r="BR126" s="357">
        <v>0</v>
      </c>
    </row>
    <row r="127" spans="1:70" ht="15.75">
      <c r="A127" s="2100"/>
      <c r="B127" s="1357"/>
      <c r="C127" s="1357"/>
      <c r="D127" s="2100"/>
      <c r="E127" s="1357"/>
      <c r="F127" s="1357"/>
      <c r="G127" s="1357"/>
      <c r="H127" s="1357"/>
      <c r="I127" s="1357"/>
      <c r="J127" s="1357"/>
      <c r="K127" s="1357"/>
      <c r="L127" s="1357"/>
      <c r="M127" s="1357"/>
      <c r="N127" s="1357"/>
      <c r="O127" s="1357"/>
      <c r="P127" s="1357"/>
      <c r="Q127" s="1357"/>
      <c r="R127" s="1357"/>
      <c r="S127" s="2100"/>
      <c r="T127" s="2395"/>
      <c r="U127" s="1357"/>
      <c r="V127" s="1357"/>
      <c r="W127" s="2303"/>
      <c r="X127" s="2397"/>
      <c r="Y127" s="2394"/>
      <c r="Z127" s="2394"/>
      <c r="AA127" s="2394"/>
      <c r="AB127" s="2394"/>
      <c r="AC127" s="2394"/>
      <c r="AD127" s="2394"/>
      <c r="AE127" s="2394"/>
      <c r="AF127" s="2394"/>
      <c r="AG127" s="2394"/>
      <c r="AH127" s="1414"/>
      <c r="AI127" s="1414"/>
      <c r="AJ127" s="1414"/>
      <c r="AK127" s="1414"/>
      <c r="AL127" s="1414"/>
      <c r="AM127" s="1414"/>
      <c r="AN127" s="1414"/>
      <c r="AO127" s="1414"/>
      <c r="AP127" s="1414"/>
      <c r="AQ127" s="1414"/>
      <c r="AR127" s="1414"/>
      <c r="AS127" s="1414"/>
      <c r="AT127" s="1414"/>
      <c r="AU127" s="1414"/>
      <c r="AV127" s="1414"/>
      <c r="BH127" s="1421" t="s">
        <v>1550</v>
      </c>
      <c r="BI127" s="1421">
        <v>15</v>
      </c>
      <c r="BJ127" s="1967">
        <v>100</v>
      </c>
      <c r="BK127" s="1421">
        <v>10</v>
      </c>
      <c r="BL127" s="1421">
        <v>10</v>
      </c>
      <c r="BM127" s="1421">
        <v>10</v>
      </c>
      <c r="BN127" s="1421">
        <v>0</v>
      </c>
      <c r="BO127" s="1421">
        <v>0</v>
      </c>
      <c r="BP127" s="2133">
        <v>60</v>
      </c>
      <c r="BQ127" s="2132">
        <v>3.2666666666666666</v>
      </c>
      <c r="BR127" s="357">
        <v>0</v>
      </c>
    </row>
    <row r="128" spans="1:70" ht="15.75">
      <c r="A128" s="2100"/>
      <c r="B128" s="1357"/>
      <c r="C128" s="1357"/>
      <c r="D128" s="2100"/>
      <c r="E128" s="1357"/>
      <c r="F128" s="1357"/>
      <c r="G128" s="1357"/>
      <c r="H128" s="1357"/>
      <c r="I128" s="1357"/>
      <c r="J128" s="1357"/>
      <c r="K128" s="1357"/>
      <c r="L128" s="1357"/>
      <c r="M128" s="1357"/>
      <c r="N128" s="1357"/>
      <c r="O128" s="1357"/>
      <c r="P128" s="1357"/>
      <c r="Q128" s="1357"/>
      <c r="R128" s="1357"/>
      <c r="S128" s="2100"/>
      <c r="T128" s="2395"/>
      <c r="U128" s="1357"/>
      <c r="V128" s="1357"/>
      <c r="W128" s="2303"/>
      <c r="X128" s="2397"/>
      <c r="Y128" s="2394"/>
      <c r="Z128" s="2394"/>
      <c r="AA128" s="2394"/>
      <c r="AB128" s="2394"/>
      <c r="AC128" s="2394"/>
      <c r="AD128" s="2394"/>
      <c r="AE128" s="2394"/>
      <c r="AF128" s="2394"/>
      <c r="AG128" s="2394"/>
      <c r="AH128" s="1414"/>
      <c r="AI128" s="1414"/>
      <c r="AJ128" s="1414"/>
      <c r="AK128" s="1414"/>
      <c r="AL128" s="1414"/>
      <c r="AM128" s="1414"/>
      <c r="AN128" s="1414"/>
      <c r="AO128" s="1414"/>
      <c r="AP128" s="1414"/>
      <c r="AQ128" s="1414"/>
      <c r="AR128" s="1414"/>
      <c r="AS128" s="1414"/>
      <c r="AT128" s="1414"/>
      <c r="AU128" s="1414"/>
      <c r="AV128" s="1414"/>
      <c r="BH128" s="1421" t="s">
        <v>1551</v>
      </c>
      <c r="BI128" s="1421">
        <v>15</v>
      </c>
      <c r="BJ128" s="1967">
        <v>100</v>
      </c>
      <c r="BK128" s="1421">
        <v>10</v>
      </c>
      <c r="BL128" s="1421">
        <v>10</v>
      </c>
      <c r="BM128" s="1421">
        <v>10</v>
      </c>
      <c r="BN128" s="1421">
        <v>0</v>
      </c>
      <c r="BO128" s="1421">
        <v>0</v>
      </c>
      <c r="BP128" s="2133">
        <v>60</v>
      </c>
      <c r="BQ128" s="2132">
        <v>1.1200000000000001</v>
      </c>
      <c r="BR128" s="357">
        <v>0</v>
      </c>
    </row>
    <row r="129" spans="1:70" ht="15.75">
      <c r="A129" s="2100"/>
      <c r="B129" s="1357"/>
      <c r="C129" s="1357"/>
      <c r="D129" s="2100"/>
      <c r="E129" s="1357"/>
      <c r="F129" s="1357"/>
      <c r="G129" s="1357"/>
      <c r="H129" s="1357"/>
      <c r="I129" s="1357"/>
      <c r="J129" s="1357"/>
      <c r="K129" s="1357"/>
      <c r="L129" s="1357"/>
      <c r="M129" s="1357"/>
      <c r="N129" s="1357"/>
      <c r="O129" s="1357"/>
      <c r="P129" s="1357"/>
      <c r="Q129" s="1357"/>
      <c r="R129" s="1357"/>
      <c r="S129" s="2100"/>
      <c r="T129" s="2395"/>
      <c r="U129" s="1357"/>
      <c r="V129" s="1357"/>
      <c r="W129" s="2303"/>
      <c r="X129" s="2397"/>
      <c r="Y129" s="2191"/>
      <c r="Z129" s="2191"/>
      <c r="AA129" s="2191"/>
      <c r="AB129" s="2191"/>
      <c r="AC129" s="2191"/>
      <c r="AD129" s="2191"/>
      <c r="AE129" s="1414"/>
      <c r="AF129" s="1414"/>
      <c r="AG129" s="1414"/>
      <c r="AH129" s="1414"/>
      <c r="AI129" s="1414"/>
      <c r="AJ129" s="1414"/>
      <c r="AK129" s="1414"/>
      <c r="AL129" s="1414"/>
      <c r="AM129" s="1414"/>
      <c r="AN129" s="1414"/>
      <c r="AO129" s="1414"/>
      <c r="AP129" s="1414"/>
      <c r="AQ129" s="1414"/>
      <c r="AR129" s="1414"/>
      <c r="AS129" s="1414"/>
      <c r="AT129" s="1414"/>
      <c r="AU129" s="1414"/>
      <c r="AV129" s="1414"/>
      <c r="BH129" s="1421" t="s">
        <v>1552</v>
      </c>
      <c r="BI129" s="1421">
        <v>200</v>
      </c>
      <c r="BJ129" s="1967">
        <v>255</v>
      </c>
      <c r="BK129" s="1421">
        <v>10</v>
      </c>
      <c r="BL129" s="1421">
        <v>26</v>
      </c>
      <c r="BM129" s="1421">
        <v>26</v>
      </c>
      <c r="BN129" s="1421">
        <v>0</v>
      </c>
      <c r="BO129" s="1421">
        <v>0</v>
      </c>
      <c r="BP129" s="2131">
        <v>60</v>
      </c>
      <c r="BQ129" s="2132">
        <v>0.34499999999999997</v>
      </c>
      <c r="BR129" s="357">
        <v>0</v>
      </c>
    </row>
    <row r="130" spans="1:70" ht="15.75">
      <c r="A130" s="2100"/>
      <c r="B130" s="1357"/>
      <c r="C130" s="2220"/>
      <c r="D130" s="2219"/>
      <c r="E130" s="2220"/>
      <c r="F130" s="2220"/>
      <c r="G130" s="2220"/>
      <c r="H130" s="2220"/>
      <c r="I130" s="2220"/>
      <c r="J130" s="2220"/>
      <c r="K130" s="2220"/>
      <c r="L130" s="2220"/>
      <c r="M130" s="2220"/>
      <c r="N130" s="2220"/>
      <c r="O130" s="2220"/>
      <c r="P130" s="2220"/>
      <c r="Q130" s="2220"/>
      <c r="R130" s="2220"/>
      <c r="S130" s="2219"/>
      <c r="T130" s="2221"/>
      <c r="U130" s="2220"/>
      <c r="V130" s="2220"/>
      <c r="W130" s="1404"/>
      <c r="X130" s="2191"/>
      <c r="Y130" s="2191"/>
      <c r="Z130" s="2191"/>
      <c r="AA130" s="2191"/>
      <c r="AB130" s="2191"/>
      <c r="AC130" s="2191"/>
      <c r="AD130" s="2191"/>
      <c r="AE130" s="1414"/>
      <c r="AF130" s="1414"/>
      <c r="AG130" s="1414"/>
      <c r="AH130" s="1414"/>
      <c r="AI130" s="1414"/>
      <c r="AJ130" s="1414"/>
      <c r="AK130" s="1414"/>
      <c r="AL130" s="1414"/>
      <c r="AM130" s="1414"/>
      <c r="AN130" s="1414"/>
      <c r="AO130" s="1414"/>
      <c r="AP130" s="1414"/>
      <c r="AQ130" s="1414"/>
      <c r="AR130" s="1414"/>
      <c r="AS130" s="1414"/>
      <c r="AT130" s="1414"/>
      <c r="AU130" s="1414"/>
      <c r="AV130" s="1414"/>
      <c r="BH130" s="1421" t="s">
        <v>1553</v>
      </c>
      <c r="BI130" s="1421">
        <v>200</v>
      </c>
      <c r="BJ130" s="1967">
        <v>255</v>
      </c>
      <c r="BK130" s="1421">
        <v>10</v>
      </c>
      <c r="BL130" s="1421">
        <v>26</v>
      </c>
      <c r="BM130" s="1421">
        <v>26</v>
      </c>
      <c r="BN130" s="1421">
        <v>0</v>
      </c>
      <c r="BO130" s="1421">
        <v>0</v>
      </c>
      <c r="BP130" s="2131">
        <v>60</v>
      </c>
      <c r="BQ130" s="2132">
        <v>0.22</v>
      </c>
      <c r="BR130" s="357">
        <v>0</v>
      </c>
    </row>
    <row r="131" spans="1:70" ht="15.75">
      <c r="A131" s="2100"/>
      <c r="B131" s="1357"/>
      <c r="C131" s="2220"/>
      <c r="D131" s="2219"/>
      <c r="E131" s="2220"/>
      <c r="F131" s="2220"/>
      <c r="G131" s="2220"/>
      <c r="H131" s="2220"/>
      <c r="I131" s="2220"/>
      <c r="J131" s="2220"/>
      <c r="K131" s="2220"/>
      <c r="L131" s="2220"/>
      <c r="M131" s="2220"/>
      <c r="N131" s="2220"/>
      <c r="O131" s="2220"/>
      <c r="P131" s="2220"/>
      <c r="Q131" s="2220"/>
      <c r="R131" s="2220"/>
      <c r="S131" s="2219"/>
      <c r="T131" s="2221"/>
      <c r="U131" s="2220"/>
      <c r="V131" s="2220"/>
      <c r="W131" s="1404"/>
      <c r="X131" s="2191"/>
      <c r="Y131" s="2191"/>
      <c r="Z131" s="2191"/>
      <c r="AA131" s="2191"/>
      <c r="AB131" s="2191"/>
      <c r="AC131" s="2191"/>
      <c r="AD131" s="2191"/>
      <c r="AE131" s="1414"/>
      <c r="AF131" s="1414"/>
      <c r="AG131" s="1414"/>
      <c r="AH131" s="1414"/>
      <c r="AI131" s="1414"/>
      <c r="AJ131" s="1414"/>
      <c r="AK131" s="1414"/>
      <c r="AL131" s="1414"/>
      <c r="AM131" s="1414"/>
      <c r="AN131" s="1414"/>
      <c r="AO131" s="1414"/>
      <c r="AP131" s="1414"/>
      <c r="AQ131" s="1414"/>
      <c r="AR131" s="1414"/>
      <c r="AS131" s="1414"/>
      <c r="AT131" s="1414"/>
      <c r="AU131" s="1414"/>
      <c r="AV131" s="1414"/>
      <c r="BH131" s="1421" t="s">
        <v>1554</v>
      </c>
      <c r="BI131" s="1421">
        <v>35</v>
      </c>
      <c r="BJ131" s="1967">
        <v>40</v>
      </c>
      <c r="BK131" s="1421">
        <v>10</v>
      </c>
      <c r="BL131" s="1421">
        <v>2</v>
      </c>
      <c r="BM131" s="1421">
        <v>2</v>
      </c>
      <c r="BN131" s="1421">
        <v>0</v>
      </c>
      <c r="BO131" s="1421">
        <v>0</v>
      </c>
      <c r="BP131" s="2133">
        <v>30</v>
      </c>
      <c r="BQ131" s="2134">
        <v>0.45428571428571429</v>
      </c>
      <c r="BR131" s="357">
        <v>0</v>
      </c>
    </row>
    <row r="132" spans="1:70" ht="15.75">
      <c r="A132" s="2100"/>
      <c r="B132" s="1357"/>
      <c r="C132" s="2220"/>
      <c r="D132" s="2219"/>
      <c r="E132" s="2220"/>
      <c r="F132" s="2220"/>
      <c r="G132" s="2220"/>
      <c r="H132" s="2220"/>
      <c r="I132" s="2220"/>
      <c r="J132" s="2220"/>
      <c r="K132" s="2220"/>
      <c r="L132" s="2220"/>
      <c r="M132" s="2220"/>
      <c r="N132" s="2220"/>
      <c r="O132" s="2220"/>
      <c r="P132" s="2220"/>
      <c r="Q132" s="2220"/>
      <c r="R132" s="2220"/>
      <c r="S132" s="2219"/>
      <c r="T132" s="2221"/>
      <c r="U132" s="2220"/>
      <c r="V132" s="2220"/>
      <c r="W132" s="1404"/>
      <c r="X132" s="2191"/>
      <c r="Y132" s="2191"/>
      <c r="Z132" s="2191"/>
      <c r="AA132" s="2191"/>
      <c r="AB132" s="2191"/>
      <c r="AC132" s="2191"/>
      <c r="AD132" s="2191"/>
      <c r="AE132" s="1414"/>
      <c r="AF132" s="1414"/>
      <c r="AG132" s="1414"/>
      <c r="AH132" s="1414"/>
      <c r="AI132" s="1414"/>
      <c r="AJ132" s="1414"/>
      <c r="AK132" s="1414"/>
      <c r="AL132" s="1414"/>
      <c r="AM132" s="1414"/>
      <c r="AN132" s="1414"/>
      <c r="AO132" s="1414"/>
      <c r="AP132" s="1414"/>
      <c r="AQ132" s="1414"/>
      <c r="AR132" s="1414"/>
      <c r="AS132" s="1414"/>
      <c r="AT132" s="1414"/>
      <c r="AU132" s="1414"/>
      <c r="AV132" s="1414"/>
      <c r="BH132" s="1421" t="s">
        <v>1555</v>
      </c>
      <c r="BI132" s="1421">
        <v>35</v>
      </c>
      <c r="BJ132" s="1967">
        <v>40</v>
      </c>
      <c r="BK132" s="1421">
        <v>10</v>
      </c>
      <c r="BL132" s="1421">
        <v>2</v>
      </c>
      <c r="BM132" s="1421">
        <v>2</v>
      </c>
      <c r="BN132" s="1421">
        <v>0</v>
      </c>
      <c r="BO132" s="1421">
        <v>0</v>
      </c>
      <c r="BP132" s="2133">
        <v>30</v>
      </c>
      <c r="BQ132" s="2134">
        <v>0.28000000000000003</v>
      </c>
      <c r="BR132" s="357">
        <v>0</v>
      </c>
    </row>
    <row r="133" spans="1:70" ht="15.75">
      <c r="A133" s="2100"/>
      <c r="B133" s="1357"/>
      <c r="C133" s="2220"/>
      <c r="D133" s="2219"/>
      <c r="E133" s="2220"/>
      <c r="F133" s="2220"/>
      <c r="G133" s="2220"/>
      <c r="H133" s="2220"/>
      <c r="I133" s="2220"/>
      <c r="J133" s="2220"/>
      <c r="K133" s="2220"/>
      <c r="L133" s="2220"/>
      <c r="M133" s="2220"/>
      <c r="N133" s="2220"/>
      <c r="O133" s="2220"/>
      <c r="P133" s="2220"/>
      <c r="Q133" s="2220"/>
      <c r="R133" s="2220"/>
      <c r="S133" s="2219"/>
      <c r="T133" s="2221"/>
      <c r="U133" s="2220"/>
      <c r="V133" s="2220"/>
      <c r="W133" s="1404"/>
      <c r="X133" s="2191"/>
      <c r="Y133" s="2191"/>
      <c r="Z133" s="2191"/>
      <c r="AA133" s="2191"/>
      <c r="AB133" s="2191"/>
      <c r="AC133" s="2191"/>
      <c r="AD133" s="2191"/>
      <c r="AE133" s="1414"/>
      <c r="AF133" s="1414"/>
      <c r="AG133" s="1414"/>
      <c r="AH133" s="1414"/>
      <c r="AI133" s="1414"/>
      <c r="AJ133" s="1414"/>
      <c r="AK133" s="1414"/>
      <c r="AL133" s="1414"/>
      <c r="AM133" s="1414"/>
      <c r="AN133" s="1414"/>
      <c r="AO133" s="1414"/>
      <c r="AP133" s="1414"/>
      <c r="AQ133" s="1414"/>
      <c r="AR133" s="1414"/>
      <c r="AS133" s="1414"/>
      <c r="AT133" s="1414"/>
      <c r="AU133" s="1414"/>
      <c r="AV133" s="1414"/>
      <c r="BH133" s="1421" t="s">
        <v>1556</v>
      </c>
      <c r="BI133" s="1421">
        <v>150</v>
      </c>
      <c r="BJ133" s="1967">
        <v>90</v>
      </c>
      <c r="BK133" s="1421">
        <v>10</v>
      </c>
      <c r="BL133" s="1421">
        <v>5</v>
      </c>
      <c r="BM133" s="1421">
        <v>5</v>
      </c>
      <c r="BN133" s="1421">
        <v>0</v>
      </c>
      <c r="BO133" s="1421">
        <v>0</v>
      </c>
      <c r="BP133" s="2131">
        <v>30</v>
      </c>
      <c r="BQ133" s="2132">
        <v>0.11</v>
      </c>
      <c r="BR133" s="357">
        <v>0</v>
      </c>
    </row>
    <row r="134" spans="1:70" ht="15.75">
      <c r="A134" s="2100"/>
      <c r="B134" s="1357"/>
      <c r="C134" s="2220"/>
      <c r="D134" s="2219"/>
      <c r="E134" s="2220"/>
      <c r="F134" s="2220"/>
      <c r="G134" s="2220"/>
      <c r="H134" s="2220"/>
      <c r="I134" s="2220"/>
      <c r="J134" s="2220"/>
      <c r="K134" s="2220"/>
      <c r="L134" s="2220"/>
      <c r="M134" s="2220"/>
      <c r="N134" s="2220"/>
      <c r="O134" s="2220"/>
      <c r="P134" s="2220"/>
      <c r="Q134" s="2220"/>
      <c r="R134" s="2220"/>
      <c r="S134" s="2219"/>
      <c r="T134" s="2221"/>
      <c r="U134" s="2220"/>
      <c r="V134" s="2220"/>
      <c r="W134" s="1404"/>
      <c r="X134" s="2191"/>
      <c r="Y134" s="2191"/>
      <c r="Z134" s="2191"/>
      <c r="AA134" s="2191"/>
      <c r="AB134" s="2191"/>
      <c r="AC134" s="2191"/>
      <c r="AD134" s="2191"/>
      <c r="AE134" s="1414"/>
      <c r="AF134" s="1414"/>
      <c r="AG134" s="1414"/>
      <c r="AH134" s="1414"/>
      <c r="AI134" s="1414"/>
      <c r="AJ134" s="1414"/>
      <c r="AK134" s="1414"/>
      <c r="AL134" s="1414"/>
      <c r="AM134" s="1414"/>
      <c r="AN134" s="1414"/>
      <c r="AO134" s="1414"/>
      <c r="AP134" s="1414"/>
      <c r="AQ134" s="1414"/>
      <c r="AR134" s="1414"/>
      <c r="AS134" s="1414"/>
      <c r="AT134" s="1414"/>
      <c r="AU134" s="1414"/>
      <c r="AV134" s="1414"/>
      <c r="BH134" s="1421" t="s">
        <v>1557</v>
      </c>
      <c r="BI134" s="1421">
        <v>25</v>
      </c>
      <c r="BJ134" s="1967">
        <v>80</v>
      </c>
      <c r="BK134" s="1421">
        <v>10</v>
      </c>
      <c r="BL134" s="1421">
        <v>8</v>
      </c>
      <c r="BM134" s="1421">
        <v>8</v>
      </c>
      <c r="BN134" s="1421">
        <v>0</v>
      </c>
      <c r="BO134" s="1421">
        <v>0</v>
      </c>
      <c r="BP134" s="2131">
        <v>60</v>
      </c>
      <c r="BQ134" s="2134">
        <v>1.9019999999999999</v>
      </c>
      <c r="BR134" s="357">
        <v>0</v>
      </c>
    </row>
    <row r="135" spans="1:70" ht="15.75">
      <c r="W135" s="1355"/>
      <c r="X135" s="1414"/>
      <c r="Y135" s="1414"/>
      <c r="Z135" s="1414"/>
      <c r="AA135" s="1414"/>
      <c r="AB135" s="1414"/>
      <c r="AC135" s="1414"/>
      <c r="AD135" s="1414"/>
      <c r="AE135" s="1414"/>
      <c r="AF135" s="1414"/>
      <c r="AG135" s="1414"/>
      <c r="AH135" s="1414"/>
      <c r="AI135" s="1414"/>
      <c r="AJ135" s="1414"/>
      <c r="AK135" s="1414"/>
      <c r="AL135" s="1414"/>
      <c r="AM135" s="1414"/>
      <c r="AN135" s="1414"/>
      <c r="AO135" s="1414"/>
      <c r="AP135" s="1414"/>
      <c r="AQ135" s="1414"/>
      <c r="AR135" s="1414"/>
      <c r="AS135" s="1414"/>
      <c r="AT135" s="1414"/>
      <c r="AU135" s="1414"/>
      <c r="AV135" s="1414"/>
      <c r="BH135" s="1421" t="s">
        <v>1558</v>
      </c>
      <c r="BI135" s="1421">
        <v>25</v>
      </c>
      <c r="BJ135" s="1967">
        <v>80</v>
      </c>
      <c r="BK135" s="1421">
        <v>10</v>
      </c>
      <c r="BL135" s="1421">
        <v>8</v>
      </c>
      <c r="BM135" s="1421">
        <v>8</v>
      </c>
      <c r="BN135" s="1421">
        <v>0</v>
      </c>
      <c r="BO135" s="1421">
        <v>0</v>
      </c>
      <c r="BP135" s="2131">
        <v>60</v>
      </c>
      <c r="BQ135" s="2132">
        <v>0.95</v>
      </c>
      <c r="BR135" s="357">
        <v>0</v>
      </c>
    </row>
    <row r="136" spans="1:70">
      <c r="W136" s="1327"/>
      <c r="BH136" s="1421" t="s">
        <v>1559</v>
      </c>
      <c r="BI136" s="1421">
        <v>300</v>
      </c>
      <c r="BJ136" s="1967">
        <v>165</v>
      </c>
      <c r="BK136" s="1421">
        <v>10</v>
      </c>
      <c r="BL136" s="1421">
        <v>17</v>
      </c>
      <c r="BM136" s="1421">
        <v>17</v>
      </c>
      <c r="BN136" s="1421">
        <v>0</v>
      </c>
      <c r="BO136" s="1421">
        <v>0</v>
      </c>
      <c r="BP136" s="2131">
        <v>60</v>
      </c>
      <c r="BQ136" s="2134">
        <v>0.16</v>
      </c>
      <c r="BR136" s="357">
        <v>0</v>
      </c>
    </row>
    <row r="137" spans="1:70">
      <c r="W137" s="1327"/>
      <c r="BH137" s="1421" t="s">
        <v>1560</v>
      </c>
      <c r="BI137" s="1421">
        <v>120</v>
      </c>
      <c r="BJ137" s="1967">
        <v>95</v>
      </c>
      <c r="BK137" s="1421">
        <v>10</v>
      </c>
      <c r="BL137" s="1421">
        <v>5</v>
      </c>
      <c r="BM137" s="1421">
        <v>5</v>
      </c>
      <c r="BN137" s="1421">
        <v>0</v>
      </c>
      <c r="BO137" s="1421">
        <v>0</v>
      </c>
      <c r="BP137" s="2131">
        <v>60</v>
      </c>
      <c r="BQ137" s="2132">
        <v>0.16</v>
      </c>
      <c r="BR137" s="357">
        <v>0</v>
      </c>
    </row>
    <row r="138" spans="1:70">
      <c r="W138" s="1327"/>
      <c r="BH138" s="1421" t="s">
        <v>1561</v>
      </c>
      <c r="BI138" s="1421">
        <v>250</v>
      </c>
      <c r="BJ138" s="1967">
        <v>170</v>
      </c>
      <c r="BK138" s="1421">
        <v>10</v>
      </c>
      <c r="BL138" s="1421">
        <v>17</v>
      </c>
      <c r="BM138" s="1421">
        <v>17</v>
      </c>
      <c r="BN138" s="1421">
        <v>0</v>
      </c>
      <c r="BO138" s="1421">
        <v>0</v>
      </c>
      <c r="BP138" s="2131">
        <v>60</v>
      </c>
      <c r="BQ138" s="2132">
        <v>0.14000000000000001</v>
      </c>
      <c r="BR138" s="357">
        <v>0</v>
      </c>
    </row>
    <row r="139" spans="1:70">
      <c r="BH139" s="1421" t="s">
        <v>1562</v>
      </c>
      <c r="BI139" s="1421">
        <v>15</v>
      </c>
      <c r="BJ139" s="1967">
        <v>100</v>
      </c>
      <c r="BK139" s="1421">
        <v>10</v>
      </c>
      <c r="BL139" s="1421">
        <v>10</v>
      </c>
      <c r="BM139" s="1421">
        <v>10</v>
      </c>
      <c r="BN139" s="1421">
        <v>0</v>
      </c>
      <c r="BO139" s="1421">
        <v>0</v>
      </c>
      <c r="BP139" s="2131">
        <v>60</v>
      </c>
      <c r="BQ139" s="2134">
        <v>2.4266666666666672</v>
      </c>
      <c r="BR139" s="357">
        <v>0</v>
      </c>
    </row>
    <row r="140" spans="1:70">
      <c r="BH140" s="1421" t="s">
        <v>1563</v>
      </c>
      <c r="BI140" s="1421">
        <v>15</v>
      </c>
      <c r="BJ140" s="1967">
        <v>100</v>
      </c>
      <c r="BK140" s="1421">
        <v>10</v>
      </c>
      <c r="BL140" s="1421">
        <v>10</v>
      </c>
      <c r="BM140" s="1421">
        <v>10</v>
      </c>
      <c r="BN140" s="1421">
        <v>0</v>
      </c>
      <c r="BO140" s="1421">
        <v>0</v>
      </c>
      <c r="BP140" s="2131">
        <v>60</v>
      </c>
      <c r="BQ140" s="2132">
        <v>1.1200000000000001</v>
      </c>
      <c r="BR140" s="357">
        <v>0</v>
      </c>
    </row>
    <row r="141" spans="1:70">
      <c r="BH141" s="1421" t="s">
        <v>1564</v>
      </c>
      <c r="BI141" s="1421">
        <v>150</v>
      </c>
      <c r="BJ141" s="1967">
        <v>115</v>
      </c>
      <c r="BK141" s="1421">
        <v>10</v>
      </c>
      <c r="BL141" s="1421">
        <v>12</v>
      </c>
      <c r="BM141" s="1421">
        <v>12</v>
      </c>
      <c r="BN141" s="1421">
        <v>0</v>
      </c>
      <c r="BO141" s="1421">
        <v>0</v>
      </c>
      <c r="BP141" s="2133">
        <v>30</v>
      </c>
      <c r="BQ141" s="2134">
        <v>0.29333333333333333</v>
      </c>
      <c r="BR141" s="357">
        <v>0</v>
      </c>
    </row>
    <row r="142" spans="1:70">
      <c r="BH142" s="1421" t="s">
        <v>1565</v>
      </c>
      <c r="BI142" s="1421">
        <v>150</v>
      </c>
      <c r="BJ142" s="1967">
        <v>115</v>
      </c>
      <c r="BK142" s="1421">
        <v>10</v>
      </c>
      <c r="BL142" s="1421">
        <v>12</v>
      </c>
      <c r="BM142" s="1421">
        <v>12</v>
      </c>
      <c r="BN142" s="1421">
        <v>0</v>
      </c>
      <c r="BO142" s="1421">
        <v>0</v>
      </c>
      <c r="BP142" s="2133">
        <v>30</v>
      </c>
      <c r="BQ142" s="2134">
        <v>0.18</v>
      </c>
      <c r="BR142" s="357">
        <v>0</v>
      </c>
    </row>
    <row r="143" spans="1:70">
      <c r="BH143" s="1421" t="s">
        <v>1566</v>
      </c>
      <c r="BI143" s="1421">
        <v>160</v>
      </c>
      <c r="BJ143" s="1967">
        <v>100</v>
      </c>
      <c r="BK143" s="1421">
        <v>10</v>
      </c>
      <c r="BL143" s="1421">
        <v>10</v>
      </c>
      <c r="BM143" s="1421">
        <v>10</v>
      </c>
      <c r="BN143" s="1421">
        <v>0</v>
      </c>
      <c r="BO143" s="1421">
        <v>0</v>
      </c>
      <c r="BP143" s="2133">
        <v>60</v>
      </c>
      <c r="BQ143" s="2134">
        <v>0.15</v>
      </c>
      <c r="BR143" s="357">
        <v>0</v>
      </c>
    </row>
    <row r="144" spans="1:70">
      <c r="BH144" s="1421" t="s">
        <v>1567</v>
      </c>
      <c r="BI144" s="1421">
        <v>120</v>
      </c>
      <c r="BJ144" s="1967">
        <v>100</v>
      </c>
      <c r="BK144" s="1421">
        <v>10</v>
      </c>
      <c r="BL144" s="1421">
        <v>5</v>
      </c>
      <c r="BM144" s="1421">
        <v>5</v>
      </c>
      <c r="BN144" s="1421">
        <v>0</v>
      </c>
      <c r="BO144" s="1421">
        <v>0</v>
      </c>
      <c r="BP144" s="2131">
        <v>30</v>
      </c>
      <c r="BQ144" s="2132">
        <v>0.14000000000000001</v>
      </c>
      <c r="BR144" s="357">
        <v>0</v>
      </c>
    </row>
    <row r="145" spans="60:70">
      <c r="BH145" s="1421" t="s">
        <v>1568</v>
      </c>
      <c r="BI145" s="1421">
        <v>50</v>
      </c>
      <c r="BJ145" s="1967">
        <v>115</v>
      </c>
      <c r="BK145" s="1421">
        <v>10</v>
      </c>
      <c r="BL145" s="1421">
        <v>12</v>
      </c>
      <c r="BM145" s="1421">
        <v>12</v>
      </c>
      <c r="BN145" s="1421">
        <v>0</v>
      </c>
      <c r="BO145" s="1421">
        <v>0</v>
      </c>
      <c r="BP145" s="2133">
        <v>60</v>
      </c>
      <c r="BQ145" s="2134">
        <v>0.15</v>
      </c>
      <c r="BR145" s="357">
        <v>0</v>
      </c>
    </row>
    <row r="146" spans="60:70">
      <c r="BH146" s="1421" t="s">
        <v>1569</v>
      </c>
      <c r="BI146" s="1421">
        <v>130</v>
      </c>
      <c r="BJ146" s="1967">
        <v>115</v>
      </c>
      <c r="BK146" s="1421">
        <v>10</v>
      </c>
      <c r="BL146" s="1421">
        <v>12</v>
      </c>
      <c r="BM146" s="1421">
        <v>12</v>
      </c>
      <c r="BN146" s="1421">
        <v>0</v>
      </c>
      <c r="BO146" s="1421">
        <v>0</v>
      </c>
      <c r="BP146" s="2133">
        <v>60</v>
      </c>
      <c r="BQ146" s="2138">
        <v>0.2076923076923077</v>
      </c>
      <c r="BR146" s="357">
        <v>0</v>
      </c>
    </row>
    <row r="147" spans="60:70">
      <c r="BH147" s="1421" t="s">
        <v>1570</v>
      </c>
      <c r="BI147" s="1421">
        <v>130</v>
      </c>
      <c r="BJ147" s="1967">
        <v>115</v>
      </c>
      <c r="BK147" s="1421">
        <v>10</v>
      </c>
      <c r="BL147" s="1421">
        <v>12</v>
      </c>
      <c r="BM147" s="1421">
        <v>12</v>
      </c>
      <c r="BN147" s="1421">
        <v>0</v>
      </c>
      <c r="BO147" s="1421">
        <v>0</v>
      </c>
      <c r="BP147" s="2133">
        <v>60</v>
      </c>
      <c r="BQ147" s="2138">
        <v>0.15</v>
      </c>
      <c r="BR147" s="357">
        <v>0</v>
      </c>
    </row>
    <row r="148" spans="60:70">
      <c r="BH148" s="1421" t="s">
        <v>1571</v>
      </c>
      <c r="BI148" s="1421">
        <v>240</v>
      </c>
      <c r="BJ148" s="1967">
        <v>160</v>
      </c>
      <c r="BK148" s="1421">
        <v>10</v>
      </c>
      <c r="BL148" s="1421">
        <v>16</v>
      </c>
      <c r="BM148" s="1421">
        <v>16</v>
      </c>
      <c r="BN148" s="1421">
        <v>0</v>
      </c>
      <c r="BO148" s="1421">
        <v>0</v>
      </c>
      <c r="BP148" s="2131">
        <v>60</v>
      </c>
      <c r="BQ148" s="2132">
        <v>0.12</v>
      </c>
      <c r="BR148" s="357">
        <v>0</v>
      </c>
    </row>
    <row r="149" spans="60:70">
      <c r="BH149" s="1421" t="s">
        <v>1572</v>
      </c>
      <c r="BI149" s="1421">
        <v>160</v>
      </c>
      <c r="BJ149" s="1967">
        <v>100</v>
      </c>
      <c r="BK149" s="1421">
        <v>10</v>
      </c>
      <c r="BL149" s="1421">
        <v>5</v>
      </c>
      <c r="BM149" s="1421">
        <v>5</v>
      </c>
      <c r="BN149" s="1421">
        <v>0</v>
      </c>
      <c r="BO149" s="1421">
        <v>0</v>
      </c>
      <c r="BP149" s="2131">
        <v>60</v>
      </c>
      <c r="BQ149" s="2132">
        <v>0.12</v>
      </c>
      <c r="BR149" s="357">
        <v>0</v>
      </c>
    </row>
    <row r="150" spans="60:70">
      <c r="BH150" s="1421" t="s">
        <v>1573</v>
      </c>
      <c r="BI150" s="1421">
        <v>500</v>
      </c>
      <c r="BJ150" s="1967">
        <v>285</v>
      </c>
      <c r="BK150" s="1421">
        <v>10</v>
      </c>
      <c r="BL150" s="1421">
        <v>29</v>
      </c>
      <c r="BM150" s="1421">
        <v>14</v>
      </c>
      <c r="BN150" s="1421">
        <v>0</v>
      </c>
      <c r="BO150" s="1421">
        <v>0</v>
      </c>
      <c r="BP150" s="2133">
        <v>60</v>
      </c>
      <c r="BQ150" s="2134">
        <v>0.13</v>
      </c>
      <c r="BR150" s="357">
        <v>0</v>
      </c>
    </row>
    <row r="151" spans="60:70">
      <c r="BH151" s="1421" t="s">
        <v>1574</v>
      </c>
      <c r="BI151" s="1421">
        <v>400</v>
      </c>
      <c r="BJ151" s="1967">
        <v>210</v>
      </c>
      <c r="BK151" s="1421">
        <v>10</v>
      </c>
      <c r="BL151" s="1421">
        <v>21</v>
      </c>
      <c r="BM151" s="1421">
        <v>21</v>
      </c>
      <c r="BN151" s="1421">
        <v>0</v>
      </c>
      <c r="BO151" s="1421">
        <v>0</v>
      </c>
      <c r="BP151" s="2131">
        <v>30</v>
      </c>
      <c r="BQ151" s="2132">
        <v>0.11</v>
      </c>
      <c r="BR151" s="357">
        <v>0</v>
      </c>
    </row>
    <row r="152" spans="60:70">
      <c r="BH152" s="1421" t="s">
        <v>1575</v>
      </c>
      <c r="BI152" s="1421">
        <v>600</v>
      </c>
      <c r="BJ152" s="1967">
        <v>215</v>
      </c>
      <c r="BK152" s="1421">
        <v>10</v>
      </c>
      <c r="BL152" s="1421">
        <v>22</v>
      </c>
      <c r="BM152" s="1421">
        <v>22</v>
      </c>
      <c r="BN152" s="1421">
        <v>0</v>
      </c>
      <c r="BO152" s="1421">
        <v>0</v>
      </c>
      <c r="BP152" s="2135">
        <v>60</v>
      </c>
      <c r="BQ152" s="2132">
        <v>7.0000000000000007E-2</v>
      </c>
      <c r="BR152" s="357">
        <v>0</v>
      </c>
    </row>
    <row r="153" spans="60:70">
      <c r="BH153" s="1421" t="s">
        <v>1576</v>
      </c>
      <c r="BI153" s="1421">
        <v>50</v>
      </c>
      <c r="BJ153" s="1421">
        <v>185</v>
      </c>
      <c r="BK153" s="1421">
        <v>10</v>
      </c>
      <c r="BL153" s="1421">
        <v>19</v>
      </c>
      <c r="BM153" s="1421">
        <v>19</v>
      </c>
      <c r="BN153" s="1421">
        <v>0</v>
      </c>
      <c r="BO153" s="1421">
        <v>0</v>
      </c>
      <c r="BP153" s="2131">
        <v>60</v>
      </c>
      <c r="BQ153" s="2132">
        <v>0.75000000000000011</v>
      </c>
      <c r="BR153" s="357">
        <v>0</v>
      </c>
    </row>
    <row r="154" spans="60:70">
      <c r="BH154" s="1421" t="s">
        <v>1577</v>
      </c>
      <c r="BI154" s="1421">
        <v>50</v>
      </c>
      <c r="BJ154" s="1421">
        <v>185</v>
      </c>
      <c r="BK154" s="1421">
        <v>10</v>
      </c>
      <c r="BL154" s="1421">
        <v>19</v>
      </c>
      <c r="BM154" s="1421">
        <v>19</v>
      </c>
      <c r="BN154" s="1421">
        <v>0</v>
      </c>
      <c r="BO154" s="1421">
        <v>0</v>
      </c>
      <c r="BP154" s="2131">
        <v>60</v>
      </c>
      <c r="BQ154" s="2132">
        <v>0.12</v>
      </c>
      <c r="BR154" s="357">
        <v>0</v>
      </c>
    </row>
    <row r="155" spans="60:70">
      <c r="BH155" s="1421" t="s">
        <v>1578</v>
      </c>
      <c r="BI155" s="1421">
        <v>50</v>
      </c>
      <c r="BJ155" s="1421">
        <v>50</v>
      </c>
      <c r="BK155" s="1421">
        <v>10</v>
      </c>
      <c r="BL155" s="1421">
        <v>3</v>
      </c>
      <c r="BM155" s="1421">
        <v>3</v>
      </c>
      <c r="BN155" s="1421">
        <v>0</v>
      </c>
      <c r="BO155" s="1421">
        <v>0</v>
      </c>
      <c r="BP155" s="2133">
        <v>60</v>
      </c>
      <c r="BQ155" s="2134">
        <v>0.15</v>
      </c>
      <c r="BR155" s="357">
        <v>0</v>
      </c>
    </row>
    <row r="156" spans="60:70">
      <c r="BH156" s="1421" t="s">
        <v>1579</v>
      </c>
      <c r="BI156" s="1421">
        <v>80</v>
      </c>
      <c r="BJ156" s="1421">
        <v>65</v>
      </c>
      <c r="BK156" s="1421">
        <v>10</v>
      </c>
      <c r="BL156" s="1421">
        <v>7</v>
      </c>
      <c r="BM156" s="1421">
        <v>7</v>
      </c>
      <c r="BN156" s="1421">
        <v>0</v>
      </c>
      <c r="BO156" s="1421">
        <v>0</v>
      </c>
      <c r="BP156" s="2131">
        <v>30</v>
      </c>
      <c r="BQ156" s="2132">
        <v>0.09</v>
      </c>
      <c r="BR156" s="357">
        <v>0</v>
      </c>
    </row>
    <row r="157" spans="60:70">
      <c r="BH157" s="1421" t="s">
        <v>1580</v>
      </c>
      <c r="BI157" s="1421">
        <v>200</v>
      </c>
      <c r="BJ157" s="1421">
        <v>175</v>
      </c>
      <c r="BK157" s="1421">
        <v>10</v>
      </c>
      <c r="BL157" s="1421">
        <v>18</v>
      </c>
      <c r="BM157" s="1421">
        <v>18</v>
      </c>
      <c r="BN157" s="1421">
        <v>0</v>
      </c>
      <c r="BO157" s="1421">
        <v>0</v>
      </c>
      <c r="BP157" s="2131">
        <v>60</v>
      </c>
      <c r="BQ157" s="2132">
        <v>0.28400000000000003</v>
      </c>
      <c r="BR157" s="357">
        <v>0</v>
      </c>
    </row>
    <row r="158" spans="60:70">
      <c r="BH158" s="1421" t="s">
        <v>1581</v>
      </c>
      <c r="BI158" s="1421">
        <v>200</v>
      </c>
      <c r="BJ158" s="1421">
        <v>175</v>
      </c>
      <c r="BK158" s="1421">
        <v>10</v>
      </c>
      <c r="BL158" s="1421">
        <v>18</v>
      </c>
      <c r="BM158" s="1421">
        <v>18</v>
      </c>
      <c r="BN158" s="1421">
        <v>0</v>
      </c>
      <c r="BO158" s="1421">
        <v>0</v>
      </c>
      <c r="BP158" s="2131">
        <v>60</v>
      </c>
      <c r="BQ158" s="2132">
        <v>0.13</v>
      </c>
      <c r="BR158" s="357">
        <v>0</v>
      </c>
    </row>
    <row r="159" spans="60:70">
      <c r="BH159" s="1421" t="s">
        <v>1582</v>
      </c>
      <c r="BI159" s="1421">
        <v>350</v>
      </c>
      <c r="BJ159" s="1421">
        <v>210</v>
      </c>
      <c r="BK159" s="1421">
        <v>10</v>
      </c>
      <c r="BL159" s="1421">
        <v>21</v>
      </c>
      <c r="BM159" s="1421">
        <v>21</v>
      </c>
      <c r="BN159" s="1421">
        <v>0</v>
      </c>
      <c r="BO159" s="1421">
        <v>0</v>
      </c>
      <c r="BP159" s="2131">
        <v>60</v>
      </c>
      <c r="BQ159" s="2132">
        <v>0.11</v>
      </c>
      <c r="BR159" s="357">
        <v>0</v>
      </c>
    </row>
    <row r="160" spans="60:70">
      <c r="BH160" s="1421" t="s">
        <v>1583</v>
      </c>
      <c r="BI160" s="1421">
        <v>80</v>
      </c>
      <c r="BJ160" s="1421">
        <v>110</v>
      </c>
      <c r="BK160" s="1421">
        <v>10</v>
      </c>
      <c r="BL160" s="1421">
        <v>11</v>
      </c>
      <c r="BM160" s="1421">
        <v>11</v>
      </c>
      <c r="BN160" s="1421">
        <v>0</v>
      </c>
      <c r="BO160" s="1421">
        <v>0</v>
      </c>
      <c r="BP160" s="2131">
        <v>30</v>
      </c>
      <c r="BQ160" s="2132">
        <v>0.38</v>
      </c>
      <c r="BR160" s="357">
        <v>0</v>
      </c>
    </row>
    <row r="161" spans="60:70">
      <c r="BH161" s="1421" t="s">
        <v>1584</v>
      </c>
      <c r="BI161" s="1421">
        <v>80</v>
      </c>
      <c r="BJ161" s="1421">
        <v>110</v>
      </c>
      <c r="BK161" s="1421">
        <v>10</v>
      </c>
      <c r="BL161" s="1421">
        <v>11</v>
      </c>
      <c r="BM161" s="1421">
        <v>11</v>
      </c>
      <c r="BN161" s="1421">
        <v>0</v>
      </c>
      <c r="BO161" s="1421">
        <v>0</v>
      </c>
      <c r="BP161" s="2131">
        <v>30</v>
      </c>
      <c r="BQ161" s="2132">
        <v>0.23</v>
      </c>
      <c r="BR161" s="357">
        <v>0</v>
      </c>
    </row>
    <row r="162" spans="60:70">
      <c r="BH162" s="1421" t="s">
        <v>1585</v>
      </c>
      <c r="BI162" s="1421">
        <v>100</v>
      </c>
      <c r="BJ162" s="1421">
        <v>100</v>
      </c>
      <c r="BK162" s="1421">
        <v>10</v>
      </c>
      <c r="BL162" s="1421">
        <v>10</v>
      </c>
      <c r="BM162" s="1421">
        <v>10</v>
      </c>
      <c r="BN162" s="1421">
        <v>0</v>
      </c>
      <c r="BO162" s="1421">
        <v>0</v>
      </c>
      <c r="BP162" s="2135">
        <v>60</v>
      </c>
      <c r="BQ162" s="2132">
        <v>0.28000000000000003</v>
      </c>
      <c r="BR162" s="357">
        <v>0</v>
      </c>
    </row>
    <row r="163" spans="60:70">
      <c r="BH163" s="1421" t="s">
        <v>1586</v>
      </c>
      <c r="BI163" s="1421">
        <v>100</v>
      </c>
      <c r="BJ163" s="1421">
        <v>100</v>
      </c>
      <c r="BK163" s="1421">
        <v>10</v>
      </c>
      <c r="BL163" s="1421">
        <v>10</v>
      </c>
      <c r="BM163" s="1421">
        <v>10</v>
      </c>
      <c r="BN163" s="1421">
        <v>0</v>
      </c>
      <c r="BO163" s="1421">
        <v>0</v>
      </c>
      <c r="BP163" s="2131">
        <v>60</v>
      </c>
      <c r="BQ163" s="2132">
        <v>0.21</v>
      </c>
      <c r="BR163" s="357">
        <v>0</v>
      </c>
    </row>
    <row r="164" spans="60:70">
      <c r="BH164" s="1421" t="s">
        <v>1587</v>
      </c>
      <c r="BI164" s="1421">
        <v>300</v>
      </c>
      <c r="BJ164" s="1421">
        <v>130</v>
      </c>
      <c r="BK164" s="1421">
        <v>10</v>
      </c>
      <c r="BL164" s="1421">
        <v>13</v>
      </c>
      <c r="BM164" s="1421">
        <v>13</v>
      </c>
      <c r="BN164" s="1421">
        <v>0</v>
      </c>
      <c r="BO164" s="1421">
        <v>0</v>
      </c>
      <c r="BP164" s="2131">
        <v>60</v>
      </c>
      <c r="BQ164" s="2132">
        <v>0.08</v>
      </c>
      <c r="BR164" s="357">
        <v>0</v>
      </c>
    </row>
    <row r="165" spans="60:70">
      <c r="BH165" s="1421" t="s">
        <v>1588</v>
      </c>
      <c r="BI165" s="1421">
        <v>350</v>
      </c>
      <c r="BJ165" s="1421">
        <v>180</v>
      </c>
      <c r="BK165" s="1421">
        <v>10</v>
      </c>
      <c r="BL165" s="1421">
        <v>18</v>
      </c>
      <c r="BM165" s="1421">
        <v>18</v>
      </c>
      <c r="BN165" s="1421">
        <v>0</v>
      </c>
      <c r="BO165" s="1421">
        <v>0</v>
      </c>
      <c r="BP165" s="2131">
        <v>60</v>
      </c>
      <c r="BQ165" s="2132">
        <v>0.16</v>
      </c>
      <c r="BR165" s="357">
        <v>0</v>
      </c>
    </row>
    <row r="166" spans="60:70">
      <c r="BH166" s="1421" t="s">
        <v>1589</v>
      </c>
      <c r="BI166" s="1421">
        <v>150</v>
      </c>
      <c r="BJ166" s="1421">
        <v>95</v>
      </c>
      <c r="BK166" s="1421">
        <v>10</v>
      </c>
      <c r="BL166" s="1421">
        <v>5</v>
      </c>
      <c r="BM166" s="1421">
        <v>5</v>
      </c>
      <c r="BN166" s="1421">
        <v>0</v>
      </c>
      <c r="BO166" s="1421">
        <v>0</v>
      </c>
      <c r="BP166" s="2133">
        <v>60</v>
      </c>
      <c r="BQ166" s="2134">
        <v>0.09</v>
      </c>
      <c r="BR166" s="357">
        <v>0</v>
      </c>
    </row>
    <row r="167" spans="60:70">
      <c r="BH167" s="1421" t="s">
        <v>1590</v>
      </c>
      <c r="BI167" s="1421">
        <v>25</v>
      </c>
      <c r="BJ167" s="1421">
        <v>95</v>
      </c>
      <c r="BK167" s="1421">
        <v>10</v>
      </c>
      <c r="BL167" s="1421">
        <v>5</v>
      </c>
      <c r="BM167" s="1421">
        <v>5</v>
      </c>
      <c r="BN167" s="1421">
        <v>0</v>
      </c>
      <c r="BO167" s="1421">
        <v>0</v>
      </c>
      <c r="BP167" s="2133">
        <v>60</v>
      </c>
      <c r="BQ167" s="2134">
        <v>0.51</v>
      </c>
      <c r="BR167" s="357">
        <v>0</v>
      </c>
    </row>
    <row r="168" spans="60:70">
      <c r="BH168" s="1421" t="s">
        <v>1591</v>
      </c>
      <c r="BI168" s="1421">
        <v>25</v>
      </c>
      <c r="BJ168" s="1421">
        <v>95</v>
      </c>
      <c r="BK168" s="1421">
        <v>10</v>
      </c>
      <c r="BL168" s="1421">
        <v>5</v>
      </c>
      <c r="BM168" s="1421">
        <v>5</v>
      </c>
      <c r="BN168" s="1421">
        <v>0</v>
      </c>
      <c r="BO168" s="1421">
        <v>0</v>
      </c>
      <c r="BP168" s="2133">
        <v>60</v>
      </c>
      <c r="BQ168" s="2134">
        <v>0.12</v>
      </c>
      <c r="BR168" s="357">
        <v>0</v>
      </c>
    </row>
    <row r="169" spans="60:70">
      <c r="BH169" s="1421" t="s">
        <v>1592</v>
      </c>
      <c r="BI169" s="1421">
        <v>120</v>
      </c>
      <c r="BJ169" s="1421">
        <v>105</v>
      </c>
      <c r="BK169" s="1421">
        <v>10</v>
      </c>
      <c r="BL169" s="1421">
        <v>11</v>
      </c>
      <c r="BM169" s="1421">
        <v>11</v>
      </c>
      <c r="BN169" s="1421">
        <v>0</v>
      </c>
      <c r="BO169" s="1421">
        <v>0</v>
      </c>
      <c r="BP169" s="2131">
        <v>30</v>
      </c>
      <c r="BQ169" s="2132">
        <v>0.15</v>
      </c>
      <c r="BR169" s="357">
        <v>0</v>
      </c>
    </row>
    <row r="170" spans="60:70">
      <c r="BH170" s="1421" t="s">
        <v>1593</v>
      </c>
      <c r="BI170" s="1421">
        <v>120</v>
      </c>
      <c r="BJ170" s="1421">
        <v>105</v>
      </c>
      <c r="BK170" s="1421">
        <v>10</v>
      </c>
      <c r="BL170" s="1421">
        <v>10</v>
      </c>
      <c r="BM170" s="1421">
        <v>10</v>
      </c>
      <c r="BN170" s="1421">
        <v>0</v>
      </c>
      <c r="BO170" s="1421">
        <v>0</v>
      </c>
      <c r="BP170" s="2131">
        <v>30</v>
      </c>
      <c r="BQ170" s="2132">
        <v>0.28541666666666665</v>
      </c>
      <c r="BR170" s="357">
        <v>0</v>
      </c>
    </row>
    <row r="171" spans="60:70">
      <c r="BH171" s="1421" t="s">
        <v>1594</v>
      </c>
      <c r="BI171" s="1421">
        <v>200</v>
      </c>
      <c r="BJ171" s="1421">
        <v>145</v>
      </c>
      <c r="BK171" s="1421">
        <v>10</v>
      </c>
      <c r="BL171" s="1421">
        <v>7</v>
      </c>
      <c r="BM171" s="1421">
        <v>7</v>
      </c>
      <c r="BN171" s="1421">
        <v>0</v>
      </c>
      <c r="BO171" s="1421">
        <v>0</v>
      </c>
      <c r="BP171" s="2135">
        <v>60</v>
      </c>
      <c r="BQ171" s="2134">
        <v>0.09</v>
      </c>
      <c r="BR171" s="357">
        <v>0</v>
      </c>
    </row>
    <row r="172" spans="60:70">
      <c r="BH172" s="1421" t="s">
        <v>1595</v>
      </c>
      <c r="BI172" s="1421">
        <v>300</v>
      </c>
      <c r="BJ172" s="1421">
        <v>210</v>
      </c>
      <c r="BK172" s="1421">
        <v>10</v>
      </c>
      <c r="BL172" s="1421">
        <v>21</v>
      </c>
      <c r="BM172" s="1421">
        <v>21</v>
      </c>
      <c r="BN172" s="1421">
        <v>0</v>
      </c>
      <c r="BO172" s="1421">
        <v>0</v>
      </c>
      <c r="BP172" s="2131">
        <v>60</v>
      </c>
      <c r="BQ172" s="2132">
        <v>0.13700000000000001</v>
      </c>
      <c r="BR172" s="357">
        <v>0</v>
      </c>
    </row>
    <row r="173" spans="60:70">
      <c r="BH173" s="1421" t="s">
        <v>1596</v>
      </c>
      <c r="BI173" s="1421">
        <v>200</v>
      </c>
      <c r="BJ173" s="1421">
        <v>180</v>
      </c>
      <c r="BK173" s="1421">
        <v>10</v>
      </c>
      <c r="BL173" s="1421">
        <v>18</v>
      </c>
      <c r="BM173" s="1421">
        <v>9</v>
      </c>
      <c r="BN173" s="1421">
        <v>0</v>
      </c>
      <c r="BO173" s="1421">
        <v>0</v>
      </c>
      <c r="BP173" s="2131">
        <v>60</v>
      </c>
      <c r="BQ173" s="2132">
        <v>0.13700000000000001</v>
      </c>
      <c r="BR173" s="357">
        <v>0</v>
      </c>
    </row>
    <row r="174" spans="60:70">
      <c r="BH174" s="1421" t="s">
        <v>1597</v>
      </c>
      <c r="BI174" s="1421">
        <v>500</v>
      </c>
      <c r="BJ174" s="1421">
        <v>310</v>
      </c>
      <c r="BK174" s="1421">
        <v>10</v>
      </c>
      <c r="BL174" s="1421">
        <v>31</v>
      </c>
      <c r="BM174" s="1421">
        <v>31</v>
      </c>
      <c r="BN174" s="1421">
        <v>0</v>
      </c>
      <c r="BO174" s="1421">
        <v>0</v>
      </c>
      <c r="BP174" s="2136">
        <v>60</v>
      </c>
      <c r="BQ174" s="2134">
        <v>0.13700000000000001</v>
      </c>
      <c r="BR174" s="357">
        <v>0</v>
      </c>
    </row>
    <row r="175" spans="60:70">
      <c r="BH175" s="1421" t="s">
        <v>1598</v>
      </c>
      <c r="BI175" s="1421">
        <v>280</v>
      </c>
      <c r="BJ175" s="1421">
        <v>240</v>
      </c>
      <c r="BK175" s="1421">
        <v>10</v>
      </c>
      <c r="BL175" s="1421">
        <v>24</v>
      </c>
      <c r="BM175" s="1421">
        <v>12</v>
      </c>
      <c r="BN175" s="1421">
        <v>0</v>
      </c>
      <c r="BO175" s="1421">
        <v>0</v>
      </c>
      <c r="BP175" s="2131">
        <v>60</v>
      </c>
      <c r="BQ175" s="2132">
        <v>0.13700000000000001</v>
      </c>
      <c r="BR175" s="357">
        <v>0</v>
      </c>
    </row>
    <row r="176" spans="60:70">
      <c r="BH176" s="1421" t="s">
        <v>1599</v>
      </c>
      <c r="BI176" s="1421">
        <v>300</v>
      </c>
      <c r="BJ176" s="1421">
        <v>160</v>
      </c>
      <c r="BK176" s="1421">
        <v>10</v>
      </c>
      <c r="BL176" s="1421">
        <v>16</v>
      </c>
      <c r="BM176" s="1421">
        <v>16</v>
      </c>
      <c r="BN176" s="1421">
        <v>0</v>
      </c>
      <c r="BO176" s="1421">
        <v>0</v>
      </c>
      <c r="BP176" s="2131">
        <v>60</v>
      </c>
      <c r="BQ176" s="2132">
        <v>0.11</v>
      </c>
      <c r="BR176" s="357">
        <v>0</v>
      </c>
    </row>
    <row r="177" spans="60:70">
      <c r="BH177" s="1421" t="s">
        <v>1600</v>
      </c>
      <c r="BI177" s="1421">
        <v>15</v>
      </c>
      <c r="BJ177" s="1421">
        <v>105</v>
      </c>
      <c r="BK177" s="1421">
        <v>10</v>
      </c>
      <c r="BL177" s="1421">
        <v>5</v>
      </c>
      <c r="BM177" s="1421">
        <v>5</v>
      </c>
      <c r="BN177" s="1421">
        <v>0</v>
      </c>
      <c r="BO177" s="1421">
        <v>0</v>
      </c>
      <c r="BP177" s="2131">
        <v>60</v>
      </c>
      <c r="BQ177" s="2132">
        <v>2</v>
      </c>
      <c r="BR177" s="357">
        <v>0</v>
      </c>
    </row>
    <row r="178" spans="60:70">
      <c r="BH178" s="1421" t="s">
        <v>1601</v>
      </c>
      <c r="BI178" s="1421">
        <v>15</v>
      </c>
      <c r="BJ178" s="1421">
        <v>105</v>
      </c>
      <c r="BK178" s="1421">
        <v>10</v>
      </c>
      <c r="BL178" s="1421">
        <v>5</v>
      </c>
      <c r="BM178" s="1421">
        <v>5</v>
      </c>
      <c r="BN178" s="1421">
        <v>0</v>
      </c>
      <c r="BO178" s="1421">
        <v>0</v>
      </c>
      <c r="BP178" s="2131">
        <v>60</v>
      </c>
      <c r="BQ178" s="2132">
        <v>1.71</v>
      </c>
      <c r="BR178" s="357">
        <v>0</v>
      </c>
    </row>
    <row r="179" spans="60:70">
      <c r="BH179" s="1421" t="s">
        <v>1602</v>
      </c>
      <c r="BI179" s="1421">
        <v>50</v>
      </c>
      <c r="BJ179" s="1421">
        <v>50</v>
      </c>
      <c r="BK179" s="1421">
        <v>10</v>
      </c>
      <c r="BL179" s="1421">
        <v>3</v>
      </c>
      <c r="BM179" s="1421">
        <v>3</v>
      </c>
      <c r="BN179" s="1421">
        <v>0</v>
      </c>
      <c r="BO179" s="1421">
        <v>0</v>
      </c>
      <c r="BP179" s="2133">
        <v>60</v>
      </c>
      <c r="BQ179" s="2134">
        <v>0.08</v>
      </c>
      <c r="BR179" s="357">
        <v>0</v>
      </c>
    </row>
    <row r="180" spans="60:70">
      <c r="BH180" s="1421" t="s">
        <v>1603</v>
      </c>
      <c r="BI180" s="1421">
        <v>50</v>
      </c>
      <c r="BJ180" s="1421">
        <v>50</v>
      </c>
      <c r="BK180" s="1421">
        <v>10</v>
      </c>
      <c r="BL180" s="1421">
        <v>3</v>
      </c>
      <c r="BM180" s="1421">
        <v>3</v>
      </c>
      <c r="BN180" s="1421">
        <v>0</v>
      </c>
      <c r="BO180" s="1421">
        <v>0</v>
      </c>
      <c r="BP180" s="2133">
        <v>60</v>
      </c>
      <c r="BQ180" s="2134">
        <v>0.09</v>
      </c>
      <c r="BR180" s="357">
        <v>0</v>
      </c>
    </row>
    <row r="181" spans="60:70">
      <c r="BH181" s="1421" t="s">
        <v>1604</v>
      </c>
      <c r="BI181" s="1421">
        <v>550</v>
      </c>
      <c r="BJ181" s="1421">
        <v>245</v>
      </c>
      <c r="BK181" s="1421">
        <v>10</v>
      </c>
      <c r="BL181" s="1421">
        <v>25</v>
      </c>
      <c r="BM181" s="1421">
        <v>25</v>
      </c>
      <c r="BN181" s="1421">
        <v>0</v>
      </c>
      <c r="BO181" s="1421">
        <v>0</v>
      </c>
      <c r="BP181" s="2135">
        <v>60</v>
      </c>
      <c r="BQ181" s="2132">
        <v>0.11</v>
      </c>
      <c r="BR181" s="357">
        <v>0</v>
      </c>
    </row>
    <row r="182" spans="60:70">
      <c r="BH182" s="1421" t="s">
        <v>1605</v>
      </c>
      <c r="BI182" s="1421">
        <v>9</v>
      </c>
      <c r="BJ182" s="1421">
        <v>65</v>
      </c>
      <c r="BK182" s="1421">
        <v>10</v>
      </c>
      <c r="BL182" s="1421">
        <v>7</v>
      </c>
      <c r="BM182" s="1421">
        <v>7</v>
      </c>
      <c r="BN182" s="1421">
        <v>0</v>
      </c>
      <c r="BO182" s="1421">
        <v>0</v>
      </c>
      <c r="BP182" s="2131">
        <v>60</v>
      </c>
      <c r="BQ182" s="2134">
        <v>2.0644444444444443</v>
      </c>
      <c r="BR182" s="357">
        <v>0</v>
      </c>
    </row>
    <row r="183" spans="60:70">
      <c r="BH183" s="1421" t="s">
        <v>1606</v>
      </c>
      <c r="BI183" s="1421">
        <v>9</v>
      </c>
      <c r="BJ183" s="1421">
        <v>65</v>
      </c>
      <c r="BK183" s="1421">
        <v>10</v>
      </c>
      <c r="BL183" s="1421">
        <v>7</v>
      </c>
      <c r="BM183" s="1421">
        <v>7</v>
      </c>
      <c r="BN183" s="1421">
        <v>0</v>
      </c>
      <c r="BO183" s="1421">
        <v>0</v>
      </c>
      <c r="BP183" s="2131">
        <v>60</v>
      </c>
      <c r="BQ183" s="2134">
        <v>1.53</v>
      </c>
      <c r="BR183" s="357">
        <v>0</v>
      </c>
    </row>
    <row r="184" spans="60:70">
      <c r="BH184" s="1421" t="s">
        <v>1607</v>
      </c>
      <c r="BI184" s="1421">
        <v>15</v>
      </c>
      <c r="BJ184" s="1421">
        <v>135</v>
      </c>
      <c r="BK184" s="1421">
        <v>10</v>
      </c>
      <c r="BL184" s="1421">
        <v>14</v>
      </c>
      <c r="BM184" s="1421">
        <v>14</v>
      </c>
      <c r="BN184" s="1421">
        <v>0</v>
      </c>
      <c r="BO184" s="1421">
        <v>0</v>
      </c>
      <c r="BP184" s="2131">
        <v>60</v>
      </c>
      <c r="BQ184" s="2134">
        <v>3.3699999999999997</v>
      </c>
      <c r="BR184" s="357">
        <v>0</v>
      </c>
    </row>
    <row r="185" spans="60:70">
      <c r="BH185" s="1421" t="s">
        <v>1608</v>
      </c>
      <c r="BI185" s="1421">
        <v>15</v>
      </c>
      <c r="BJ185" s="1421">
        <v>135</v>
      </c>
      <c r="BK185" s="1421">
        <v>10</v>
      </c>
      <c r="BL185" s="1421">
        <v>14</v>
      </c>
      <c r="BM185" s="1421">
        <v>14</v>
      </c>
      <c r="BN185" s="1421">
        <v>0</v>
      </c>
      <c r="BO185" s="1421">
        <v>0</v>
      </c>
      <c r="BP185" s="2131">
        <v>60</v>
      </c>
      <c r="BQ185" s="2132">
        <v>1.77</v>
      </c>
      <c r="BR185" s="357">
        <v>0</v>
      </c>
    </row>
    <row r="186" spans="60:70">
      <c r="BH186" s="1421" t="s">
        <v>1609</v>
      </c>
      <c r="BI186" s="1421">
        <v>12</v>
      </c>
      <c r="BJ186" s="1421">
        <v>80</v>
      </c>
      <c r="BK186" s="1421">
        <v>10</v>
      </c>
      <c r="BL186" s="1421">
        <v>8</v>
      </c>
      <c r="BM186" s="1421">
        <v>8</v>
      </c>
      <c r="BN186" s="1421">
        <v>0</v>
      </c>
      <c r="BO186" s="1421">
        <v>0</v>
      </c>
      <c r="BP186" s="2133">
        <v>60</v>
      </c>
      <c r="BQ186" s="2134">
        <v>2.7099999999999995</v>
      </c>
      <c r="BR186" s="357">
        <v>0</v>
      </c>
    </row>
    <row r="187" spans="60:70">
      <c r="BH187" s="1421" t="s">
        <v>1610</v>
      </c>
      <c r="BI187" s="1421">
        <v>12</v>
      </c>
      <c r="BJ187" s="1421">
        <v>80</v>
      </c>
      <c r="BK187" s="1421">
        <v>10</v>
      </c>
      <c r="BL187" s="1421">
        <v>8</v>
      </c>
      <c r="BM187" s="1421">
        <v>8</v>
      </c>
      <c r="BN187" s="1421">
        <v>0</v>
      </c>
      <c r="BO187" s="1421">
        <v>0</v>
      </c>
      <c r="BP187" s="2133">
        <v>60</v>
      </c>
      <c r="BQ187" s="2134">
        <v>1.81</v>
      </c>
      <c r="BR187" s="357">
        <v>0</v>
      </c>
    </row>
    <row r="188" spans="60:70">
      <c r="BH188" s="1421" t="s">
        <v>1611</v>
      </c>
      <c r="BI188" s="1421">
        <v>500</v>
      </c>
      <c r="BJ188" s="1421">
        <v>150</v>
      </c>
      <c r="BK188" s="1421">
        <v>10</v>
      </c>
      <c r="BL188" s="1421">
        <v>15</v>
      </c>
      <c r="BM188" s="1421">
        <v>15</v>
      </c>
      <c r="BN188" s="1421">
        <v>0</v>
      </c>
      <c r="BO188" s="1421">
        <v>0</v>
      </c>
      <c r="BP188" s="2131">
        <v>60</v>
      </c>
      <c r="BQ188" s="2132">
        <v>0.1</v>
      </c>
      <c r="BR188" s="357">
        <v>0</v>
      </c>
    </row>
    <row r="189" spans="60:70">
      <c r="BH189" s="1421" t="s">
        <v>1612</v>
      </c>
      <c r="BI189" s="1421">
        <v>50</v>
      </c>
      <c r="BJ189" s="1421">
        <v>75</v>
      </c>
      <c r="BK189" s="1421">
        <v>10</v>
      </c>
      <c r="BL189" s="1421">
        <v>4</v>
      </c>
      <c r="BM189" s="1421">
        <v>4</v>
      </c>
      <c r="BN189" s="1421">
        <v>0</v>
      </c>
      <c r="BO189" s="1421">
        <v>0</v>
      </c>
      <c r="BP189" s="2131">
        <v>60</v>
      </c>
      <c r="BQ189" s="2132">
        <v>0.12</v>
      </c>
      <c r="BR189" s="357">
        <v>0</v>
      </c>
    </row>
    <row r="190" spans="60:70">
      <c r="BH190" s="1421" t="s">
        <v>1613</v>
      </c>
      <c r="BI190" s="1421">
        <v>20</v>
      </c>
      <c r="BJ190" s="1421">
        <v>75</v>
      </c>
      <c r="BK190" s="1421">
        <v>10</v>
      </c>
      <c r="BL190" s="1421">
        <v>4</v>
      </c>
      <c r="BM190" s="1421">
        <v>4</v>
      </c>
      <c r="BN190" s="1421">
        <v>0</v>
      </c>
      <c r="BO190" s="1421">
        <v>0</v>
      </c>
      <c r="BP190" s="2131">
        <v>60</v>
      </c>
      <c r="BQ190" s="2134">
        <v>0.5</v>
      </c>
      <c r="BR190" s="357">
        <v>0</v>
      </c>
    </row>
    <row r="191" spans="60:70">
      <c r="BH191" s="1421" t="s">
        <v>1614</v>
      </c>
      <c r="BI191" s="1421">
        <v>20</v>
      </c>
      <c r="BJ191" s="1421">
        <v>75</v>
      </c>
      <c r="BK191" s="1421">
        <v>10</v>
      </c>
      <c r="BL191" s="1421">
        <v>4</v>
      </c>
      <c r="BM191" s="1421">
        <v>4</v>
      </c>
      <c r="BN191" s="1421">
        <v>0</v>
      </c>
      <c r="BO191" s="1421">
        <v>0</v>
      </c>
      <c r="BP191" s="2131">
        <v>60</v>
      </c>
      <c r="BQ191" s="2132">
        <v>0.2</v>
      </c>
      <c r="BR191" s="357">
        <v>0</v>
      </c>
    </row>
    <row r="192" spans="60:70">
      <c r="BH192" s="1421" t="s">
        <v>1615</v>
      </c>
      <c r="BI192" s="1421">
        <v>7</v>
      </c>
      <c r="BJ192" s="1421">
        <v>75</v>
      </c>
      <c r="BK192" s="1421">
        <v>10</v>
      </c>
      <c r="BL192" s="1421">
        <v>4</v>
      </c>
      <c r="BM192" s="1421">
        <v>4</v>
      </c>
      <c r="BN192" s="1421">
        <v>0</v>
      </c>
      <c r="BO192" s="1421">
        <v>0</v>
      </c>
      <c r="BP192" s="2131">
        <v>60</v>
      </c>
      <c r="BQ192" s="2134">
        <v>1.0571428571428572</v>
      </c>
      <c r="BR192" s="357">
        <v>0</v>
      </c>
    </row>
    <row r="193" spans="60:70">
      <c r="BH193" s="1421" t="s">
        <v>1616</v>
      </c>
      <c r="BI193" s="1421">
        <v>7</v>
      </c>
      <c r="BJ193" s="1421">
        <v>75</v>
      </c>
      <c r="BK193" s="1421">
        <v>10</v>
      </c>
      <c r="BL193" s="1421">
        <v>4</v>
      </c>
      <c r="BM193" s="1421">
        <v>4</v>
      </c>
      <c r="BN193" s="1421">
        <v>0</v>
      </c>
      <c r="BO193" s="1421">
        <v>0</v>
      </c>
      <c r="BP193" s="2131">
        <v>60</v>
      </c>
      <c r="BQ193" s="2132">
        <v>0.2</v>
      </c>
      <c r="BR193" s="357">
        <v>0</v>
      </c>
    </row>
    <row r="194" spans="60:70">
      <c r="BH194" s="1421" t="s">
        <v>1617</v>
      </c>
      <c r="BI194" s="1421">
        <v>300</v>
      </c>
      <c r="BJ194" s="1421">
        <v>180</v>
      </c>
      <c r="BK194" s="1421">
        <v>10</v>
      </c>
      <c r="BL194" s="1421">
        <v>18</v>
      </c>
      <c r="BM194" s="1421">
        <v>18</v>
      </c>
      <c r="BN194" s="1421">
        <v>0</v>
      </c>
      <c r="BO194" s="1421">
        <v>0</v>
      </c>
      <c r="BP194" s="2131">
        <v>60</v>
      </c>
      <c r="BQ194" s="2132">
        <v>0.1</v>
      </c>
      <c r="BR194" s="357">
        <v>0</v>
      </c>
    </row>
    <row r="195" spans="60:70">
      <c r="BH195" s="1421" t="s">
        <v>1618</v>
      </c>
      <c r="BI195" s="1421">
        <v>150</v>
      </c>
      <c r="BJ195" s="1421">
        <v>180</v>
      </c>
      <c r="BK195" s="1421">
        <v>10</v>
      </c>
      <c r="BL195" s="1421">
        <v>18</v>
      </c>
      <c r="BM195" s="1421">
        <v>18</v>
      </c>
      <c r="BN195" s="1421">
        <v>0</v>
      </c>
      <c r="BO195" s="1421">
        <v>0</v>
      </c>
      <c r="BP195" s="2131">
        <v>60</v>
      </c>
      <c r="BQ195" s="2134">
        <v>0.34</v>
      </c>
      <c r="BR195" s="357">
        <v>0</v>
      </c>
    </row>
    <row r="196" spans="60:70">
      <c r="BH196" s="1421" t="s">
        <v>1619</v>
      </c>
      <c r="BI196" s="1421">
        <v>150</v>
      </c>
      <c r="BJ196" s="1421">
        <v>180</v>
      </c>
      <c r="BK196" s="1421">
        <v>10</v>
      </c>
      <c r="BL196" s="1421">
        <v>18</v>
      </c>
      <c r="BM196" s="1421">
        <v>18</v>
      </c>
      <c r="BN196" s="1421">
        <v>0</v>
      </c>
      <c r="BO196" s="1421">
        <v>0</v>
      </c>
      <c r="BP196" s="2131">
        <v>60</v>
      </c>
      <c r="BQ196" s="2132">
        <v>0.14000000000000001</v>
      </c>
      <c r="BR196" s="357">
        <v>0</v>
      </c>
    </row>
    <row r="197" spans="60:70">
      <c r="BH197" s="1421" t="s">
        <v>1620</v>
      </c>
      <c r="BI197" s="1421">
        <v>50</v>
      </c>
      <c r="BJ197" s="1421">
        <v>180</v>
      </c>
      <c r="BK197" s="1421">
        <v>10</v>
      </c>
      <c r="BL197" s="1421">
        <v>18</v>
      </c>
      <c r="BM197" s="1421">
        <v>18</v>
      </c>
      <c r="BN197" s="1421">
        <v>0</v>
      </c>
      <c r="BO197" s="1421">
        <v>0</v>
      </c>
      <c r="BP197" s="2131">
        <v>60</v>
      </c>
      <c r="BQ197" s="2134">
        <v>0.74</v>
      </c>
      <c r="BR197" s="357">
        <v>0</v>
      </c>
    </row>
    <row r="198" spans="60:70">
      <c r="BH198" s="1421" t="s">
        <v>1621</v>
      </c>
      <c r="BI198" s="1421">
        <v>50</v>
      </c>
      <c r="BJ198" s="1421">
        <v>180</v>
      </c>
      <c r="BK198" s="1421">
        <v>10</v>
      </c>
      <c r="BL198" s="1421">
        <v>18</v>
      </c>
      <c r="BM198" s="1421">
        <v>18</v>
      </c>
      <c r="BN198" s="1421">
        <v>0</v>
      </c>
      <c r="BO198" s="1421">
        <v>0</v>
      </c>
      <c r="BP198" s="2131">
        <v>60</v>
      </c>
      <c r="BQ198" s="2132">
        <v>0.14000000000000001</v>
      </c>
      <c r="BR198" s="357">
        <v>0</v>
      </c>
    </row>
    <row r="199" spans="60:70">
      <c r="BH199" s="1421" t="s">
        <v>1622</v>
      </c>
      <c r="BI199" s="1421">
        <v>300</v>
      </c>
      <c r="BJ199" s="1421">
        <v>215</v>
      </c>
      <c r="BK199" s="1421">
        <v>10</v>
      </c>
      <c r="BL199" s="1421">
        <v>22</v>
      </c>
      <c r="BM199" s="1421">
        <v>22</v>
      </c>
      <c r="BN199" s="1421">
        <v>0</v>
      </c>
      <c r="BO199" s="1421">
        <v>0</v>
      </c>
      <c r="BP199" s="2131">
        <v>60</v>
      </c>
      <c r="BQ199" s="2132">
        <v>0.13</v>
      </c>
      <c r="BR199" s="357">
        <v>0</v>
      </c>
    </row>
    <row r="200" spans="60:70">
      <c r="BH200" s="1421" t="s">
        <v>1623</v>
      </c>
      <c r="BI200" s="1421">
        <v>150</v>
      </c>
      <c r="BJ200" s="1421">
        <v>215</v>
      </c>
      <c r="BK200" s="1421">
        <v>10</v>
      </c>
      <c r="BL200" s="1421">
        <v>22</v>
      </c>
      <c r="BM200" s="1421">
        <v>22</v>
      </c>
      <c r="BN200" s="1421">
        <v>0</v>
      </c>
      <c r="BO200" s="1421">
        <v>0</v>
      </c>
      <c r="BP200" s="2131">
        <v>60</v>
      </c>
      <c r="BQ200" s="2134">
        <v>0.4</v>
      </c>
      <c r="BR200" s="357">
        <v>0</v>
      </c>
    </row>
    <row r="201" spans="60:70">
      <c r="BH201" s="1421" t="s">
        <v>1624</v>
      </c>
      <c r="BI201" s="1421">
        <v>150</v>
      </c>
      <c r="BJ201" s="1421">
        <v>215</v>
      </c>
      <c r="BK201" s="1421">
        <v>10</v>
      </c>
      <c r="BL201" s="1421">
        <v>22</v>
      </c>
      <c r="BM201" s="1421">
        <v>22</v>
      </c>
      <c r="BN201" s="1421">
        <v>0</v>
      </c>
      <c r="BO201" s="1421">
        <v>0</v>
      </c>
      <c r="BP201" s="2131">
        <v>60</v>
      </c>
      <c r="BQ201" s="2132">
        <v>0.14000000000000001</v>
      </c>
      <c r="BR201" s="357">
        <v>0</v>
      </c>
    </row>
    <row r="202" spans="60:70">
      <c r="BH202" s="1421" t="s">
        <v>1625</v>
      </c>
      <c r="BI202" s="1421">
        <v>50</v>
      </c>
      <c r="BJ202" s="1421">
        <v>215</v>
      </c>
      <c r="BK202" s="1421">
        <v>10</v>
      </c>
      <c r="BL202" s="1421">
        <v>22</v>
      </c>
      <c r="BM202" s="1421">
        <v>22</v>
      </c>
      <c r="BN202" s="1421">
        <v>0</v>
      </c>
      <c r="BO202" s="1421">
        <v>0</v>
      </c>
      <c r="BP202" s="2131">
        <v>60</v>
      </c>
      <c r="BQ202" s="2134">
        <v>0.92</v>
      </c>
      <c r="BR202" s="357">
        <v>0</v>
      </c>
    </row>
    <row r="203" spans="60:70">
      <c r="BH203" s="1421" t="s">
        <v>1626</v>
      </c>
      <c r="BI203" s="1421">
        <v>50</v>
      </c>
      <c r="BJ203" s="1421">
        <v>215</v>
      </c>
      <c r="BK203" s="1421">
        <v>10</v>
      </c>
      <c r="BL203" s="1421">
        <v>22</v>
      </c>
      <c r="BM203" s="1421">
        <v>22</v>
      </c>
      <c r="BN203" s="1421">
        <v>0</v>
      </c>
      <c r="BO203" s="1421">
        <v>0</v>
      </c>
      <c r="BP203" s="2131">
        <v>60</v>
      </c>
      <c r="BQ203" s="2132">
        <v>0.14000000000000001</v>
      </c>
      <c r="BR203" s="357">
        <v>0</v>
      </c>
    </row>
    <row r="204" spans="60:70">
      <c r="BH204" s="1421" t="s">
        <v>1627</v>
      </c>
      <c r="BI204" s="1421">
        <v>350</v>
      </c>
      <c r="BJ204" s="1421">
        <v>185</v>
      </c>
      <c r="BK204" s="1421">
        <v>10</v>
      </c>
      <c r="BL204" s="1421">
        <v>19</v>
      </c>
      <c r="BM204" s="1421">
        <v>19</v>
      </c>
      <c r="BN204" s="1421">
        <v>0</v>
      </c>
      <c r="BO204" s="1421">
        <v>0</v>
      </c>
      <c r="BP204" s="2131">
        <v>60</v>
      </c>
      <c r="BQ204" s="2134">
        <v>0.12</v>
      </c>
      <c r="BR204" s="357">
        <v>0</v>
      </c>
    </row>
    <row r="205" spans="60:70">
      <c r="BH205" s="1421" t="s">
        <v>1628</v>
      </c>
      <c r="BI205" s="1421">
        <v>350</v>
      </c>
      <c r="BJ205" s="1421">
        <v>225</v>
      </c>
      <c r="BK205" s="1421">
        <v>10</v>
      </c>
      <c r="BL205" s="1421">
        <v>23</v>
      </c>
      <c r="BM205" s="1421">
        <v>23</v>
      </c>
      <c r="BN205" s="1421">
        <v>0</v>
      </c>
      <c r="BO205" s="1421">
        <v>0</v>
      </c>
      <c r="BP205" s="2136">
        <v>30</v>
      </c>
      <c r="BQ205" s="2132">
        <v>0.14000000000000001</v>
      </c>
      <c r="BR205" s="357">
        <v>0</v>
      </c>
    </row>
    <row r="206" spans="60:70">
      <c r="BH206" s="1421" t="s">
        <v>1629</v>
      </c>
      <c r="BI206" s="1421">
        <v>350</v>
      </c>
      <c r="BJ206" s="1421">
        <v>225</v>
      </c>
      <c r="BK206" s="1421">
        <v>10</v>
      </c>
      <c r="BL206" s="1421">
        <v>23</v>
      </c>
      <c r="BM206" s="1421">
        <v>23</v>
      </c>
      <c r="BN206" s="1421">
        <v>0</v>
      </c>
      <c r="BO206" s="1421">
        <v>0</v>
      </c>
      <c r="BP206" s="2136">
        <v>30</v>
      </c>
      <c r="BQ206" s="2134">
        <v>0.14000000000000001</v>
      </c>
      <c r="BR206" s="357">
        <v>0</v>
      </c>
    </row>
    <row r="207" spans="60:70">
      <c r="BH207" s="1421" t="s">
        <v>1630</v>
      </c>
      <c r="BI207" s="1421">
        <v>80</v>
      </c>
      <c r="BJ207" s="1421">
        <v>45</v>
      </c>
      <c r="BK207" s="1421">
        <v>10</v>
      </c>
      <c r="BL207" s="1421">
        <v>2</v>
      </c>
      <c r="BM207" s="1421">
        <v>2</v>
      </c>
      <c r="BN207" s="1421">
        <v>0</v>
      </c>
      <c r="BO207" s="1421">
        <v>0</v>
      </c>
      <c r="BP207" s="2133">
        <v>30</v>
      </c>
      <c r="BQ207" s="2134">
        <v>0.09</v>
      </c>
      <c r="BR207" s="357">
        <v>0</v>
      </c>
    </row>
    <row r="208" spans="60:70">
      <c r="BH208" s="1421" t="s">
        <v>1631</v>
      </c>
      <c r="BI208" s="1421">
        <v>150</v>
      </c>
      <c r="BJ208" s="1421">
        <v>100</v>
      </c>
      <c r="BK208" s="1421">
        <v>10</v>
      </c>
      <c r="BL208" s="1421">
        <v>5</v>
      </c>
      <c r="BM208" s="1421">
        <v>5</v>
      </c>
      <c r="BN208" s="1421">
        <v>0</v>
      </c>
      <c r="BO208" s="1421">
        <v>0</v>
      </c>
      <c r="BP208" s="2131">
        <v>60</v>
      </c>
      <c r="BQ208" s="2132">
        <v>0.12</v>
      </c>
      <c r="BR208" s="357">
        <v>0</v>
      </c>
    </row>
    <row r="209" spans="60:70">
      <c r="BH209" s="1421" t="s">
        <v>1632</v>
      </c>
      <c r="BI209" s="1421">
        <v>120</v>
      </c>
      <c r="BJ209" s="1421">
        <v>130</v>
      </c>
      <c r="BK209" s="1421">
        <v>10</v>
      </c>
      <c r="BL209" s="1421">
        <v>13</v>
      </c>
      <c r="BM209" s="1421">
        <v>13</v>
      </c>
      <c r="BN209" s="1421">
        <v>0</v>
      </c>
      <c r="BO209" s="1421">
        <v>0</v>
      </c>
      <c r="BP209" s="2131">
        <v>60</v>
      </c>
      <c r="BQ209" s="2132">
        <v>0.46</v>
      </c>
      <c r="BR209" s="357">
        <v>0</v>
      </c>
    </row>
    <row r="210" spans="60:70">
      <c r="BH210" s="1421" t="s">
        <v>1633</v>
      </c>
      <c r="BI210" s="1421">
        <v>40</v>
      </c>
      <c r="BJ210" s="1421">
        <v>150</v>
      </c>
      <c r="BK210" s="1421">
        <v>10</v>
      </c>
      <c r="BL210" s="1421">
        <v>15</v>
      </c>
      <c r="BM210" s="1421">
        <v>15</v>
      </c>
      <c r="BN210" s="1421">
        <v>0</v>
      </c>
      <c r="BO210" s="1421">
        <v>0</v>
      </c>
      <c r="BP210" s="2131">
        <v>60</v>
      </c>
      <c r="BQ210" s="2132">
        <v>1.2</v>
      </c>
      <c r="BR210" s="357">
        <v>0</v>
      </c>
    </row>
    <row r="211" spans="60:70">
      <c r="BH211" s="1421" t="s">
        <v>1634</v>
      </c>
      <c r="BI211" s="1421">
        <v>40</v>
      </c>
      <c r="BJ211" s="1421">
        <v>150</v>
      </c>
      <c r="BK211" s="1421">
        <v>10</v>
      </c>
      <c r="BL211" s="1421">
        <v>15</v>
      </c>
      <c r="BM211" s="1421">
        <v>15</v>
      </c>
      <c r="BN211" s="1421">
        <v>0</v>
      </c>
      <c r="BO211" s="1421">
        <v>0</v>
      </c>
      <c r="BP211" s="2131">
        <v>60</v>
      </c>
      <c r="BQ211" s="2132">
        <v>0.25</v>
      </c>
      <c r="BR211" s="357">
        <v>0</v>
      </c>
    </row>
    <row r="212" spans="60:70">
      <c r="BH212" s="1421" t="s">
        <v>1635</v>
      </c>
      <c r="BI212" s="1421">
        <v>300</v>
      </c>
      <c r="BJ212" s="1421">
        <v>135</v>
      </c>
      <c r="BK212" s="1421">
        <v>10</v>
      </c>
      <c r="BL212" s="1421">
        <v>14</v>
      </c>
      <c r="BM212" s="1421">
        <v>14</v>
      </c>
      <c r="BN212" s="1421">
        <v>0</v>
      </c>
      <c r="BO212" s="1421">
        <v>0</v>
      </c>
      <c r="BP212" s="2131">
        <v>60</v>
      </c>
      <c r="BQ212" s="2132">
        <v>0.17</v>
      </c>
      <c r="BR212" s="357">
        <v>0</v>
      </c>
    </row>
    <row r="213" spans="60:70">
      <c r="BH213" s="1421" t="s">
        <v>1636</v>
      </c>
      <c r="BI213" s="1421">
        <v>100</v>
      </c>
      <c r="BJ213" s="1421">
        <v>80</v>
      </c>
      <c r="BK213" s="1421">
        <v>10</v>
      </c>
      <c r="BL213" s="1421">
        <v>4</v>
      </c>
      <c r="BM213" s="1421">
        <v>4</v>
      </c>
      <c r="BN213" s="1421">
        <v>0</v>
      </c>
      <c r="BO213" s="1421">
        <v>0</v>
      </c>
      <c r="BP213" s="2131">
        <v>30</v>
      </c>
      <c r="BQ213" s="2139">
        <v>0.1</v>
      </c>
      <c r="BR213" s="357">
        <v>0</v>
      </c>
    </row>
    <row r="214" spans="60:70">
      <c r="BH214" s="1421" t="s">
        <v>1637</v>
      </c>
      <c r="BI214" s="1421">
        <v>800</v>
      </c>
      <c r="BJ214" s="1421">
        <v>440</v>
      </c>
      <c r="BK214" s="1421">
        <v>10</v>
      </c>
      <c r="BL214" s="1421">
        <v>44</v>
      </c>
      <c r="BM214" s="1421">
        <v>44</v>
      </c>
      <c r="BN214" s="1421">
        <v>0</v>
      </c>
      <c r="BO214" s="1421">
        <v>0</v>
      </c>
      <c r="BP214" s="2136">
        <v>60</v>
      </c>
      <c r="BQ214" s="2132">
        <v>0.13700000000000001</v>
      </c>
      <c r="BR214" s="357">
        <v>0</v>
      </c>
    </row>
    <row r="215" spans="60:70">
      <c r="BH215" s="1421" t="s">
        <v>1638</v>
      </c>
      <c r="BI215" s="1421">
        <v>150</v>
      </c>
      <c r="BJ215" s="1421">
        <v>105</v>
      </c>
      <c r="BK215" s="1421">
        <v>10</v>
      </c>
      <c r="BL215" s="1421">
        <v>5</v>
      </c>
      <c r="BM215" s="1421">
        <v>5</v>
      </c>
      <c r="BN215" s="1421">
        <v>0</v>
      </c>
      <c r="BO215" s="1421">
        <v>0</v>
      </c>
      <c r="BP215" s="2133">
        <v>60</v>
      </c>
      <c r="BQ215" s="2132">
        <v>0.1</v>
      </c>
      <c r="BR215" s="357">
        <v>0</v>
      </c>
    </row>
    <row r="216" spans="60:70">
      <c r="BH216" s="1421" t="s">
        <v>1639</v>
      </c>
      <c r="BI216" s="1421">
        <v>300</v>
      </c>
      <c r="BJ216" s="1421">
        <v>185</v>
      </c>
      <c r="BK216" s="1421">
        <v>10</v>
      </c>
      <c r="BL216" s="1421">
        <v>19</v>
      </c>
      <c r="BM216" s="1421">
        <v>19</v>
      </c>
      <c r="BN216" s="1421">
        <v>0</v>
      </c>
      <c r="BO216" s="1421">
        <v>0</v>
      </c>
      <c r="BP216" s="2135">
        <v>60</v>
      </c>
      <c r="BQ216" s="2132">
        <v>0.14000000000000001</v>
      </c>
      <c r="BR216" s="357">
        <v>0</v>
      </c>
    </row>
    <row r="217" spans="60:70">
      <c r="BH217" s="1421" t="s">
        <v>1640</v>
      </c>
      <c r="BI217" s="1421">
        <v>265</v>
      </c>
      <c r="BJ217" s="1421">
        <v>155</v>
      </c>
      <c r="BK217" s="1421">
        <v>10</v>
      </c>
      <c r="BL217" s="1421">
        <v>16</v>
      </c>
      <c r="BM217" s="1421">
        <v>16</v>
      </c>
      <c r="BN217" s="1421">
        <v>0</v>
      </c>
      <c r="BO217" s="1421">
        <v>0</v>
      </c>
      <c r="BP217" s="2135">
        <v>60</v>
      </c>
      <c r="BQ217" s="2132">
        <v>0.14000000000000001</v>
      </c>
      <c r="BR217" s="357">
        <v>0</v>
      </c>
    </row>
    <row r="218" spans="60:70">
      <c r="BH218" s="1968"/>
      <c r="BI218" s="1421"/>
      <c r="BJ218" s="1421"/>
      <c r="BK218" s="1421"/>
      <c r="BL218" s="1421"/>
      <c r="BM218" s="1421"/>
      <c r="BN218" s="1421"/>
      <c r="BO218" s="1421"/>
      <c r="BP218" s="2131"/>
      <c r="BQ218" s="2132"/>
    </row>
    <row r="219" spans="60:70">
      <c r="BH219" s="1968"/>
      <c r="BI219" s="1421"/>
      <c r="BJ219" s="1421"/>
      <c r="BK219" s="1421"/>
      <c r="BL219" s="1421"/>
      <c r="BM219" s="1421"/>
      <c r="BN219" s="1421"/>
      <c r="BO219" s="1421"/>
      <c r="BP219" s="2131"/>
      <c r="BQ219" s="2134"/>
    </row>
    <row r="241" spans="60:69">
      <c r="BH241" s="1968"/>
      <c r="BI241" s="1421"/>
      <c r="BJ241" s="1421"/>
      <c r="BK241" s="1421"/>
      <c r="BL241" s="1421"/>
      <c r="BM241" s="1421"/>
      <c r="BN241" s="1421"/>
      <c r="BO241" s="1421"/>
      <c r="BP241" s="2131"/>
      <c r="BQ241" s="2134"/>
    </row>
    <row r="242" spans="60:69">
      <c r="BH242" s="1968"/>
      <c r="BI242" s="1421"/>
      <c r="BJ242" s="1421"/>
      <c r="BK242" s="1421"/>
      <c r="BL242" s="1421"/>
      <c r="BM242" s="1421"/>
      <c r="BN242" s="1421"/>
      <c r="BO242" s="1421"/>
      <c r="BP242" s="2133"/>
      <c r="BQ242" s="2134"/>
    </row>
    <row r="243" spans="60:69">
      <c r="BH243" s="1968"/>
      <c r="BI243" s="1421"/>
      <c r="BJ243" s="1421"/>
      <c r="BK243" s="1421"/>
      <c r="BL243" s="1421"/>
      <c r="BM243" s="1421"/>
      <c r="BN243" s="1421"/>
      <c r="BO243" s="1421"/>
      <c r="BP243" s="2133"/>
      <c r="BQ243" s="2134"/>
    </row>
    <row r="244" spans="60:69">
      <c r="BH244" s="1968"/>
      <c r="BI244" s="1421"/>
      <c r="BJ244" s="1421"/>
      <c r="BK244" s="1421"/>
      <c r="BL244" s="1421"/>
      <c r="BM244" s="1421"/>
      <c r="BN244" s="1421"/>
      <c r="BO244" s="1421"/>
      <c r="BP244" s="2131"/>
      <c r="BQ244" s="2132"/>
    </row>
    <row r="245" spans="60:69">
      <c r="BH245" s="1968"/>
      <c r="BI245" s="1421"/>
      <c r="BJ245" s="1421"/>
      <c r="BK245" s="1421"/>
      <c r="BL245" s="1421"/>
      <c r="BM245" s="1421"/>
      <c r="BN245" s="1421"/>
      <c r="BO245" s="1421"/>
      <c r="BP245" s="2133"/>
      <c r="BQ245" s="2134"/>
    </row>
    <row r="246" spans="60:69">
      <c r="BH246" s="1968"/>
      <c r="BI246" s="1421"/>
      <c r="BJ246" s="1421"/>
      <c r="BK246" s="1421"/>
      <c r="BL246" s="1421"/>
      <c r="BM246" s="1421"/>
      <c r="BN246" s="1421"/>
      <c r="BO246" s="1421"/>
      <c r="BP246" s="2133"/>
      <c r="BQ246" s="2134"/>
    </row>
    <row r="247" spans="60:69">
      <c r="BH247" s="1968"/>
      <c r="BI247" s="1421"/>
      <c r="BJ247" s="1421"/>
      <c r="BK247" s="1421"/>
      <c r="BL247" s="1421"/>
      <c r="BM247" s="1421"/>
      <c r="BN247" s="1421"/>
      <c r="BO247" s="1421"/>
      <c r="BP247" s="2131"/>
      <c r="BQ247" s="2132"/>
    </row>
    <row r="248" spans="60:69">
      <c r="BH248" s="1968"/>
      <c r="BI248" s="1421"/>
      <c r="BJ248" s="1421"/>
      <c r="BK248" s="1421"/>
      <c r="BL248" s="1421"/>
      <c r="BM248" s="1421"/>
      <c r="BN248" s="1421"/>
      <c r="BO248" s="1421"/>
      <c r="BP248" s="2136"/>
      <c r="BQ248" s="2134"/>
    </row>
    <row r="249" spans="60:69">
      <c r="BH249" s="1968"/>
      <c r="BI249" s="1421"/>
      <c r="BJ249" s="1421"/>
      <c r="BK249" s="1421"/>
      <c r="BL249" s="1421"/>
      <c r="BM249" s="1421"/>
      <c r="BN249" s="1421"/>
      <c r="BO249" s="1421"/>
      <c r="BP249" s="2136"/>
      <c r="BQ249" s="2134"/>
    </row>
    <row r="250" spans="60:69">
      <c r="BH250" s="1968"/>
      <c r="BI250" s="1421"/>
      <c r="BJ250" s="1421"/>
      <c r="BK250" s="1421"/>
      <c r="BL250" s="1421"/>
      <c r="BM250" s="1421"/>
      <c r="BN250" s="1421"/>
      <c r="BO250" s="1421"/>
      <c r="BP250" s="2136"/>
      <c r="BQ250" s="2134"/>
    </row>
    <row r="251" spans="60:69">
      <c r="BH251" s="1968"/>
      <c r="BI251" s="1421"/>
      <c r="BJ251" s="1421"/>
      <c r="BK251" s="1421"/>
      <c r="BL251" s="1421"/>
      <c r="BM251" s="1421"/>
      <c r="BN251" s="1421"/>
      <c r="BO251" s="1421"/>
      <c r="BP251" s="2136"/>
      <c r="BQ251" s="2132"/>
    </row>
    <row r="252" spans="60:69">
      <c r="BH252" s="1968"/>
      <c r="BI252" s="1421"/>
      <c r="BJ252" s="1421"/>
      <c r="BK252" s="1421"/>
      <c r="BL252" s="1421"/>
      <c r="BM252" s="1421"/>
      <c r="BN252" s="1421"/>
      <c r="BO252" s="1421"/>
      <c r="BP252" s="2131"/>
      <c r="BQ252" s="2134"/>
    </row>
    <row r="253" spans="60:69">
      <c r="BH253" s="1968"/>
      <c r="BI253" s="1421"/>
      <c r="BJ253" s="1421"/>
      <c r="BK253" s="1421"/>
      <c r="BL253" s="1421"/>
      <c r="BM253" s="1421"/>
      <c r="BN253" s="1421"/>
      <c r="BO253" s="1421"/>
      <c r="BP253" s="2133"/>
      <c r="BQ253" s="2134"/>
    </row>
    <row r="254" spans="60:69">
      <c r="BH254" s="1968"/>
      <c r="BI254" s="1421"/>
      <c r="BJ254" s="1421"/>
      <c r="BK254" s="1421"/>
      <c r="BL254" s="1421"/>
      <c r="BM254" s="1421"/>
      <c r="BN254" s="1421"/>
      <c r="BO254" s="1421"/>
      <c r="BP254" s="2131"/>
      <c r="BQ254" s="2132"/>
    </row>
    <row r="255" spans="60:69">
      <c r="BH255" s="1968"/>
      <c r="BI255" s="1421"/>
      <c r="BJ255" s="1421"/>
      <c r="BK255" s="1421"/>
      <c r="BL255" s="1421"/>
      <c r="BM255" s="1421"/>
      <c r="BN255" s="1421"/>
      <c r="BO255" s="1421"/>
      <c r="BP255" s="2131"/>
      <c r="BQ255" s="2134"/>
    </row>
    <row r="256" spans="60:69">
      <c r="BH256" s="1968"/>
      <c r="BI256" s="1421"/>
      <c r="BJ256" s="1421"/>
      <c r="BK256" s="1421"/>
      <c r="BL256" s="1421"/>
      <c r="BM256" s="1421"/>
      <c r="BN256" s="1421"/>
      <c r="BO256" s="1421"/>
      <c r="BP256" s="2131"/>
      <c r="BQ256" s="2134"/>
    </row>
    <row r="257" spans="60:69">
      <c r="BH257" s="1968"/>
      <c r="BI257" s="1421"/>
      <c r="BJ257" s="1421"/>
      <c r="BK257" s="1421"/>
      <c r="BL257" s="1421"/>
      <c r="BM257" s="1421"/>
      <c r="BN257" s="1421"/>
      <c r="BO257" s="1421"/>
      <c r="BP257" s="2131"/>
      <c r="BQ257" s="2134"/>
    </row>
    <row r="258" spans="60:69">
      <c r="BH258" s="1968"/>
      <c r="BI258" s="1421"/>
      <c r="BJ258" s="1421"/>
      <c r="BK258" s="1421"/>
      <c r="BL258" s="1421"/>
      <c r="BM258" s="1421"/>
      <c r="BN258" s="1421"/>
      <c r="BO258" s="1421"/>
      <c r="BP258" s="2136"/>
      <c r="BQ258" s="2134"/>
    </row>
    <row r="259" spans="60:69">
      <c r="BH259" s="1968"/>
      <c r="BI259" s="1421"/>
      <c r="BJ259" s="1421"/>
      <c r="BK259" s="1421"/>
      <c r="BL259" s="1421"/>
      <c r="BM259" s="1421"/>
      <c r="BN259" s="1421"/>
      <c r="BO259" s="1421"/>
      <c r="BP259" s="2136"/>
      <c r="BQ259" s="2132"/>
    </row>
    <row r="260" spans="60:69">
      <c r="BH260" s="1968"/>
      <c r="BI260" s="1421"/>
      <c r="BJ260" s="1421"/>
      <c r="BK260" s="1421"/>
      <c r="BL260" s="1421"/>
      <c r="BM260" s="1421"/>
      <c r="BN260" s="1421"/>
      <c r="BO260" s="1421"/>
      <c r="BP260" s="2131"/>
      <c r="BQ260" s="2132"/>
    </row>
    <row r="261" spans="60:69">
      <c r="BH261" s="1968"/>
      <c r="BI261" s="1421"/>
      <c r="BJ261" s="1421"/>
      <c r="BK261" s="1421"/>
      <c r="BL261" s="1421"/>
      <c r="BM261" s="1421"/>
      <c r="BN261" s="1421"/>
      <c r="BO261" s="1421"/>
      <c r="BP261" s="2131"/>
      <c r="BQ261" s="2134"/>
    </row>
    <row r="262" spans="60:69">
      <c r="BH262" s="1968"/>
      <c r="BI262" s="1421"/>
      <c r="BJ262" s="1421"/>
      <c r="BK262" s="1421"/>
      <c r="BL262" s="1421"/>
      <c r="BM262" s="1421"/>
      <c r="BN262" s="1421"/>
      <c r="BO262" s="1421"/>
      <c r="BP262" s="2131"/>
      <c r="BQ262" s="2132"/>
    </row>
    <row r="263" spans="60:69">
      <c r="BH263" s="1968"/>
      <c r="BI263" s="1421"/>
      <c r="BJ263" s="1421"/>
      <c r="BK263" s="1421"/>
      <c r="BL263" s="1421"/>
      <c r="BM263" s="1421"/>
      <c r="BN263" s="1421"/>
      <c r="BO263" s="1421"/>
      <c r="BP263" s="2133"/>
      <c r="BQ263" s="2134"/>
    </row>
    <row r="264" spans="60:69">
      <c r="BH264" s="1968"/>
      <c r="BI264" s="1421"/>
      <c r="BJ264" s="1421"/>
      <c r="BK264" s="1421"/>
      <c r="BL264" s="1421"/>
      <c r="BM264" s="1421"/>
      <c r="BN264" s="1421"/>
      <c r="BO264" s="1421"/>
      <c r="BP264" s="2133"/>
      <c r="BQ264" s="2134"/>
    </row>
    <row r="265" spans="60:69">
      <c r="BH265" s="1968"/>
      <c r="BI265" s="1421"/>
      <c r="BJ265" s="1421"/>
      <c r="BK265" s="1421"/>
      <c r="BL265" s="1421"/>
      <c r="BM265" s="1421"/>
      <c r="BN265" s="1421"/>
      <c r="BO265" s="1421"/>
      <c r="BP265" s="2136"/>
      <c r="BQ265" s="2134"/>
    </row>
    <row r="266" spans="60:69">
      <c r="BH266" s="1968"/>
      <c r="BI266" s="1421"/>
      <c r="BJ266" s="1421"/>
      <c r="BK266" s="1421"/>
      <c r="BL266" s="1421"/>
      <c r="BM266" s="1421"/>
      <c r="BN266" s="1421"/>
      <c r="BO266" s="1421"/>
      <c r="BP266" s="2136"/>
      <c r="BQ266" s="2134"/>
    </row>
    <row r="267" spans="60:69">
      <c r="BH267" s="1968"/>
      <c r="BI267" s="1421"/>
      <c r="BJ267" s="1421"/>
      <c r="BK267" s="1421"/>
      <c r="BL267" s="1421"/>
      <c r="BM267" s="1421"/>
      <c r="BN267" s="1421"/>
      <c r="BO267" s="1421"/>
      <c r="BP267" s="2131"/>
      <c r="BQ267" s="2134"/>
    </row>
    <row r="268" spans="60:69">
      <c r="BH268" s="1968"/>
      <c r="BI268" s="1421"/>
      <c r="BJ268" s="1421"/>
      <c r="BK268" s="1421"/>
      <c r="BL268" s="1421"/>
      <c r="BM268" s="1421"/>
      <c r="BN268" s="1421"/>
      <c r="BO268" s="1421"/>
      <c r="BP268" s="2131"/>
      <c r="BQ268" s="2132"/>
    </row>
    <row r="269" spans="60:69">
      <c r="BH269" s="1968"/>
      <c r="BI269" s="1421"/>
      <c r="BJ269" s="1421"/>
      <c r="BK269" s="1421"/>
      <c r="BL269" s="1421"/>
      <c r="BM269" s="1421"/>
      <c r="BN269" s="1421"/>
      <c r="BO269" s="1421"/>
      <c r="BP269" s="2133"/>
      <c r="BQ269" s="2134"/>
    </row>
    <row r="270" spans="60:69">
      <c r="BH270" s="1968"/>
      <c r="BI270" s="1421"/>
      <c r="BJ270" s="1421"/>
      <c r="BK270" s="1421"/>
      <c r="BL270" s="1421"/>
      <c r="BM270" s="1421"/>
      <c r="BN270" s="1421"/>
      <c r="BO270" s="1421"/>
      <c r="BP270" s="2136"/>
      <c r="BQ270" s="2132"/>
    </row>
    <row r="271" spans="60:69">
      <c r="BH271" s="1968"/>
      <c r="BI271" s="1421"/>
      <c r="BJ271" s="1421"/>
      <c r="BK271" s="1421"/>
      <c r="BL271" s="1421"/>
      <c r="BM271" s="1421"/>
      <c r="BN271" s="1421"/>
      <c r="BO271" s="1421"/>
      <c r="BP271" s="2131"/>
      <c r="BQ271" s="2132"/>
    </row>
    <row r="272" spans="60:69">
      <c r="BH272" s="1968"/>
      <c r="BI272" s="1421"/>
      <c r="BJ272" s="1421"/>
      <c r="BK272" s="1421"/>
      <c r="BL272" s="1421"/>
      <c r="BM272" s="1421"/>
      <c r="BN272" s="1421"/>
      <c r="BO272" s="1421"/>
      <c r="BP272" s="2131"/>
      <c r="BQ272" s="2132"/>
    </row>
    <row r="273" spans="60:69">
      <c r="BH273" s="1421"/>
      <c r="BI273" s="1421"/>
      <c r="BJ273" s="1421"/>
      <c r="BK273" s="1421"/>
      <c r="BL273" s="1421"/>
      <c r="BM273" s="1421"/>
      <c r="BN273" s="1421"/>
      <c r="BO273" s="1421"/>
      <c r="BP273" s="2131"/>
      <c r="BQ273" s="2132"/>
    </row>
    <row r="274" spans="60:69">
      <c r="BH274" s="1421"/>
      <c r="BI274" s="1421"/>
      <c r="BJ274" s="1421"/>
      <c r="BK274" s="1421"/>
      <c r="BL274" s="1421"/>
      <c r="BM274" s="1421"/>
      <c r="BN274" s="1421"/>
      <c r="BO274" s="1421"/>
      <c r="BP274" s="2135"/>
      <c r="BQ274" s="2132"/>
    </row>
    <row r="275" spans="60:69">
      <c r="BH275" s="1421"/>
      <c r="BI275" s="1421"/>
      <c r="BJ275" s="2137"/>
      <c r="BK275" s="1421"/>
      <c r="BL275" s="1421"/>
      <c r="BM275" s="1421"/>
      <c r="BN275" s="1421"/>
      <c r="BO275" s="1421"/>
      <c r="BP275" s="2136"/>
      <c r="BQ275" s="2132"/>
    </row>
    <row r="276" spans="60:69">
      <c r="BH276" s="1421"/>
      <c r="BI276" s="1421"/>
      <c r="BJ276" s="2137"/>
      <c r="BK276" s="1421"/>
      <c r="BL276" s="1421"/>
      <c r="BM276" s="1421"/>
      <c r="BN276" s="1421"/>
      <c r="BO276" s="1421"/>
      <c r="BP276" s="2131"/>
      <c r="BQ276" s="2132"/>
    </row>
    <row r="277" spans="60:69">
      <c r="BH277" s="1421"/>
      <c r="BI277" s="1421"/>
      <c r="BJ277" s="2137"/>
      <c r="BK277" s="1421"/>
      <c r="BL277" s="1421"/>
      <c r="BM277" s="1421"/>
      <c r="BN277" s="1421"/>
      <c r="BO277" s="1421"/>
      <c r="BP277" s="2131"/>
      <c r="BQ277" s="2132"/>
    </row>
    <row r="278" spans="60:69">
      <c r="BH278" s="1421"/>
      <c r="BI278" s="1421"/>
      <c r="BJ278" s="1967"/>
      <c r="BK278" s="1421"/>
      <c r="BL278" s="1421"/>
      <c r="BM278" s="1421"/>
      <c r="BN278" s="1421"/>
      <c r="BO278" s="1421"/>
      <c r="BP278" s="2131"/>
      <c r="BQ278" s="2132"/>
    </row>
    <row r="279" spans="60:69">
      <c r="BH279" s="1421"/>
      <c r="BI279" s="1421"/>
      <c r="BJ279" s="1967"/>
      <c r="BK279" s="1421"/>
      <c r="BL279" s="1421"/>
      <c r="BM279" s="1421"/>
      <c r="BN279" s="1421"/>
      <c r="BO279" s="1421"/>
      <c r="BP279" s="2131"/>
      <c r="BQ279" s="2132"/>
    </row>
    <row r="280" spans="60:69">
      <c r="BH280" s="1421"/>
      <c r="BI280" s="1421"/>
      <c r="BJ280" s="1967"/>
      <c r="BK280" s="1421"/>
      <c r="BL280" s="1421"/>
      <c r="BM280" s="1421"/>
      <c r="BN280" s="1421"/>
      <c r="BO280" s="1421"/>
      <c r="BP280" s="2131"/>
      <c r="BQ280" s="2132"/>
    </row>
    <row r="281" spans="60:69">
      <c r="BH281" s="1421"/>
      <c r="BI281" s="1421"/>
      <c r="BJ281" s="1967"/>
      <c r="BK281" s="1421"/>
      <c r="BL281" s="1421"/>
      <c r="BM281" s="1421"/>
      <c r="BN281" s="1421"/>
      <c r="BO281" s="1421"/>
      <c r="BP281" s="2133"/>
      <c r="BQ281" s="2134"/>
    </row>
    <row r="282" spans="60:69">
      <c r="BH282" s="1421"/>
      <c r="BI282" s="1421"/>
      <c r="BJ282" s="1967"/>
      <c r="BK282" s="1421"/>
      <c r="BL282" s="1421"/>
      <c r="BM282" s="1421"/>
      <c r="BN282" s="1421"/>
      <c r="BO282" s="1421"/>
      <c r="BP282" s="2133"/>
      <c r="BQ282" s="2132"/>
    </row>
    <row r="283" spans="60:69">
      <c r="BH283" s="1421"/>
      <c r="BI283" s="1421"/>
      <c r="BJ283" s="1967"/>
      <c r="BK283" s="1421"/>
      <c r="BL283" s="1421"/>
      <c r="BM283" s="1421"/>
      <c r="BN283" s="1421"/>
      <c r="BO283" s="1421"/>
      <c r="BP283" s="2133"/>
      <c r="BQ283" s="2132"/>
    </row>
    <row r="284" spans="60:69">
      <c r="BH284" s="1421"/>
      <c r="BI284" s="1421"/>
      <c r="BJ284" s="1967"/>
      <c r="BK284" s="1421"/>
      <c r="BL284" s="1421"/>
      <c r="BM284" s="1421"/>
      <c r="BN284" s="1421"/>
      <c r="BO284" s="1421"/>
      <c r="BP284" s="2131"/>
      <c r="BQ284" s="2132"/>
    </row>
    <row r="285" spans="60:69">
      <c r="BH285" s="1421"/>
      <c r="BI285" s="1421"/>
      <c r="BJ285" s="1967"/>
      <c r="BK285" s="1421"/>
      <c r="BL285" s="1421"/>
      <c r="BM285" s="1421"/>
      <c r="BN285" s="1421"/>
      <c r="BO285" s="1421"/>
      <c r="BP285" s="2131"/>
      <c r="BQ285" s="2132"/>
    </row>
    <row r="286" spans="60:69">
      <c r="BH286" s="1421"/>
      <c r="BI286" s="1421"/>
      <c r="BJ286" s="1967"/>
      <c r="BK286" s="1421"/>
      <c r="BL286" s="1421"/>
      <c r="BM286" s="1421"/>
      <c r="BN286" s="1421"/>
      <c r="BO286" s="1421"/>
      <c r="BP286" s="2133"/>
      <c r="BQ286" s="2134"/>
    </row>
    <row r="287" spans="60:69">
      <c r="BH287" s="1421"/>
      <c r="BI287" s="1421"/>
      <c r="BJ287" s="1967"/>
      <c r="BK287" s="1421"/>
      <c r="BL287" s="1421"/>
      <c r="BM287" s="1421"/>
      <c r="BN287" s="1421"/>
      <c r="BO287" s="1421"/>
      <c r="BP287" s="2133"/>
      <c r="BQ287" s="2134"/>
    </row>
    <row r="288" spans="60:69">
      <c r="BH288" s="1421"/>
      <c r="BI288" s="1421"/>
      <c r="BJ288" s="1967"/>
      <c r="BK288" s="1421"/>
      <c r="BL288" s="1421"/>
      <c r="BM288" s="1421"/>
      <c r="BN288" s="1421"/>
      <c r="BO288" s="1421"/>
      <c r="BP288" s="2131"/>
      <c r="BQ288" s="2132"/>
    </row>
    <row r="289" spans="60:69">
      <c r="BH289" s="1421"/>
      <c r="BI289" s="1421"/>
      <c r="BJ289" s="1967"/>
      <c r="BK289" s="1421"/>
      <c r="BL289" s="1421"/>
      <c r="BM289" s="1421"/>
      <c r="BN289" s="1421"/>
      <c r="BO289" s="1421"/>
      <c r="BP289" s="2131"/>
      <c r="BQ289" s="2134"/>
    </row>
    <row r="290" spans="60:69">
      <c r="BH290" s="1421"/>
      <c r="BI290" s="1421"/>
      <c r="BJ290" s="1967"/>
      <c r="BK290" s="1421"/>
      <c r="BL290" s="1421"/>
      <c r="BM290" s="1421"/>
      <c r="BN290" s="1421"/>
      <c r="BO290" s="1421"/>
      <c r="BP290" s="2131"/>
      <c r="BQ290" s="2132"/>
    </row>
    <row r="291" spans="60:69">
      <c r="BH291" s="1421"/>
      <c r="BI291" s="1421"/>
      <c r="BJ291" s="1967"/>
      <c r="BK291" s="1421"/>
      <c r="BL291" s="1421"/>
      <c r="BM291" s="1421"/>
      <c r="BN291" s="1421"/>
      <c r="BO291" s="1421"/>
      <c r="BP291" s="2131"/>
      <c r="BQ291" s="2134"/>
    </row>
    <row r="292" spans="60:69">
      <c r="BH292" s="1421"/>
      <c r="BI292" s="1421"/>
      <c r="BJ292" s="1967"/>
      <c r="BK292" s="1421"/>
      <c r="BL292" s="1421"/>
      <c r="BM292" s="1421"/>
      <c r="BN292" s="1421"/>
      <c r="BO292" s="1421"/>
      <c r="BP292" s="2131"/>
      <c r="BQ292" s="2132"/>
    </row>
    <row r="293" spans="60:69">
      <c r="BH293" s="1421"/>
      <c r="BI293" s="1421"/>
      <c r="BJ293" s="1967"/>
      <c r="BK293" s="1421"/>
      <c r="BL293" s="1421"/>
      <c r="BM293" s="1421"/>
      <c r="BN293" s="1421"/>
      <c r="BO293" s="1421"/>
      <c r="BP293" s="2131"/>
      <c r="BQ293" s="2132"/>
    </row>
    <row r="294" spans="60:69">
      <c r="BH294" s="1421"/>
      <c r="BI294" s="1421"/>
      <c r="BJ294" s="1967"/>
      <c r="BK294" s="1421"/>
      <c r="BL294" s="1421"/>
      <c r="BM294" s="1421"/>
      <c r="BN294" s="1421"/>
      <c r="BO294" s="1421"/>
      <c r="BP294" s="2131"/>
      <c r="BQ294" s="2134"/>
    </row>
    <row r="295" spans="60:69">
      <c r="BH295" s="1421"/>
      <c r="BI295" s="1421"/>
      <c r="BJ295" s="1967"/>
      <c r="BK295" s="1421"/>
      <c r="BL295" s="1421"/>
      <c r="BM295" s="1421"/>
      <c r="BN295" s="1421"/>
      <c r="BO295" s="1421"/>
      <c r="BP295" s="2131"/>
      <c r="BQ295" s="2132"/>
    </row>
    <row r="296" spans="60:69">
      <c r="BH296" s="1421"/>
      <c r="BI296" s="1421"/>
      <c r="BJ296" s="1967"/>
      <c r="BK296" s="1421"/>
      <c r="BL296" s="1421"/>
      <c r="BM296" s="1421"/>
      <c r="BN296" s="1421"/>
      <c r="BO296" s="1421"/>
      <c r="BP296" s="2133"/>
      <c r="BQ296" s="2134"/>
    </row>
    <row r="297" spans="60:69">
      <c r="BH297" s="1421"/>
      <c r="BI297" s="1421"/>
      <c r="BJ297" s="1967"/>
      <c r="BK297" s="1421"/>
      <c r="BL297" s="1421"/>
      <c r="BM297" s="1421"/>
      <c r="BN297" s="1421"/>
      <c r="BO297" s="1421"/>
      <c r="BP297" s="2133"/>
      <c r="BQ297" s="2134"/>
    </row>
    <row r="298" spans="60:69">
      <c r="BH298" s="1421"/>
      <c r="BI298" s="1421"/>
      <c r="BJ298" s="1967"/>
      <c r="BK298" s="1421"/>
      <c r="BL298" s="1421"/>
      <c r="BM298" s="1421"/>
      <c r="BN298" s="1421"/>
      <c r="BO298" s="1421"/>
      <c r="BP298" s="2133"/>
      <c r="BQ298" s="2134"/>
    </row>
    <row r="299" spans="60:69">
      <c r="BH299" s="1421"/>
      <c r="BI299" s="1421"/>
      <c r="BJ299" s="1967"/>
      <c r="BK299" s="1421"/>
      <c r="BL299" s="1421"/>
      <c r="BM299" s="1421"/>
      <c r="BN299" s="1421"/>
      <c r="BO299" s="1421"/>
      <c r="BP299" s="2131"/>
      <c r="BQ299" s="2132"/>
    </row>
    <row r="300" spans="60:69">
      <c r="BH300" s="1421"/>
      <c r="BI300" s="1421"/>
      <c r="BJ300" s="1967"/>
      <c r="BK300" s="1421"/>
      <c r="BL300" s="1421"/>
      <c r="BM300" s="1421"/>
      <c r="BN300" s="1421"/>
      <c r="BO300" s="1421"/>
      <c r="BP300" s="2133"/>
      <c r="BQ300" s="2134"/>
    </row>
    <row r="301" spans="60:69">
      <c r="BH301" s="1421"/>
      <c r="BI301" s="1421"/>
      <c r="BJ301" s="1967"/>
      <c r="BK301" s="1421"/>
      <c r="BL301" s="1421"/>
      <c r="BM301" s="1421"/>
      <c r="BN301" s="1421"/>
      <c r="BO301" s="1421"/>
      <c r="BP301" s="2133"/>
      <c r="BQ301" s="2138"/>
    </row>
    <row r="302" spans="60:69">
      <c r="BH302" s="1421"/>
      <c r="BI302" s="1421"/>
      <c r="BJ302" s="1967"/>
      <c r="BK302" s="1421"/>
      <c r="BL302" s="1421"/>
      <c r="BM302" s="1421"/>
      <c r="BN302" s="1421"/>
      <c r="BO302" s="1421"/>
      <c r="BP302" s="2133"/>
      <c r="BQ302" s="2138"/>
    </row>
    <row r="303" spans="60:69">
      <c r="BH303" s="1421"/>
      <c r="BI303" s="1421"/>
      <c r="BJ303" s="1967"/>
      <c r="BK303" s="1421"/>
      <c r="BL303" s="1421"/>
      <c r="BM303" s="1421"/>
      <c r="BN303" s="1421"/>
      <c r="BO303" s="1421"/>
      <c r="BP303" s="2131"/>
      <c r="BQ303" s="2132"/>
    </row>
    <row r="304" spans="60:69">
      <c r="BH304" s="1421"/>
      <c r="BI304" s="1421"/>
      <c r="BJ304" s="1967"/>
      <c r="BK304" s="1421"/>
      <c r="BL304" s="1421"/>
      <c r="BM304" s="1421"/>
      <c r="BN304" s="1421"/>
      <c r="BO304" s="1421"/>
      <c r="BP304" s="2131"/>
      <c r="BQ304" s="2132"/>
    </row>
    <row r="305" spans="60:69">
      <c r="BH305" s="1421"/>
      <c r="BI305" s="1421"/>
      <c r="BJ305" s="1967"/>
      <c r="BK305" s="1421"/>
      <c r="BL305" s="1421"/>
      <c r="BM305" s="1421"/>
      <c r="BN305" s="1421"/>
      <c r="BO305" s="1421"/>
      <c r="BP305" s="2133"/>
      <c r="BQ305" s="2134"/>
    </row>
    <row r="306" spans="60:69">
      <c r="BH306" s="1421"/>
      <c r="BI306" s="1421"/>
      <c r="BJ306" s="1967"/>
      <c r="BK306" s="1421"/>
      <c r="BL306" s="1421"/>
      <c r="BM306" s="1421"/>
      <c r="BN306" s="1421"/>
      <c r="BO306" s="1421"/>
      <c r="BP306" s="2131"/>
      <c r="BQ306" s="2132"/>
    </row>
    <row r="307" spans="60:69">
      <c r="BH307" s="1421"/>
      <c r="BI307" s="1421"/>
      <c r="BJ307" s="1967"/>
      <c r="BK307" s="1421"/>
      <c r="BL307" s="1421"/>
      <c r="BM307" s="1421"/>
      <c r="BN307" s="1421"/>
      <c r="BO307" s="1421"/>
      <c r="BP307" s="2135"/>
      <c r="BQ307" s="2132"/>
    </row>
    <row r="308" spans="60:69">
      <c r="BH308" s="1421"/>
      <c r="BI308" s="1421"/>
      <c r="BJ308" s="1421"/>
      <c r="BK308" s="1421"/>
      <c r="BL308" s="1421"/>
      <c r="BM308" s="1421"/>
      <c r="BN308" s="1421"/>
      <c r="BO308" s="1421"/>
      <c r="BP308" s="2131"/>
      <c r="BQ308" s="2132"/>
    </row>
    <row r="309" spans="60:69">
      <c r="BH309" s="1421"/>
      <c r="BI309" s="1421"/>
      <c r="BJ309" s="1421"/>
      <c r="BK309" s="1421"/>
      <c r="BL309" s="1421"/>
      <c r="BM309" s="1421"/>
      <c r="BN309" s="1421"/>
      <c r="BO309" s="1421"/>
      <c r="BP309" s="2131"/>
      <c r="BQ309" s="2132"/>
    </row>
    <row r="310" spans="60:69">
      <c r="BH310" s="1421"/>
      <c r="BI310" s="1421"/>
      <c r="BJ310" s="1421"/>
      <c r="BK310" s="1421"/>
      <c r="BL310" s="1421"/>
      <c r="BM310" s="1421"/>
      <c r="BN310" s="1421"/>
      <c r="BO310" s="1421"/>
      <c r="BP310" s="2133"/>
      <c r="BQ310" s="2134"/>
    </row>
    <row r="311" spans="60:69">
      <c r="BH311" s="1421"/>
      <c r="BI311" s="1421"/>
      <c r="BJ311" s="1421"/>
      <c r="BK311" s="1421"/>
      <c r="BL311" s="1421"/>
      <c r="BM311" s="1421"/>
      <c r="BN311" s="1421"/>
      <c r="BO311" s="1421"/>
      <c r="BP311" s="2131"/>
      <c r="BQ311" s="2132"/>
    </row>
    <row r="312" spans="60:69">
      <c r="BH312" s="1421"/>
      <c r="BI312" s="1421"/>
      <c r="BJ312" s="1421"/>
      <c r="BK312" s="1421"/>
      <c r="BL312" s="1421"/>
      <c r="BM312" s="1421"/>
      <c r="BN312" s="1421"/>
      <c r="BO312" s="1421"/>
      <c r="BP312" s="2131"/>
      <c r="BQ312" s="2132"/>
    </row>
    <row r="313" spans="60:69">
      <c r="BH313" s="1421"/>
      <c r="BI313" s="1421"/>
      <c r="BJ313" s="1421"/>
      <c r="BK313" s="1421"/>
      <c r="BL313" s="1421"/>
      <c r="BM313" s="1421"/>
      <c r="BN313" s="1421"/>
      <c r="BO313" s="1421"/>
      <c r="BP313" s="2131"/>
      <c r="BQ313" s="2132"/>
    </row>
    <row r="314" spans="60:69">
      <c r="BH314" s="1421"/>
      <c r="BI314" s="1421"/>
      <c r="BJ314" s="1421"/>
      <c r="BK314" s="1421"/>
      <c r="BL314" s="1421"/>
      <c r="BM314" s="1421"/>
      <c r="BN314" s="1421"/>
      <c r="BO314" s="1421"/>
      <c r="BP314" s="2131"/>
      <c r="BQ314" s="2132"/>
    </row>
    <row r="315" spans="60:69">
      <c r="BH315" s="1421"/>
      <c r="BI315" s="1421"/>
      <c r="BJ315" s="1421"/>
      <c r="BK315" s="1421"/>
      <c r="BL315" s="1421"/>
      <c r="BM315" s="1421"/>
      <c r="BN315" s="1421"/>
      <c r="BO315" s="1421"/>
      <c r="BP315" s="2131"/>
      <c r="BQ315" s="2132"/>
    </row>
    <row r="316" spans="60:69">
      <c r="BH316" s="1421"/>
      <c r="BI316" s="1421"/>
      <c r="BJ316" s="1421"/>
      <c r="BK316" s="1421"/>
      <c r="BL316" s="1421"/>
      <c r="BM316" s="1421"/>
      <c r="BN316" s="1421"/>
      <c r="BO316" s="1421"/>
      <c r="BP316" s="2131"/>
      <c r="BQ316" s="2132"/>
    </row>
    <row r="317" spans="60:69">
      <c r="BH317" s="1421"/>
      <c r="BI317" s="1421"/>
      <c r="BJ317" s="1421"/>
      <c r="BK317" s="1421"/>
      <c r="BL317" s="1421"/>
      <c r="BM317" s="1421"/>
      <c r="BN317" s="1421"/>
      <c r="BO317" s="1421"/>
      <c r="BP317" s="2135"/>
      <c r="BQ317" s="2132"/>
    </row>
    <row r="318" spans="60:69">
      <c r="BH318" s="1421"/>
      <c r="BI318" s="1421"/>
      <c r="BJ318" s="1421"/>
      <c r="BK318" s="1421"/>
      <c r="BL318" s="1421"/>
      <c r="BM318" s="1421"/>
      <c r="BN318" s="1421"/>
      <c r="BO318" s="1421"/>
      <c r="BP318" s="2131"/>
      <c r="BQ318" s="2132"/>
    </row>
    <row r="319" spans="60:69">
      <c r="BH319" s="1421"/>
      <c r="BI319" s="1421"/>
      <c r="BJ319" s="1421"/>
      <c r="BK319" s="1421"/>
      <c r="BL319" s="1421"/>
      <c r="BM319" s="1421"/>
      <c r="BN319" s="1421"/>
      <c r="BO319" s="1421"/>
      <c r="BP319" s="2131"/>
      <c r="BQ319" s="2132"/>
    </row>
    <row r="320" spans="60:69">
      <c r="BH320" s="1421"/>
      <c r="BI320" s="1421"/>
      <c r="BJ320" s="1421"/>
      <c r="BK320" s="1421"/>
      <c r="BL320" s="1421"/>
      <c r="BM320" s="1421"/>
      <c r="BN320" s="1421"/>
      <c r="BO320" s="1421"/>
      <c r="BP320" s="2131"/>
      <c r="BQ320" s="2132"/>
    </row>
    <row r="321" spans="60:69">
      <c r="BH321" s="1421"/>
      <c r="BI321" s="1421"/>
      <c r="BJ321" s="1421"/>
      <c r="BK321" s="1421"/>
      <c r="BL321" s="1421"/>
      <c r="BM321" s="1421"/>
      <c r="BN321" s="1421"/>
      <c r="BO321" s="1421"/>
      <c r="BP321" s="2133"/>
      <c r="BQ321" s="2134"/>
    </row>
    <row r="322" spans="60:69">
      <c r="BH322" s="1421"/>
      <c r="BI322" s="1421"/>
      <c r="BJ322" s="1421"/>
      <c r="BK322" s="1421"/>
      <c r="BL322" s="1421"/>
      <c r="BM322" s="1421"/>
      <c r="BN322" s="1421"/>
      <c r="BO322" s="1421"/>
      <c r="BP322" s="2133"/>
      <c r="BQ322" s="2134"/>
    </row>
    <row r="323" spans="60:69">
      <c r="BH323" s="1421"/>
      <c r="BI323" s="1421"/>
      <c r="BJ323" s="1421"/>
      <c r="BK323" s="1421"/>
      <c r="BL323" s="1421"/>
      <c r="BM323" s="1421"/>
      <c r="BN323" s="1421"/>
      <c r="BO323" s="1421"/>
      <c r="BP323" s="2133"/>
      <c r="BQ323" s="2134"/>
    </row>
    <row r="324" spans="60:69">
      <c r="BH324" s="1421"/>
      <c r="BI324" s="1421"/>
      <c r="BJ324" s="1421"/>
      <c r="BK324" s="1421"/>
      <c r="BL324" s="1421"/>
      <c r="BM324" s="1421"/>
      <c r="BN324" s="1421"/>
      <c r="BO324" s="1421"/>
      <c r="BP324" s="2131"/>
      <c r="BQ324" s="2132"/>
    </row>
    <row r="325" spans="60:69">
      <c r="BH325" s="1421"/>
      <c r="BI325" s="1421"/>
      <c r="BJ325" s="1421"/>
      <c r="BK325" s="1421"/>
      <c r="BL325" s="1421"/>
      <c r="BM325" s="1421"/>
      <c r="BN325" s="1421"/>
      <c r="BO325" s="1421"/>
      <c r="BP325" s="2131"/>
      <c r="BQ325" s="2132"/>
    </row>
    <row r="326" spans="60:69">
      <c r="BH326" s="1421"/>
      <c r="BI326" s="1421"/>
      <c r="BJ326" s="1421"/>
      <c r="BK326" s="1421"/>
      <c r="BL326" s="1421"/>
      <c r="BM326" s="1421"/>
      <c r="BN326" s="1421"/>
      <c r="BO326" s="1421"/>
      <c r="BP326" s="2135"/>
      <c r="BQ326" s="2134"/>
    </row>
    <row r="327" spans="60:69">
      <c r="BH327" s="1421"/>
      <c r="BI327" s="1421"/>
      <c r="BJ327" s="1421"/>
      <c r="BK327" s="1421"/>
      <c r="BL327" s="1421"/>
      <c r="BM327" s="1421"/>
      <c r="BN327" s="1421"/>
      <c r="BO327" s="1421"/>
      <c r="BP327" s="2131"/>
      <c r="BQ327" s="2132"/>
    </row>
    <row r="328" spans="60:69">
      <c r="BH328" s="1421"/>
      <c r="BI328" s="1421"/>
      <c r="BJ328" s="1421"/>
      <c r="BK328" s="1421"/>
      <c r="BL328" s="1421"/>
      <c r="BM328" s="1421"/>
      <c r="BN328" s="1421"/>
      <c r="BO328" s="1421"/>
      <c r="BP328" s="2131"/>
      <c r="BQ328" s="2132"/>
    </row>
    <row r="329" spans="60:69">
      <c r="BH329" s="1421"/>
      <c r="BI329" s="1421"/>
      <c r="BJ329" s="1421"/>
      <c r="BK329" s="1421"/>
      <c r="BL329" s="1421"/>
      <c r="BM329" s="1421"/>
      <c r="BN329" s="1421"/>
      <c r="BO329" s="1421"/>
      <c r="BP329" s="2136"/>
      <c r="BQ329" s="2134"/>
    </row>
    <row r="330" spans="60:69">
      <c r="BH330" s="1421"/>
      <c r="BI330" s="1421"/>
      <c r="BJ330" s="1421"/>
      <c r="BK330" s="1421"/>
      <c r="BL330" s="1421"/>
      <c r="BM330" s="1421"/>
      <c r="BN330" s="1421"/>
      <c r="BO330" s="1421"/>
      <c r="BP330" s="2131"/>
      <c r="BQ330" s="2132"/>
    </row>
    <row r="331" spans="60:69">
      <c r="BH331" s="1421"/>
      <c r="BI331" s="1421"/>
      <c r="BJ331" s="1421"/>
      <c r="BK331" s="1421"/>
      <c r="BL331" s="1421"/>
      <c r="BM331" s="1421"/>
      <c r="BN331" s="1421"/>
      <c r="BO331" s="1421"/>
      <c r="BP331" s="2131"/>
      <c r="BQ331" s="2132"/>
    </row>
    <row r="332" spans="60:69">
      <c r="BH332" s="1421"/>
      <c r="BI332" s="1421"/>
      <c r="BJ332" s="1421"/>
      <c r="BK332" s="1421"/>
      <c r="BL332" s="1421"/>
      <c r="BM332" s="1421"/>
      <c r="BN332" s="1421"/>
      <c r="BO332" s="1421"/>
      <c r="BP332" s="2131"/>
      <c r="BQ332" s="2132"/>
    </row>
    <row r="333" spans="60:69">
      <c r="BH333" s="1421"/>
      <c r="BI333" s="1421"/>
      <c r="BJ333" s="1421"/>
      <c r="BK333" s="1421"/>
      <c r="BL333" s="1421"/>
      <c r="BM333" s="1421"/>
      <c r="BN333" s="1421"/>
      <c r="BO333" s="1421"/>
      <c r="BP333" s="2131"/>
      <c r="BQ333" s="2132"/>
    </row>
    <row r="334" spans="60:69">
      <c r="BH334" s="1421"/>
      <c r="BI334" s="1421"/>
      <c r="BJ334" s="1421"/>
      <c r="BK334" s="1421"/>
      <c r="BL334" s="1421"/>
      <c r="BM334" s="1421"/>
      <c r="BN334" s="1421"/>
      <c r="BO334" s="1421"/>
      <c r="BP334" s="2133"/>
      <c r="BQ334" s="2134"/>
    </row>
    <row r="335" spans="60:69">
      <c r="BH335" s="1421"/>
      <c r="BI335" s="1421"/>
      <c r="BJ335" s="1421"/>
      <c r="BK335" s="1421"/>
      <c r="BL335" s="1421"/>
      <c r="BM335" s="1421"/>
      <c r="BN335" s="1421"/>
      <c r="BO335" s="1421"/>
      <c r="BP335" s="2133"/>
      <c r="BQ335" s="2134"/>
    </row>
    <row r="336" spans="60:69">
      <c r="BH336" s="1421"/>
      <c r="BI336" s="1421"/>
      <c r="BJ336" s="1421"/>
      <c r="BK336" s="1421"/>
      <c r="BL336" s="1421"/>
      <c r="BM336" s="1421"/>
      <c r="BN336" s="1421"/>
      <c r="BO336" s="1421"/>
      <c r="BP336" s="2135"/>
      <c r="BQ336" s="2132"/>
    </row>
    <row r="337" spans="60:69">
      <c r="BH337" s="1421"/>
      <c r="BI337" s="1421"/>
      <c r="BJ337" s="1421"/>
      <c r="BK337" s="1421"/>
      <c r="BL337" s="1421"/>
      <c r="BM337" s="1421"/>
      <c r="BN337" s="1421"/>
      <c r="BO337" s="1421"/>
      <c r="BP337" s="2131"/>
      <c r="BQ337" s="2134"/>
    </row>
    <row r="338" spans="60:69">
      <c r="BH338" s="1421"/>
      <c r="BI338" s="1421"/>
      <c r="BJ338" s="1421"/>
      <c r="BK338" s="1421"/>
      <c r="BL338" s="1421"/>
      <c r="BM338" s="1421"/>
      <c r="BN338" s="1421"/>
      <c r="BO338" s="1421"/>
      <c r="BP338" s="2131"/>
      <c r="BQ338" s="2134"/>
    </row>
    <row r="339" spans="60:69">
      <c r="BH339" s="1421"/>
      <c r="BI339" s="1421"/>
      <c r="BJ339" s="1421"/>
      <c r="BK339" s="1421"/>
      <c r="BL339" s="1421"/>
      <c r="BM339" s="1421"/>
      <c r="BN339" s="1421"/>
      <c r="BO339" s="1421"/>
      <c r="BP339" s="2131"/>
      <c r="BQ339" s="2134"/>
    </row>
    <row r="340" spans="60:69">
      <c r="BH340" s="1421"/>
      <c r="BI340" s="1421"/>
      <c r="BJ340" s="1421"/>
      <c r="BK340" s="1421"/>
      <c r="BL340" s="1421"/>
      <c r="BM340" s="1421"/>
      <c r="BN340" s="1421"/>
      <c r="BO340" s="1421"/>
      <c r="BP340" s="2131"/>
      <c r="BQ340" s="2132"/>
    </row>
    <row r="341" spans="60:69">
      <c r="BH341" s="1421"/>
      <c r="BI341" s="1421"/>
      <c r="BJ341" s="1421"/>
      <c r="BK341" s="1421"/>
      <c r="BL341" s="1421"/>
      <c r="BM341" s="1421"/>
      <c r="BN341" s="1421"/>
      <c r="BO341" s="1421"/>
      <c r="BP341" s="2133"/>
      <c r="BQ341" s="2134"/>
    </row>
    <row r="342" spans="60:69">
      <c r="BH342" s="1421"/>
      <c r="BI342" s="1421"/>
      <c r="BJ342" s="1421"/>
      <c r="BK342" s="1421"/>
      <c r="BL342" s="1421"/>
      <c r="BM342" s="1421"/>
      <c r="BN342" s="1421"/>
      <c r="BO342" s="1421"/>
      <c r="BP342" s="2133"/>
      <c r="BQ342" s="2134"/>
    </row>
    <row r="343" spans="60:69">
      <c r="BH343" s="1421"/>
      <c r="BI343" s="1421"/>
      <c r="BJ343" s="1421"/>
      <c r="BK343" s="1421"/>
      <c r="BL343" s="1421"/>
      <c r="BM343" s="1421"/>
      <c r="BN343" s="1421"/>
      <c r="BO343" s="1421"/>
      <c r="BP343" s="2131"/>
      <c r="BQ343" s="2132"/>
    </row>
    <row r="344" spans="60:69">
      <c r="BH344" s="1421"/>
      <c r="BI344" s="1421"/>
      <c r="BJ344" s="1421"/>
      <c r="BK344" s="1421"/>
      <c r="BL344" s="1421"/>
      <c r="BM344" s="1421"/>
      <c r="BN344" s="1421"/>
      <c r="BO344" s="1421"/>
      <c r="BP344" s="2131"/>
      <c r="BQ344" s="2132"/>
    </row>
    <row r="345" spans="60:69">
      <c r="BH345" s="1421"/>
      <c r="BI345" s="1421"/>
      <c r="BJ345" s="1421"/>
      <c r="BK345" s="1421"/>
      <c r="BL345" s="1421"/>
      <c r="BM345" s="1421"/>
      <c r="BN345" s="1421"/>
      <c r="BO345" s="1421"/>
      <c r="BP345" s="2131"/>
      <c r="BQ345" s="2134"/>
    </row>
    <row r="346" spans="60:69">
      <c r="BH346" s="1421"/>
      <c r="BI346" s="1421"/>
      <c r="BJ346" s="1421"/>
      <c r="BK346" s="1421"/>
      <c r="BL346" s="1421"/>
      <c r="BM346" s="1421"/>
      <c r="BN346" s="1421"/>
      <c r="BO346" s="1421"/>
      <c r="BP346" s="2131"/>
      <c r="BQ346" s="2132"/>
    </row>
    <row r="347" spans="60:69">
      <c r="BH347" s="1421"/>
      <c r="BI347" s="1421"/>
      <c r="BJ347" s="1421"/>
      <c r="BK347" s="1421"/>
      <c r="BL347" s="1421"/>
      <c r="BM347" s="1421"/>
      <c r="BN347" s="1421"/>
      <c r="BO347" s="1421"/>
      <c r="BP347" s="2131"/>
      <c r="BQ347" s="2134"/>
    </row>
    <row r="348" spans="60:69">
      <c r="BH348" s="1421"/>
      <c r="BI348" s="1421"/>
      <c r="BJ348" s="1421"/>
      <c r="BK348" s="1421"/>
      <c r="BL348" s="1421"/>
      <c r="BM348" s="1421"/>
      <c r="BN348" s="1421"/>
      <c r="BO348" s="1421"/>
      <c r="BP348" s="2131"/>
      <c r="BQ348" s="2132"/>
    </row>
    <row r="349" spans="60:69">
      <c r="BH349" s="1421"/>
      <c r="BI349" s="1421"/>
      <c r="BJ349" s="1421"/>
      <c r="BK349" s="1421"/>
      <c r="BL349" s="1421"/>
      <c r="BM349" s="1421"/>
      <c r="BN349" s="1421"/>
      <c r="BO349" s="1421"/>
      <c r="BP349" s="2131"/>
      <c r="BQ349" s="2132"/>
    </row>
    <row r="350" spans="60:69">
      <c r="BH350" s="1421"/>
      <c r="BI350" s="1421"/>
      <c r="BJ350" s="1421"/>
      <c r="BK350" s="1421"/>
      <c r="BL350" s="1421"/>
      <c r="BM350" s="1421"/>
      <c r="BN350" s="1421"/>
      <c r="BO350" s="1421"/>
      <c r="BP350" s="2131"/>
      <c r="BQ350" s="2134"/>
    </row>
    <row r="351" spans="60:69">
      <c r="BH351" s="1421"/>
      <c r="BI351" s="1421"/>
      <c r="BJ351" s="1421"/>
      <c r="BK351" s="1421"/>
      <c r="BL351" s="1421"/>
      <c r="BM351" s="1421"/>
      <c r="BN351" s="1421"/>
      <c r="BO351" s="1421"/>
      <c r="BP351" s="2131"/>
      <c r="BQ351" s="2132"/>
    </row>
    <row r="352" spans="60:69">
      <c r="BH352" s="1421"/>
      <c r="BI352" s="1421"/>
      <c r="BJ352" s="1421"/>
      <c r="BK352" s="1421"/>
      <c r="BL352" s="1421"/>
      <c r="BM352" s="1421"/>
      <c r="BN352" s="1421"/>
      <c r="BO352" s="1421"/>
      <c r="BP352" s="2131"/>
      <c r="BQ352" s="2134"/>
    </row>
    <row r="353" spans="60:69">
      <c r="BH353" s="1421"/>
      <c r="BI353" s="1421"/>
      <c r="BJ353" s="1421"/>
      <c r="BK353" s="1421"/>
      <c r="BL353" s="1421"/>
      <c r="BM353" s="1421"/>
      <c r="BN353" s="1421"/>
      <c r="BO353" s="1421"/>
      <c r="BP353" s="2131"/>
      <c r="BQ353" s="2132"/>
    </row>
    <row r="354" spans="60:69">
      <c r="BH354" s="1421"/>
      <c r="BI354" s="1421"/>
      <c r="BJ354" s="1421"/>
      <c r="BK354" s="1421"/>
      <c r="BL354" s="1421"/>
      <c r="BM354" s="1421"/>
      <c r="BN354" s="1421"/>
      <c r="BO354" s="1421"/>
      <c r="BP354" s="2131"/>
      <c r="BQ354" s="2132"/>
    </row>
    <row r="355" spans="60:69">
      <c r="BH355" s="1421"/>
      <c r="BI355" s="1421"/>
      <c r="BJ355" s="1421"/>
      <c r="BK355" s="1421"/>
      <c r="BL355" s="1421"/>
      <c r="BM355" s="1421"/>
      <c r="BN355" s="1421"/>
      <c r="BO355" s="1421"/>
      <c r="BP355" s="2131"/>
      <c r="BQ355" s="2134"/>
    </row>
    <row r="356" spans="60:69">
      <c r="BH356" s="1421"/>
      <c r="BI356" s="1421"/>
      <c r="BJ356" s="1421"/>
      <c r="BK356" s="1421"/>
      <c r="BL356" s="1421"/>
      <c r="BM356" s="1421"/>
      <c r="BN356" s="1421"/>
      <c r="BO356" s="1421"/>
      <c r="BP356" s="2131"/>
      <c r="BQ356" s="2132"/>
    </row>
    <row r="357" spans="60:69">
      <c r="BH357" s="1421"/>
      <c r="BI357" s="1421"/>
      <c r="BJ357" s="1421"/>
      <c r="BK357" s="1421"/>
      <c r="BL357" s="1421"/>
      <c r="BM357" s="1421"/>
      <c r="BN357" s="1421"/>
      <c r="BO357" s="1421"/>
      <c r="BP357" s="2131"/>
      <c r="BQ357" s="2134"/>
    </row>
    <row r="358" spans="60:69">
      <c r="BH358" s="1421"/>
      <c r="BI358" s="1421"/>
      <c r="BJ358" s="1421"/>
      <c r="BK358" s="1421"/>
      <c r="BL358" s="1421"/>
      <c r="BM358" s="1421"/>
      <c r="BN358" s="1421"/>
      <c r="BO358" s="1421"/>
      <c r="BP358" s="2131"/>
      <c r="BQ358" s="2132"/>
    </row>
    <row r="359" spans="60:69">
      <c r="BH359" s="1421"/>
      <c r="BI359" s="1421"/>
      <c r="BJ359" s="1421"/>
      <c r="BK359" s="1421"/>
      <c r="BL359" s="1421"/>
      <c r="BM359" s="1421"/>
      <c r="BN359" s="1421"/>
      <c r="BO359" s="1421"/>
      <c r="BP359" s="2131"/>
      <c r="BQ359" s="2134"/>
    </row>
    <row r="360" spans="60:69">
      <c r="BH360" s="1421"/>
      <c r="BI360" s="1421"/>
      <c r="BJ360" s="1421"/>
      <c r="BK360" s="1421"/>
      <c r="BL360" s="1421"/>
      <c r="BM360" s="1421"/>
      <c r="BN360" s="1421"/>
      <c r="BO360" s="1421"/>
      <c r="BP360" s="2136"/>
      <c r="BQ360" s="2132"/>
    </row>
    <row r="361" spans="60:69">
      <c r="BH361" s="1421"/>
      <c r="BI361" s="1421"/>
      <c r="BJ361" s="1421"/>
      <c r="BK361" s="1421"/>
      <c r="BL361" s="1421"/>
      <c r="BM361" s="1421"/>
      <c r="BN361" s="1421"/>
      <c r="BO361" s="1421"/>
      <c r="BP361" s="2136"/>
      <c r="BQ361" s="2134"/>
    </row>
    <row r="362" spans="60:69">
      <c r="BH362" s="1421"/>
      <c r="BI362" s="1421"/>
      <c r="BJ362" s="1421"/>
      <c r="BK362" s="1421"/>
      <c r="BL362" s="1421"/>
      <c r="BM362" s="1421"/>
      <c r="BN362" s="1421"/>
      <c r="BO362" s="1421"/>
      <c r="BP362" s="2133"/>
      <c r="BQ362" s="2134"/>
    </row>
    <row r="363" spans="60:69">
      <c r="BH363" s="1421"/>
      <c r="BI363" s="1421"/>
      <c r="BJ363" s="1421"/>
      <c r="BK363" s="1421"/>
      <c r="BL363" s="1421"/>
      <c r="BM363" s="1421"/>
      <c r="BN363" s="1421"/>
      <c r="BO363" s="1421"/>
      <c r="BP363" s="2131"/>
      <c r="BQ363" s="2132"/>
    </row>
    <row r="364" spans="60:69">
      <c r="BH364" s="1421"/>
      <c r="BI364" s="1421"/>
      <c r="BJ364" s="1421"/>
      <c r="BK364" s="1421"/>
      <c r="BL364" s="1421"/>
      <c r="BM364" s="1421"/>
      <c r="BN364" s="1421"/>
      <c r="BO364" s="1421"/>
      <c r="BP364" s="2131"/>
      <c r="BQ364" s="2132"/>
    </row>
    <row r="365" spans="60:69">
      <c r="BH365" s="1421"/>
      <c r="BI365" s="1421"/>
      <c r="BJ365" s="1421"/>
      <c r="BK365" s="1421"/>
      <c r="BL365" s="1421"/>
      <c r="BM365" s="1421"/>
      <c r="BN365" s="1421"/>
      <c r="BO365" s="1421"/>
      <c r="BP365" s="2131"/>
      <c r="BQ365" s="2132"/>
    </row>
    <row r="366" spans="60:69">
      <c r="BH366" s="1421"/>
      <c r="BI366" s="1421"/>
      <c r="BJ366" s="1421"/>
      <c r="BK366" s="1421"/>
      <c r="BL366" s="1421"/>
      <c r="BM366" s="1421"/>
      <c r="BN366" s="1421"/>
      <c r="BO366" s="1421"/>
      <c r="BP366" s="2131"/>
      <c r="BQ366" s="2132"/>
    </row>
    <row r="367" spans="60:69">
      <c r="BH367" s="1421"/>
      <c r="BI367" s="1421"/>
      <c r="BJ367" s="1421"/>
      <c r="BK367" s="1421"/>
      <c r="BL367" s="1421"/>
      <c r="BM367" s="1421"/>
      <c r="BN367" s="1421"/>
      <c r="BO367" s="1421"/>
      <c r="BP367" s="2131"/>
      <c r="BQ367" s="2132"/>
    </row>
    <row r="368" spans="60:69">
      <c r="BH368" s="1421"/>
      <c r="BI368" s="1421"/>
      <c r="BJ368" s="1421"/>
      <c r="BK368" s="1421"/>
      <c r="BL368" s="1421"/>
      <c r="BM368" s="1421"/>
      <c r="BN368" s="1421"/>
      <c r="BO368" s="1421"/>
      <c r="BP368" s="2131"/>
      <c r="BQ368" s="2139"/>
    </row>
    <row r="369" spans="60:69">
      <c r="BH369" s="1421"/>
      <c r="BI369" s="1421"/>
      <c r="BJ369" s="1421"/>
      <c r="BK369" s="1421"/>
      <c r="BL369" s="1421"/>
      <c r="BM369" s="1421"/>
      <c r="BN369" s="1421"/>
      <c r="BO369" s="1421"/>
      <c r="BP369" s="2136"/>
      <c r="BQ369" s="2132"/>
    </row>
    <row r="370" spans="60:69">
      <c r="BH370" s="1421"/>
      <c r="BI370" s="1421"/>
      <c r="BJ370" s="1421"/>
      <c r="BK370" s="1421"/>
      <c r="BL370" s="1421"/>
      <c r="BM370" s="1421"/>
      <c r="BN370" s="1421"/>
      <c r="BO370" s="1421"/>
      <c r="BP370" s="2133"/>
      <c r="BQ370" s="2132"/>
    </row>
    <row r="371" spans="60:69">
      <c r="BH371" s="1421"/>
      <c r="BI371" s="1421"/>
      <c r="BJ371" s="1421"/>
      <c r="BK371" s="1421"/>
      <c r="BL371" s="1421"/>
      <c r="BM371" s="1421"/>
      <c r="BN371" s="1421"/>
      <c r="BO371" s="1421"/>
      <c r="BP371" s="2135"/>
      <c r="BQ371" s="2132"/>
    </row>
    <row r="372" spans="60:69">
      <c r="BH372" s="1421"/>
      <c r="BI372" s="1421"/>
      <c r="BJ372" s="1421"/>
      <c r="BK372" s="1421"/>
      <c r="BL372" s="1421"/>
      <c r="BM372" s="1421"/>
      <c r="BN372" s="1421"/>
      <c r="BO372" s="1421"/>
      <c r="BP372" s="2135"/>
      <c r="BQ372" s="2132"/>
    </row>
  </sheetData>
  <sheetProtection sheet="1" formatCells="0" formatColumns="0" formatRows="0" selectLockedCells="1"/>
  <mergeCells count="56">
    <mergeCell ref="T1:U1"/>
    <mergeCell ref="A5:V5"/>
    <mergeCell ref="L6:L7"/>
    <mergeCell ref="G6:G7"/>
    <mergeCell ref="H6:H7"/>
    <mergeCell ref="I6:I7"/>
    <mergeCell ref="T2:U2"/>
    <mergeCell ref="J6:J7"/>
    <mergeCell ref="K6:K7"/>
    <mergeCell ref="X4:AS4"/>
    <mergeCell ref="T54:T55"/>
    <mergeCell ref="V54:V55"/>
    <mergeCell ref="AG6:AL6"/>
    <mergeCell ref="A4:V4"/>
    <mergeCell ref="X5:AS5"/>
    <mergeCell ref="AN6:AS6"/>
    <mergeCell ref="B6:B7"/>
    <mergeCell ref="X1:Y3"/>
    <mergeCell ref="Z1:AS3"/>
    <mergeCell ref="M6:O6"/>
    <mergeCell ref="S6:T6"/>
    <mergeCell ref="U6:V6"/>
    <mergeCell ref="A61:B64"/>
    <mergeCell ref="Y6:Y7"/>
    <mergeCell ref="Z6:AE6"/>
    <mergeCell ref="C6:C7"/>
    <mergeCell ref="D6:F6"/>
    <mergeCell ref="P6:P7"/>
    <mergeCell ref="X6:X7"/>
    <mergeCell ref="A57:B59"/>
    <mergeCell ref="R6:R7"/>
    <mergeCell ref="C61:V63"/>
    <mergeCell ref="C64:V64"/>
    <mergeCell ref="C57:V59"/>
    <mergeCell ref="A6:A7"/>
    <mergeCell ref="Q6:Q7"/>
    <mergeCell ref="BI4:BI6"/>
    <mergeCell ref="BL4:BL6"/>
    <mergeCell ref="AV1:BF4"/>
    <mergeCell ref="BJ4:BJ6"/>
    <mergeCell ref="BK4:BK6"/>
    <mergeCell ref="AV5:AZ6"/>
    <mergeCell ref="BB5:BF6"/>
    <mergeCell ref="BZ4:BZ6"/>
    <mergeCell ref="BQ4:BQ6"/>
    <mergeCell ref="BR4:BR6"/>
    <mergeCell ref="BT4:BT6"/>
    <mergeCell ref="BU4:BU6"/>
    <mergeCell ref="BV4:BV6"/>
    <mergeCell ref="BW4:BW6"/>
    <mergeCell ref="BP4:BP6"/>
    <mergeCell ref="BM4:BM6"/>
    <mergeCell ref="BN4:BN6"/>
    <mergeCell ref="BX4:BX6"/>
    <mergeCell ref="BY4:BY6"/>
    <mergeCell ref="BO4:BO6"/>
  </mergeCells>
  <conditionalFormatting sqref="BO122">
    <cfRule type="cellIs" dxfId="194" priority="31" operator="equal">
      <formula>90</formula>
    </cfRule>
    <cfRule type="cellIs" dxfId="193" priority="32" operator="equal">
      <formula>60</formula>
    </cfRule>
    <cfRule type="cellIs" dxfId="192" priority="33" operator="equal">
      <formula>15</formula>
    </cfRule>
  </conditionalFormatting>
  <conditionalFormatting sqref="BO18">
    <cfRule type="cellIs" dxfId="191" priority="28" operator="equal">
      <formula>90</formula>
    </cfRule>
    <cfRule type="cellIs" dxfId="190" priority="29" operator="equal">
      <formula>60</formula>
    </cfRule>
    <cfRule type="cellIs" dxfId="189" priority="30" operator="equal">
      <formula>15</formula>
    </cfRule>
  </conditionalFormatting>
  <conditionalFormatting sqref="BL111:BM124 BL133:BM138 BL142:BM142">
    <cfRule type="cellIs" dxfId="188" priority="27" operator="notEqual">
      <formula>20</formula>
    </cfRule>
  </conditionalFormatting>
  <conditionalFormatting sqref="BM125">
    <cfRule type="cellIs" dxfId="187" priority="23" operator="notEqual">
      <formula>20</formula>
    </cfRule>
  </conditionalFormatting>
  <conditionalFormatting sqref="BL18:BM26">
    <cfRule type="cellIs" dxfId="186" priority="21" operator="notEqual">
      <formula>20</formula>
    </cfRule>
  </conditionalFormatting>
  <conditionalFormatting sqref="BL71">
    <cfRule type="cellIs" dxfId="185" priority="20" operator="notEqual">
      <formula>20</formula>
    </cfRule>
  </conditionalFormatting>
  <conditionalFormatting sqref="BM60:BM61">
    <cfRule type="cellIs" dxfId="184" priority="16" operator="notEqual">
      <formula>20</formula>
    </cfRule>
  </conditionalFormatting>
  <conditionalFormatting sqref="BL51:BL52 BL54 BL46:BM49 BL72:BM81 BL56:BL59 BL62:BL69 BL126:BM130 BL17:BM17 BL83:BM100 BL103:BM109 BL27:BM44">
    <cfRule type="cellIs" dxfId="183" priority="26" operator="notEqual">
      <formula>20</formula>
    </cfRule>
  </conditionalFormatting>
  <conditionalFormatting sqref="BL125">
    <cfRule type="cellIs" dxfId="182" priority="25" operator="notEqual">
      <formula>20</formula>
    </cfRule>
  </conditionalFormatting>
  <conditionalFormatting sqref="BM51:BM52 BM54 BM56:BM59 BM62:BM69">
    <cfRule type="cellIs" dxfId="181" priority="24" operator="notEqual">
      <formula>20</formula>
    </cfRule>
  </conditionalFormatting>
  <conditionalFormatting sqref="BL50:BM50">
    <cfRule type="cellIs" dxfId="180" priority="22" operator="notEqual">
      <formula>20</formula>
    </cfRule>
  </conditionalFormatting>
  <conditionalFormatting sqref="BM71">
    <cfRule type="cellIs" dxfId="179" priority="19" operator="notEqual">
      <formula>20</formula>
    </cfRule>
  </conditionalFormatting>
  <conditionalFormatting sqref="BL55:BM55">
    <cfRule type="cellIs" dxfId="178" priority="18" operator="notEqual">
      <formula>20</formula>
    </cfRule>
  </conditionalFormatting>
  <conditionalFormatting sqref="BL60:BL61">
    <cfRule type="cellIs" dxfId="177" priority="17" operator="notEqual">
      <formula>20</formula>
    </cfRule>
  </conditionalFormatting>
  <conditionalFormatting sqref="BL82:BM82">
    <cfRule type="cellIs" dxfId="176" priority="15" operator="notEqual">
      <formula>20</formula>
    </cfRule>
  </conditionalFormatting>
  <conditionalFormatting sqref="BL101:BM102">
    <cfRule type="cellIs" dxfId="175" priority="14" operator="notEqual">
      <formula>20</formula>
    </cfRule>
  </conditionalFormatting>
  <conditionalFormatting sqref="BL70">
    <cfRule type="cellIs" dxfId="174" priority="13" operator="notEqual">
      <formula>20</formula>
    </cfRule>
  </conditionalFormatting>
  <conditionalFormatting sqref="BM70">
    <cfRule type="cellIs" dxfId="173" priority="12" operator="notEqual">
      <formula>20</formula>
    </cfRule>
  </conditionalFormatting>
  <conditionalFormatting sqref="BL139:BM139">
    <cfRule type="cellIs" dxfId="172" priority="11" operator="notEqual">
      <formula>20</formula>
    </cfRule>
  </conditionalFormatting>
  <conditionalFormatting sqref="BL110:BM110">
    <cfRule type="cellIs" dxfId="171" priority="10" operator="notEqual">
      <formula>20</formula>
    </cfRule>
  </conditionalFormatting>
  <conditionalFormatting sqref="BL53:BM53">
    <cfRule type="cellIs" dxfId="170" priority="9" operator="notEqual">
      <formula>20</formula>
    </cfRule>
  </conditionalFormatting>
  <conditionalFormatting sqref="BL45:BM45">
    <cfRule type="cellIs" dxfId="169" priority="8" operator="notEqual">
      <formula>20</formula>
    </cfRule>
  </conditionalFormatting>
  <conditionalFormatting sqref="BL131:BM131">
    <cfRule type="cellIs" dxfId="168" priority="7" operator="notEqual">
      <formula>20</formula>
    </cfRule>
  </conditionalFormatting>
  <conditionalFormatting sqref="BP111:BP130 BP71:BP109 BP133:BP138 BP142 BP46:BP69 BP17:BP44">
    <cfRule type="cellIs" dxfId="167" priority="4" operator="equal">
      <formula>90</formula>
    </cfRule>
    <cfRule type="cellIs" dxfId="166" priority="5" operator="equal">
      <formula>60</formula>
    </cfRule>
    <cfRule type="cellIs" dxfId="165" priority="6" operator="equal">
      <formula>15</formula>
    </cfRule>
  </conditionalFormatting>
  <conditionalFormatting sqref="BP45">
    <cfRule type="cellIs" dxfId="164" priority="1" operator="equal">
      <formula>90</formula>
    </cfRule>
    <cfRule type="cellIs" dxfId="163" priority="2" operator="equal">
      <formula>60</formula>
    </cfRule>
    <cfRule type="cellIs" dxfId="162" priority="3" operator="equal">
      <formula>15</formula>
    </cfRule>
  </conditionalFormatting>
  <dataValidations count="3">
    <dataValidation type="list" allowBlank="1" sqref="P8:P52">
      <formula1>"0,10,20,30,40,50,60,70,80,90,100"</formula1>
    </dataValidation>
    <dataValidation type="list" allowBlank="1" sqref="C53">
      <formula1>$BH$7:$BH$372</formula1>
    </dataValidation>
    <dataValidation type="list" allowBlank="1" sqref="C8:C52">
      <formula1>$BH$7:$BH$217</formula1>
    </dataValidation>
  </dataValidations>
  <pageMargins left="0.31496062992125984" right="0.31496062992125984" top="0.31496062992125984" bottom="0.15748031496062992" header="0.31496062992125984" footer="0.31496062992125984"/>
  <pageSetup paperSize="9" scale="62" fitToHeight="0" orientation="landscape" r:id="rId1"/>
  <rowBreaks count="1" manualBreakCount="1">
    <brk id="53" max="38"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AO8:AO52 AH8:AH52 AA8:AA52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R122"/>
  <sheetViews>
    <sheetView zoomScale="90" zoomScaleNormal="90" zoomScalePageLayoutView="60" workbookViewId="0">
      <selection activeCell="A8" sqref="A8"/>
    </sheetView>
  </sheetViews>
  <sheetFormatPr baseColWidth="10" defaultRowHeight="15"/>
  <cols>
    <col min="1" max="1" width="19.5703125" style="175" customWidth="1"/>
    <col min="2" max="2" width="12.5703125" style="1016" customWidth="1"/>
    <col min="3" max="3" width="40.7109375" style="1016" customWidth="1"/>
    <col min="4" max="4" width="10.42578125" style="175" customWidth="1"/>
    <col min="5" max="5" width="11" style="1016" customWidth="1"/>
    <col min="6" max="6" width="11.140625" style="1016" customWidth="1"/>
    <col min="7" max="7" width="8.42578125" style="1016" customWidth="1"/>
    <col min="8" max="8" width="10.140625" style="1016" customWidth="1"/>
    <col min="9" max="9" width="13.42578125" style="1016" customWidth="1"/>
    <col min="10" max="10" width="17.42578125" style="1016" customWidth="1"/>
    <col min="11" max="11" width="6.28515625" style="1016" customWidth="1"/>
    <col min="12" max="12" width="8.85546875" style="1016" customWidth="1"/>
    <col min="13" max="13" width="4.85546875" style="1016" customWidth="1"/>
    <col min="14" max="14" width="16.140625" style="1016" customWidth="1"/>
    <col min="15" max="15" width="9.28515625" style="175" customWidth="1"/>
    <col min="16" max="16" width="10.7109375" style="282" customWidth="1"/>
    <col min="17" max="17" width="8.7109375" style="1016" customWidth="1"/>
    <col min="18" max="18" width="9.140625" style="1016" customWidth="1"/>
    <col min="19" max="19" width="2.28515625" style="1016" customWidth="1"/>
    <col min="20" max="20" width="13.140625" style="1016" customWidth="1"/>
    <col min="21" max="21" width="9.42578125" style="1016" customWidth="1"/>
    <col min="22" max="22" width="12.5703125" style="1016" customWidth="1"/>
    <col min="23" max="23" width="11.7109375" style="1016" customWidth="1"/>
    <col min="24" max="24" width="6.85546875" style="1016" customWidth="1"/>
    <col min="25" max="26" width="7.42578125" style="1016" customWidth="1"/>
    <col min="27" max="27" width="4.7109375" style="1028" customWidth="1"/>
    <col min="28" max="28" width="4" style="1028" customWidth="1"/>
    <col min="29" max="29" width="12.42578125" style="1028" customWidth="1"/>
    <col min="30" max="30" width="11" style="1028" customWidth="1"/>
    <col min="31" max="32" width="7" style="1028" customWidth="1"/>
    <col min="33" max="33" width="7" style="1016" customWidth="1"/>
    <col min="34" max="34" width="5.7109375" style="1028" customWidth="1"/>
    <col min="35" max="35" width="2.85546875" style="1028" customWidth="1"/>
    <col min="36" max="36" width="12.7109375" style="1028" customWidth="1"/>
    <col min="37" max="37" width="11.7109375" style="1028" customWidth="1"/>
    <col min="38" max="40" width="6.85546875" style="1028" customWidth="1"/>
    <col min="41" max="41" width="5.42578125" style="1035" customWidth="1"/>
    <col min="42" max="42" width="1.85546875" style="2081" customWidth="1"/>
    <col min="43" max="48" width="3.28515625" style="1035" customWidth="1"/>
    <col min="49" max="49" width="1.42578125" style="1089" customWidth="1"/>
    <col min="50" max="54" width="3" style="1089" customWidth="1"/>
    <col min="55" max="55" width="2.7109375" style="1089" customWidth="1"/>
    <col min="56" max="56" width="2.28515625" style="1035" customWidth="1"/>
    <col min="57" max="57" width="7.42578125" style="1089" customWidth="1"/>
    <col min="58" max="59" width="6.28515625" style="1035" customWidth="1"/>
    <col min="60" max="60" width="9.140625" style="1074" customWidth="1"/>
    <col min="61" max="61" width="6.28515625" style="1035" customWidth="1"/>
    <col min="62" max="62" width="1.5703125" style="1035" customWidth="1"/>
    <col min="63" max="63" width="7.28515625" style="1089" customWidth="1"/>
    <col min="64" max="65" width="6.5703125" style="1035" customWidth="1"/>
    <col min="66" max="66" width="7.7109375" style="1074" customWidth="1"/>
    <col min="67" max="67" width="7" style="1035" customWidth="1"/>
    <col min="68" max="68" width="3" style="1089" customWidth="1"/>
    <col min="69" max="69" width="1.140625" style="1089" customWidth="1"/>
    <col min="70" max="70" width="26.7109375" style="1089" customWidth="1"/>
    <col min="71" max="71" width="7.7109375" style="1089" customWidth="1"/>
    <col min="72" max="72" width="19.85546875" style="1089" customWidth="1"/>
    <col min="73" max="73" width="17.42578125" style="1089" customWidth="1"/>
    <col min="74" max="74" width="8.85546875" style="1089" customWidth="1"/>
    <col min="75" max="75" width="8.28515625" style="1089" customWidth="1"/>
    <col min="76" max="76" width="8.7109375" style="1089" customWidth="1"/>
    <col min="77" max="77" width="8.5703125" style="1089" customWidth="1"/>
    <col min="78" max="78" width="20.42578125" style="1089" customWidth="1"/>
    <col min="79" max="79" width="17" style="1089" customWidth="1"/>
    <col min="80" max="80" width="7.85546875" style="1089" customWidth="1"/>
    <col min="81" max="81" width="8" style="1089" customWidth="1"/>
    <col min="82" max="83" width="8.140625" style="1089" customWidth="1"/>
    <col min="84" max="84" width="12.85546875" style="1089" customWidth="1"/>
    <col min="85" max="85" width="11.28515625" style="1089" customWidth="1"/>
    <col min="86" max="86" width="8.42578125" style="1089" customWidth="1"/>
    <col min="87" max="87" width="7.7109375" style="1028" customWidth="1"/>
    <col min="88" max="88" width="8.7109375" style="1016" customWidth="1"/>
    <col min="89" max="89" width="8.140625" style="1016" customWidth="1"/>
    <col min="90" max="90" width="24.140625" style="1016" customWidth="1"/>
    <col min="91" max="91" width="6.5703125" style="1016" customWidth="1"/>
    <col min="92" max="92" width="31.28515625" style="1016" customWidth="1"/>
    <col min="93" max="93" width="11.28515625" style="1421" customWidth="1"/>
    <col min="94" max="94" width="26.28515625" style="1016" customWidth="1"/>
    <col min="95" max="16384" width="11.42578125" style="1016"/>
  </cols>
  <sheetData>
    <row r="1" spans="1:96" ht="15.75" customHeight="1">
      <c r="A1" s="313"/>
      <c r="B1" s="506"/>
      <c r="C1" s="412" t="str">
        <f>'DüV-N-Ackerbau'!C1</f>
        <v>Karl vom Land</v>
      </c>
      <c r="D1" s="507"/>
      <c r="E1" s="412" t="str">
        <f>'DüV-N-Ackerbau'!F1</f>
        <v>Erntejahr</v>
      </c>
      <c r="F1" s="507"/>
      <c r="G1" s="1018"/>
      <c r="H1" s="2447" t="s">
        <v>34</v>
      </c>
      <c r="I1" s="2448"/>
      <c r="J1" s="1018"/>
      <c r="K1" s="1018"/>
      <c r="L1" s="1018"/>
      <c r="M1" s="1018"/>
      <c r="N1" s="1018"/>
      <c r="O1" s="1018"/>
      <c r="P1" s="637"/>
      <c r="Q1" s="1018"/>
      <c r="R1" s="1422"/>
      <c r="S1" s="1017"/>
      <c r="T1" s="1017"/>
      <c r="U1" s="1017"/>
      <c r="V1" s="1017"/>
      <c r="W1" s="1017"/>
      <c r="X1" s="1017"/>
      <c r="Y1" s="1017"/>
      <c r="Z1" s="1017"/>
      <c r="AA1" s="1026"/>
      <c r="AB1" s="1026"/>
      <c r="AC1" s="1026"/>
      <c r="AD1" s="1026"/>
      <c r="AE1" s="1026"/>
      <c r="AF1" s="1026"/>
      <c r="AG1" s="1017"/>
      <c r="AH1" s="1026"/>
      <c r="AI1" s="1026"/>
      <c r="AJ1" s="1026"/>
      <c r="AK1" s="1026"/>
      <c r="AL1" s="1026"/>
      <c r="AM1" s="1026"/>
      <c r="AN1" s="1026"/>
      <c r="AO1" s="1036"/>
      <c r="AQ1" s="1036"/>
      <c r="AR1" s="1036"/>
      <c r="AS1" s="1036"/>
      <c r="AT1" s="1036"/>
      <c r="AU1" s="1036"/>
      <c r="AV1" s="1036"/>
      <c r="AW1" s="1106"/>
      <c r="AX1" s="1106"/>
      <c r="AY1" s="1106"/>
      <c r="AZ1" s="1106"/>
      <c r="BA1" s="1106"/>
      <c r="BB1" s="1106"/>
      <c r="BC1" s="1106"/>
      <c r="BD1" s="1036"/>
      <c r="BE1" s="1121"/>
      <c r="BF1" s="1036"/>
      <c r="BG1" s="1036"/>
      <c r="BH1" s="1075"/>
      <c r="BI1" s="1036"/>
      <c r="BJ1" s="1036"/>
      <c r="BK1" s="1121"/>
      <c r="BL1" s="1036"/>
      <c r="BM1" s="1036"/>
      <c r="BN1" s="1075"/>
      <c r="BO1" s="1036"/>
      <c r="BP1" s="1106"/>
      <c r="BQ1" s="1106"/>
      <c r="BR1" s="1113"/>
      <c r="BS1" s="1113"/>
      <c r="BT1" s="1113"/>
      <c r="BU1" s="1113"/>
      <c r="BV1" s="1113"/>
      <c r="BW1" s="1113"/>
      <c r="BX1" s="1113"/>
      <c r="BY1" s="1113"/>
      <c r="BZ1" s="1113"/>
      <c r="CA1" s="1113"/>
      <c r="CB1" s="1113"/>
      <c r="CC1" s="1113"/>
      <c r="CD1" s="1113"/>
      <c r="CE1" s="1113"/>
      <c r="CF1" s="1113"/>
      <c r="CG1" s="1113"/>
      <c r="CH1" s="1113"/>
      <c r="CI1" s="1026"/>
    </row>
    <row r="2" spans="1:96" ht="28.5" customHeight="1">
      <c r="A2" s="315"/>
      <c r="B2" s="114"/>
      <c r="C2" s="412" t="str">
        <f>'DüV-N-Ackerbau'!C2</f>
        <v>Höfen 1</v>
      </c>
      <c r="D2" s="114"/>
      <c r="E2" s="412">
        <f>'DüV-N-Ackerbau'!G1</f>
        <v>2022</v>
      </c>
      <c r="F2" s="114"/>
      <c r="G2" s="131"/>
      <c r="H2" s="2451" t="s">
        <v>36</v>
      </c>
      <c r="I2" s="2452"/>
      <c r="J2" s="1017"/>
      <c r="K2" s="1017"/>
      <c r="L2" s="1017"/>
      <c r="M2" s="1017"/>
      <c r="O2" s="1017"/>
      <c r="P2" s="634"/>
      <c r="Q2" s="1017"/>
      <c r="R2" s="1422"/>
      <c r="S2" s="1017"/>
      <c r="T2" s="1017"/>
      <c r="U2" s="1017"/>
      <c r="V2" s="1017"/>
      <c r="W2" s="1017"/>
      <c r="X2" s="1017"/>
      <c r="Y2" s="1017"/>
      <c r="Z2" s="1017"/>
      <c r="AA2" s="1026"/>
      <c r="AB2" s="1026"/>
      <c r="AC2" s="1026"/>
      <c r="AD2" s="1026"/>
      <c r="AE2" s="1026"/>
      <c r="AF2" s="1026"/>
      <c r="AG2" s="1017"/>
      <c r="AH2" s="1026"/>
      <c r="AI2" s="1026"/>
      <c r="AJ2" s="1026"/>
      <c r="AK2" s="1026"/>
      <c r="AL2" s="1026"/>
      <c r="AM2" s="1026"/>
      <c r="AN2" s="1026"/>
      <c r="AO2" s="1036"/>
      <c r="AQ2" s="1036"/>
      <c r="AR2" s="1036"/>
      <c r="AS2" s="1036"/>
      <c r="AT2" s="1036"/>
      <c r="AU2" s="1036"/>
      <c r="AV2" s="1036"/>
      <c r="AW2" s="1106"/>
      <c r="AX2" s="1106"/>
      <c r="AY2" s="1106"/>
      <c r="AZ2" s="1106"/>
      <c r="BA2" s="1106"/>
      <c r="BB2" s="1106"/>
      <c r="BC2" s="1106"/>
      <c r="BD2" s="1422"/>
      <c r="BE2" s="2514" t="s">
        <v>1154</v>
      </c>
      <c r="BF2" s="2514"/>
      <c r="BG2" s="2514"/>
      <c r="BH2" s="2514"/>
      <c r="BI2" s="2514"/>
      <c r="BJ2" s="2514"/>
      <c r="BK2" s="2514"/>
      <c r="BL2" s="2514"/>
      <c r="BM2" s="2514"/>
      <c r="BN2" s="2514"/>
      <c r="BO2" s="2514"/>
      <c r="BP2" s="1106"/>
      <c r="BQ2" s="1106"/>
      <c r="BR2" s="1113"/>
      <c r="BS2" s="1113"/>
      <c r="BT2" s="1113"/>
      <c r="BU2" s="1113"/>
      <c r="BV2" s="1113"/>
      <c r="BW2" s="1113"/>
      <c r="BX2" s="1113"/>
      <c r="BY2" s="1113"/>
      <c r="BZ2" s="1113"/>
      <c r="CA2" s="1113"/>
      <c r="CB2" s="1113"/>
      <c r="CC2" s="1113"/>
      <c r="CD2" s="1113"/>
      <c r="CE2" s="1113"/>
      <c r="CF2" s="1113"/>
      <c r="CG2" s="1113"/>
      <c r="CH2" s="1113"/>
      <c r="CI2" s="1026"/>
    </row>
    <row r="3" spans="1:96" ht="23.25" customHeight="1" thickBot="1">
      <c r="A3" s="315"/>
      <c r="B3" s="114"/>
      <c r="C3" s="412" t="str">
        <f>'DüV-N-Ackerbau'!C3</f>
        <v>12345 Auf dem Feld</v>
      </c>
      <c r="D3" s="114"/>
      <c r="E3" s="114"/>
      <c r="F3" s="114"/>
      <c r="G3" s="1017"/>
      <c r="H3" s="1017"/>
      <c r="I3" s="1017"/>
      <c r="J3" s="1017"/>
      <c r="K3" s="1017"/>
      <c r="L3" s="1017"/>
      <c r="M3" s="1017"/>
      <c r="N3" s="1017"/>
      <c r="O3" s="1017"/>
      <c r="P3" s="634"/>
      <c r="Q3" s="1017"/>
      <c r="R3" s="1422"/>
      <c r="S3" s="1017"/>
      <c r="T3" s="1017"/>
      <c r="U3" s="1017"/>
      <c r="V3" s="1017"/>
      <c r="W3" s="1017"/>
      <c r="X3" s="1017"/>
      <c r="Y3" s="1017"/>
      <c r="Z3" s="1017"/>
      <c r="AA3" s="1026"/>
      <c r="AB3" s="1026"/>
      <c r="AC3" s="1026"/>
      <c r="AD3" s="1026"/>
      <c r="AE3" s="1026"/>
      <c r="AF3" s="1026"/>
      <c r="AG3" s="1017"/>
      <c r="AH3" s="1026"/>
      <c r="AI3" s="1026"/>
      <c r="AJ3" s="1026"/>
      <c r="AK3" s="1026"/>
      <c r="AL3" s="1026"/>
      <c r="AM3" s="1026"/>
      <c r="AN3" s="1026"/>
      <c r="AO3" s="1036"/>
      <c r="AQ3" s="1087"/>
      <c r="AR3" s="1036"/>
      <c r="AS3" s="1036"/>
      <c r="AT3" s="1036"/>
      <c r="AU3" s="1036"/>
      <c r="AV3" s="1036"/>
      <c r="AW3" s="1106"/>
      <c r="AX3" s="1106"/>
      <c r="AY3" s="1106"/>
      <c r="AZ3" s="1106"/>
      <c r="BA3" s="1106"/>
      <c r="BB3" s="1106"/>
      <c r="BC3" s="1106"/>
      <c r="BD3" s="1422"/>
      <c r="BE3" s="2514"/>
      <c r="BF3" s="2514"/>
      <c r="BG3" s="2514"/>
      <c r="BH3" s="2514"/>
      <c r="BI3" s="2514"/>
      <c r="BJ3" s="2514"/>
      <c r="BK3" s="2514"/>
      <c r="BL3" s="2514"/>
      <c r="BM3" s="2514"/>
      <c r="BN3" s="2514"/>
      <c r="BO3" s="2514"/>
      <c r="BP3" s="1106"/>
      <c r="BQ3" s="1106"/>
      <c r="BR3" s="1113"/>
      <c r="BS3" s="1113"/>
      <c r="BT3" s="1113"/>
      <c r="BU3" s="1113"/>
      <c r="BV3" s="1113"/>
      <c r="BW3" s="1113"/>
      <c r="BX3" s="1113"/>
      <c r="BY3" s="1113"/>
      <c r="BZ3" s="1113"/>
      <c r="CA3" s="1113"/>
      <c r="CB3" s="1113"/>
      <c r="CC3" s="1113"/>
      <c r="CD3" s="1113"/>
      <c r="CE3" s="1113"/>
      <c r="CF3" s="1113"/>
      <c r="CG3" s="1113"/>
      <c r="CH3" s="1113"/>
      <c r="CI3" s="1026"/>
    </row>
    <row r="4" spans="1:96" ht="38.25" customHeight="1" thickBot="1">
      <c r="A4" s="2674" t="s">
        <v>1190</v>
      </c>
      <c r="B4" s="2675"/>
      <c r="C4" s="2675"/>
      <c r="D4" s="2675"/>
      <c r="E4" s="2675"/>
      <c r="F4" s="2675"/>
      <c r="G4" s="2675"/>
      <c r="H4" s="2675"/>
      <c r="I4" s="2675"/>
      <c r="J4" s="2675"/>
      <c r="K4" s="2675"/>
      <c r="L4" s="2675"/>
      <c r="M4" s="2675"/>
      <c r="N4" s="2675"/>
      <c r="O4" s="2675"/>
      <c r="P4" s="2675"/>
      <c r="Q4" s="2675"/>
      <c r="R4" s="2676"/>
      <c r="S4" s="1019"/>
      <c r="T4" s="2699" t="s">
        <v>1150</v>
      </c>
      <c r="U4" s="2687"/>
      <c r="V4" s="2687"/>
      <c r="W4" s="2687"/>
      <c r="X4" s="2687"/>
      <c r="Y4" s="2687"/>
      <c r="Z4" s="2687"/>
      <c r="AA4" s="2687"/>
      <c r="AB4" s="2687"/>
      <c r="AC4" s="2687"/>
      <c r="AD4" s="2687"/>
      <c r="AE4" s="2687"/>
      <c r="AF4" s="2687"/>
      <c r="AG4" s="2687"/>
      <c r="AH4" s="2687"/>
      <c r="AI4" s="2687"/>
      <c r="AJ4" s="2687"/>
      <c r="AK4" s="2687"/>
      <c r="AL4" s="2687"/>
      <c r="AM4" s="2687"/>
      <c r="AN4" s="2687"/>
      <c r="AO4" s="2687"/>
      <c r="AP4" s="2687"/>
      <c r="AQ4" s="2687"/>
      <c r="AR4" s="2687"/>
      <c r="AS4" s="2687"/>
      <c r="AT4" s="2687"/>
      <c r="AU4" s="2687"/>
      <c r="AV4" s="2687"/>
      <c r="AW4" s="2687"/>
      <c r="AX4" s="2687"/>
      <c r="AY4" s="2687"/>
      <c r="AZ4" s="2687"/>
      <c r="BA4" s="2687"/>
      <c r="BB4" s="2687"/>
      <c r="BC4" s="2700"/>
      <c r="BD4" s="1472"/>
      <c r="BE4" s="2514"/>
      <c r="BF4" s="2514"/>
      <c r="BG4" s="2514"/>
      <c r="BH4" s="2514"/>
      <c r="BI4" s="2514"/>
      <c r="BJ4" s="2514"/>
      <c r="BK4" s="2514"/>
      <c r="BL4" s="2514"/>
      <c r="BM4" s="2514"/>
      <c r="BN4" s="2514"/>
      <c r="BO4" s="2514"/>
      <c r="BP4" s="1106"/>
      <c r="BQ4" s="1106"/>
      <c r="BR4" s="1442"/>
      <c r="BS4" s="1442"/>
      <c r="BT4" s="1442"/>
      <c r="BU4" s="1442"/>
      <c r="BV4" s="1442"/>
      <c r="BW4" s="1442"/>
      <c r="BX4" s="1442"/>
      <c r="BY4" s="1442"/>
      <c r="BZ4" s="1442"/>
      <c r="CA4" s="1442"/>
      <c r="CB4" s="1442"/>
      <c r="CC4" s="1442"/>
      <c r="CD4" s="1442"/>
      <c r="CE4" s="1442"/>
      <c r="CF4" s="1442"/>
      <c r="CG4" s="1442"/>
      <c r="CH4" s="1442"/>
      <c r="CI4" s="1442"/>
      <c r="CJ4" s="645"/>
      <c r="CK4" s="645"/>
      <c r="CL4" s="645"/>
      <c r="CM4" s="1519"/>
      <c r="CP4" s="512"/>
      <c r="CQ4" s="486" t="s">
        <v>5</v>
      </c>
      <c r="CR4" s="111"/>
    </row>
    <row r="5" spans="1:96" s="1023" customFormat="1" ht="25.5" customHeight="1" thickBot="1">
      <c r="A5" s="2539" t="s">
        <v>1151</v>
      </c>
      <c r="B5" s="2672"/>
      <c r="C5" s="2672"/>
      <c r="D5" s="2672"/>
      <c r="E5" s="2672"/>
      <c r="F5" s="2672"/>
      <c r="G5" s="2672"/>
      <c r="H5" s="2672"/>
      <c r="I5" s="2672"/>
      <c r="J5" s="2672"/>
      <c r="K5" s="2672"/>
      <c r="L5" s="2672"/>
      <c r="M5" s="2672"/>
      <c r="N5" s="2672"/>
      <c r="O5" s="2672"/>
      <c r="P5" s="2672"/>
      <c r="Q5" s="2672"/>
      <c r="R5" s="2673"/>
      <c r="S5" s="981"/>
      <c r="T5" s="2694" t="s">
        <v>1018</v>
      </c>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695"/>
      <c r="BD5" s="1473"/>
      <c r="BE5" s="2696" t="s">
        <v>1065</v>
      </c>
      <c r="BF5" s="2514"/>
      <c r="BG5" s="2514"/>
      <c r="BH5" s="2514"/>
      <c r="BI5" s="2514"/>
      <c r="BJ5" s="1040"/>
      <c r="BK5" s="2697" t="s">
        <v>1076</v>
      </c>
      <c r="BL5" s="2698"/>
      <c r="BM5" s="2698"/>
      <c r="BN5" s="2698"/>
      <c r="BO5" s="2698"/>
      <c r="BP5" s="1105"/>
      <c r="BQ5" s="1105"/>
      <c r="BR5" s="2658" t="s">
        <v>1028</v>
      </c>
      <c r="BS5" s="2659"/>
      <c r="BT5" s="2658" t="s">
        <v>1077</v>
      </c>
      <c r="BU5" s="2660"/>
      <c r="BV5" s="2661"/>
      <c r="BW5" s="2661"/>
      <c r="BX5" s="2661"/>
      <c r="BY5" s="2662"/>
      <c r="BZ5" s="2658" t="s">
        <v>1078</v>
      </c>
      <c r="CA5" s="2659"/>
      <c r="CB5" s="2659"/>
      <c r="CC5" s="2659"/>
      <c r="CD5" s="2659"/>
      <c r="CE5" s="2663"/>
      <c r="CF5" s="2658" t="s">
        <v>1079</v>
      </c>
      <c r="CG5" s="2659"/>
      <c r="CH5" s="2659"/>
      <c r="CI5" s="2659"/>
      <c r="CJ5" s="2659"/>
      <c r="CK5" s="2663"/>
      <c r="CL5" s="783"/>
      <c r="CM5" s="783"/>
      <c r="CN5" s="1016"/>
      <c r="CO5" s="1421"/>
      <c r="CP5" s="486" t="s">
        <v>79</v>
      </c>
      <c r="CQ5" s="482"/>
      <c r="CR5" s="1016"/>
    </row>
    <row r="6" spans="1:96" ht="47.25" customHeight="1" thickBot="1">
      <c r="A6" s="2679" t="s">
        <v>1075</v>
      </c>
      <c r="B6" s="2553" t="s">
        <v>562</v>
      </c>
      <c r="C6" s="2681" t="s">
        <v>735</v>
      </c>
      <c r="D6" s="2683" t="s">
        <v>1166</v>
      </c>
      <c r="E6" s="2684"/>
      <c r="F6" s="2685"/>
      <c r="G6" s="2686" t="s">
        <v>296</v>
      </c>
      <c r="H6" s="2687"/>
      <c r="I6" s="2688"/>
      <c r="J6" s="2536" t="s">
        <v>244</v>
      </c>
      <c r="K6" s="2561" t="s">
        <v>163</v>
      </c>
      <c r="L6" s="2690" t="s">
        <v>601</v>
      </c>
      <c r="M6" s="2691" t="s">
        <v>163</v>
      </c>
      <c r="N6" s="2692" t="s">
        <v>237</v>
      </c>
      <c r="O6" s="2499" t="s">
        <v>1013</v>
      </c>
      <c r="P6" s="2693"/>
      <c r="Q6" s="2677" t="s">
        <v>1133</v>
      </c>
      <c r="R6" s="2678"/>
      <c r="S6" s="782"/>
      <c r="T6" s="2501" t="s">
        <v>1134</v>
      </c>
      <c r="U6" s="2515" t="s">
        <v>623</v>
      </c>
      <c r="V6" s="2612" t="s">
        <v>1425</v>
      </c>
      <c r="W6" s="2504"/>
      <c r="X6" s="2504"/>
      <c r="Y6" s="2504"/>
      <c r="Z6" s="2504"/>
      <c r="AA6" s="2504"/>
      <c r="AB6" s="525"/>
      <c r="AC6" s="2612" t="s">
        <v>1426</v>
      </c>
      <c r="AD6" s="2504"/>
      <c r="AE6" s="2504"/>
      <c r="AF6" s="2504"/>
      <c r="AG6" s="2504"/>
      <c r="AH6" s="2504"/>
      <c r="AI6" s="2099"/>
      <c r="AJ6" s="2612" t="s">
        <v>1427</v>
      </c>
      <c r="AK6" s="2504"/>
      <c r="AL6" s="2504"/>
      <c r="AM6" s="2504"/>
      <c r="AN6" s="2504"/>
      <c r="AO6" s="2504"/>
      <c r="AP6" s="131"/>
      <c r="AQ6" s="2612" t="s">
        <v>1428</v>
      </c>
      <c r="AR6" s="2504"/>
      <c r="AS6" s="2504"/>
      <c r="AT6" s="2504"/>
      <c r="AU6" s="2504"/>
      <c r="AV6" s="2504"/>
      <c r="AW6" s="864"/>
      <c r="AX6" s="2612" t="s">
        <v>1429</v>
      </c>
      <c r="AY6" s="2504"/>
      <c r="AZ6" s="2504"/>
      <c r="BA6" s="2504"/>
      <c r="BB6" s="2504"/>
      <c r="BC6" s="2504"/>
      <c r="BD6" s="1423"/>
      <c r="BE6" s="2514"/>
      <c r="BF6" s="2514"/>
      <c r="BG6" s="2514"/>
      <c r="BH6" s="2514"/>
      <c r="BI6" s="2514"/>
      <c r="BJ6" s="1037"/>
      <c r="BK6" s="2490"/>
      <c r="BL6" s="2490"/>
      <c r="BM6" s="2490"/>
      <c r="BN6" s="2490"/>
      <c r="BO6" s="2490"/>
      <c r="BP6" s="1105"/>
      <c r="BQ6" s="1105"/>
      <c r="BR6" s="1115"/>
      <c r="BS6" s="1115"/>
      <c r="BT6" s="1115"/>
      <c r="BU6" s="1115"/>
      <c r="BV6" s="1115"/>
      <c r="BW6" s="1115"/>
      <c r="BX6" s="1115"/>
      <c r="BY6" s="1115"/>
      <c r="BZ6" s="1115"/>
      <c r="CA6" s="1115"/>
      <c r="CB6" s="1115"/>
      <c r="CC6" s="1115"/>
      <c r="CD6" s="1115"/>
      <c r="CE6" s="1115"/>
      <c r="CF6" s="1115"/>
      <c r="CG6" s="1115"/>
      <c r="CH6" s="1115"/>
      <c r="CI6" s="1027"/>
      <c r="CJ6" s="797"/>
      <c r="CK6" s="646"/>
      <c r="CL6" s="646"/>
      <c r="CM6" s="648"/>
      <c r="CP6" s="512" t="s">
        <v>234</v>
      </c>
      <c r="CQ6" s="482">
        <v>10</v>
      </c>
    </row>
    <row r="7" spans="1:96" ht="65.25" customHeight="1" thickBot="1">
      <c r="A7" s="2680"/>
      <c r="B7" s="2554"/>
      <c r="C7" s="2682"/>
      <c r="D7" s="572" t="s">
        <v>294</v>
      </c>
      <c r="E7" s="511" t="s">
        <v>345</v>
      </c>
      <c r="F7" s="573" t="s">
        <v>346</v>
      </c>
      <c r="G7" s="560" t="s">
        <v>85</v>
      </c>
      <c r="H7" s="559" t="s">
        <v>301</v>
      </c>
      <c r="I7" s="576" t="s">
        <v>299</v>
      </c>
      <c r="J7" s="2689"/>
      <c r="K7" s="2440"/>
      <c r="L7" s="2535"/>
      <c r="M7" s="2530"/>
      <c r="N7" s="2513"/>
      <c r="O7" s="736" t="s">
        <v>322</v>
      </c>
      <c r="P7" s="658" t="s">
        <v>604</v>
      </c>
      <c r="Q7" s="642" t="s">
        <v>599</v>
      </c>
      <c r="R7" s="2236" t="s">
        <v>604</v>
      </c>
      <c r="S7" s="980"/>
      <c r="T7" s="2502"/>
      <c r="U7" s="2490"/>
      <c r="V7" s="2092" t="s">
        <v>839</v>
      </c>
      <c r="W7" s="2090" t="s">
        <v>819</v>
      </c>
      <c r="X7" s="2095" t="s">
        <v>33</v>
      </c>
      <c r="Y7" s="2091" t="s">
        <v>1062</v>
      </c>
      <c r="Z7" s="2095" t="s">
        <v>1063</v>
      </c>
      <c r="AA7" s="2091" t="s">
        <v>1064</v>
      </c>
      <c r="AB7" s="1421"/>
      <c r="AC7" s="2092" t="s">
        <v>839</v>
      </c>
      <c r="AD7" s="2090" t="s">
        <v>819</v>
      </c>
      <c r="AE7" s="2095" t="s">
        <v>33</v>
      </c>
      <c r="AF7" s="2091" t="s">
        <v>1062</v>
      </c>
      <c r="AG7" s="2095" t="s">
        <v>1063</v>
      </c>
      <c r="AH7" s="2091" t="s">
        <v>1064</v>
      </c>
      <c r="AI7" s="279"/>
      <c r="AJ7" s="2092" t="s">
        <v>839</v>
      </c>
      <c r="AK7" s="2090" t="s">
        <v>819</v>
      </c>
      <c r="AL7" s="2095" t="s">
        <v>33</v>
      </c>
      <c r="AM7" s="2091" t="s">
        <v>1062</v>
      </c>
      <c r="AN7" s="2095" t="s">
        <v>1063</v>
      </c>
      <c r="AO7" s="2091" t="s">
        <v>1064</v>
      </c>
      <c r="AP7" s="279"/>
      <c r="AQ7" s="2078" t="s">
        <v>839</v>
      </c>
      <c r="AR7" s="2077" t="s">
        <v>819</v>
      </c>
      <c r="AS7" s="2084" t="s">
        <v>33</v>
      </c>
      <c r="AT7" s="2076" t="s">
        <v>1062</v>
      </c>
      <c r="AU7" s="2084" t="s">
        <v>1063</v>
      </c>
      <c r="AV7" s="2076" t="s">
        <v>1064</v>
      </c>
      <c r="AW7" s="279"/>
      <c r="AX7" s="2078" t="s">
        <v>839</v>
      </c>
      <c r="AY7" s="2077" t="s">
        <v>819</v>
      </c>
      <c r="AZ7" s="2084" t="s">
        <v>33</v>
      </c>
      <c r="BA7" s="2076" t="s">
        <v>1062</v>
      </c>
      <c r="BB7" s="2084" t="s">
        <v>1063</v>
      </c>
      <c r="BC7" s="2076" t="s">
        <v>1064</v>
      </c>
      <c r="BD7" s="1474"/>
      <c r="BE7" s="1134" t="s">
        <v>1080</v>
      </c>
      <c r="BF7" s="1108" t="s">
        <v>1066</v>
      </c>
      <c r="BG7" s="1108" t="s">
        <v>1067</v>
      </c>
      <c r="BH7" s="906" t="s">
        <v>1241</v>
      </c>
      <c r="BI7" s="1108" t="s">
        <v>284</v>
      </c>
      <c r="BJ7" s="782"/>
      <c r="BK7" s="1806" t="s">
        <v>1080</v>
      </c>
      <c r="BL7" s="1168" t="s">
        <v>1307</v>
      </c>
      <c r="BM7" s="1168" t="s">
        <v>1308</v>
      </c>
      <c r="BN7" s="906" t="s">
        <v>1241</v>
      </c>
      <c r="BO7" s="1108" t="s">
        <v>284</v>
      </c>
      <c r="BP7" s="782"/>
      <c r="BQ7" s="782"/>
      <c r="BR7" s="1518" t="s">
        <v>1074</v>
      </c>
      <c r="BS7" s="1507" t="s">
        <v>562</v>
      </c>
      <c r="BT7" s="1508" t="s">
        <v>1202</v>
      </c>
      <c r="BU7" s="550" t="s">
        <v>1025</v>
      </c>
      <c r="BV7" s="1509" t="s">
        <v>1024</v>
      </c>
      <c r="BW7" s="1509" t="s">
        <v>1023</v>
      </c>
      <c r="BX7" s="1509" t="s">
        <v>1027</v>
      </c>
      <c r="BY7" s="1510" t="s">
        <v>1026</v>
      </c>
      <c r="BZ7" s="1508" t="s">
        <v>1202</v>
      </c>
      <c r="CA7" s="550" t="s">
        <v>1025</v>
      </c>
      <c r="CB7" s="1509" t="s">
        <v>1024</v>
      </c>
      <c r="CC7" s="1509" t="s">
        <v>1023</v>
      </c>
      <c r="CD7" s="1509" t="s">
        <v>1027</v>
      </c>
      <c r="CE7" s="1510" t="s">
        <v>1026</v>
      </c>
      <c r="CF7" s="1508" t="s">
        <v>1202</v>
      </c>
      <c r="CG7" s="550" t="s">
        <v>1025</v>
      </c>
      <c r="CH7" s="1509" t="s">
        <v>1024</v>
      </c>
      <c r="CI7" s="1509" t="s">
        <v>1023</v>
      </c>
      <c r="CJ7" s="1509" t="s">
        <v>1027</v>
      </c>
      <c r="CK7" s="1510" t="s">
        <v>1026</v>
      </c>
      <c r="CL7" s="1432" t="s">
        <v>1188</v>
      </c>
      <c r="CM7" s="1421"/>
      <c r="CP7" s="512" t="s">
        <v>235</v>
      </c>
      <c r="CQ7" s="482">
        <v>30</v>
      </c>
    </row>
    <row r="8" spans="1:96" ht="23.25" customHeight="1">
      <c r="A8" s="513" t="s">
        <v>1137</v>
      </c>
      <c r="B8" s="1704">
        <v>0</v>
      </c>
      <c r="C8" s="611" t="s">
        <v>1217</v>
      </c>
      <c r="D8" s="574">
        <f>100-E8-F8</f>
        <v>100</v>
      </c>
      <c r="E8" s="1714">
        <v>0</v>
      </c>
      <c r="F8" s="1715">
        <v>0</v>
      </c>
      <c r="G8" s="1706">
        <v>0</v>
      </c>
      <c r="H8" s="1707">
        <v>0</v>
      </c>
      <c r="I8" s="577">
        <f>((G8*D8/100)+(G8*E8*0.5/100)+G8*F8*0.75/100)*H8/6.25</f>
        <v>0</v>
      </c>
      <c r="J8" s="649" t="s">
        <v>90</v>
      </c>
      <c r="K8" s="579">
        <f t="shared" ref="K8:K42" si="0">VLOOKUP(J8,CP$17:CQ$20,2,FALSE)</f>
        <v>0</v>
      </c>
      <c r="L8" s="651" t="s">
        <v>234</v>
      </c>
      <c r="M8" s="581">
        <f t="shared" ref="M8:M42" si="1">VLOOKUP(L8,CP$6:CQ$10,2,FALSE)</f>
        <v>10</v>
      </c>
      <c r="N8" s="1711">
        <v>0</v>
      </c>
      <c r="O8" s="1415">
        <f>IF(I8-M8-K8-N8&lt;0,0,I8-M8-K8-N8)</f>
        <v>0</v>
      </c>
      <c r="P8" s="737">
        <f t="shared" ref="P8:P41" si="2">IF(O8&lt;0,0,O8*B8)</f>
        <v>0</v>
      </c>
      <c r="Q8" s="655">
        <f>IF(H8=0,0,G8*(D8/100+E8*0.5/100+F8*0.75/100)*(0.3494+0.4695*LOG(H8)/6.25*H8/6.25))</f>
        <v>0</v>
      </c>
      <c r="R8" s="1034">
        <f>B8*Q8</f>
        <v>0</v>
      </c>
      <c r="S8" s="978"/>
      <c r="T8" s="1281" t="str">
        <f>A8</f>
        <v>Weide 1</v>
      </c>
      <c r="U8" s="1281" t="str">
        <f>C8</f>
        <v>z.B. Jungviehweide</v>
      </c>
      <c r="V8" s="1329"/>
      <c r="W8" s="1330" t="s">
        <v>795</v>
      </c>
      <c r="X8" s="1424">
        <v>0</v>
      </c>
      <c r="Y8" s="1033">
        <f>VLOOKUP(W8,Düngemittel!$B$6:$E$64,2,FALSE)*(VLOOKUP(W8,Düngemittel!$B$6:$E$64,3,FALSE))/100*X8</f>
        <v>0</v>
      </c>
      <c r="Z8" s="1033">
        <f>VLOOKUP(W8,Düngemittel!$B$6:$E$64,2,FALSE)*X8</f>
        <v>0</v>
      </c>
      <c r="AA8" s="1033">
        <f>VLOOKUP(W8,Düngemittel!$B$6:$E$64,4,FALSE)*X8</f>
        <v>0</v>
      </c>
      <c r="AB8" s="92"/>
      <c r="AC8" s="1329"/>
      <c r="AD8" s="1330" t="s">
        <v>795</v>
      </c>
      <c r="AE8" s="1424">
        <v>0</v>
      </c>
      <c r="AF8" s="1033">
        <f>VLOOKUP(AD8,Düngemittel!$B$6:$E$64,2,FALSE)*(VLOOKUP(AD8,Düngemittel!$B$6:$E$64,3,FALSE))/100*AE8</f>
        <v>0</v>
      </c>
      <c r="AG8" s="1033">
        <f>VLOOKUP(AD8,Düngemittel!$B$6:$E$64,2,FALSE)*AE8</f>
        <v>0</v>
      </c>
      <c r="AH8" s="1033">
        <f>VLOOKUP(AD8,Düngemittel!$B$6:$E$64,4,FALSE)*AE8</f>
        <v>0</v>
      </c>
      <c r="AI8" s="92"/>
      <c r="AJ8" s="1329"/>
      <c r="AK8" s="1330" t="s">
        <v>795</v>
      </c>
      <c r="AL8" s="1424">
        <v>0</v>
      </c>
      <c r="AM8" s="1033">
        <f>VLOOKUP(AK8,Düngemittel!$B$6:$E$64,2,FALSE)*(VLOOKUP(AK8,Düngemittel!$B$6:$E$64,3,FALSE))/100*AL8</f>
        <v>0</v>
      </c>
      <c r="AN8" s="1033">
        <f>VLOOKUP(AK8,Düngemittel!$B$6:$E$64,2,FALSE)*AL8</f>
        <v>0</v>
      </c>
      <c r="AO8" s="1033">
        <f>VLOOKUP(AK8,Düngemittel!$B$6:$E$64,4,FALSE)*AL8</f>
        <v>0</v>
      </c>
      <c r="AP8" s="92"/>
      <c r="AQ8" s="1329"/>
      <c r="AR8" s="1330" t="s">
        <v>795</v>
      </c>
      <c r="AS8" s="1424">
        <v>0</v>
      </c>
      <c r="AT8" s="1033">
        <f>VLOOKUP(AR8,Düngemittel!$B$6:$E$64,2,FALSE)*(VLOOKUP(AR8,Düngemittel!$B$6:$E$64,3,FALSE))/100*AS8</f>
        <v>0</v>
      </c>
      <c r="AU8" s="1033">
        <f>VLOOKUP(AR8,Düngemittel!$B$6:$E$64,2,FALSE)*AS8</f>
        <v>0</v>
      </c>
      <c r="AV8" s="1033">
        <f>VLOOKUP(AR8,Düngemittel!$B$6:$E$64,4,FALSE)*AS8</f>
        <v>0</v>
      </c>
      <c r="AW8" s="92"/>
      <c r="AX8" s="1329"/>
      <c r="AY8" s="1330" t="s">
        <v>795</v>
      </c>
      <c r="AZ8" s="1424">
        <v>0</v>
      </c>
      <c r="BA8" s="1033">
        <f>VLOOKUP(AY8,Düngemittel!$B$6:$E$64,2,FALSE)*(VLOOKUP(AY8,Düngemittel!$B$6:$E$64,3,FALSE))/100*AZ8</f>
        <v>0</v>
      </c>
      <c r="BB8" s="1033">
        <f>VLOOKUP(AY8,Düngemittel!$B$6:$E$64,2,FALSE)*AZ8</f>
        <v>0</v>
      </c>
      <c r="BC8" s="1033">
        <f>VLOOKUP(AY8,Düngemittel!$B$6:$E$64,4,FALSE)*AZ8</f>
        <v>0</v>
      </c>
      <c r="BD8" s="1475"/>
      <c r="BE8" s="1282">
        <f>IF(Y8&lt;Z8,0,Y8)+IF(AF8&lt;AG8,0,AF8)+IF(AM8&lt;AN8,0,AM8)+IF(AT8&lt;AU8,0,AT8)+IF(BA8&lt;BB8,0,BA8)</f>
        <v>0</v>
      </c>
      <c r="BF8" s="1126">
        <f>SUM(Y8+AF8+AM8+AT8+BA8)</f>
        <v>0</v>
      </c>
      <c r="BG8" s="1283">
        <f>SUM(Z8+AG8+AN8+AU8+BB8)</f>
        <v>0</v>
      </c>
      <c r="BH8" s="1151">
        <f>IF(Y8&lt;Z8,Z8,0)+IF(AF8&lt;AG8,AG8,0)+IF(AM8&lt;AN8,AN8,0)+IF(AT8&lt;AU8,AU8,0)+IF(BA8&lt;BB8,BB8,0)</f>
        <v>0</v>
      </c>
      <c r="BI8" s="1126">
        <f>SUM(AA8+AH8+AO8+AV8+BC8)</f>
        <v>0</v>
      </c>
      <c r="BJ8" s="1152"/>
      <c r="BK8" s="1823">
        <f>BE8*$B8</f>
        <v>0</v>
      </c>
      <c r="BL8" s="1823">
        <f t="shared" ref="BL8:BO8" si="3">BF8*$B8</f>
        <v>0</v>
      </c>
      <c r="BM8" s="1823">
        <f t="shared" si="3"/>
        <v>0</v>
      </c>
      <c r="BN8" s="1282">
        <f t="shared" si="3"/>
        <v>0</v>
      </c>
      <c r="BO8" s="1282">
        <f t="shared" si="3"/>
        <v>0</v>
      </c>
      <c r="BP8" s="1119"/>
      <c r="BQ8" s="1119"/>
      <c r="BR8" s="1512" t="str">
        <f>$A8</f>
        <v>Weide 1</v>
      </c>
      <c r="BS8" s="1513">
        <f>$B8</f>
        <v>0</v>
      </c>
      <c r="BT8" s="1500"/>
      <c r="BU8" s="1497"/>
      <c r="BV8" s="1498"/>
      <c r="BW8" s="1498"/>
      <c r="BX8" s="1498"/>
      <c r="BY8" s="1514">
        <f>SUM(BW8*BX8/24)</f>
        <v>0</v>
      </c>
      <c r="BZ8" s="1500"/>
      <c r="CA8" s="1497"/>
      <c r="CB8" s="1498"/>
      <c r="CC8" s="1498"/>
      <c r="CD8" s="1498"/>
      <c r="CE8" s="1514">
        <f>SUM(CC8*CD8/24)</f>
        <v>0</v>
      </c>
      <c r="CF8" s="1500"/>
      <c r="CG8" s="1497"/>
      <c r="CH8" s="1498"/>
      <c r="CI8" s="1498"/>
      <c r="CJ8" s="1498"/>
      <c r="CK8" s="1514">
        <f>SUM(CI8*CJ8/24)</f>
        <v>0</v>
      </c>
      <c r="CL8" s="1433"/>
      <c r="CM8" s="1421"/>
      <c r="CP8" s="512" t="s">
        <v>236</v>
      </c>
      <c r="CQ8" s="482">
        <v>50</v>
      </c>
    </row>
    <row r="9" spans="1:96" ht="23.25" customHeight="1">
      <c r="A9" s="468" t="s">
        <v>1138</v>
      </c>
      <c r="B9" s="1705">
        <v>0</v>
      </c>
      <c r="C9" s="610"/>
      <c r="D9" s="575">
        <f t="shared" ref="D9:D41" si="4">100-E9-F9</f>
        <v>100</v>
      </c>
      <c r="E9" s="1437">
        <v>0</v>
      </c>
      <c r="F9" s="1716">
        <v>0</v>
      </c>
      <c r="G9" s="1596">
        <v>0</v>
      </c>
      <c r="H9" s="1708">
        <v>0</v>
      </c>
      <c r="I9" s="578">
        <f t="shared" ref="I9:I41" si="5">((G9*D9/100)+(G9*E9*0.5/100)+G9*F9*0.75/100)*H9/6.25</f>
        <v>0</v>
      </c>
      <c r="J9" s="650" t="s">
        <v>90</v>
      </c>
      <c r="K9" s="580">
        <f t="shared" si="0"/>
        <v>0</v>
      </c>
      <c r="L9" s="652" t="s">
        <v>234</v>
      </c>
      <c r="M9" s="582">
        <f t="shared" si="1"/>
        <v>10</v>
      </c>
      <c r="N9" s="1712">
        <v>0</v>
      </c>
      <c r="O9" s="740">
        <f t="shared" ref="O9:O41" si="6">IF(I9-M9-K9-N9&lt;0,0,I9-M9-K9-N9)</f>
        <v>0</v>
      </c>
      <c r="P9" s="738">
        <f t="shared" si="2"/>
        <v>0</v>
      </c>
      <c r="Q9" s="657">
        <f t="shared" ref="Q9:Q42" si="7">IF(H9=0,0,G9*(D9/100+E9*0.5/100+F9*0.75/100)*(0.3494+0.4695*LOG(H9)/6.25*H9/6.25))</f>
        <v>0</v>
      </c>
      <c r="R9" s="659">
        <f t="shared" ref="R9:R41" si="8">B9*Q9</f>
        <v>0</v>
      </c>
      <c r="S9" s="978"/>
      <c r="T9" s="1281" t="str">
        <f t="shared" ref="T9:T42" si="9">A9</f>
        <v>Weide 2</v>
      </c>
      <c r="U9" s="1281">
        <f t="shared" ref="U9:U42" si="10">C9</f>
        <v>0</v>
      </c>
      <c r="V9" s="1329"/>
      <c r="W9" s="1330" t="s">
        <v>795</v>
      </c>
      <c r="X9" s="1424">
        <v>0</v>
      </c>
      <c r="Y9" s="1033">
        <f>VLOOKUP(W9,Düngemittel!$B$6:$E$64,2,FALSE)*(VLOOKUP(W9,Düngemittel!$B$6:$E$64,3,FALSE))/100*X9</f>
        <v>0</v>
      </c>
      <c r="Z9" s="1033">
        <f>VLOOKUP(W9,Düngemittel!$B$6:$E$64,2,FALSE)*X9</f>
        <v>0</v>
      </c>
      <c r="AA9" s="1033">
        <f>VLOOKUP(W9,Düngemittel!$B$6:$E$64,4,FALSE)*X9</f>
        <v>0</v>
      </c>
      <c r="AB9" s="2089"/>
      <c r="AC9" s="1329"/>
      <c r="AD9" s="1330" t="s">
        <v>795</v>
      </c>
      <c r="AE9" s="1424">
        <v>0</v>
      </c>
      <c r="AF9" s="1033">
        <f>VLOOKUP(AD9,Düngemittel!$B$6:$E$64,2,FALSE)*(VLOOKUP(AD9,Düngemittel!$B$6:$E$64,3,FALSE))/100*AE9</f>
        <v>0</v>
      </c>
      <c r="AG9" s="1033">
        <f>VLOOKUP(AD9,Düngemittel!$B$6:$E$64,2,FALSE)*AE9</f>
        <v>0</v>
      </c>
      <c r="AH9" s="1033">
        <f>VLOOKUP(AD9,Düngemittel!$B$6:$E$64,4,FALSE)*AE9</f>
        <v>0</v>
      </c>
      <c r="AI9" s="2089"/>
      <c r="AJ9" s="1329"/>
      <c r="AK9" s="1330" t="s">
        <v>795</v>
      </c>
      <c r="AL9" s="1424">
        <v>0</v>
      </c>
      <c r="AM9" s="1033">
        <f>VLOOKUP(AK9,Düngemittel!$B$6:$E$64,2,FALSE)*(VLOOKUP(AK9,Düngemittel!$B$6:$E$64,3,FALSE))/100*AL9</f>
        <v>0</v>
      </c>
      <c r="AN9" s="1033">
        <f>VLOOKUP(AK9,Düngemittel!$B$6:$E$64,2,FALSE)*AL9</f>
        <v>0</v>
      </c>
      <c r="AO9" s="1033">
        <f>VLOOKUP(AK9,Düngemittel!$B$6:$E$64,4,FALSE)*AL9</f>
        <v>0</v>
      </c>
      <c r="AQ9" s="1329"/>
      <c r="AR9" s="1330" t="s">
        <v>795</v>
      </c>
      <c r="AS9" s="1424">
        <v>0</v>
      </c>
      <c r="AT9" s="1033">
        <f>VLOOKUP(AR9,Düngemittel!$B$6:$E$64,2,FALSE)*(VLOOKUP(AR9,Düngemittel!$B$6:$E$64,3,FALSE))/100*AS9</f>
        <v>0</v>
      </c>
      <c r="AU9" s="1033">
        <f>VLOOKUP(AR9,Düngemittel!$B$6:$E$64,2,FALSE)*AS9</f>
        <v>0</v>
      </c>
      <c r="AV9" s="1033">
        <f>VLOOKUP(AR9,Düngemittel!$B$6:$E$64,4,FALSE)*AS9</f>
        <v>0</v>
      </c>
      <c r="AW9" s="2081"/>
      <c r="AX9" s="1329"/>
      <c r="AY9" s="1330" t="s">
        <v>795</v>
      </c>
      <c r="AZ9" s="1424">
        <v>0</v>
      </c>
      <c r="BA9" s="1033">
        <f>VLOOKUP(AY9,Düngemittel!$B$6:$E$64,2,FALSE)*(VLOOKUP(AY9,Düngemittel!$B$6:$E$64,3,FALSE))/100*AZ9</f>
        <v>0</v>
      </c>
      <c r="BB9" s="1033">
        <f>VLOOKUP(AY9,Düngemittel!$B$6:$E$64,2,FALSE)*AZ9</f>
        <v>0</v>
      </c>
      <c r="BC9" s="1033">
        <f>VLOOKUP(AY9,Düngemittel!$B$6:$E$64,4,FALSE)*AZ9</f>
        <v>0</v>
      </c>
      <c r="BD9" s="1475"/>
      <c r="BE9" s="1282">
        <f t="shared" ref="BE9:BE42" si="11">IF(Y9&lt;Z9,0,Y9)+IF(AF9&lt;AG9,0,AF9)+IF(AM9&lt;AN9,0,AM9)+IF(AT9&lt;AU9,0,AT9)+IF(BA9&lt;BB9,0,BA9)</f>
        <v>0</v>
      </c>
      <c r="BF9" s="2352">
        <f t="shared" ref="BF9:BF42" si="12">SUM(Y9+AF9+AM9+AT9+BA9)</f>
        <v>0</v>
      </c>
      <c r="BG9" s="1283">
        <f t="shared" ref="BG9:BG42" si="13">SUM(Z9+AG9+AN9+AU9+BB9)</f>
        <v>0</v>
      </c>
      <c r="BH9" s="1151">
        <f t="shared" ref="BH9:BH42" si="14">IF(Y9&lt;Z9,Z9,0)+IF(AF9&lt;AG9,AG9,0)+IF(AM9&lt;AN9,AN9,0)+IF(AT9&lt;AU9,AU9,0)+IF(BA9&lt;BB9,BB9,0)</f>
        <v>0</v>
      </c>
      <c r="BI9" s="2352">
        <f t="shared" ref="BI9:BI42" si="15">SUM(AA9+AH9+AO9+AV9+BC9)</f>
        <v>0</v>
      </c>
      <c r="BJ9" s="1152"/>
      <c r="BK9" s="1282">
        <f t="shared" ref="BK9:BK42" si="16">BE9*$B9</f>
        <v>0</v>
      </c>
      <c r="BL9" s="1282">
        <f t="shared" ref="BL9:BL42" si="17">BF9*$B9</f>
        <v>0</v>
      </c>
      <c r="BM9" s="1282">
        <f t="shared" ref="BM9:BM42" si="18">BG9*$B9</f>
        <v>0</v>
      </c>
      <c r="BN9" s="1282">
        <f t="shared" ref="BN9:BN42" si="19">BH9*$B9</f>
        <v>0</v>
      </c>
      <c r="BO9" s="1282">
        <f t="shared" ref="BO9:BO42" si="20">BI9*$B9</f>
        <v>0</v>
      </c>
      <c r="BP9" s="1119"/>
      <c r="BQ9" s="1119"/>
      <c r="BR9" s="1512" t="str">
        <f t="shared" ref="BR9:BR42" si="21">$A9</f>
        <v>Weide 2</v>
      </c>
      <c r="BS9" s="1513">
        <f t="shared" ref="BS9:BS42" si="22">$B9</f>
        <v>0</v>
      </c>
      <c r="BT9" s="1438"/>
      <c r="BU9" s="1495"/>
      <c r="BV9" s="1437"/>
      <c r="BW9" s="1437"/>
      <c r="BX9" s="1437"/>
      <c r="BY9" s="1515">
        <f t="shared" ref="BY9:BY42" si="23">SUM(BW9*BX9/24)</f>
        <v>0</v>
      </c>
      <c r="BZ9" s="1438"/>
      <c r="CA9" s="1495"/>
      <c r="CB9" s="1437"/>
      <c r="CC9" s="1437"/>
      <c r="CD9" s="1437"/>
      <c r="CE9" s="1515">
        <f t="shared" ref="CE9:CE42" si="24">SUM(CC9*CD9/24)</f>
        <v>0</v>
      </c>
      <c r="CF9" s="1438"/>
      <c r="CG9" s="1495"/>
      <c r="CH9" s="1437"/>
      <c r="CI9" s="1437"/>
      <c r="CJ9" s="1437"/>
      <c r="CK9" s="1515">
        <f t="shared" ref="CK9:CK42" si="25">SUM(CI9*CJ9/24)</f>
        <v>0</v>
      </c>
      <c r="CL9" s="1434"/>
      <c r="CM9" s="1421"/>
      <c r="CP9" s="512" t="s">
        <v>80</v>
      </c>
      <c r="CQ9" s="482">
        <v>50</v>
      </c>
    </row>
    <row r="10" spans="1:96" ht="23.25" customHeight="1">
      <c r="A10" s="468" t="s">
        <v>1139</v>
      </c>
      <c r="B10" s="1705">
        <v>0</v>
      </c>
      <c r="C10" s="610"/>
      <c r="D10" s="575">
        <f t="shared" si="4"/>
        <v>100</v>
      </c>
      <c r="E10" s="1437">
        <v>0</v>
      </c>
      <c r="F10" s="1716">
        <v>0</v>
      </c>
      <c r="G10" s="1596">
        <v>0</v>
      </c>
      <c r="H10" s="1708">
        <v>0</v>
      </c>
      <c r="I10" s="578">
        <f t="shared" si="5"/>
        <v>0</v>
      </c>
      <c r="J10" s="650" t="s">
        <v>90</v>
      </c>
      <c r="K10" s="580">
        <f t="shared" si="0"/>
        <v>0</v>
      </c>
      <c r="L10" s="652" t="s">
        <v>234</v>
      </c>
      <c r="M10" s="582">
        <f t="shared" si="1"/>
        <v>10</v>
      </c>
      <c r="N10" s="1712">
        <v>0</v>
      </c>
      <c r="O10" s="740">
        <f t="shared" si="6"/>
        <v>0</v>
      </c>
      <c r="P10" s="738">
        <f t="shared" si="2"/>
        <v>0</v>
      </c>
      <c r="Q10" s="657">
        <f t="shared" si="7"/>
        <v>0</v>
      </c>
      <c r="R10" s="659">
        <f t="shared" si="8"/>
        <v>0</v>
      </c>
      <c r="S10" s="978"/>
      <c r="T10" s="1281" t="str">
        <f t="shared" si="9"/>
        <v>Mähweide 3</v>
      </c>
      <c r="U10" s="1281">
        <f t="shared" si="10"/>
        <v>0</v>
      </c>
      <c r="V10" s="1329"/>
      <c r="W10" s="1330" t="s">
        <v>795</v>
      </c>
      <c r="X10" s="1424">
        <v>0</v>
      </c>
      <c r="Y10" s="1033">
        <f>VLOOKUP(W10,Düngemittel!$B$6:$E$64,2,FALSE)*(VLOOKUP(W10,Düngemittel!$B$6:$E$64,3,FALSE))/100*X10</f>
        <v>0</v>
      </c>
      <c r="Z10" s="1033">
        <f>VLOOKUP(W10,Düngemittel!$B$6:$E$64,2,FALSE)*X10</f>
        <v>0</v>
      </c>
      <c r="AA10" s="1033">
        <f>VLOOKUP(W10,Düngemittel!$B$6:$E$64,4,FALSE)*X10</f>
        <v>0</v>
      </c>
      <c r="AB10" s="2089"/>
      <c r="AC10" s="1329"/>
      <c r="AD10" s="1330" t="s">
        <v>795</v>
      </c>
      <c r="AE10" s="1424">
        <v>0</v>
      </c>
      <c r="AF10" s="1033">
        <f>VLOOKUP(AD10,Düngemittel!$B$6:$E$64,2,FALSE)*(VLOOKUP(AD10,Düngemittel!$B$6:$E$64,3,FALSE))/100*AE10</f>
        <v>0</v>
      </c>
      <c r="AG10" s="1033">
        <f>VLOOKUP(AD10,Düngemittel!$B$6:$E$64,2,FALSE)*AE10</f>
        <v>0</v>
      </c>
      <c r="AH10" s="1033">
        <f>VLOOKUP(AD10,Düngemittel!$B$6:$E$64,4,FALSE)*AE10</f>
        <v>0</v>
      </c>
      <c r="AI10" s="2089"/>
      <c r="AJ10" s="1329"/>
      <c r="AK10" s="1330" t="s">
        <v>795</v>
      </c>
      <c r="AL10" s="1424">
        <v>0</v>
      </c>
      <c r="AM10" s="1033">
        <f>VLOOKUP(AK10,Düngemittel!$B$6:$E$64,2,FALSE)*(VLOOKUP(AK10,Düngemittel!$B$6:$E$64,3,FALSE))/100*AL10</f>
        <v>0</v>
      </c>
      <c r="AN10" s="1033">
        <f>VLOOKUP(AK10,Düngemittel!$B$6:$E$64,2,FALSE)*AL10</f>
        <v>0</v>
      </c>
      <c r="AO10" s="1033">
        <f>VLOOKUP(AK10,Düngemittel!$B$6:$E$64,4,FALSE)*AL10</f>
        <v>0</v>
      </c>
      <c r="AQ10" s="1329"/>
      <c r="AR10" s="1330" t="s">
        <v>795</v>
      </c>
      <c r="AS10" s="1424">
        <v>0</v>
      </c>
      <c r="AT10" s="1033">
        <f>VLOOKUP(AR10,Düngemittel!$B$6:$E$64,2,FALSE)*(VLOOKUP(AR10,Düngemittel!$B$6:$E$64,3,FALSE))/100*AS10</f>
        <v>0</v>
      </c>
      <c r="AU10" s="1033">
        <f>VLOOKUP(AR10,Düngemittel!$B$6:$E$64,2,FALSE)*AS10</f>
        <v>0</v>
      </c>
      <c r="AV10" s="1033">
        <f>VLOOKUP(AR10,Düngemittel!$B$6:$E$64,4,FALSE)*AS10</f>
        <v>0</v>
      </c>
      <c r="AW10" s="2081"/>
      <c r="AX10" s="1329"/>
      <c r="AY10" s="1330" t="s">
        <v>795</v>
      </c>
      <c r="AZ10" s="1424">
        <v>0</v>
      </c>
      <c r="BA10" s="1033">
        <f>VLOOKUP(AY10,Düngemittel!$B$6:$E$64,2,FALSE)*(VLOOKUP(AY10,Düngemittel!$B$6:$E$64,3,FALSE))/100*AZ10</f>
        <v>0</v>
      </c>
      <c r="BB10" s="1033">
        <f>VLOOKUP(AY10,Düngemittel!$B$6:$E$64,2,FALSE)*AZ10</f>
        <v>0</v>
      </c>
      <c r="BC10" s="1033">
        <f>VLOOKUP(AY10,Düngemittel!$B$6:$E$64,4,FALSE)*AZ10</f>
        <v>0</v>
      </c>
      <c r="BD10" s="1475"/>
      <c r="BE10" s="1282">
        <f t="shared" si="11"/>
        <v>0</v>
      </c>
      <c r="BF10" s="2352">
        <f t="shared" si="12"/>
        <v>0</v>
      </c>
      <c r="BG10" s="1283">
        <f t="shared" si="13"/>
        <v>0</v>
      </c>
      <c r="BH10" s="1151">
        <f t="shared" si="14"/>
        <v>0</v>
      </c>
      <c r="BI10" s="2352">
        <f t="shared" si="15"/>
        <v>0</v>
      </c>
      <c r="BJ10" s="1152"/>
      <c r="BK10" s="1282">
        <f t="shared" si="16"/>
        <v>0</v>
      </c>
      <c r="BL10" s="1282">
        <f t="shared" si="17"/>
        <v>0</v>
      </c>
      <c r="BM10" s="1282">
        <f t="shared" si="18"/>
        <v>0</v>
      </c>
      <c r="BN10" s="1282">
        <f t="shared" si="19"/>
        <v>0</v>
      </c>
      <c r="BO10" s="1282">
        <f t="shared" si="20"/>
        <v>0</v>
      </c>
      <c r="BP10" s="1119"/>
      <c r="BQ10" s="1119"/>
      <c r="BR10" s="1512" t="str">
        <f t="shared" si="21"/>
        <v>Mähweide 3</v>
      </c>
      <c r="BS10" s="1513">
        <f t="shared" si="22"/>
        <v>0</v>
      </c>
      <c r="BT10" s="1438"/>
      <c r="BU10" s="1495"/>
      <c r="BV10" s="1437"/>
      <c r="BW10" s="1437"/>
      <c r="BX10" s="1437"/>
      <c r="BY10" s="1515">
        <f t="shared" si="23"/>
        <v>0</v>
      </c>
      <c r="BZ10" s="1438"/>
      <c r="CA10" s="1495"/>
      <c r="CB10" s="1437"/>
      <c r="CC10" s="1437"/>
      <c r="CD10" s="1437"/>
      <c r="CE10" s="1515">
        <f t="shared" si="24"/>
        <v>0</v>
      </c>
      <c r="CF10" s="1438"/>
      <c r="CG10" s="1495"/>
      <c r="CH10" s="1437"/>
      <c r="CI10" s="1437"/>
      <c r="CJ10" s="1437"/>
      <c r="CK10" s="1515">
        <f t="shared" si="25"/>
        <v>0</v>
      </c>
      <c r="CL10" s="1434"/>
      <c r="CM10" s="1421"/>
      <c r="CP10" s="512" t="s">
        <v>81</v>
      </c>
      <c r="CQ10" s="482">
        <v>80</v>
      </c>
    </row>
    <row r="11" spans="1:96" ht="23.25" customHeight="1">
      <c r="A11" s="468" t="s">
        <v>1136</v>
      </c>
      <c r="B11" s="1705">
        <v>0</v>
      </c>
      <c r="C11" s="610"/>
      <c r="D11" s="575">
        <f t="shared" ref="D11:D14" si="26">100-E11-F11</f>
        <v>100</v>
      </c>
      <c r="E11" s="1437">
        <v>0</v>
      </c>
      <c r="F11" s="1716">
        <v>0</v>
      </c>
      <c r="G11" s="1596">
        <v>0</v>
      </c>
      <c r="H11" s="1708">
        <v>0</v>
      </c>
      <c r="I11" s="578">
        <f t="shared" ref="I11:I14" si="27">((G11*D11/100)+(G11*E11*0.5/100)+G11*F11*0.75/100)*H11/6.25</f>
        <v>0</v>
      </c>
      <c r="J11" s="650" t="s">
        <v>90</v>
      </c>
      <c r="K11" s="580">
        <f t="shared" si="0"/>
        <v>0</v>
      </c>
      <c r="L11" s="652" t="s">
        <v>234</v>
      </c>
      <c r="M11" s="582">
        <f t="shared" si="1"/>
        <v>10</v>
      </c>
      <c r="N11" s="1712">
        <v>0</v>
      </c>
      <c r="O11" s="740">
        <f t="shared" ref="O11:O14" si="28">IF(I11-M11-K11-N11&lt;0,0,I11-M11-K11-N11)</f>
        <v>0</v>
      </c>
      <c r="P11" s="738">
        <f t="shared" ref="P11:P14" si="29">IF(O11&lt;0,0,O11*B11)</f>
        <v>0</v>
      </c>
      <c r="Q11" s="657">
        <f t="shared" si="7"/>
        <v>0</v>
      </c>
      <c r="R11" s="659">
        <f t="shared" ref="R11:R14" si="30">B11*Q11</f>
        <v>0</v>
      </c>
      <c r="S11" s="978"/>
      <c r="T11" s="1281" t="str">
        <f t="shared" si="9"/>
        <v>Wiese 4</v>
      </c>
      <c r="U11" s="1281">
        <f t="shared" si="10"/>
        <v>0</v>
      </c>
      <c r="V11" s="1329"/>
      <c r="W11" s="1330" t="s">
        <v>795</v>
      </c>
      <c r="X11" s="1424">
        <v>0</v>
      </c>
      <c r="Y11" s="1033">
        <f>VLOOKUP(W11,Düngemittel!$B$6:$E$64,2,FALSE)*(VLOOKUP(W11,Düngemittel!$B$6:$E$64,3,FALSE))/100*X11</f>
        <v>0</v>
      </c>
      <c r="Z11" s="1033">
        <f>VLOOKUP(W11,Düngemittel!$B$6:$E$64,2,FALSE)*X11</f>
        <v>0</v>
      </c>
      <c r="AA11" s="1033">
        <f>VLOOKUP(W11,Düngemittel!$B$6:$E$64,4,FALSE)*X11</f>
        <v>0</v>
      </c>
      <c r="AB11" s="2089"/>
      <c r="AC11" s="1329"/>
      <c r="AD11" s="1330" t="s">
        <v>795</v>
      </c>
      <c r="AE11" s="1424">
        <v>0</v>
      </c>
      <c r="AF11" s="1033">
        <f>VLOOKUP(AD11,Düngemittel!$B$6:$E$64,2,FALSE)*(VLOOKUP(AD11,Düngemittel!$B$6:$E$64,3,FALSE))/100*AE11</f>
        <v>0</v>
      </c>
      <c r="AG11" s="1033">
        <f>VLOOKUP(AD11,Düngemittel!$B$6:$E$64,2,FALSE)*AE11</f>
        <v>0</v>
      </c>
      <c r="AH11" s="1033">
        <f>VLOOKUP(AD11,Düngemittel!$B$6:$E$64,4,FALSE)*AE11</f>
        <v>0</v>
      </c>
      <c r="AI11" s="2089"/>
      <c r="AJ11" s="1329"/>
      <c r="AK11" s="1330" t="s">
        <v>795</v>
      </c>
      <c r="AL11" s="1424">
        <v>0</v>
      </c>
      <c r="AM11" s="1033">
        <f>VLOOKUP(AK11,Düngemittel!$B$6:$E$64,2,FALSE)*(VLOOKUP(AK11,Düngemittel!$B$6:$E$64,3,FALSE))/100*AL11</f>
        <v>0</v>
      </c>
      <c r="AN11" s="1033">
        <f>VLOOKUP(AK11,Düngemittel!$B$6:$E$64,2,FALSE)*AL11</f>
        <v>0</v>
      </c>
      <c r="AO11" s="1033">
        <f>VLOOKUP(AK11,Düngemittel!$B$6:$E$64,4,FALSE)*AL11</f>
        <v>0</v>
      </c>
      <c r="AQ11" s="1329"/>
      <c r="AR11" s="1330" t="s">
        <v>795</v>
      </c>
      <c r="AS11" s="1424">
        <v>0</v>
      </c>
      <c r="AT11" s="1033">
        <f>VLOOKUP(AR11,Düngemittel!$B$6:$E$64,2,FALSE)*(VLOOKUP(AR11,Düngemittel!$B$6:$E$64,3,FALSE))/100*AS11</f>
        <v>0</v>
      </c>
      <c r="AU11" s="1033">
        <f>VLOOKUP(AR11,Düngemittel!$B$6:$E$64,2,FALSE)*AS11</f>
        <v>0</v>
      </c>
      <c r="AV11" s="1033">
        <f>VLOOKUP(AR11,Düngemittel!$B$6:$E$64,4,FALSE)*AS11</f>
        <v>0</v>
      </c>
      <c r="AW11" s="2081"/>
      <c r="AX11" s="1329"/>
      <c r="AY11" s="1330" t="s">
        <v>795</v>
      </c>
      <c r="AZ11" s="1424">
        <v>0</v>
      </c>
      <c r="BA11" s="1033">
        <f>VLOOKUP(AY11,Düngemittel!$B$6:$E$64,2,FALSE)*(VLOOKUP(AY11,Düngemittel!$B$6:$E$64,3,FALSE))/100*AZ11</f>
        <v>0</v>
      </c>
      <c r="BB11" s="1033">
        <f>VLOOKUP(AY11,Düngemittel!$B$6:$E$64,2,FALSE)*AZ11</f>
        <v>0</v>
      </c>
      <c r="BC11" s="1033">
        <f>VLOOKUP(AY11,Düngemittel!$B$6:$E$64,4,FALSE)*AZ11</f>
        <v>0</v>
      </c>
      <c r="BD11" s="1475"/>
      <c r="BE11" s="1282">
        <f t="shared" si="11"/>
        <v>0</v>
      </c>
      <c r="BF11" s="2352">
        <f t="shared" si="12"/>
        <v>0</v>
      </c>
      <c r="BG11" s="1283">
        <f t="shared" si="13"/>
        <v>0</v>
      </c>
      <c r="BH11" s="1151">
        <f t="shared" si="14"/>
        <v>0</v>
      </c>
      <c r="BI11" s="2352">
        <f t="shared" si="15"/>
        <v>0</v>
      </c>
      <c r="BJ11" s="1152"/>
      <c r="BK11" s="1282">
        <f t="shared" si="16"/>
        <v>0</v>
      </c>
      <c r="BL11" s="1282">
        <f t="shared" si="17"/>
        <v>0</v>
      </c>
      <c r="BM11" s="1282">
        <f t="shared" si="18"/>
        <v>0</v>
      </c>
      <c r="BN11" s="1282">
        <f t="shared" si="19"/>
        <v>0</v>
      </c>
      <c r="BO11" s="1282">
        <f t="shared" si="20"/>
        <v>0</v>
      </c>
      <c r="BP11" s="1119"/>
      <c r="BQ11" s="1119"/>
      <c r="BR11" s="1512" t="str">
        <f t="shared" si="21"/>
        <v>Wiese 4</v>
      </c>
      <c r="BS11" s="1513">
        <f t="shared" si="22"/>
        <v>0</v>
      </c>
      <c r="BT11" s="1438"/>
      <c r="BU11" s="1495"/>
      <c r="BV11" s="1437"/>
      <c r="BW11" s="1437"/>
      <c r="BX11" s="1437"/>
      <c r="BY11" s="1515">
        <f t="shared" si="23"/>
        <v>0</v>
      </c>
      <c r="BZ11" s="1438"/>
      <c r="CA11" s="1495"/>
      <c r="CB11" s="1437"/>
      <c r="CC11" s="1437"/>
      <c r="CD11" s="1437"/>
      <c r="CE11" s="1515">
        <f t="shared" si="24"/>
        <v>0</v>
      </c>
      <c r="CF11" s="1438"/>
      <c r="CG11" s="1495"/>
      <c r="CH11" s="1437"/>
      <c r="CI11" s="1437"/>
      <c r="CJ11" s="1437"/>
      <c r="CK11" s="1515">
        <f t="shared" si="25"/>
        <v>0</v>
      </c>
      <c r="CL11" s="1434"/>
      <c r="CM11" s="1421"/>
      <c r="CN11" s="126"/>
      <c r="CO11"/>
    </row>
    <row r="12" spans="1:96" ht="23.25" customHeight="1">
      <c r="A12" s="468">
        <v>5</v>
      </c>
      <c r="B12" s="1705">
        <v>0</v>
      </c>
      <c r="C12" s="610"/>
      <c r="D12" s="575">
        <f t="shared" si="26"/>
        <v>100</v>
      </c>
      <c r="E12" s="1437">
        <v>0</v>
      </c>
      <c r="F12" s="1716">
        <v>0</v>
      </c>
      <c r="G12" s="1596">
        <v>0</v>
      </c>
      <c r="H12" s="1708">
        <v>0</v>
      </c>
      <c r="I12" s="578">
        <f t="shared" si="27"/>
        <v>0</v>
      </c>
      <c r="J12" s="650" t="s">
        <v>90</v>
      </c>
      <c r="K12" s="580">
        <f t="shared" si="0"/>
        <v>0</v>
      </c>
      <c r="L12" s="652" t="s">
        <v>234</v>
      </c>
      <c r="M12" s="582">
        <f t="shared" si="1"/>
        <v>10</v>
      </c>
      <c r="N12" s="1712">
        <v>0</v>
      </c>
      <c r="O12" s="740">
        <f t="shared" si="28"/>
        <v>0</v>
      </c>
      <c r="P12" s="738">
        <f t="shared" si="29"/>
        <v>0</v>
      </c>
      <c r="Q12" s="657">
        <f t="shared" si="7"/>
        <v>0</v>
      </c>
      <c r="R12" s="659">
        <f t="shared" si="30"/>
        <v>0</v>
      </c>
      <c r="S12" s="978"/>
      <c r="T12" s="1281">
        <f t="shared" si="9"/>
        <v>5</v>
      </c>
      <c r="U12" s="1281">
        <f t="shared" si="10"/>
        <v>0</v>
      </c>
      <c r="V12" s="1329"/>
      <c r="W12" s="1330" t="s">
        <v>795</v>
      </c>
      <c r="X12" s="1424">
        <v>0</v>
      </c>
      <c r="Y12" s="1033">
        <f>VLOOKUP(W12,Düngemittel!$B$6:$E$64,2,FALSE)*(VLOOKUP(W12,Düngemittel!$B$6:$E$64,3,FALSE))/100*X12</f>
        <v>0</v>
      </c>
      <c r="Z12" s="1033">
        <f>VLOOKUP(W12,Düngemittel!$B$6:$E$64,2,FALSE)*X12</f>
        <v>0</v>
      </c>
      <c r="AA12" s="1033">
        <f>VLOOKUP(W12,Düngemittel!$B$6:$E$64,4,FALSE)*X12</f>
        <v>0</v>
      </c>
      <c r="AB12" s="2089"/>
      <c r="AC12" s="1329"/>
      <c r="AD12" s="1330" t="s">
        <v>795</v>
      </c>
      <c r="AE12" s="1424">
        <v>0</v>
      </c>
      <c r="AF12" s="1033">
        <f>VLOOKUP(AD12,Düngemittel!$B$6:$E$64,2,FALSE)*(VLOOKUP(AD12,Düngemittel!$B$6:$E$64,3,FALSE))/100*AE12</f>
        <v>0</v>
      </c>
      <c r="AG12" s="1033">
        <f>VLOOKUP(AD12,Düngemittel!$B$6:$E$64,2,FALSE)*AE12</f>
        <v>0</v>
      </c>
      <c r="AH12" s="1033">
        <f>VLOOKUP(AD12,Düngemittel!$B$6:$E$64,4,FALSE)*AE12</f>
        <v>0</v>
      </c>
      <c r="AI12" s="2089"/>
      <c r="AJ12" s="1329"/>
      <c r="AK12" s="1330" t="s">
        <v>795</v>
      </c>
      <c r="AL12" s="1424">
        <v>0</v>
      </c>
      <c r="AM12" s="1033">
        <f>VLOOKUP(AK12,Düngemittel!$B$6:$E$64,2,FALSE)*(VLOOKUP(AK12,Düngemittel!$B$6:$E$64,3,FALSE))/100*AL12</f>
        <v>0</v>
      </c>
      <c r="AN12" s="1033">
        <f>VLOOKUP(AK12,Düngemittel!$B$6:$E$64,2,FALSE)*AL12</f>
        <v>0</v>
      </c>
      <c r="AO12" s="1033">
        <f>VLOOKUP(AK12,Düngemittel!$B$6:$E$64,4,FALSE)*AL12</f>
        <v>0</v>
      </c>
      <c r="AQ12" s="1329"/>
      <c r="AR12" s="1330" t="s">
        <v>795</v>
      </c>
      <c r="AS12" s="1424">
        <v>0</v>
      </c>
      <c r="AT12" s="1033">
        <f>VLOOKUP(AR12,Düngemittel!$B$6:$E$64,2,FALSE)*(VLOOKUP(AR12,Düngemittel!$B$6:$E$64,3,FALSE))/100*AS12</f>
        <v>0</v>
      </c>
      <c r="AU12" s="1033">
        <f>VLOOKUP(AR12,Düngemittel!$B$6:$E$64,2,FALSE)*AS12</f>
        <v>0</v>
      </c>
      <c r="AV12" s="1033">
        <f>VLOOKUP(AR12,Düngemittel!$B$6:$E$64,4,FALSE)*AS12</f>
        <v>0</v>
      </c>
      <c r="AW12" s="2081"/>
      <c r="AX12" s="1329"/>
      <c r="AY12" s="1330" t="s">
        <v>795</v>
      </c>
      <c r="AZ12" s="1424">
        <v>0</v>
      </c>
      <c r="BA12" s="1033">
        <f>VLOOKUP(AY12,Düngemittel!$B$6:$E$64,2,FALSE)*(VLOOKUP(AY12,Düngemittel!$B$6:$E$64,3,FALSE))/100*AZ12</f>
        <v>0</v>
      </c>
      <c r="BB12" s="1033">
        <f>VLOOKUP(AY12,Düngemittel!$B$6:$E$64,2,FALSE)*AZ12</f>
        <v>0</v>
      </c>
      <c r="BC12" s="1033">
        <f>VLOOKUP(AY12,Düngemittel!$B$6:$E$64,4,FALSE)*AZ12</f>
        <v>0</v>
      </c>
      <c r="BD12" s="1475"/>
      <c r="BE12" s="1282">
        <f t="shared" si="11"/>
        <v>0</v>
      </c>
      <c r="BF12" s="2352">
        <f t="shared" si="12"/>
        <v>0</v>
      </c>
      <c r="BG12" s="1283">
        <f t="shared" si="13"/>
        <v>0</v>
      </c>
      <c r="BH12" s="1151">
        <f t="shared" si="14"/>
        <v>0</v>
      </c>
      <c r="BI12" s="2352">
        <f t="shared" si="15"/>
        <v>0</v>
      </c>
      <c r="BJ12" s="1152"/>
      <c r="BK12" s="1282">
        <f t="shared" si="16"/>
        <v>0</v>
      </c>
      <c r="BL12" s="1282">
        <f t="shared" si="17"/>
        <v>0</v>
      </c>
      <c r="BM12" s="1282">
        <f t="shared" si="18"/>
        <v>0</v>
      </c>
      <c r="BN12" s="1282">
        <f t="shared" si="19"/>
        <v>0</v>
      </c>
      <c r="BO12" s="1282">
        <f t="shared" si="20"/>
        <v>0</v>
      </c>
      <c r="BP12" s="1119"/>
      <c r="BQ12" s="1119"/>
      <c r="BR12" s="1512">
        <f t="shared" si="21"/>
        <v>5</v>
      </c>
      <c r="BS12" s="1513">
        <f t="shared" si="22"/>
        <v>0</v>
      </c>
      <c r="BT12" s="1438"/>
      <c r="BU12" s="1495"/>
      <c r="BV12" s="1437"/>
      <c r="BW12" s="1437"/>
      <c r="BX12" s="1437"/>
      <c r="BY12" s="1515">
        <f t="shared" si="23"/>
        <v>0</v>
      </c>
      <c r="BZ12" s="1438"/>
      <c r="CA12" s="1495"/>
      <c r="CB12" s="1437"/>
      <c r="CC12" s="1437"/>
      <c r="CD12" s="1437"/>
      <c r="CE12" s="1515">
        <f t="shared" si="24"/>
        <v>0</v>
      </c>
      <c r="CF12" s="1438"/>
      <c r="CG12" s="1495"/>
      <c r="CH12" s="1437"/>
      <c r="CI12" s="1437"/>
      <c r="CJ12" s="1437"/>
      <c r="CK12" s="1515">
        <f t="shared" si="25"/>
        <v>0</v>
      </c>
      <c r="CL12" s="1434"/>
      <c r="CM12" s="1421"/>
      <c r="CO12" s="1016"/>
    </row>
    <row r="13" spans="1:96" ht="23.25" customHeight="1">
      <c r="A13" s="468">
        <v>6</v>
      </c>
      <c r="B13" s="1705">
        <v>0</v>
      </c>
      <c r="C13" s="610"/>
      <c r="D13" s="575">
        <f t="shared" si="26"/>
        <v>100</v>
      </c>
      <c r="E13" s="1437">
        <v>0</v>
      </c>
      <c r="F13" s="1716">
        <v>0</v>
      </c>
      <c r="G13" s="1596">
        <v>0</v>
      </c>
      <c r="H13" s="1708">
        <v>0</v>
      </c>
      <c r="I13" s="578">
        <f t="shared" si="27"/>
        <v>0</v>
      </c>
      <c r="J13" s="650" t="s">
        <v>90</v>
      </c>
      <c r="K13" s="580">
        <f t="shared" si="0"/>
        <v>0</v>
      </c>
      <c r="L13" s="652" t="s">
        <v>234</v>
      </c>
      <c r="M13" s="582">
        <f t="shared" si="1"/>
        <v>10</v>
      </c>
      <c r="N13" s="1712">
        <v>0</v>
      </c>
      <c r="O13" s="740">
        <f t="shared" si="28"/>
        <v>0</v>
      </c>
      <c r="P13" s="738">
        <f t="shared" si="29"/>
        <v>0</v>
      </c>
      <c r="Q13" s="657">
        <f t="shared" si="7"/>
        <v>0</v>
      </c>
      <c r="R13" s="659">
        <f t="shared" si="30"/>
        <v>0</v>
      </c>
      <c r="S13" s="978"/>
      <c r="T13" s="1281">
        <f t="shared" si="9"/>
        <v>6</v>
      </c>
      <c r="U13" s="1281">
        <f t="shared" si="10"/>
        <v>0</v>
      </c>
      <c r="V13" s="1329"/>
      <c r="W13" s="1330" t="s">
        <v>795</v>
      </c>
      <c r="X13" s="1424">
        <v>0</v>
      </c>
      <c r="Y13" s="1033">
        <f>VLOOKUP(W13,Düngemittel!$B$6:$E$64,2,FALSE)*(VLOOKUP(W13,Düngemittel!$B$6:$E$64,3,FALSE))/100*X13</f>
        <v>0</v>
      </c>
      <c r="Z13" s="1033">
        <f>VLOOKUP(W13,Düngemittel!$B$6:$E$64,2,FALSE)*X13</f>
        <v>0</v>
      </c>
      <c r="AA13" s="1033">
        <f>VLOOKUP(W13,Düngemittel!$B$6:$E$64,4,FALSE)*X13</f>
        <v>0</v>
      </c>
      <c r="AB13" s="2089"/>
      <c r="AC13" s="1329"/>
      <c r="AD13" s="1330" t="s">
        <v>795</v>
      </c>
      <c r="AE13" s="1424">
        <v>0</v>
      </c>
      <c r="AF13" s="1033">
        <f>VLOOKUP(AD13,Düngemittel!$B$6:$E$64,2,FALSE)*(VLOOKUP(AD13,Düngemittel!$B$6:$E$64,3,FALSE))/100*AE13</f>
        <v>0</v>
      </c>
      <c r="AG13" s="1033">
        <f>VLOOKUP(AD13,Düngemittel!$B$6:$E$64,2,FALSE)*AE13</f>
        <v>0</v>
      </c>
      <c r="AH13" s="1033">
        <f>VLOOKUP(AD13,Düngemittel!$B$6:$E$64,4,FALSE)*AE13</f>
        <v>0</v>
      </c>
      <c r="AI13" s="2089"/>
      <c r="AJ13" s="1329"/>
      <c r="AK13" s="1330" t="s">
        <v>795</v>
      </c>
      <c r="AL13" s="1424">
        <v>0</v>
      </c>
      <c r="AM13" s="1033">
        <f>VLOOKUP(AK13,Düngemittel!$B$6:$E$64,2,FALSE)*(VLOOKUP(AK13,Düngemittel!$B$6:$E$64,3,FALSE))/100*AL13</f>
        <v>0</v>
      </c>
      <c r="AN13" s="1033">
        <f>VLOOKUP(AK13,Düngemittel!$B$6:$E$64,2,FALSE)*AL13</f>
        <v>0</v>
      </c>
      <c r="AO13" s="1033">
        <f>VLOOKUP(AK13,Düngemittel!$B$6:$E$64,4,FALSE)*AL13</f>
        <v>0</v>
      </c>
      <c r="AQ13" s="1329"/>
      <c r="AR13" s="1330" t="s">
        <v>795</v>
      </c>
      <c r="AS13" s="1424">
        <v>0</v>
      </c>
      <c r="AT13" s="1033">
        <f>VLOOKUP(AR13,Düngemittel!$B$6:$E$64,2,FALSE)*(VLOOKUP(AR13,Düngemittel!$B$6:$E$64,3,FALSE))/100*AS13</f>
        <v>0</v>
      </c>
      <c r="AU13" s="1033">
        <f>VLOOKUP(AR13,Düngemittel!$B$6:$E$64,2,FALSE)*AS13</f>
        <v>0</v>
      </c>
      <c r="AV13" s="1033">
        <f>VLOOKUP(AR13,Düngemittel!$B$6:$E$64,4,FALSE)*AS13</f>
        <v>0</v>
      </c>
      <c r="AW13" s="2081"/>
      <c r="AX13" s="1329"/>
      <c r="AY13" s="1330" t="s">
        <v>795</v>
      </c>
      <c r="AZ13" s="1424">
        <v>0</v>
      </c>
      <c r="BA13" s="1033">
        <f>VLOOKUP(AY13,Düngemittel!$B$6:$E$64,2,FALSE)*(VLOOKUP(AY13,Düngemittel!$B$6:$E$64,3,FALSE))/100*AZ13</f>
        <v>0</v>
      </c>
      <c r="BB13" s="1033">
        <f>VLOOKUP(AY13,Düngemittel!$B$6:$E$64,2,FALSE)*AZ13</f>
        <v>0</v>
      </c>
      <c r="BC13" s="1033">
        <f>VLOOKUP(AY13,Düngemittel!$B$6:$E$64,4,FALSE)*AZ13</f>
        <v>0</v>
      </c>
      <c r="BD13" s="1475"/>
      <c r="BE13" s="1282">
        <f t="shared" si="11"/>
        <v>0</v>
      </c>
      <c r="BF13" s="2352">
        <f t="shared" si="12"/>
        <v>0</v>
      </c>
      <c r="BG13" s="1283">
        <f t="shared" si="13"/>
        <v>0</v>
      </c>
      <c r="BH13" s="1151">
        <f t="shared" si="14"/>
        <v>0</v>
      </c>
      <c r="BI13" s="2352">
        <f t="shared" si="15"/>
        <v>0</v>
      </c>
      <c r="BJ13" s="1152"/>
      <c r="BK13" s="1282">
        <f t="shared" si="16"/>
        <v>0</v>
      </c>
      <c r="BL13" s="1282">
        <f t="shared" si="17"/>
        <v>0</v>
      </c>
      <c r="BM13" s="1282">
        <f t="shared" si="18"/>
        <v>0</v>
      </c>
      <c r="BN13" s="1282">
        <f t="shared" si="19"/>
        <v>0</v>
      </c>
      <c r="BO13" s="1282">
        <f t="shared" si="20"/>
        <v>0</v>
      </c>
      <c r="BP13" s="1119"/>
      <c r="BQ13" s="1119"/>
      <c r="BR13" s="1512">
        <f t="shared" si="21"/>
        <v>6</v>
      </c>
      <c r="BS13" s="1513">
        <f t="shared" si="22"/>
        <v>0</v>
      </c>
      <c r="BT13" s="1438"/>
      <c r="BU13" s="1495"/>
      <c r="BV13" s="1437"/>
      <c r="BW13" s="1437"/>
      <c r="BX13" s="1437"/>
      <c r="BY13" s="1515">
        <f t="shared" si="23"/>
        <v>0</v>
      </c>
      <c r="BZ13" s="1438"/>
      <c r="CA13" s="1495"/>
      <c r="CB13" s="1437"/>
      <c r="CC13" s="1437"/>
      <c r="CD13" s="1437"/>
      <c r="CE13" s="1515">
        <f t="shared" si="24"/>
        <v>0</v>
      </c>
      <c r="CF13" s="1438"/>
      <c r="CG13" s="1495"/>
      <c r="CH13" s="1437"/>
      <c r="CI13" s="1437"/>
      <c r="CJ13" s="1437"/>
      <c r="CK13" s="1515">
        <f t="shared" si="25"/>
        <v>0</v>
      </c>
      <c r="CL13" s="1434"/>
      <c r="CM13" s="1421"/>
      <c r="CO13" s="1016"/>
    </row>
    <row r="14" spans="1:96" ht="23.25" customHeight="1">
      <c r="A14" s="468">
        <v>7</v>
      </c>
      <c r="B14" s="1705">
        <v>0</v>
      </c>
      <c r="C14" s="610"/>
      <c r="D14" s="575">
        <f t="shared" si="26"/>
        <v>100</v>
      </c>
      <c r="E14" s="1437">
        <v>0</v>
      </c>
      <c r="F14" s="1716">
        <v>0</v>
      </c>
      <c r="G14" s="1596">
        <v>0</v>
      </c>
      <c r="H14" s="1708">
        <v>0</v>
      </c>
      <c r="I14" s="578">
        <f t="shared" si="27"/>
        <v>0</v>
      </c>
      <c r="J14" s="650" t="s">
        <v>90</v>
      </c>
      <c r="K14" s="580">
        <f t="shared" si="0"/>
        <v>0</v>
      </c>
      <c r="L14" s="652" t="s">
        <v>234</v>
      </c>
      <c r="M14" s="582">
        <f t="shared" si="1"/>
        <v>10</v>
      </c>
      <c r="N14" s="1712">
        <v>0</v>
      </c>
      <c r="O14" s="740">
        <f t="shared" si="28"/>
        <v>0</v>
      </c>
      <c r="P14" s="738">
        <f t="shared" si="29"/>
        <v>0</v>
      </c>
      <c r="Q14" s="657">
        <f t="shared" si="7"/>
        <v>0</v>
      </c>
      <c r="R14" s="659">
        <f t="shared" si="30"/>
        <v>0</v>
      </c>
      <c r="S14" s="978"/>
      <c r="T14" s="1281">
        <f t="shared" si="9"/>
        <v>7</v>
      </c>
      <c r="U14" s="1281">
        <f t="shared" si="10"/>
        <v>0</v>
      </c>
      <c r="V14" s="1329"/>
      <c r="W14" s="1330" t="s">
        <v>795</v>
      </c>
      <c r="X14" s="1424">
        <v>0</v>
      </c>
      <c r="Y14" s="1033">
        <f>VLOOKUP(W14,Düngemittel!$B$6:$E$64,2,FALSE)*(VLOOKUP(W14,Düngemittel!$B$6:$E$64,3,FALSE))/100*X14</f>
        <v>0</v>
      </c>
      <c r="Z14" s="1033">
        <f>VLOOKUP(W14,Düngemittel!$B$6:$E$64,2,FALSE)*X14</f>
        <v>0</v>
      </c>
      <c r="AA14" s="1033">
        <f>VLOOKUP(W14,Düngemittel!$B$6:$E$64,4,FALSE)*X14</f>
        <v>0</v>
      </c>
      <c r="AB14" s="2089"/>
      <c r="AC14" s="1329"/>
      <c r="AD14" s="1330" t="s">
        <v>795</v>
      </c>
      <c r="AE14" s="1424">
        <v>0</v>
      </c>
      <c r="AF14" s="1033">
        <f>VLOOKUP(AD14,Düngemittel!$B$6:$E$64,2,FALSE)*(VLOOKUP(AD14,Düngemittel!$B$6:$E$64,3,FALSE))/100*AE14</f>
        <v>0</v>
      </c>
      <c r="AG14" s="1033">
        <f>VLOOKUP(AD14,Düngemittel!$B$6:$E$64,2,FALSE)*AE14</f>
        <v>0</v>
      </c>
      <c r="AH14" s="1033">
        <f>VLOOKUP(AD14,Düngemittel!$B$6:$E$64,4,FALSE)*AE14</f>
        <v>0</v>
      </c>
      <c r="AI14" s="2089"/>
      <c r="AJ14" s="1329"/>
      <c r="AK14" s="1330" t="s">
        <v>795</v>
      </c>
      <c r="AL14" s="1424">
        <v>0</v>
      </c>
      <c r="AM14" s="1033">
        <f>VLOOKUP(AK14,Düngemittel!$B$6:$E$64,2,FALSE)*(VLOOKUP(AK14,Düngemittel!$B$6:$E$64,3,FALSE))/100*AL14</f>
        <v>0</v>
      </c>
      <c r="AN14" s="1033">
        <f>VLOOKUP(AK14,Düngemittel!$B$6:$E$64,2,FALSE)*AL14</f>
        <v>0</v>
      </c>
      <c r="AO14" s="1033">
        <f>VLOOKUP(AK14,Düngemittel!$B$6:$E$64,4,FALSE)*AL14</f>
        <v>0</v>
      </c>
      <c r="AQ14" s="1329"/>
      <c r="AR14" s="1330" t="s">
        <v>795</v>
      </c>
      <c r="AS14" s="1424">
        <v>0</v>
      </c>
      <c r="AT14" s="1033">
        <f>VLOOKUP(AR14,Düngemittel!$B$6:$E$64,2,FALSE)*(VLOOKUP(AR14,Düngemittel!$B$6:$E$64,3,FALSE))/100*AS14</f>
        <v>0</v>
      </c>
      <c r="AU14" s="1033">
        <f>VLOOKUP(AR14,Düngemittel!$B$6:$E$64,2,FALSE)*AS14</f>
        <v>0</v>
      </c>
      <c r="AV14" s="1033">
        <f>VLOOKUP(AR14,Düngemittel!$B$6:$E$64,4,FALSE)*AS14</f>
        <v>0</v>
      </c>
      <c r="AW14" s="2081"/>
      <c r="AX14" s="1329"/>
      <c r="AY14" s="1330" t="s">
        <v>795</v>
      </c>
      <c r="AZ14" s="1424">
        <v>0</v>
      </c>
      <c r="BA14" s="1033">
        <f>VLOOKUP(AY14,Düngemittel!$B$6:$E$64,2,FALSE)*(VLOOKUP(AY14,Düngemittel!$B$6:$E$64,3,FALSE))/100*AZ14</f>
        <v>0</v>
      </c>
      <c r="BB14" s="1033">
        <f>VLOOKUP(AY14,Düngemittel!$B$6:$E$64,2,FALSE)*AZ14</f>
        <v>0</v>
      </c>
      <c r="BC14" s="1033">
        <f>VLOOKUP(AY14,Düngemittel!$B$6:$E$64,4,FALSE)*AZ14</f>
        <v>0</v>
      </c>
      <c r="BD14" s="1475"/>
      <c r="BE14" s="1282">
        <f t="shared" si="11"/>
        <v>0</v>
      </c>
      <c r="BF14" s="2352">
        <f t="shared" si="12"/>
        <v>0</v>
      </c>
      <c r="BG14" s="1283">
        <f t="shared" si="13"/>
        <v>0</v>
      </c>
      <c r="BH14" s="1151">
        <f t="shared" si="14"/>
        <v>0</v>
      </c>
      <c r="BI14" s="2352">
        <f t="shared" si="15"/>
        <v>0</v>
      </c>
      <c r="BJ14" s="1152"/>
      <c r="BK14" s="1282">
        <f t="shared" si="16"/>
        <v>0</v>
      </c>
      <c r="BL14" s="1282">
        <f t="shared" si="17"/>
        <v>0</v>
      </c>
      <c r="BM14" s="1282">
        <f t="shared" si="18"/>
        <v>0</v>
      </c>
      <c r="BN14" s="1282">
        <f t="shared" si="19"/>
        <v>0</v>
      </c>
      <c r="BO14" s="1282">
        <f t="shared" si="20"/>
        <v>0</v>
      </c>
      <c r="BP14" s="1119"/>
      <c r="BQ14" s="1119"/>
      <c r="BR14" s="1512">
        <f t="shared" si="21"/>
        <v>7</v>
      </c>
      <c r="BS14" s="1513">
        <f t="shared" si="22"/>
        <v>0</v>
      </c>
      <c r="BT14" s="1438"/>
      <c r="BU14" s="1495"/>
      <c r="BV14" s="1437"/>
      <c r="BW14" s="1437"/>
      <c r="BX14" s="1437"/>
      <c r="BY14" s="1515">
        <f t="shared" si="23"/>
        <v>0</v>
      </c>
      <c r="BZ14" s="1438"/>
      <c r="CA14" s="1495"/>
      <c r="CB14" s="1437"/>
      <c r="CC14" s="1437"/>
      <c r="CD14" s="1437"/>
      <c r="CE14" s="1515">
        <f t="shared" si="24"/>
        <v>0</v>
      </c>
      <c r="CF14" s="1438"/>
      <c r="CG14" s="1495"/>
      <c r="CH14" s="1437"/>
      <c r="CI14" s="1437"/>
      <c r="CJ14" s="1437"/>
      <c r="CK14" s="1515">
        <f t="shared" si="25"/>
        <v>0</v>
      </c>
      <c r="CL14" s="1434"/>
      <c r="CM14" s="1421"/>
      <c r="CO14" s="1016"/>
    </row>
    <row r="15" spans="1:96" ht="23.25" customHeight="1">
      <c r="A15" s="468">
        <v>8</v>
      </c>
      <c r="B15" s="1705">
        <v>0</v>
      </c>
      <c r="C15" s="610"/>
      <c r="D15" s="575">
        <f t="shared" si="4"/>
        <v>100</v>
      </c>
      <c r="E15" s="1437">
        <v>0</v>
      </c>
      <c r="F15" s="1716">
        <v>0</v>
      </c>
      <c r="G15" s="1596">
        <v>0</v>
      </c>
      <c r="H15" s="1708">
        <v>0</v>
      </c>
      <c r="I15" s="578">
        <f t="shared" si="5"/>
        <v>0</v>
      </c>
      <c r="J15" s="650" t="s">
        <v>90</v>
      </c>
      <c r="K15" s="580">
        <f t="shared" si="0"/>
        <v>0</v>
      </c>
      <c r="L15" s="652" t="s">
        <v>234</v>
      </c>
      <c r="M15" s="582">
        <f t="shared" si="1"/>
        <v>10</v>
      </c>
      <c r="N15" s="1712">
        <v>0</v>
      </c>
      <c r="O15" s="740">
        <f t="shared" si="6"/>
        <v>0</v>
      </c>
      <c r="P15" s="738">
        <f t="shared" si="2"/>
        <v>0</v>
      </c>
      <c r="Q15" s="657">
        <f t="shared" si="7"/>
        <v>0</v>
      </c>
      <c r="R15" s="659">
        <f t="shared" si="8"/>
        <v>0</v>
      </c>
      <c r="S15" s="978"/>
      <c r="T15" s="1281">
        <f t="shared" si="9"/>
        <v>8</v>
      </c>
      <c r="U15" s="1281">
        <f t="shared" si="10"/>
        <v>0</v>
      </c>
      <c r="V15" s="1329"/>
      <c r="W15" s="1330" t="s">
        <v>795</v>
      </c>
      <c r="X15" s="1424">
        <v>0</v>
      </c>
      <c r="Y15" s="1033">
        <f>VLOOKUP(W15,Düngemittel!$B$6:$E$64,2,FALSE)*(VLOOKUP(W15,Düngemittel!$B$6:$E$64,3,FALSE))/100*X15</f>
        <v>0</v>
      </c>
      <c r="Z15" s="1033">
        <f>VLOOKUP(W15,Düngemittel!$B$6:$E$64,2,FALSE)*X15</f>
        <v>0</v>
      </c>
      <c r="AA15" s="1033">
        <f>VLOOKUP(W15,Düngemittel!$B$6:$E$64,4,FALSE)*X15</f>
        <v>0</v>
      </c>
      <c r="AB15" s="2089"/>
      <c r="AC15" s="1329"/>
      <c r="AD15" s="1330" t="s">
        <v>795</v>
      </c>
      <c r="AE15" s="1424">
        <v>0</v>
      </c>
      <c r="AF15" s="1033">
        <f>VLOOKUP(AD15,Düngemittel!$B$6:$E$64,2,FALSE)*(VLOOKUP(AD15,Düngemittel!$B$6:$E$64,3,FALSE))/100*AE15</f>
        <v>0</v>
      </c>
      <c r="AG15" s="1033">
        <f>VLOOKUP(AD15,Düngemittel!$B$6:$E$64,2,FALSE)*AE15</f>
        <v>0</v>
      </c>
      <c r="AH15" s="1033">
        <f>VLOOKUP(AD15,Düngemittel!$B$6:$E$64,4,FALSE)*AE15</f>
        <v>0</v>
      </c>
      <c r="AI15" s="2089"/>
      <c r="AJ15" s="1329"/>
      <c r="AK15" s="1330" t="s">
        <v>795</v>
      </c>
      <c r="AL15" s="1424">
        <v>0</v>
      </c>
      <c r="AM15" s="1033">
        <f>VLOOKUP(AK15,Düngemittel!$B$6:$E$64,2,FALSE)*(VLOOKUP(AK15,Düngemittel!$B$6:$E$64,3,FALSE))/100*AL15</f>
        <v>0</v>
      </c>
      <c r="AN15" s="1033">
        <f>VLOOKUP(AK15,Düngemittel!$B$6:$E$64,2,FALSE)*AL15</f>
        <v>0</v>
      </c>
      <c r="AO15" s="1033">
        <f>VLOOKUP(AK15,Düngemittel!$B$6:$E$64,4,FALSE)*AL15</f>
        <v>0</v>
      </c>
      <c r="AQ15" s="1329"/>
      <c r="AR15" s="1330" t="s">
        <v>795</v>
      </c>
      <c r="AS15" s="1424">
        <v>0</v>
      </c>
      <c r="AT15" s="1033">
        <f>VLOOKUP(AR15,Düngemittel!$B$6:$E$64,2,FALSE)*(VLOOKUP(AR15,Düngemittel!$B$6:$E$64,3,FALSE))/100*AS15</f>
        <v>0</v>
      </c>
      <c r="AU15" s="1033">
        <f>VLOOKUP(AR15,Düngemittel!$B$6:$E$64,2,FALSE)*AS15</f>
        <v>0</v>
      </c>
      <c r="AV15" s="1033">
        <f>VLOOKUP(AR15,Düngemittel!$B$6:$E$64,4,FALSE)*AS15</f>
        <v>0</v>
      </c>
      <c r="AW15" s="2081"/>
      <c r="AX15" s="1329"/>
      <c r="AY15" s="1330" t="s">
        <v>795</v>
      </c>
      <c r="AZ15" s="1424">
        <v>0</v>
      </c>
      <c r="BA15" s="1033">
        <f>VLOOKUP(AY15,Düngemittel!$B$6:$E$64,2,FALSE)*(VLOOKUP(AY15,Düngemittel!$B$6:$E$64,3,FALSE))/100*AZ15</f>
        <v>0</v>
      </c>
      <c r="BB15" s="1033">
        <f>VLOOKUP(AY15,Düngemittel!$B$6:$E$64,2,FALSE)*AZ15</f>
        <v>0</v>
      </c>
      <c r="BC15" s="1033">
        <f>VLOOKUP(AY15,Düngemittel!$B$6:$E$64,4,FALSE)*AZ15</f>
        <v>0</v>
      </c>
      <c r="BD15" s="1475"/>
      <c r="BE15" s="1282">
        <f t="shared" si="11"/>
        <v>0</v>
      </c>
      <c r="BF15" s="2352">
        <f t="shared" si="12"/>
        <v>0</v>
      </c>
      <c r="BG15" s="1283">
        <f t="shared" si="13"/>
        <v>0</v>
      </c>
      <c r="BH15" s="1151">
        <f t="shared" si="14"/>
        <v>0</v>
      </c>
      <c r="BI15" s="2352">
        <f t="shared" si="15"/>
        <v>0</v>
      </c>
      <c r="BJ15" s="1152"/>
      <c r="BK15" s="1282">
        <f t="shared" si="16"/>
        <v>0</v>
      </c>
      <c r="BL15" s="1282">
        <f t="shared" si="17"/>
        <v>0</v>
      </c>
      <c r="BM15" s="1282">
        <f t="shared" si="18"/>
        <v>0</v>
      </c>
      <c r="BN15" s="1282">
        <f t="shared" si="19"/>
        <v>0</v>
      </c>
      <c r="BO15" s="1282">
        <f t="shared" si="20"/>
        <v>0</v>
      </c>
      <c r="BP15" s="1119"/>
      <c r="BQ15" s="1119"/>
      <c r="BR15" s="1512">
        <f t="shared" si="21"/>
        <v>8</v>
      </c>
      <c r="BS15" s="1513">
        <f t="shared" si="22"/>
        <v>0</v>
      </c>
      <c r="BT15" s="1438"/>
      <c r="BU15" s="1495"/>
      <c r="BV15" s="1437"/>
      <c r="BW15" s="1437"/>
      <c r="BX15" s="1437"/>
      <c r="BY15" s="1515">
        <f t="shared" si="23"/>
        <v>0</v>
      </c>
      <c r="BZ15" s="1438"/>
      <c r="CA15" s="1495"/>
      <c r="CB15" s="1437"/>
      <c r="CC15" s="1437"/>
      <c r="CD15" s="1437"/>
      <c r="CE15" s="1515">
        <f t="shared" si="24"/>
        <v>0</v>
      </c>
      <c r="CF15" s="1438"/>
      <c r="CG15" s="1495"/>
      <c r="CH15" s="1437"/>
      <c r="CI15" s="1437"/>
      <c r="CJ15" s="1437"/>
      <c r="CK15" s="1515">
        <f t="shared" si="25"/>
        <v>0</v>
      </c>
      <c r="CL15" s="1434"/>
      <c r="CM15" s="1421"/>
      <c r="CO15" s="1016"/>
    </row>
    <row r="16" spans="1:96" ht="23.25" customHeight="1">
      <c r="A16" s="468">
        <v>9</v>
      </c>
      <c r="B16" s="1705">
        <v>0</v>
      </c>
      <c r="C16" s="610"/>
      <c r="D16" s="575">
        <f t="shared" si="4"/>
        <v>100</v>
      </c>
      <c r="E16" s="1437">
        <v>0</v>
      </c>
      <c r="F16" s="1716">
        <v>0</v>
      </c>
      <c r="G16" s="1596">
        <v>0</v>
      </c>
      <c r="H16" s="1708">
        <v>0</v>
      </c>
      <c r="I16" s="578">
        <f t="shared" si="5"/>
        <v>0</v>
      </c>
      <c r="J16" s="650" t="s">
        <v>90</v>
      </c>
      <c r="K16" s="580">
        <f t="shared" si="0"/>
        <v>0</v>
      </c>
      <c r="L16" s="652" t="s">
        <v>234</v>
      </c>
      <c r="M16" s="582">
        <f t="shared" si="1"/>
        <v>10</v>
      </c>
      <c r="N16" s="1712">
        <v>0</v>
      </c>
      <c r="O16" s="740">
        <f t="shared" si="6"/>
        <v>0</v>
      </c>
      <c r="P16" s="738">
        <f t="shared" si="2"/>
        <v>0</v>
      </c>
      <c r="Q16" s="657">
        <f t="shared" si="7"/>
        <v>0</v>
      </c>
      <c r="R16" s="659">
        <f t="shared" si="8"/>
        <v>0</v>
      </c>
      <c r="S16" s="978"/>
      <c r="T16" s="1281">
        <f t="shared" si="9"/>
        <v>9</v>
      </c>
      <c r="U16" s="1281">
        <f t="shared" si="10"/>
        <v>0</v>
      </c>
      <c r="V16" s="1329"/>
      <c r="W16" s="1330" t="s">
        <v>795</v>
      </c>
      <c r="X16" s="1424">
        <v>0</v>
      </c>
      <c r="Y16" s="1033">
        <f>VLOOKUP(W16,Düngemittel!$B$6:$E$64,2,FALSE)*(VLOOKUP(W16,Düngemittel!$B$6:$E$64,3,FALSE))/100*X16</f>
        <v>0</v>
      </c>
      <c r="Z16" s="1033">
        <f>VLOOKUP(W16,Düngemittel!$B$6:$E$64,2,FALSE)*X16</f>
        <v>0</v>
      </c>
      <c r="AA16" s="1033">
        <f>VLOOKUP(W16,Düngemittel!$B$6:$E$64,4,FALSE)*X16</f>
        <v>0</v>
      </c>
      <c r="AB16" s="2089"/>
      <c r="AC16" s="1329"/>
      <c r="AD16" s="1330" t="s">
        <v>795</v>
      </c>
      <c r="AE16" s="1424">
        <v>0</v>
      </c>
      <c r="AF16" s="1033">
        <f>VLOOKUP(AD16,Düngemittel!$B$6:$E$64,2,FALSE)*(VLOOKUP(AD16,Düngemittel!$B$6:$E$64,3,FALSE))/100*AE16</f>
        <v>0</v>
      </c>
      <c r="AG16" s="1033">
        <f>VLOOKUP(AD16,Düngemittel!$B$6:$E$64,2,FALSE)*AE16</f>
        <v>0</v>
      </c>
      <c r="AH16" s="1033">
        <f>VLOOKUP(AD16,Düngemittel!$B$6:$E$64,4,FALSE)*AE16</f>
        <v>0</v>
      </c>
      <c r="AI16" s="2089"/>
      <c r="AJ16" s="1329"/>
      <c r="AK16" s="1330" t="s">
        <v>795</v>
      </c>
      <c r="AL16" s="1424">
        <v>0</v>
      </c>
      <c r="AM16" s="1033">
        <f>VLOOKUP(AK16,Düngemittel!$B$6:$E$64,2,FALSE)*(VLOOKUP(AK16,Düngemittel!$B$6:$E$64,3,FALSE))/100*AL16</f>
        <v>0</v>
      </c>
      <c r="AN16" s="1033">
        <f>VLOOKUP(AK16,Düngemittel!$B$6:$E$64,2,FALSE)*AL16</f>
        <v>0</v>
      </c>
      <c r="AO16" s="1033">
        <f>VLOOKUP(AK16,Düngemittel!$B$6:$E$64,4,FALSE)*AL16</f>
        <v>0</v>
      </c>
      <c r="AQ16" s="1329"/>
      <c r="AR16" s="1330" t="s">
        <v>795</v>
      </c>
      <c r="AS16" s="1424">
        <v>0</v>
      </c>
      <c r="AT16" s="1033">
        <f>VLOOKUP(AR16,Düngemittel!$B$6:$E$64,2,FALSE)*(VLOOKUP(AR16,Düngemittel!$B$6:$E$64,3,FALSE))/100*AS16</f>
        <v>0</v>
      </c>
      <c r="AU16" s="1033">
        <f>VLOOKUP(AR16,Düngemittel!$B$6:$E$64,2,FALSE)*AS16</f>
        <v>0</v>
      </c>
      <c r="AV16" s="1033">
        <f>VLOOKUP(AR16,Düngemittel!$B$6:$E$64,4,FALSE)*AS16</f>
        <v>0</v>
      </c>
      <c r="AW16" s="2081"/>
      <c r="AX16" s="1329"/>
      <c r="AY16" s="1330" t="s">
        <v>795</v>
      </c>
      <c r="AZ16" s="1424">
        <v>0</v>
      </c>
      <c r="BA16" s="1033">
        <f>VLOOKUP(AY16,Düngemittel!$B$6:$E$64,2,FALSE)*(VLOOKUP(AY16,Düngemittel!$B$6:$E$64,3,FALSE))/100*AZ16</f>
        <v>0</v>
      </c>
      <c r="BB16" s="1033">
        <f>VLOOKUP(AY16,Düngemittel!$B$6:$E$64,2,FALSE)*AZ16</f>
        <v>0</v>
      </c>
      <c r="BC16" s="1033">
        <f>VLOOKUP(AY16,Düngemittel!$B$6:$E$64,4,FALSE)*AZ16</f>
        <v>0</v>
      </c>
      <c r="BD16" s="1475"/>
      <c r="BE16" s="1282">
        <f t="shared" si="11"/>
        <v>0</v>
      </c>
      <c r="BF16" s="2352">
        <f t="shared" si="12"/>
        <v>0</v>
      </c>
      <c r="BG16" s="1283">
        <f t="shared" si="13"/>
        <v>0</v>
      </c>
      <c r="BH16" s="1151">
        <f t="shared" si="14"/>
        <v>0</v>
      </c>
      <c r="BI16" s="2352">
        <f t="shared" si="15"/>
        <v>0</v>
      </c>
      <c r="BJ16" s="1152"/>
      <c r="BK16" s="1282">
        <f t="shared" si="16"/>
        <v>0</v>
      </c>
      <c r="BL16" s="1282">
        <f t="shared" si="17"/>
        <v>0</v>
      </c>
      <c r="BM16" s="1282">
        <f t="shared" si="18"/>
        <v>0</v>
      </c>
      <c r="BN16" s="1282">
        <f t="shared" si="19"/>
        <v>0</v>
      </c>
      <c r="BO16" s="1282">
        <f t="shared" si="20"/>
        <v>0</v>
      </c>
      <c r="BP16" s="1119"/>
      <c r="BQ16" s="1119"/>
      <c r="BR16" s="1512">
        <f t="shared" si="21"/>
        <v>9</v>
      </c>
      <c r="BS16" s="1513">
        <f t="shared" si="22"/>
        <v>0</v>
      </c>
      <c r="BT16" s="1438"/>
      <c r="BU16" s="1495"/>
      <c r="BV16" s="1437"/>
      <c r="BW16" s="1437"/>
      <c r="BX16" s="1437"/>
      <c r="BY16" s="1515">
        <f t="shared" si="23"/>
        <v>0</v>
      </c>
      <c r="BZ16" s="1438"/>
      <c r="CA16" s="1495"/>
      <c r="CB16" s="1437"/>
      <c r="CC16" s="1437"/>
      <c r="CD16" s="1437"/>
      <c r="CE16" s="1515">
        <f t="shared" si="24"/>
        <v>0</v>
      </c>
      <c r="CF16" s="1438"/>
      <c r="CG16" s="1495"/>
      <c r="CH16" s="1437"/>
      <c r="CI16" s="1437"/>
      <c r="CJ16" s="1437"/>
      <c r="CK16" s="1515">
        <f t="shared" si="25"/>
        <v>0</v>
      </c>
      <c r="CL16" s="1435"/>
      <c r="CM16" s="480"/>
      <c r="CP16" s="486" t="s">
        <v>84</v>
      </c>
      <c r="CQ16" s="482"/>
    </row>
    <row r="17" spans="1:95" ht="23.25" customHeight="1">
      <c r="A17" s="468">
        <v>10</v>
      </c>
      <c r="B17" s="1705">
        <v>0</v>
      </c>
      <c r="C17" s="610"/>
      <c r="D17" s="575">
        <f t="shared" ref="D17:D22" si="31">100-E17-F17</f>
        <v>100</v>
      </c>
      <c r="E17" s="1437">
        <v>0</v>
      </c>
      <c r="F17" s="1716">
        <v>0</v>
      </c>
      <c r="G17" s="1596">
        <v>0</v>
      </c>
      <c r="H17" s="1708">
        <v>0</v>
      </c>
      <c r="I17" s="578">
        <f t="shared" ref="I17:I22" si="32">((G17*D17/100)+(G17*E17*0.5/100)+G17*F17*0.75/100)*H17/6.25</f>
        <v>0</v>
      </c>
      <c r="J17" s="650" t="s">
        <v>90</v>
      </c>
      <c r="K17" s="580">
        <f t="shared" si="0"/>
        <v>0</v>
      </c>
      <c r="L17" s="652" t="s">
        <v>234</v>
      </c>
      <c r="M17" s="582">
        <f t="shared" si="1"/>
        <v>10</v>
      </c>
      <c r="N17" s="1712">
        <v>0</v>
      </c>
      <c r="O17" s="740">
        <f t="shared" ref="O17:O22" si="33">IF(I17-M17-K17-N17&lt;0,0,I17-M17-K17-N17)</f>
        <v>0</v>
      </c>
      <c r="P17" s="738">
        <f t="shared" ref="P17:P22" si="34">IF(O17&lt;0,0,O17*B17)</f>
        <v>0</v>
      </c>
      <c r="Q17" s="657">
        <f t="shared" si="7"/>
        <v>0</v>
      </c>
      <c r="R17" s="659">
        <f t="shared" ref="R17:R22" si="35">B17*Q17</f>
        <v>0</v>
      </c>
      <c r="S17" s="978"/>
      <c r="T17" s="1281">
        <f t="shared" si="9"/>
        <v>10</v>
      </c>
      <c r="U17" s="1281">
        <f t="shared" si="10"/>
        <v>0</v>
      </c>
      <c r="V17" s="1329"/>
      <c r="W17" s="1330" t="s">
        <v>795</v>
      </c>
      <c r="X17" s="1424">
        <v>0</v>
      </c>
      <c r="Y17" s="1033">
        <f>VLOOKUP(W17,Düngemittel!$B$6:$E$64,2,FALSE)*(VLOOKUP(W17,Düngemittel!$B$6:$E$64,3,FALSE))/100*X17</f>
        <v>0</v>
      </c>
      <c r="Z17" s="1033">
        <f>VLOOKUP(W17,Düngemittel!$B$6:$E$64,2,FALSE)*X17</f>
        <v>0</v>
      </c>
      <c r="AA17" s="1033">
        <f>VLOOKUP(W17,Düngemittel!$B$6:$E$64,4,FALSE)*X17</f>
        <v>0</v>
      </c>
      <c r="AB17" s="2089"/>
      <c r="AC17" s="1329"/>
      <c r="AD17" s="1330" t="s">
        <v>795</v>
      </c>
      <c r="AE17" s="1424">
        <v>0</v>
      </c>
      <c r="AF17" s="1033">
        <f>VLOOKUP(AD17,Düngemittel!$B$6:$E$64,2,FALSE)*(VLOOKUP(AD17,Düngemittel!$B$6:$E$64,3,FALSE))/100*AE17</f>
        <v>0</v>
      </c>
      <c r="AG17" s="1033">
        <f>VLOOKUP(AD17,Düngemittel!$B$6:$E$64,2,FALSE)*AE17</f>
        <v>0</v>
      </c>
      <c r="AH17" s="1033">
        <f>VLOOKUP(AD17,Düngemittel!$B$6:$E$64,4,FALSE)*AE17</f>
        <v>0</v>
      </c>
      <c r="AI17" s="2089"/>
      <c r="AJ17" s="1329"/>
      <c r="AK17" s="1330" t="s">
        <v>795</v>
      </c>
      <c r="AL17" s="1424">
        <v>0</v>
      </c>
      <c r="AM17" s="1033">
        <f>VLOOKUP(AK17,Düngemittel!$B$6:$E$64,2,FALSE)*(VLOOKUP(AK17,Düngemittel!$B$6:$E$64,3,FALSE))/100*AL17</f>
        <v>0</v>
      </c>
      <c r="AN17" s="1033">
        <f>VLOOKUP(AK17,Düngemittel!$B$6:$E$64,2,FALSE)*AL17</f>
        <v>0</v>
      </c>
      <c r="AO17" s="1033">
        <f>VLOOKUP(AK17,Düngemittel!$B$6:$E$64,4,FALSE)*AL17</f>
        <v>0</v>
      </c>
      <c r="AQ17" s="1329"/>
      <c r="AR17" s="1330" t="s">
        <v>795</v>
      </c>
      <c r="AS17" s="1424">
        <v>0</v>
      </c>
      <c r="AT17" s="1033">
        <f>VLOOKUP(AR17,Düngemittel!$B$6:$E$64,2,FALSE)*(VLOOKUP(AR17,Düngemittel!$B$6:$E$64,3,FALSE))/100*AS17</f>
        <v>0</v>
      </c>
      <c r="AU17" s="1033">
        <f>VLOOKUP(AR17,Düngemittel!$B$6:$E$64,2,FALSE)*AS17</f>
        <v>0</v>
      </c>
      <c r="AV17" s="1033">
        <f>VLOOKUP(AR17,Düngemittel!$B$6:$E$64,4,FALSE)*AS17</f>
        <v>0</v>
      </c>
      <c r="AW17" s="2081"/>
      <c r="AX17" s="1329"/>
      <c r="AY17" s="1330" t="s">
        <v>795</v>
      </c>
      <c r="AZ17" s="1424">
        <v>0</v>
      </c>
      <c r="BA17" s="1033">
        <f>VLOOKUP(AY17,Düngemittel!$B$6:$E$64,2,FALSE)*(VLOOKUP(AY17,Düngemittel!$B$6:$E$64,3,FALSE))/100*AZ17</f>
        <v>0</v>
      </c>
      <c r="BB17" s="1033">
        <f>VLOOKUP(AY17,Düngemittel!$B$6:$E$64,2,FALSE)*AZ17</f>
        <v>0</v>
      </c>
      <c r="BC17" s="1033">
        <f>VLOOKUP(AY17,Düngemittel!$B$6:$E$64,4,FALSE)*AZ17</f>
        <v>0</v>
      </c>
      <c r="BD17" s="1475"/>
      <c r="BE17" s="1282">
        <f t="shared" si="11"/>
        <v>0</v>
      </c>
      <c r="BF17" s="2352">
        <f t="shared" si="12"/>
        <v>0</v>
      </c>
      <c r="BG17" s="1283">
        <f t="shared" si="13"/>
        <v>0</v>
      </c>
      <c r="BH17" s="1151">
        <f t="shared" si="14"/>
        <v>0</v>
      </c>
      <c r="BI17" s="2352">
        <f t="shared" si="15"/>
        <v>0</v>
      </c>
      <c r="BJ17" s="1152"/>
      <c r="BK17" s="1282">
        <f t="shared" si="16"/>
        <v>0</v>
      </c>
      <c r="BL17" s="1282">
        <f t="shared" si="17"/>
        <v>0</v>
      </c>
      <c r="BM17" s="1282">
        <f t="shared" si="18"/>
        <v>0</v>
      </c>
      <c r="BN17" s="1282">
        <f t="shared" si="19"/>
        <v>0</v>
      </c>
      <c r="BO17" s="1282">
        <f t="shared" si="20"/>
        <v>0</v>
      </c>
      <c r="BP17" s="1119"/>
      <c r="BQ17" s="1119"/>
      <c r="BR17" s="1512">
        <f t="shared" si="21"/>
        <v>10</v>
      </c>
      <c r="BS17" s="1513">
        <f t="shared" si="22"/>
        <v>0</v>
      </c>
      <c r="BT17" s="1438"/>
      <c r="BU17" s="1495"/>
      <c r="BV17" s="1437"/>
      <c r="BW17" s="1437"/>
      <c r="BX17" s="1437"/>
      <c r="BY17" s="1515">
        <f t="shared" si="23"/>
        <v>0</v>
      </c>
      <c r="BZ17" s="1438"/>
      <c r="CA17" s="1495"/>
      <c r="CB17" s="1437"/>
      <c r="CC17" s="1437"/>
      <c r="CD17" s="1437"/>
      <c r="CE17" s="1515">
        <f t="shared" si="24"/>
        <v>0</v>
      </c>
      <c r="CF17" s="1438"/>
      <c r="CG17" s="1495"/>
      <c r="CH17" s="1437"/>
      <c r="CI17" s="1437"/>
      <c r="CJ17" s="1437"/>
      <c r="CK17" s="1515">
        <f t="shared" si="25"/>
        <v>0</v>
      </c>
      <c r="CL17" s="1435"/>
      <c r="CM17" s="480"/>
      <c r="CP17" s="512" t="s">
        <v>90</v>
      </c>
      <c r="CQ17" s="482">
        <v>0</v>
      </c>
    </row>
    <row r="18" spans="1:95" ht="23.25" customHeight="1">
      <c r="A18" s="468">
        <v>11</v>
      </c>
      <c r="B18" s="1705">
        <v>0</v>
      </c>
      <c r="C18" s="610"/>
      <c r="D18" s="575">
        <f t="shared" si="31"/>
        <v>100</v>
      </c>
      <c r="E18" s="1437">
        <v>0</v>
      </c>
      <c r="F18" s="1716">
        <v>0</v>
      </c>
      <c r="G18" s="1596">
        <v>0</v>
      </c>
      <c r="H18" s="1708">
        <v>0</v>
      </c>
      <c r="I18" s="578">
        <f t="shared" si="32"/>
        <v>0</v>
      </c>
      <c r="J18" s="650" t="s">
        <v>90</v>
      </c>
      <c r="K18" s="580">
        <f t="shared" si="0"/>
        <v>0</v>
      </c>
      <c r="L18" s="652" t="s">
        <v>234</v>
      </c>
      <c r="M18" s="582">
        <f t="shared" si="1"/>
        <v>10</v>
      </c>
      <c r="N18" s="1712">
        <v>0</v>
      </c>
      <c r="O18" s="740">
        <f t="shared" si="33"/>
        <v>0</v>
      </c>
      <c r="P18" s="738">
        <f t="shared" si="34"/>
        <v>0</v>
      </c>
      <c r="Q18" s="657">
        <f t="shared" si="7"/>
        <v>0</v>
      </c>
      <c r="R18" s="659">
        <f t="shared" si="35"/>
        <v>0</v>
      </c>
      <c r="S18" s="978"/>
      <c r="T18" s="1281">
        <f t="shared" si="9"/>
        <v>11</v>
      </c>
      <c r="U18" s="1281">
        <f t="shared" si="10"/>
        <v>0</v>
      </c>
      <c r="V18" s="1329"/>
      <c r="W18" s="1330" t="s">
        <v>795</v>
      </c>
      <c r="X18" s="1424">
        <v>0</v>
      </c>
      <c r="Y18" s="1033">
        <f>VLOOKUP(W18,Düngemittel!$B$6:$E$64,2,FALSE)*(VLOOKUP(W18,Düngemittel!$B$6:$E$64,3,FALSE))/100*X18</f>
        <v>0</v>
      </c>
      <c r="Z18" s="1033">
        <f>VLOOKUP(W18,Düngemittel!$B$6:$E$64,2,FALSE)*X18</f>
        <v>0</v>
      </c>
      <c r="AA18" s="1033">
        <f>VLOOKUP(W18,Düngemittel!$B$6:$E$64,4,FALSE)*X18</f>
        <v>0</v>
      </c>
      <c r="AB18" s="2089"/>
      <c r="AC18" s="1329"/>
      <c r="AD18" s="1330" t="s">
        <v>795</v>
      </c>
      <c r="AE18" s="1424">
        <v>0</v>
      </c>
      <c r="AF18" s="1033">
        <f>VLOOKUP(AD18,Düngemittel!$B$6:$E$64,2,FALSE)*(VLOOKUP(AD18,Düngemittel!$B$6:$E$64,3,FALSE))/100*AE18</f>
        <v>0</v>
      </c>
      <c r="AG18" s="1033">
        <f>VLOOKUP(AD18,Düngemittel!$B$6:$E$64,2,FALSE)*AE18</f>
        <v>0</v>
      </c>
      <c r="AH18" s="1033">
        <f>VLOOKUP(AD18,Düngemittel!$B$6:$E$64,4,FALSE)*AE18</f>
        <v>0</v>
      </c>
      <c r="AI18" s="2089"/>
      <c r="AJ18" s="1329"/>
      <c r="AK18" s="1330" t="s">
        <v>795</v>
      </c>
      <c r="AL18" s="1424">
        <v>0</v>
      </c>
      <c r="AM18" s="1033">
        <f>VLOOKUP(AK18,Düngemittel!$B$6:$E$64,2,FALSE)*(VLOOKUP(AK18,Düngemittel!$B$6:$E$64,3,FALSE))/100*AL18</f>
        <v>0</v>
      </c>
      <c r="AN18" s="1033">
        <f>VLOOKUP(AK18,Düngemittel!$B$6:$E$64,2,FALSE)*AL18</f>
        <v>0</v>
      </c>
      <c r="AO18" s="1033">
        <f>VLOOKUP(AK18,Düngemittel!$B$6:$E$64,4,FALSE)*AL18</f>
        <v>0</v>
      </c>
      <c r="AQ18" s="1329"/>
      <c r="AR18" s="1330" t="s">
        <v>795</v>
      </c>
      <c r="AS18" s="1424">
        <v>0</v>
      </c>
      <c r="AT18" s="1033">
        <f>VLOOKUP(AR18,Düngemittel!$B$6:$E$64,2,FALSE)*(VLOOKUP(AR18,Düngemittel!$B$6:$E$64,3,FALSE))/100*AS18</f>
        <v>0</v>
      </c>
      <c r="AU18" s="1033">
        <f>VLOOKUP(AR18,Düngemittel!$B$6:$E$64,2,FALSE)*AS18</f>
        <v>0</v>
      </c>
      <c r="AV18" s="1033">
        <f>VLOOKUP(AR18,Düngemittel!$B$6:$E$64,4,FALSE)*AS18</f>
        <v>0</v>
      </c>
      <c r="AW18" s="2081"/>
      <c r="AX18" s="1329"/>
      <c r="AY18" s="1330" t="s">
        <v>795</v>
      </c>
      <c r="AZ18" s="1424">
        <v>0</v>
      </c>
      <c r="BA18" s="1033">
        <f>VLOOKUP(AY18,Düngemittel!$B$6:$E$64,2,FALSE)*(VLOOKUP(AY18,Düngemittel!$B$6:$E$64,3,FALSE))/100*AZ18</f>
        <v>0</v>
      </c>
      <c r="BB18" s="1033">
        <f>VLOOKUP(AY18,Düngemittel!$B$6:$E$64,2,FALSE)*AZ18</f>
        <v>0</v>
      </c>
      <c r="BC18" s="1033">
        <f>VLOOKUP(AY18,Düngemittel!$B$6:$E$64,4,FALSE)*AZ18</f>
        <v>0</v>
      </c>
      <c r="BD18" s="1475"/>
      <c r="BE18" s="1282">
        <f t="shared" si="11"/>
        <v>0</v>
      </c>
      <c r="BF18" s="2352">
        <f t="shared" si="12"/>
        <v>0</v>
      </c>
      <c r="BG18" s="1283">
        <f t="shared" si="13"/>
        <v>0</v>
      </c>
      <c r="BH18" s="1151">
        <f t="shared" si="14"/>
        <v>0</v>
      </c>
      <c r="BI18" s="2352">
        <f t="shared" si="15"/>
        <v>0</v>
      </c>
      <c r="BJ18" s="1152"/>
      <c r="BK18" s="1282">
        <f t="shared" si="16"/>
        <v>0</v>
      </c>
      <c r="BL18" s="1282">
        <f t="shared" si="17"/>
        <v>0</v>
      </c>
      <c r="BM18" s="1282">
        <f t="shared" si="18"/>
        <v>0</v>
      </c>
      <c r="BN18" s="1282">
        <f t="shared" si="19"/>
        <v>0</v>
      </c>
      <c r="BO18" s="1282">
        <f t="shared" si="20"/>
        <v>0</v>
      </c>
      <c r="BP18" s="1119"/>
      <c r="BQ18" s="1119"/>
      <c r="BR18" s="1512">
        <f t="shared" si="21"/>
        <v>11</v>
      </c>
      <c r="BS18" s="1513">
        <f t="shared" si="22"/>
        <v>0</v>
      </c>
      <c r="BT18" s="1438"/>
      <c r="BU18" s="1495"/>
      <c r="BV18" s="1437"/>
      <c r="BW18" s="1437"/>
      <c r="BX18" s="1437"/>
      <c r="BY18" s="1515">
        <f t="shared" si="23"/>
        <v>0</v>
      </c>
      <c r="BZ18" s="1438"/>
      <c r="CA18" s="1495"/>
      <c r="CB18" s="1437"/>
      <c r="CC18" s="1437"/>
      <c r="CD18" s="1437"/>
      <c r="CE18" s="1515">
        <f t="shared" si="24"/>
        <v>0</v>
      </c>
      <c r="CF18" s="1438"/>
      <c r="CG18" s="1495"/>
      <c r="CH18" s="1437"/>
      <c r="CI18" s="1437"/>
      <c r="CJ18" s="1437"/>
      <c r="CK18" s="1515">
        <f t="shared" si="25"/>
        <v>0</v>
      </c>
      <c r="CL18" s="1435"/>
      <c r="CM18" s="480"/>
      <c r="CP18" s="512" t="s">
        <v>88</v>
      </c>
      <c r="CQ18" s="482">
        <v>20</v>
      </c>
    </row>
    <row r="19" spans="1:95" ht="23.25" customHeight="1">
      <c r="A19" s="468">
        <v>12</v>
      </c>
      <c r="B19" s="1705">
        <v>0</v>
      </c>
      <c r="C19" s="610"/>
      <c r="D19" s="575">
        <f t="shared" si="31"/>
        <v>100</v>
      </c>
      <c r="E19" s="1437">
        <v>0</v>
      </c>
      <c r="F19" s="1716">
        <v>0</v>
      </c>
      <c r="G19" s="1596">
        <v>0</v>
      </c>
      <c r="H19" s="1708">
        <v>0</v>
      </c>
      <c r="I19" s="578">
        <f t="shared" si="32"/>
        <v>0</v>
      </c>
      <c r="J19" s="650" t="s">
        <v>90</v>
      </c>
      <c r="K19" s="580">
        <f t="shared" si="0"/>
        <v>0</v>
      </c>
      <c r="L19" s="652" t="s">
        <v>234</v>
      </c>
      <c r="M19" s="582">
        <f t="shared" si="1"/>
        <v>10</v>
      </c>
      <c r="N19" s="1712">
        <v>0</v>
      </c>
      <c r="O19" s="740">
        <f t="shared" si="33"/>
        <v>0</v>
      </c>
      <c r="P19" s="738">
        <f t="shared" si="34"/>
        <v>0</v>
      </c>
      <c r="Q19" s="657">
        <f t="shared" si="7"/>
        <v>0</v>
      </c>
      <c r="R19" s="659">
        <f t="shared" si="35"/>
        <v>0</v>
      </c>
      <c r="S19" s="978"/>
      <c r="T19" s="1281">
        <f t="shared" si="9"/>
        <v>12</v>
      </c>
      <c r="U19" s="1281">
        <f t="shared" si="10"/>
        <v>0</v>
      </c>
      <c r="V19" s="1329"/>
      <c r="W19" s="1330" t="s">
        <v>795</v>
      </c>
      <c r="X19" s="1424">
        <v>0</v>
      </c>
      <c r="Y19" s="1033">
        <f>VLOOKUP(W19,Düngemittel!$B$6:$E$64,2,FALSE)*(VLOOKUP(W19,Düngemittel!$B$6:$E$64,3,FALSE))/100*X19</f>
        <v>0</v>
      </c>
      <c r="Z19" s="1033">
        <f>VLOOKUP(W19,Düngemittel!$B$6:$E$64,2,FALSE)*X19</f>
        <v>0</v>
      </c>
      <c r="AA19" s="1033">
        <f>VLOOKUP(W19,Düngemittel!$B$6:$E$64,4,FALSE)*X19</f>
        <v>0</v>
      </c>
      <c r="AB19" s="2089"/>
      <c r="AC19" s="1329"/>
      <c r="AD19" s="1330" t="s">
        <v>795</v>
      </c>
      <c r="AE19" s="1424">
        <v>0</v>
      </c>
      <c r="AF19" s="1033">
        <f>VLOOKUP(AD19,Düngemittel!$B$6:$E$64,2,FALSE)*(VLOOKUP(AD19,Düngemittel!$B$6:$E$64,3,FALSE))/100*AE19</f>
        <v>0</v>
      </c>
      <c r="AG19" s="1033">
        <f>VLOOKUP(AD19,Düngemittel!$B$6:$E$64,2,FALSE)*AE19</f>
        <v>0</v>
      </c>
      <c r="AH19" s="1033">
        <f>VLOOKUP(AD19,Düngemittel!$B$6:$E$64,4,FALSE)*AE19</f>
        <v>0</v>
      </c>
      <c r="AI19" s="2089"/>
      <c r="AJ19" s="1329"/>
      <c r="AK19" s="1330" t="s">
        <v>795</v>
      </c>
      <c r="AL19" s="1424">
        <v>0</v>
      </c>
      <c r="AM19" s="1033">
        <f>VLOOKUP(AK19,Düngemittel!$B$6:$E$64,2,FALSE)*(VLOOKUP(AK19,Düngemittel!$B$6:$E$64,3,FALSE))/100*AL19</f>
        <v>0</v>
      </c>
      <c r="AN19" s="1033">
        <f>VLOOKUP(AK19,Düngemittel!$B$6:$E$64,2,FALSE)*AL19</f>
        <v>0</v>
      </c>
      <c r="AO19" s="1033">
        <f>VLOOKUP(AK19,Düngemittel!$B$6:$E$64,4,FALSE)*AL19</f>
        <v>0</v>
      </c>
      <c r="AQ19" s="1329"/>
      <c r="AR19" s="1330" t="s">
        <v>795</v>
      </c>
      <c r="AS19" s="1424">
        <v>0</v>
      </c>
      <c r="AT19" s="1033">
        <f>VLOOKUP(AR19,Düngemittel!$B$6:$E$64,2,FALSE)*(VLOOKUP(AR19,Düngemittel!$B$6:$E$64,3,FALSE))/100*AS19</f>
        <v>0</v>
      </c>
      <c r="AU19" s="1033">
        <f>VLOOKUP(AR19,Düngemittel!$B$6:$E$64,2,FALSE)*AS19</f>
        <v>0</v>
      </c>
      <c r="AV19" s="1033">
        <f>VLOOKUP(AR19,Düngemittel!$B$6:$E$64,4,FALSE)*AS19</f>
        <v>0</v>
      </c>
      <c r="AW19" s="2081"/>
      <c r="AX19" s="1329"/>
      <c r="AY19" s="1330" t="s">
        <v>795</v>
      </c>
      <c r="AZ19" s="1424">
        <v>0</v>
      </c>
      <c r="BA19" s="1033">
        <f>VLOOKUP(AY19,Düngemittel!$B$6:$E$64,2,FALSE)*(VLOOKUP(AY19,Düngemittel!$B$6:$E$64,3,FALSE))/100*AZ19</f>
        <v>0</v>
      </c>
      <c r="BB19" s="1033">
        <f>VLOOKUP(AY19,Düngemittel!$B$6:$E$64,2,FALSE)*AZ19</f>
        <v>0</v>
      </c>
      <c r="BC19" s="1033">
        <f>VLOOKUP(AY19,Düngemittel!$B$6:$E$64,4,FALSE)*AZ19</f>
        <v>0</v>
      </c>
      <c r="BD19" s="1475"/>
      <c r="BE19" s="1282">
        <f t="shared" si="11"/>
        <v>0</v>
      </c>
      <c r="BF19" s="2352">
        <f t="shared" si="12"/>
        <v>0</v>
      </c>
      <c r="BG19" s="1283">
        <f t="shared" si="13"/>
        <v>0</v>
      </c>
      <c r="BH19" s="1151">
        <f t="shared" si="14"/>
        <v>0</v>
      </c>
      <c r="BI19" s="2352">
        <f t="shared" si="15"/>
        <v>0</v>
      </c>
      <c r="BJ19" s="1152"/>
      <c r="BK19" s="1282">
        <f t="shared" si="16"/>
        <v>0</v>
      </c>
      <c r="BL19" s="1282">
        <f t="shared" si="17"/>
        <v>0</v>
      </c>
      <c r="BM19" s="1282">
        <f t="shared" si="18"/>
        <v>0</v>
      </c>
      <c r="BN19" s="1282">
        <f t="shared" si="19"/>
        <v>0</v>
      </c>
      <c r="BO19" s="1282">
        <f t="shared" si="20"/>
        <v>0</v>
      </c>
      <c r="BP19" s="1119"/>
      <c r="BQ19" s="1119"/>
      <c r="BR19" s="1512">
        <f t="shared" si="21"/>
        <v>12</v>
      </c>
      <c r="BS19" s="1513">
        <f t="shared" si="22"/>
        <v>0</v>
      </c>
      <c r="BT19" s="1438"/>
      <c r="BU19" s="1495"/>
      <c r="BV19" s="1437"/>
      <c r="BW19" s="1437"/>
      <c r="BX19" s="1437"/>
      <c r="BY19" s="1515">
        <f t="shared" si="23"/>
        <v>0</v>
      </c>
      <c r="BZ19" s="1438"/>
      <c r="CA19" s="1495"/>
      <c r="CB19" s="1437"/>
      <c r="CC19" s="1437"/>
      <c r="CD19" s="1437"/>
      <c r="CE19" s="1515">
        <f t="shared" si="24"/>
        <v>0</v>
      </c>
      <c r="CF19" s="1438"/>
      <c r="CG19" s="1495"/>
      <c r="CH19" s="1437"/>
      <c r="CI19" s="1437"/>
      <c r="CJ19" s="1437"/>
      <c r="CK19" s="1515">
        <f t="shared" si="25"/>
        <v>0</v>
      </c>
      <c r="CL19" s="1435"/>
      <c r="CM19" s="480"/>
      <c r="CP19" s="512" t="s">
        <v>89</v>
      </c>
      <c r="CQ19" s="482">
        <v>40</v>
      </c>
    </row>
    <row r="20" spans="1:95" ht="23.25" customHeight="1">
      <c r="A20" s="468">
        <v>13</v>
      </c>
      <c r="B20" s="1705">
        <v>0</v>
      </c>
      <c r="C20" s="610"/>
      <c r="D20" s="575">
        <f t="shared" si="31"/>
        <v>100</v>
      </c>
      <c r="E20" s="1437">
        <v>0</v>
      </c>
      <c r="F20" s="1716">
        <v>0</v>
      </c>
      <c r="G20" s="1596">
        <v>0</v>
      </c>
      <c r="H20" s="1708">
        <v>0</v>
      </c>
      <c r="I20" s="578">
        <f t="shared" si="32"/>
        <v>0</v>
      </c>
      <c r="J20" s="650" t="s">
        <v>90</v>
      </c>
      <c r="K20" s="580">
        <f t="shared" si="0"/>
        <v>0</v>
      </c>
      <c r="L20" s="652" t="s">
        <v>234</v>
      </c>
      <c r="M20" s="582">
        <f t="shared" si="1"/>
        <v>10</v>
      </c>
      <c r="N20" s="1712">
        <v>0</v>
      </c>
      <c r="O20" s="740">
        <f t="shared" si="33"/>
        <v>0</v>
      </c>
      <c r="P20" s="738">
        <f t="shared" si="34"/>
        <v>0</v>
      </c>
      <c r="Q20" s="657">
        <f t="shared" si="7"/>
        <v>0</v>
      </c>
      <c r="R20" s="659">
        <f t="shared" si="35"/>
        <v>0</v>
      </c>
      <c r="S20" s="978"/>
      <c r="T20" s="1281">
        <f t="shared" si="9"/>
        <v>13</v>
      </c>
      <c r="U20" s="1281">
        <f t="shared" si="10"/>
        <v>0</v>
      </c>
      <c r="V20" s="1329"/>
      <c r="W20" s="1330" t="s">
        <v>795</v>
      </c>
      <c r="X20" s="1424">
        <v>0</v>
      </c>
      <c r="Y20" s="1033">
        <f>VLOOKUP(W20,Düngemittel!$B$6:$E$64,2,FALSE)*(VLOOKUP(W20,Düngemittel!$B$6:$E$64,3,FALSE))/100*X20</f>
        <v>0</v>
      </c>
      <c r="Z20" s="1033">
        <f>VLOOKUP(W20,Düngemittel!$B$6:$E$64,2,FALSE)*X20</f>
        <v>0</v>
      </c>
      <c r="AA20" s="1033">
        <f>VLOOKUP(W20,Düngemittel!$B$6:$E$64,4,FALSE)*X20</f>
        <v>0</v>
      </c>
      <c r="AB20" s="2089"/>
      <c r="AC20" s="1329"/>
      <c r="AD20" s="1330" t="s">
        <v>795</v>
      </c>
      <c r="AE20" s="1424">
        <v>0</v>
      </c>
      <c r="AF20" s="1033">
        <f>VLOOKUP(AD20,Düngemittel!$B$6:$E$64,2,FALSE)*(VLOOKUP(AD20,Düngemittel!$B$6:$E$64,3,FALSE))/100*AE20</f>
        <v>0</v>
      </c>
      <c r="AG20" s="1033">
        <f>VLOOKUP(AD20,Düngemittel!$B$6:$E$64,2,FALSE)*AE20</f>
        <v>0</v>
      </c>
      <c r="AH20" s="1033">
        <f>VLOOKUP(AD20,Düngemittel!$B$6:$E$64,4,FALSE)*AE20</f>
        <v>0</v>
      </c>
      <c r="AI20" s="2089"/>
      <c r="AJ20" s="1329"/>
      <c r="AK20" s="1330" t="s">
        <v>795</v>
      </c>
      <c r="AL20" s="1424">
        <v>0</v>
      </c>
      <c r="AM20" s="1033">
        <f>VLOOKUP(AK20,Düngemittel!$B$6:$E$64,2,FALSE)*(VLOOKUP(AK20,Düngemittel!$B$6:$E$64,3,FALSE))/100*AL20</f>
        <v>0</v>
      </c>
      <c r="AN20" s="1033">
        <f>VLOOKUP(AK20,Düngemittel!$B$6:$E$64,2,FALSE)*AL20</f>
        <v>0</v>
      </c>
      <c r="AO20" s="1033">
        <f>VLOOKUP(AK20,Düngemittel!$B$6:$E$64,4,FALSE)*AL20</f>
        <v>0</v>
      </c>
      <c r="AQ20" s="1329"/>
      <c r="AR20" s="1330" t="s">
        <v>795</v>
      </c>
      <c r="AS20" s="1424">
        <v>0</v>
      </c>
      <c r="AT20" s="1033">
        <f>VLOOKUP(AR20,Düngemittel!$B$6:$E$64,2,FALSE)*(VLOOKUP(AR20,Düngemittel!$B$6:$E$64,3,FALSE))/100*AS20</f>
        <v>0</v>
      </c>
      <c r="AU20" s="1033">
        <f>VLOOKUP(AR20,Düngemittel!$B$6:$E$64,2,FALSE)*AS20</f>
        <v>0</v>
      </c>
      <c r="AV20" s="1033">
        <f>VLOOKUP(AR20,Düngemittel!$B$6:$E$64,4,FALSE)*AS20</f>
        <v>0</v>
      </c>
      <c r="AW20" s="2081"/>
      <c r="AX20" s="1329"/>
      <c r="AY20" s="1330" t="s">
        <v>795</v>
      </c>
      <c r="AZ20" s="1424">
        <v>0</v>
      </c>
      <c r="BA20" s="1033">
        <f>VLOOKUP(AY20,Düngemittel!$B$6:$E$64,2,FALSE)*(VLOOKUP(AY20,Düngemittel!$B$6:$E$64,3,FALSE))/100*AZ20</f>
        <v>0</v>
      </c>
      <c r="BB20" s="1033">
        <f>VLOOKUP(AY20,Düngemittel!$B$6:$E$64,2,FALSE)*AZ20</f>
        <v>0</v>
      </c>
      <c r="BC20" s="1033">
        <f>VLOOKUP(AY20,Düngemittel!$B$6:$E$64,4,FALSE)*AZ20</f>
        <v>0</v>
      </c>
      <c r="BD20" s="1475"/>
      <c r="BE20" s="1282">
        <f t="shared" si="11"/>
        <v>0</v>
      </c>
      <c r="BF20" s="2352">
        <f t="shared" si="12"/>
        <v>0</v>
      </c>
      <c r="BG20" s="1283">
        <f t="shared" si="13"/>
        <v>0</v>
      </c>
      <c r="BH20" s="1151">
        <f t="shared" si="14"/>
        <v>0</v>
      </c>
      <c r="BI20" s="2352">
        <f t="shared" si="15"/>
        <v>0</v>
      </c>
      <c r="BJ20" s="1152"/>
      <c r="BK20" s="1282">
        <f t="shared" si="16"/>
        <v>0</v>
      </c>
      <c r="BL20" s="1282">
        <f t="shared" si="17"/>
        <v>0</v>
      </c>
      <c r="BM20" s="1282">
        <f t="shared" si="18"/>
        <v>0</v>
      </c>
      <c r="BN20" s="1282">
        <f t="shared" si="19"/>
        <v>0</v>
      </c>
      <c r="BO20" s="1282">
        <f t="shared" si="20"/>
        <v>0</v>
      </c>
      <c r="BP20" s="1119"/>
      <c r="BQ20" s="1119"/>
      <c r="BR20" s="1512">
        <f t="shared" si="21"/>
        <v>13</v>
      </c>
      <c r="BS20" s="1513">
        <f t="shared" si="22"/>
        <v>0</v>
      </c>
      <c r="BT20" s="1438"/>
      <c r="BU20" s="1495"/>
      <c r="BV20" s="1437"/>
      <c r="BW20" s="1437"/>
      <c r="BX20" s="1437"/>
      <c r="BY20" s="1515">
        <f t="shared" si="23"/>
        <v>0</v>
      </c>
      <c r="BZ20" s="1438"/>
      <c r="CA20" s="1495"/>
      <c r="CB20" s="1437"/>
      <c r="CC20" s="1437"/>
      <c r="CD20" s="1437"/>
      <c r="CE20" s="1515">
        <f t="shared" si="24"/>
        <v>0</v>
      </c>
      <c r="CF20" s="1438"/>
      <c r="CG20" s="1495"/>
      <c r="CH20" s="1437"/>
      <c r="CI20" s="1437"/>
      <c r="CJ20" s="1437"/>
      <c r="CK20" s="1515">
        <f t="shared" si="25"/>
        <v>0</v>
      </c>
      <c r="CL20" s="1435"/>
      <c r="CM20" s="480"/>
      <c r="CP20" s="512" t="s">
        <v>227</v>
      </c>
      <c r="CQ20" s="482">
        <v>60</v>
      </c>
    </row>
    <row r="21" spans="1:95" ht="23.25" customHeight="1">
      <c r="A21" s="468">
        <v>14</v>
      </c>
      <c r="B21" s="1705">
        <v>0</v>
      </c>
      <c r="C21" s="610"/>
      <c r="D21" s="575">
        <f t="shared" si="31"/>
        <v>100</v>
      </c>
      <c r="E21" s="1437">
        <v>0</v>
      </c>
      <c r="F21" s="1716">
        <v>0</v>
      </c>
      <c r="G21" s="1596">
        <v>0</v>
      </c>
      <c r="H21" s="1708">
        <v>0</v>
      </c>
      <c r="I21" s="578">
        <f t="shared" si="32"/>
        <v>0</v>
      </c>
      <c r="J21" s="650" t="s">
        <v>90</v>
      </c>
      <c r="K21" s="580">
        <f t="shared" si="0"/>
        <v>0</v>
      </c>
      <c r="L21" s="652" t="s">
        <v>234</v>
      </c>
      <c r="M21" s="582">
        <f t="shared" si="1"/>
        <v>10</v>
      </c>
      <c r="N21" s="1712">
        <v>0</v>
      </c>
      <c r="O21" s="740">
        <f t="shared" si="33"/>
        <v>0</v>
      </c>
      <c r="P21" s="738">
        <f t="shared" si="34"/>
        <v>0</v>
      </c>
      <c r="Q21" s="657">
        <f t="shared" si="7"/>
        <v>0</v>
      </c>
      <c r="R21" s="659">
        <f t="shared" si="35"/>
        <v>0</v>
      </c>
      <c r="S21" s="978"/>
      <c r="T21" s="1281">
        <f t="shared" si="9"/>
        <v>14</v>
      </c>
      <c r="U21" s="1281">
        <f t="shared" si="10"/>
        <v>0</v>
      </c>
      <c r="V21" s="1329"/>
      <c r="W21" s="1330" t="s">
        <v>795</v>
      </c>
      <c r="X21" s="1424">
        <v>0</v>
      </c>
      <c r="Y21" s="1033">
        <f>VLOOKUP(W21,Düngemittel!$B$6:$E$64,2,FALSE)*(VLOOKUP(W21,Düngemittel!$B$6:$E$64,3,FALSE))/100*X21</f>
        <v>0</v>
      </c>
      <c r="Z21" s="1033">
        <f>VLOOKUP(W21,Düngemittel!$B$6:$E$64,2,FALSE)*X21</f>
        <v>0</v>
      </c>
      <c r="AA21" s="1033">
        <f>VLOOKUP(W21,Düngemittel!$B$6:$E$64,4,FALSE)*X21</f>
        <v>0</v>
      </c>
      <c r="AB21" s="2089"/>
      <c r="AC21" s="1329"/>
      <c r="AD21" s="1330" t="s">
        <v>795</v>
      </c>
      <c r="AE21" s="1424">
        <v>0</v>
      </c>
      <c r="AF21" s="1033">
        <f>VLOOKUP(AD21,Düngemittel!$B$6:$E$64,2,FALSE)*(VLOOKUP(AD21,Düngemittel!$B$6:$E$64,3,FALSE))/100*AE21</f>
        <v>0</v>
      </c>
      <c r="AG21" s="1033">
        <f>VLOOKUP(AD21,Düngemittel!$B$6:$E$64,2,FALSE)*AE21</f>
        <v>0</v>
      </c>
      <c r="AH21" s="1033">
        <f>VLOOKUP(AD21,Düngemittel!$B$6:$E$64,4,FALSE)*AE21</f>
        <v>0</v>
      </c>
      <c r="AI21" s="2089"/>
      <c r="AJ21" s="1329"/>
      <c r="AK21" s="1330" t="s">
        <v>795</v>
      </c>
      <c r="AL21" s="1424">
        <v>0</v>
      </c>
      <c r="AM21" s="1033">
        <f>VLOOKUP(AK21,Düngemittel!$B$6:$E$64,2,FALSE)*(VLOOKUP(AK21,Düngemittel!$B$6:$E$64,3,FALSE))/100*AL21</f>
        <v>0</v>
      </c>
      <c r="AN21" s="1033">
        <f>VLOOKUP(AK21,Düngemittel!$B$6:$E$64,2,FALSE)*AL21</f>
        <v>0</v>
      </c>
      <c r="AO21" s="1033">
        <f>VLOOKUP(AK21,Düngemittel!$B$6:$E$64,4,FALSE)*AL21</f>
        <v>0</v>
      </c>
      <c r="AQ21" s="1329"/>
      <c r="AR21" s="1330" t="s">
        <v>795</v>
      </c>
      <c r="AS21" s="1424">
        <v>0</v>
      </c>
      <c r="AT21" s="1033">
        <f>VLOOKUP(AR21,Düngemittel!$B$6:$E$64,2,FALSE)*(VLOOKUP(AR21,Düngemittel!$B$6:$E$64,3,FALSE))/100*AS21</f>
        <v>0</v>
      </c>
      <c r="AU21" s="1033">
        <f>VLOOKUP(AR21,Düngemittel!$B$6:$E$64,2,FALSE)*AS21</f>
        <v>0</v>
      </c>
      <c r="AV21" s="1033">
        <f>VLOOKUP(AR21,Düngemittel!$B$6:$E$64,4,FALSE)*AS21</f>
        <v>0</v>
      </c>
      <c r="AW21" s="2081"/>
      <c r="AX21" s="1329"/>
      <c r="AY21" s="1330" t="s">
        <v>795</v>
      </c>
      <c r="AZ21" s="1424">
        <v>0</v>
      </c>
      <c r="BA21" s="1033">
        <f>VLOOKUP(AY21,Düngemittel!$B$6:$E$64,2,FALSE)*(VLOOKUP(AY21,Düngemittel!$B$6:$E$64,3,FALSE))/100*AZ21</f>
        <v>0</v>
      </c>
      <c r="BB21" s="1033">
        <f>VLOOKUP(AY21,Düngemittel!$B$6:$E$64,2,FALSE)*AZ21</f>
        <v>0</v>
      </c>
      <c r="BC21" s="1033">
        <f>VLOOKUP(AY21,Düngemittel!$B$6:$E$64,4,FALSE)*AZ21</f>
        <v>0</v>
      </c>
      <c r="BD21" s="1475"/>
      <c r="BE21" s="1282">
        <f t="shared" si="11"/>
        <v>0</v>
      </c>
      <c r="BF21" s="2352">
        <f t="shared" si="12"/>
        <v>0</v>
      </c>
      <c r="BG21" s="1283">
        <f t="shared" si="13"/>
        <v>0</v>
      </c>
      <c r="BH21" s="1151">
        <f t="shared" si="14"/>
        <v>0</v>
      </c>
      <c r="BI21" s="2352">
        <f t="shared" si="15"/>
        <v>0</v>
      </c>
      <c r="BJ21" s="1152"/>
      <c r="BK21" s="1282">
        <f t="shared" si="16"/>
        <v>0</v>
      </c>
      <c r="BL21" s="1282">
        <f t="shared" si="17"/>
        <v>0</v>
      </c>
      <c r="BM21" s="1282">
        <f t="shared" si="18"/>
        <v>0</v>
      </c>
      <c r="BN21" s="1282">
        <f t="shared" si="19"/>
        <v>0</v>
      </c>
      <c r="BO21" s="1282">
        <f t="shared" si="20"/>
        <v>0</v>
      </c>
      <c r="BP21" s="1119"/>
      <c r="BQ21" s="1119"/>
      <c r="BR21" s="1512">
        <f t="shared" si="21"/>
        <v>14</v>
      </c>
      <c r="BS21" s="1513">
        <f t="shared" si="22"/>
        <v>0</v>
      </c>
      <c r="BT21" s="1438"/>
      <c r="BU21" s="1495"/>
      <c r="BV21" s="1437"/>
      <c r="BW21" s="1437"/>
      <c r="BX21" s="1437"/>
      <c r="BY21" s="1515">
        <f t="shared" si="23"/>
        <v>0</v>
      </c>
      <c r="BZ21" s="1438"/>
      <c r="CA21" s="1495"/>
      <c r="CB21" s="1437"/>
      <c r="CC21" s="1437"/>
      <c r="CD21" s="1437"/>
      <c r="CE21" s="1515">
        <f t="shared" si="24"/>
        <v>0</v>
      </c>
      <c r="CF21" s="1438"/>
      <c r="CG21" s="1495"/>
      <c r="CH21" s="1437"/>
      <c r="CI21" s="1437"/>
      <c r="CJ21" s="1437"/>
      <c r="CK21" s="1515">
        <f t="shared" si="25"/>
        <v>0</v>
      </c>
      <c r="CL21" s="1435"/>
      <c r="CM21" s="480"/>
      <c r="CO21" s="1016"/>
    </row>
    <row r="22" spans="1:95" ht="23.25" customHeight="1">
      <c r="A22" s="468">
        <v>15</v>
      </c>
      <c r="B22" s="1705">
        <v>0</v>
      </c>
      <c r="C22" s="614"/>
      <c r="D22" s="575">
        <f t="shared" si="31"/>
        <v>100</v>
      </c>
      <c r="E22" s="1437">
        <v>0</v>
      </c>
      <c r="F22" s="1716">
        <v>0</v>
      </c>
      <c r="G22" s="1596">
        <v>0</v>
      </c>
      <c r="H22" s="1708">
        <v>0</v>
      </c>
      <c r="I22" s="578">
        <f t="shared" si="32"/>
        <v>0</v>
      </c>
      <c r="J22" s="650" t="s">
        <v>90</v>
      </c>
      <c r="K22" s="580">
        <f t="shared" si="0"/>
        <v>0</v>
      </c>
      <c r="L22" s="652" t="s">
        <v>234</v>
      </c>
      <c r="M22" s="582">
        <f t="shared" si="1"/>
        <v>10</v>
      </c>
      <c r="N22" s="1712">
        <v>0</v>
      </c>
      <c r="O22" s="740">
        <f t="shared" si="33"/>
        <v>0</v>
      </c>
      <c r="P22" s="738">
        <f t="shared" si="34"/>
        <v>0</v>
      </c>
      <c r="Q22" s="657">
        <f t="shared" si="7"/>
        <v>0</v>
      </c>
      <c r="R22" s="659">
        <f t="shared" si="35"/>
        <v>0</v>
      </c>
      <c r="S22" s="978"/>
      <c r="T22" s="1281">
        <f t="shared" si="9"/>
        <v>15</v>
      </c>
      <c r="U22" s="1281">
        <f t="shared" si="10"/>
        <v>0</v>
      </c>
      <c r="V22" s="1329"/>
      <c r="W22" s="1330" t="s">
        <v>795</v>
      </c>
      <c r="X22" s="1424">
        <v>0</v>
      </c>
      <c r="Y22" s="1033">
        <f>VLOOKUP(W22,Düngemittel!$B$6:$E$64,2,FALSE)*(VLOOKUP(W22,Düngemittel!$B$6:$E$64,3,FALSE))/100*X22</f>
        <v>0</v>
      </c>
      <c r="Z22" s="1033">
        <f>VLOOKUP(W22,Düngemittel!$B$6:$E$64,2,FALSE)*X22</f>
        <v>0</v>
      </c>
      <c r="AA22" s="1033">
        <f>VLOOKUP(W22,Düngemittel!$B$6:$E$64,4,FALSE)*X22</f>
        <v>0</v>
      </c>
      <c r="AB22" s="2089"/>
      <c r="AC22" s="1329"/>
      <c r="AD22" s="1330" t="s">
        <v>795</v>
      </c>
      <c r="AE22" s="1424">
        <v>0</v>
      </c>
      <c r="AF22" s="1033">
        <f>VLOOKUP(AD22,Düngemittel!$B$6:$E$64,2,FALSE)*(VLOOKUP(AD22,Düngemittel!$B$6:$E$64,3,FALSE))/100*AE22</f>
        <v>0</v>
      </c>
      <c r="AG22" s="1033">
        <f>VLOOKUP(AD22,Düngemittel!$B$6:$E$64,2,FALSE)*AE22</f>
        <v>0</v>
      </c>
      <c r="AH22" s="1033">
        <f>VLOOKUP(AD22,Düngemittel!$B$6:$E$64,4,FALSE)*AE22</f>
        <v>0</v>
      </c>
      <c r="AI22" s="2089"/>
      <c r="AJ22" s="1329"/>
      <c r="AK22" s="1330" t="s">
        <v>795</v>
      </c>
      <c r="AL22" s="1424">
        <v>0</v>
      </c>
      <c r="AM22" s="1033">
        <f>VLOOKUP(AK22,Düngemittel!$B$6:$E$64,2,FALSE)*(VLOOKUP(AK22,Düngemittel!$B$6:$E$64,3,FALSE))/100*AL22</f>
        <v>0</v>
      </c>
      <c r="AN22" s="1033">
        <f>VLOOKUP(AK22,Düngemittel!$B$6:$E$64,2,FALSE)*AL22</f>
        <v>0</v>
      </c>
      <c r="AO22" s="1033">
        <f>VLOOKUP(AK22,Düngemittel!$B$6:$E$64,4,FALSE)*AL22</f>
        <v>0</v>
      </c>
      <c r="AQ22" s="1329"/>
      <c r="AR22" s="1330" t="s">
        <v>795</v>
      </c>
      <c r="AS22" s="1424">
        <v>0</v>
      </c>
      <c r="AT22" s="1033">
        <f>VLOOKUP(AR22,Düngemittel!$B$6:$E$64,2,FALSE)*(VLOOKUP(AR22,Düngemittel!$B$6:$E$64,3,FALSE))/100*AS22</f>
        <v>0</v>
      </c>
      <c r="AU22" s="1033">
        <f>VLOOKUP(AR22,Düngemittel!$B$6:$E$64,2,FALSE)*AS22</f>
        <v>0</v>
      </c>
      <c r="AV22" s="1033">
        <f>VLOOKUP(AR22,Düngemittel!$B$6:$E$64,4,FALSE)*AS22</f>
        <v>0</v>
      </c>
      <c r="AW22" s="2081"/>
      <c r="AX22" s="1329"/>
      <c r="AY22" s="1330" t="s">
        <v>795</v>
      </c>
      <c r="AZ22" s="1424">
        <v>0</v>
      </c>
      <c r="BA22" s="1033">
        <f>VLOOKUP(AY22,Düngemittel!$B$6:$E$64,2,FALSE)*(VLOOKUP(AY22,Düngemittel!$B$6:$E$64,3,FALSE))/100*AZ22</f>
        <v>0</v>
      </c>
      <c r="BB22" s="1033">
        <f>VLOOKUP(AY22,Düngemittel!$B$6:$E$64,2,FALSE)*AZ22</f>
        <v>0</v>
      </c>
      <c r="BC22" s="1033">
        <f>VLOOKUP(AY22,Düngemittel!$B$6:$E$64,4,FALSE)*AZ22</f>
        <v>0</v>
      </c>
      <c r="BD22" s="1475"/>
      <c r="BE22" s="1282">
        <f t="shared" si="11"/>
        <v>0</v>
      </c>
      <c r="BF22" s="2352">
        <f t="shared" si="12"/>
        <v>0</v>
      </c>
      <c r="BG22" s="1283">
        <f t="shared" si="13"/>
        <v>0</v>
      </c>
      <c r="BH22" s="1151">
        <f t="shared" si="14"/>
        <v>0</v>
      </c>
      <c r="BI22" s="2352">
        <f t="shared" si="15"/>
        <v>0</v>
      </c>
      <c r="BJ22" s="1152"/>
      <c r="BK22" s="1282">
        <f t="shared" si="16"/>
        <v>0</v>
      </c>
      <c r="BL22" s="1282">
        <f t="shared" si="17"/>
        <v>0</v>
      </c>
      <c r="BM22" s="1282">
        <f t="shared" si="18"/>
        <v>0</v>
      </c>
      <c r="BN22" s="1282">
        <f t="shared" si="19"/>
        <v>0</v>
      </c>
      <c r="BO22" s="1282">
        <f t="shared" si="20"/>
        <v>0</v>
      </c>
      <c r="BP22" s="1119"/>
      <c r="BQ22" s="1119"/>
      <c r="BR22" s="1512">
        <f t="shared" si="21"/>
        <v>15</v>
      </c>
      <c r="BS22" s="1513">
        <f t="shared" si="22"/>
        <v>0</v>
      </c>
      <c r="BT22" s="1438"/>
      <c r="BU22" s="1495"/>
      <c r="BV22" s="1437"/>
      <c r="BW22" s="1437"/>
      <c r="BX22" s="1437"/>
      <c r="BY22" s="1515">
        <f t="shared" si="23"/>
        <v>0</v>
      </c>
      <c r="BZ22" s="1438"/>
      <c r="CA22" s="1495"/>
      <c r="CB22" s="1437"/>
      <c r="CC22" s="1437"/>
      <c r="CD22" s="1437"/>
      <c r="CE22" s="1515">
        <f t="shared" si="24"/>
        <v>0</v>
      </c>
      <c r="CF22" s="1438"/>
      <c r="CG22" s="1495"/>
      <c r="CH22" s="1437"/>
      <c r="CI22" s="1437"/>
      <c r="CJ22" s="1437"/>
      <c r="CK22" s="1515">
        <f t="shared" si="25"/>
        <v>0</v>
      </c>
      <c r="CL22" s="1434"/>
      <c r="CM22" s="1421"/>
      <c r="CO22" s="1016"/>
    </row>
    <row r="23" spans="1:95" ht="23.25" customHeight="1">
      <c r="A23" s="468">
        <v>16</v>
      </c>
      <c r="B23" s="1705">
        <v>0</v>
      </c>
      <c r="C23" s="610"/>
      <c r="D23" s="575">
        <f t="shared" si="4"/>
        <v>100</v>
      </c>
      <c r="E23" s="1437">
        <v>0</v>
      </c>
      <c r="F23" s="1716">
        <v>0</v>
      </c>
      <c r="G23" s="1596">
        <v>0</v>
      </c>
      <c r="H23" s="1708">
        <v>0</v>
      </c>
      <c r="I23" s="578">
        <f t="shared" si="5"/>
        <v>0</v>
      </c>
      <c r="J23" s="650" t="s">
        <v>90</v>
      </c>
      <c r="K23" s="580">
        <f t="shared" si="0"/>
        <v>0</v>
      </c>
      <c r="L23" s="652" t="s">
        <v>234</v>
      </c>
      <c r="M23" s="582">
        <f t="shared" si="1"/>
        <v>10</v>
      </c>
      <c r="N23" s="1712">
        <v>0</v>
      </c>
      <c r="O23" s="740">
        <f t="shared" si="6"/>
        <v>0</v>
      </c>
      <c r="P23" s="738">
        <f t="shared" si="2"/>
        <v>0</v>
      </c>
      <c r="Q23" s="657">
        <f t="shared" si="7"/>
        <v>0</v>
      </c>
      <c r="R23" s="659">
        <f t="shared" si="8"/>
        <v>0</v>
      </c>
      <c r="S23" s="978"/>
      <c r="T23" s="1281">
        <f t="shared" si="9"/>
        <v>16</v>
      </c>
      <c r="U23" s="1281">
        <f t="shared" si="10"/>
        <v>0</v>
      </c>
      <c r="V23" s="1329"/>
      <c r="W23" s="1330" t="s">
        <v>795</v>
      </c>
      <c r="X23" s="1424">
        <v>0</v>
      </c>
      <c r="Y23" s="1033">
        <f>VLOOKUP(W23,Düngemittel!$B$6:$E$64,2,FALSE)*(VLOOKUP(W23,Düngemittel!$B$6:$E$64,3,FALSE))/100*X23</f>
        <v>0</v>
      </c>
      <c r="Z23" s="1033">
        <f>VLOOKUP(W23,Düngemittel!$B$6:$E$64,2,FALSE)*X23</f>
        <v>0</v>
      </c>
      <c r="AA23" s="1033">
        <f>VLOOKUP(W23,Düngemittel!$B$6:$E$64,4,FALSE)*X23</f>
        <v>0</v>
      </c>
      <c r="AB23" s="2089"/>
      <c r="AC23" s="1329"/>
      <c r="AD23" s="1330" t="s">
        <v>795</v>
      </c>
      <c r="AE23" s="1424">
        <v>0</v>
      </c>
      <c r="AF23" s="1033">
        <f>VLOOKUP(AD23,Düngemittel!$B$6:$E$64,2,FALSE)*(VLOOKUP(AD23,Düngemittel!$B$6:$E$64,3,FALSE))/100*AE23</f>
        <v>0</v>
      </c>
      <c r="AG23" s="1033">
        <f>VLOOKUP(AD23,Düngemittel!$B$6:$E$64,2,FALSE)*AE23</f>
        <v>0</v>
      </c>
      <c r="AH23" s="1033">
        <f>VLOOKUP(AD23,Düngemittel!$B$6:$E$64,4,FALSE)*AE23</f>
        <v>0</v>
      </c>
      <c r="AI23" s="2089"/>
      <c r="AJ23" s="1329"/>
      <c r="AK23" s="1330" t="s">
        <v>795</v>
      </c>
      <c r="AL23" s="1424">
        <v>0</v>
      </c>
      <c r="AM23" s="1033">
        <f>VLOOKUP(AK23,Düngemittel!$B$6:$E$64,2,FALSE)*(VLOOKUP(AK23,Düngemittel!$B$6:$E$64,3,FALSE))/100*AL23</f>
        <v>0</v>
      </c>
      <c r="AN23" s="1033">
        <f>VLOOKUP(AK23,Düngemittel!$B$6:$E$64,2,FALSE)*AL23</f>
        <v>0</v>
      </c>
      <c r="AO23" s="1033">
        <f>VLOOKUP(AK23,Düngemittel!$B$6:$E$64,4,FALSE)*AL23</f>
        <v>0</v>
      </c>
      <c r="AQ23" s="1329"/>
      <c r="AR23" s="1330" t="s">
        <v>795</v>
      </c>
      <c r="AS23" s="1424">
        <v>0</v>
      </c>
      <c r="AT23" s="1033">
        <f>VLOOKUP(AR23,Düngemittel!$B$6:$E$64,2,FALSE)*(VLOOKUP(AR23,Düngemittel!$B$6:$E$64,3,FALSE))/100*AS23</f>
        <v>0</v>
      </c>
      <c r="AU23" s="1033">
        <f>VLOOKUP(AR23,Düngemittel!$B$6:$E$64,2,FALSE)*AS23</f>
        <v>0</v>
      </c>
      <c r="AV23" s="1033">
        <f>VLOOKUP(AR23,Düngemittel!$B$6:$E$64,4,FALSE)*AS23</f>
        <v>0</v>
      </c>
      <c r="AW23" s="2081"/>
      <c r="AX23" s="1329"/>
      <c r="AY23" s="1330" t="s">
        <v>795</v>
      </c>
      <c r="AZ23" s="1424">
        <v>0</v>
      </c>
      <c r="BA23" s="1033">
        <f>VLOOKUP(AY23,Düngemittel!$B$6:$E$64,2,FALSE)*(VLOOKUP(AY23,Düngemittel!$B$6:$E$64,3,FALSE))/100*AZ23</f>
        <v>0</v>
      </c>
      <c r="BB23" s="1033">
        <f>VLOOKUP(AY23,Düngemittel!$B$6:$E$64,2,FALSE)*AZ23</f>
        <v>0</v>
      </c>
      <c r="BC23" s="1033">
        <f>VLOOKUP(AY23,Düngemittel!$B$6:$E$64,4,FALSE)*AZ23</f>
        <v>0</v>
      </c>
      <c r="BD23" s="1475"/>
      <c r="BE23" s="1282">
        <f t="shared" si="11"/>
        <v>0</v>
      </c>
      <c r="BF23" s="2352">
        <f t="shared" si="12"/>
        <v>0</v>
      </c>
      <c r="BG23" s="1283">
        <f t="shared" si="13"/>
        <v>0</v>
      </c>
      <c r="BH23" s="1151">
        <f t="shared" si="14"/>
        <v>0</v>
      </c>
      <c r="BI23" s="2352">
        <f t="shared" si="15"/>
        <v>0</v>
      </c>
      <c r="BJ23" s="1152"/>
      <c r="BK23" s="1282">
        <f t="shared" si="16"/>
        <v>0</v>
      </c>
      <c r="BL23" s="1282">
        <f t="shared" si="17"/>
        <v>0</v>
      </c>
      <c r="BM23" s="1282">
        <f t="shared" si="18"/>
        <v>0</v>
      </c>
      <c r="BN23" s="1282">
        <f t="shared" si="19"/>
        <v>0</v>
      </c>
      <c r="BO23" s="1282">
        <f t="shared" si="20"/>
        <v>0</v>
      </c>
      <c r="BP23" s="1119"/>
      <c r="BQ23" s="1119"/>
      <c r="BR23" s="1512">
        <f t="shared" si="21"/>
        <v>16</v>
      </c>
      <c r="BS23" s="1513">
        <f t="shared" si="22"/>
        <v>0</v>
      </c>
      <c r="BT23" s="1438"/>
      <c r="BU23" s="1495"/>
      <c r="BV23" s="1437"/>
      <c r="BW23" s="1437"/>
      <c r="BX23" s="1437"/>
      <c r="BY23" s="1515">
        <f t="shared" si="23"/>
        <v>0</v>
      </c>
      <c r="BZ23" s="1438"/>
      <c r="CA23" s="1495"/>
      <c r="CB23" s="1437"/>
      <c r="CC23" s="1437"/>
      <c r="CD23" s="1437"/>
      <c r="CE23" s="1515">
        <f t="shared" si="24"/>
        <v>0</v>
      </c>
      <c r="CF23" s="1438"/>
      <c r="CG23" s="1495"/>
      <c r="CH23" s="1437"/>
      <c r="CI23" s="1437"/>
      <c r="CJ23" s="1437"/>
      <c r="CK23" s="1515">
        <f t="shared" si="25"/>
        <v>0</v>
      </c>
      <c r="CL23" s="1434"/>
      <c r="CM23" s="1421"/>
      <c r="CO23" s="1016"/>
    </row>
    <row r="24" spans="1:95" ht="23.25" customHeight="1">
      <c r="A24" s="468">
        <v>17</v>
      </c>
      <c r="B24" s="1705">
        <v>0</v>
      </c>
      <c r="C24" s="610"/>
      <c r="D24" s="575">
        <f t="shared" si="4"/>
        <v>100</v>
      </c>
      <c r="E24" s="1437">
        <v>0</v>
      </c>
      <c r="F24" s="1716">
        <v>0</v>
      </c>
      <c r="G24" s="1596">
        <v>0</v>
      </c>
      <c r="H24" s="1708">
        <v>0</v>
      </c>
      <c r="I24" s="578">
        <f t="shared" si="5"/>
        <v>0</v>
      </c>
      <c r="J24" s="650" t="s">
        <v>90</v>
      </c>
      <c r="K24" s="580">
        <f t="shared" si="0"/>
        <v>0</v>
      </c>
      <c r="L24" s="652" t="s">
        <v>234</v>
      </c>
      <c r="M24" s="582">
        <f t="shared" si="1"/>
        <v>10</v>
      </c>
      <c r="N24" s="1712">
        <v>0</v>
      </c>
      <c r="O24" s="740">
        <f t="shared" si="6"/>
        <v>0</v>
      </c>
      <c r="P24" s="738">
        <f t="shared" si="2"/>
        <v>0</v>
      </c>
      <c r="Q24" s="657">
        <f t="shared" si="7"/>
        <v>0</v>
      </c>
      <c r="R24" s="659">
        <f t="shared" si="8"/>
        <v>0</v>
      </c>
      <c r="S24" s="978"/>
      <c r="T24" s="1281">
        <f t="shared" si="9"/>
        <v>17</v>
      </c>
      <c r="U24" s="1281">
        <f t="shared" si="10"/>
        <v>0</v>
      </c>
      <c r="V24" s="1329"/>
      <c r="W24" s="1330" t="s">
        <v>795</v>
      </c>
      <c r="X24" s="1424">
        <v>0</v>
      </c>
      <c r="Y24" s="1033">
        <f>VLOOKUP(W24,Düngemittel!$B$6:$E$64,2,FALSE)*(VLOOKUP(W24,Düngemittel!$B$6:$E$64,3,FALSE))/100*X24</f>
        <v>0</v>
      </c>
      <c r="Z24" s="1033">
        <f>VLOOKUP(W24,Düngemittel!$B$6:$E$64,2,FALSE)*X24</f>
        <v>0</v>
      </c>
      <c r="AA24" s="1033">
        <f>VLOOKUP(W24,Düngemittel!$B$6:$E$64,4,FALSE)*X24</f>
        <v>0</v>
      </c>
      <c r="AB24" s="2089"/>
      <c r="AC24" s="1329"/>
      <c r="AD24" s="1330" t="s">
        <v>795</v>
      </c>
      <c r="AE24" s="1424">
        <v>0</v>
      </c>
      <c r="AF24" s="1033">
        <f>VLOOKUP(AD24,Düngemittel!$B$6:$E$64,2,FALSE)*(VLOOKUP(AD24,Düngemittel!$B$6:$E$64,3,FALSE))/100*AE24</f>
        <v>0</v>
      </c>
      <c r="AG24" s="1033">
        <f>VLOOKUP(AD24,Düngemittel!$B$6:$E$64,2,FALSE)*AE24</f>
        <v>0</v>
      </c>
      <c r="AH24" s="1033">
        <f>VLOOKUP(AD24,Düngemittel!$B$6:$E$64,4,FALSE)*AE24</f>
        <v>0</v>
      </c>
      <c r="AI24" s="2089"/>
      <c r="AJ24" s="1329"/>
      <c r="AK24" s="1330" t="s">
        <v>795</v>
      </c>
      <c r="AL24" s="1424">
        <v>0</v>
      </c>
      <c r="AM24" s="1033">
        <f>VLOOKUP(AK24,Düngemittel!$B$6:$E$64,2,FALSE)*(VLOOKUP(AK24,Düngemittel!$B$6:$E$64,3,FALSE))/100*AL24</f>
        <v>0</v>
      </c>
      <c r="AN24" s="1033">
        <f>VLOOKUP(AK24,Düngemittel!$B$6:$E$64,2,FALSE)*AL24</f>
        <v>0</v>
      </c>
      <c r="AO24" s="1033">
        <f>VLOOKUP(AK24,Düngemittel!$B$6:$E$64,4,FALSE)*AL24</f>
        <v>0</v>
      </c>
      <c r="AQ24" s="1329"/>
      <c r="AR24" s="1330" t="s">
        <v>795</v>
      </c>
      <c r="AS24" s="1424">
        <v>0</v>
      </c>
      <c r="AT24" s="1033">
        <f>VLOOKUP(AR24,Düngemittel!$B$6:$E$64,2,FALSE)*(VLOOKUP(AR24,Düngemittel!$B$6:$E$64,3,FALSE))/100*AS24</f>
        <v>0</v>
      </c>
      <c r="AU24" s="1033">
        <f>VLOOKUP(AR24,Düngemittel!$B$6:$E$64,2,FALSE)*AS24</f>
        <v>0</v>
      </c>
      <c r="AV24" s="1033">
        <f>VLOOKUP(AR24,Düngemittel!$B$6:$E$64,4,FALSE)*AS24</f>
        <v>0</v>
      </c>
      <c r="AW24" s="2081"/>
      <c r="AX24" s="1329"/>
      <c r="AY24" s="1330" t="s">
        <v>795</v>
      </c>
      <c r="AZ24" s="1424">
        <v>0</v>
      </c>
      <c r="BA24" s="1033">
        <f>VLOOKUP(AY24,Düngemittel!$B$6:$E$64,2,FALSE)*(VLOOKUP(AY24,Düngemittel!$B$6:$E$64,3,FALSE))/100*AZ24</f>
        <v>0</v>
      </c>
      <c r="BB24" s="1033">
        <f>VLOOKUP(AY24,Düngemittel!$B$6:$E$64,2,FALSE)*AZ24</f>
        <v>0</v>
      </c>
      <c r="BC24" s="1033">
        <f>VLOOKUP(AY24,Düngemittel!$B$6:$E$64,4,FALSE)*AZ24</f>
        <v>0</v>
      </c>
      <c r="BD24" s="1475"/>
      <c r="BE24" s="1282">
        <f t="shared" si="11"/>
        <v>0</v>
      </c>
      <c r="BF24" s="2352">
        <f t="shared" si="12"/>
        <v>0</v>
      </c>
      <c r="BG24" s="1283">
        <f t="shared" si="13"/>
        <v>0</v>
      </c>
      <c r="BH24" s="1151">
        <f t="shared" si="14"/>
        <v>0</v>
      </c>
      <c r="BI24" s="2352">
        <f t="shared" si="15"/>
        <v>0</v>
      </c>
      <c r="BJ24" s="1152"/>
      <c r="BK24" s="1282">
        <f t="shared" si="16"/>
        <v>0</v>
      </c>
      <c r="BL24" s="1282">
        <f t="shared" si="17"/>
        <v>0</v>
      </c>
      <c r="BM24" s="1282">
        <f t="shared" si="18"/>
        <v>0</v>
      </c>
      <c r="BN24" s="1282">
        <f t="shared" si="19"/>
        <v>0</v>
      </c>
      <c r="BO24" s="1282">
        <f t="shared" si="20"/>
        <v>0</v>
      </c>
      <c r="BP24" s="1119"/>
      <c r="BQ24" s="1119"/>
      <c r="BR24" s="1512">
        <f t="shared" si="21"/>
        <v>17</v>
      </c>
      <c r="BS24" s="1513">
        <f t="shared" si="22"/>
        <v>0</v>
      </c>
      <c r="BT24" s="1438"/>
      <c r="BU24" s="1495"/>
      <c r="BV24" s="1437"/>
      <c r="BW24" s="1437"/>
      <c r="BX24" s="1437"/>
      <c r="BY24" s="1515">
        <f t="shared" si="23"/>
        <v>0</v>
      </c>
      <c r="BZ24" s="1438"/>
      <c r="CA24" s="1495"/>
      <c r="CB24" s="1437"/>
      <c r="CC24" s="1437"/>
      <c r="CD24" s="1437"/>
      <c r="CE24" s="1515">
        <f t="shared" si="24"/>
        <v>0</v>
      </c>
      <c r="CF24" s="1438"/>
      <c r="CG24" s="1495"/>
      <c r="CH24" s="1437"/>
      <c r="CI24" s="1437"/>
      <c r="CJ24" s="1437"/>
      <c r="CK24" s="1515">
        <f t="shared" si="25"/>
        <v>0</v>
      </c>
      <c r="CL24" s="1434"/>
      <c r="CM24" s="1421"/>
      <c r="CO24" s="1016"/>
    </row>
    <row r="25" spans="1:95" ht="23.25" customHeight="1">
      <c r="A25" s="468">
        <v>18</v>
      </c>
      <c r="B25" s="1705">
        <v>0</v>
      </c>
      <c r="C25" s="610"/>
      <c r="D25" s="575">
        <f t="shared" si="4"/>
        <v>100</v>
      </c>
      <c r="E25" s="1437">
        <v>0</v>
      </c>
      <c r="F25" s="1716">
        <v>0</v>
      </c>
      <c r="G25" s="1596">
        <v>0</v>
      </c>
      <c r="H25" s="1708">
        <v>0</v>
      </c>
      <c r="I25" s="578">
        <f t="shared" si="5"/>
        <v>0</v>
      </c>
      <c r="J25" s="650" t="s">
        <v>90</v>
      </c>
      <c r="K25" s="580">
        <f t="shared" si="0"/>
        <v>0</v>
      </c>
      <c r="L25" s="652" t="s">
        <v>234</v>
      </c>
      <c r="M25" s="582">
        <f t="shared" si="1"/>
        <v>10</v>
      </c>
      <c r="N25" s="1712">
        <v>0</v>
      </c>
      <c r="O25" s="740">
        <f t="shared" si="6"/>
        <v>0</v>
      </c>
      <c r="P25" s="738">
        <f t="shared" si="2"/>
        <v>0</v>
      </c>
      <c r="Q25" s="657">
        <f t="shared" si="7"/>
        <v>0</v>
      </c>
      <c r="R25" s="659">
        <f t="shared" si="8"/>
        <v>0</v>
      </c>
      <c r="S25" s="978"/>
      <c r="T25" s="1281">
        <f t="shared" si="9"/>
        <v>18</v>
      </c>
      <c r="U25" s="1281">
        <f t="shared" si="10"/>
        <v>0</v>
      </c>
      <c r="V25" s="1329"/>
      <c r="W25" s="1330" t="s">
        <v>795</v>
      </c>
      <c r="X25" s="1424">
        <v>0</v>
      </c>
      <c r="Y25" s="1033">
        <f>VLOOKUP(W25,Düngemittel!$B$6:$E$64,2,FALSE)*(VLOOKUP(W25,Düngemittel!$B$6:$E$64,3,FALSE))/100*X25</f>
        <v>0</v>
      </c>
      <c r="Z25" s="1033">
        <f>VLOOKUP(W25,Düngemittel!$B$6:$E$64,2,FALSE)*X25</f>
        <v>0</v>
      </c>
      <c r="AA25" s="1033">
        <f>VLOOKUP(W25,Düngemittel!$B$6:$E$64,4,FALSE)*X25</f>
        <v>0</v>
      </c>
      <c r="AB25" s="2089"/>
      <c r="AC25" s="1329"/>
      <c r="AD25" s="1330" t="s">
        <v>795</v>
      </c>
      <c r="AE25" s="1424">
        <v>0</v>
      </c>
      <c r="AF25" s="1033">
        <f>VLOOKUP(AD25,Düngemittel!$B$6:$E$64,2,FALSE)*(VLOOKUP(AD25,Düngemittel!$B$6:$E$64,3,FALSE))/100*AE25</f>
        <v>0</v>
      </c>
      <c r="AG25" s="1033">
        <f>VLOOKUP(AD25,Düngemittel!$B$6:$E$64,2,FALSE)*AE25</f>
        <v>0</v>
      </c>
      <c r="AH25" s="1033">
        <f>VLOOKUP(AD25,Düngemittel!$B$6:$E$64,4,FALSE)*AE25</f>
        <v>0</v>
      </c>
      <c r="AI25" s="2089"/>
      <c r="AJ25" s="1329"/>
      <c r="AK25" s="1330" t="s">
        <v>795</v>
      </c>
      <c r="AL25" s="1424">
        <v>0</v>
      </c>
      <c r="AM25" s="1033">
        <f>VLOOKUP(AK25,Düngemittel!$B$6:$E$64,2,FALSE)*(VLOOKUP(AK25,Düngemittel!$B$6:$E$64,3,FALSE))/100*AL25</f>
        <v>0</v>
      </c>
      <c r="AN25" s="1033">
        <f>VLOOKUP(AK25,Düngemittel!$B$6:$E$64,2,FALSE)*AL25</f>
        <v>0</v>
      </c>
      <c r="AO25" s="1033">
        <f>VLOOKUP(AK25,Düngemittel!$B$6:$E$64,4,FALSE)*AL25</f>
        <v>0</v>
      </c>
      <c r="AQ25" s="1329"/>
      <c r="AR25" s="1330" t="s">
        <v>795</v>
      </c>
      <c r="AS25" s="1424">
        <v>0</v>
      </c>
      <c r="AT25" s="1033">
        <f>VLOOKUP(AR25,Düngemittel!$B$6:$E$64,2,FALSE)*(VLOOKUP(AR25,Düngemittel!$B$6:$E$64,3,FALSE))/100*AS25</f>
        <v>0</v>
      </c>
      <c r="AU25" s="1033">
        <f>VLOOKUP(AR25,Düngemittel!$B$6:$E$64,2,FALSE)*AS25</f>
        <v>0</v>
      </c>
      <c r="AV25" s="1033">
        <f>VLOOKUP(AR25,Düngemittel!$B$6:$E$64,4,FALSE)*AS25</f>
        <v>0</v>
      </c>
      <c r="AW25" s="2081"/>
      <c r="AX25" s="1329"/>
      <c r="AY25" s="1330" t="s">
        <v>795</v>
      </c>
      <c r="AZ25" s="1424">
        <v>0</v>
      </c>
      <c r="BA25" s="1033">
        <f>VLOOKUP(AY25,Düngemittel!$B$6:$E$64,2,FALSE)*(VLOOKUP(AY25,Düngemittel!$B$6:$E$64,3,FALSE))/100*AZ25</f>
        <v>0</v>
      </c>
      <c r="BB25" s="1033">
        <f>VLOOKUP(AY25,Düngemittel!$B$6:$E$64,2,FALSE)*AZ25</f>
        <v>0</v>
      </c>
      <c r="BC25" s="1033">
        <f>VLOOKUP(AY25,Düngemittel!$B$6:$E$64,4,FALSE)*AZ25</f>
        <v>0</v>
      </c>
      <c r="BD25" s="1475"/>
      <c r="BE25" s="1282">
        <f t="shared" si="11"/>
        <v>0</v>
      </c>
      <c r="BF25" s="2352">
        <f t="shared" si="12"/>
        <v>0</v>
      </c>
      <c r="BG25" s="1283">
        <f t="shared" si="13"/>
        <v>0</v>
      </c>
      <c r="BH25" s="1151">
        <f t="shared" si="14"/>
        <v>0</v>
      </c>
      <c r="BI25" s="2352">
        <f t="shared" si="15"/>
        <v>0</v>
      </c>
      <c r="BJ25" s="1152"/>
      <c r="BK25" s="1282">
        <f t="shared" si="16"/>
        <v>0</v>
      </c>
      <c r="BL25" s="1282">
        <f t="shared" si="17"/>
        <v>0</v>
      </c>
      <c r="BM25" s="1282">
        <f t="shared" si="18"/>
        <v>0</v>
      </c>
      <c r="BN25" s="1282">
        <f t="shared" si="19"/>
        <v>0</v>
      </c>
      <c r="BO25" s="1282">
        <f t="shared" si="20"/>
        <v>0</v>
      </c>
      <c r="BP25" s="1119"/>
      <c r="BQ25" s="1119"/>
      <c r="BR25" s="1512">
        <f t="shared" si="21"/>
        <v>18</v>
      </c>
      <c r="BS25" s="1513">
        <f t="shared" si="22"/>
        <v>0</v>
      </c>
      <c r="BT25" s="1438"/>
      <c r="BU25" s="1495"/>
      <c r="BV25" s="1437"/>
      <c r="BW25" s="1437"/>
      <c r="BX25" s="1437"/>
      <c r="BY25" s="1515">
        <f t="shared" si="23"/>
        <v>0</v>
      </c>
      <c r="BZ25" s="1438"/>
      <c r="CA25" s="1495"/>
      <c r="CB25" s="1437"/>
      <c r="CC25" s="1437"/>
      <c r="CD25" s="1437"/>
      <c r="CE25" s="1515">
        <f t="shared" si="24"/>
        <v>0</v>
      </c>
      <c r="CF25" s="1438"/>
      <c r="CG25" s="1495"/>
      <c r="CH25" s="1437"/>
      <c r="CI25" s="1437"/>
      <c r="CJ25" s="1437"/>
      <c r="CK25" s="1515">
        <f t="shared" si="25"/>
        <v>0</v>
      </c>
      <c r="CL25" s="1434"/>
      <c r="CM25" s="1421"/>
      <c r="CO25" s="1016"/>
    </row>
    <row r="26" spans="1:95" ht="23.25" customHeight="1">
      <c r="A26" s="468">
        <v>19</v>
      </c>
      <c r="B26" s="1705">
        <v>0</v>
      </c>
      <c r="C26" s="610"/>
      <c r="D26" s="575">
        <f t="shared" si="4"/>
        <v>100</v>
      </c>
      <c r="E26" s="1437">
        <v>0</v>
      </c>
      <c r="F26" s="1716">
        <v>0</v>
      </c>
      <c r="G26" s="1596">
        <v>0</v>
      </c>
      <c r="H26" s="1708">
        <v>0</v>
      </c>
      <c r="I26" s="578">
        <f t="shared" si="5"/>
        <v>0</v>
      </c>
      <c r="J26" s="650" t="s">
        <v>90</v>
      </c>
      <c r="K26" s="580">
        <f t="shared" si="0"/>
        <v>0</v>
      </c>
      <c r="L26" s="652" t="s">
        <v>234</v>
      </c>
      <c r="M26" s="582">
        <f t="shared" si="1"/>
        <v>10</v>
      </c>
      <c r="N26" s="1712">
        <v>0</v>
      </c>
      <c r="O26" s="740">
        <f t="shared" si="6"/>
        <v>0</v>
      </c>
      <c r="P26" s="738">
        <f t="shared" si="2"/>
        <v>0</v>
      </c>
      <c r="Q26" s="657">
        <f t="shared" si="7"/>
        <v>0</v>
      </c>
      <c r="R26" s="659">
        <f t="shared" si="8"/>
        <v>0</v>
      </c>
      <c r="S26" s="978"/>
      <c r="T26" s="1281">
        <f t="shared" si="9"/>
        <v>19</v>
      </c>
      <c r="U26" s="1281">
        <f t="shared" si="10"/>
        <v>0</v>
      </c>
      <c r="V26" s="1329"/>
      <c r="W26" s="1330" t="s">
        <v>795</v>
      </c>
      <c r="X26" s="1424">
        <v>0</v>
      </c>
      <c r="Y26" s="1033">
        <f>VLOOKUP(W26,Düngemittel!$B$6:$E$64,2,FALSE)*(VLOOKUP(W26,Düngemittel!$B$6:$E$64,3,FALSE))/100*X26</f>
        <v>0</v>
      </c>
      <c r="Z26" s="1033">
        <f>VLOOKUP(W26,Düngemittel!$B$6:$E$64,2,FALSE)*X26</f>
        <v>0</v>
      </c>
      <c r="AA26" s="1033">
        <f>VLOOKUP(W26,Düngemittel!$B$6:$E$64,4,FALSE)*X26</f>
        <v>0</v>
      </c>
      <c r="AB26" s="2089"/>
      <c r="AC26" s="1329"/>
      <c r="AD26" s="1330" t="s">
        <v>795</v>
      </c>
      <c r="AE26" s="1424">
        <v>0</v>
      </c>
      <c r="AF26" s="1033">
        <f>VLOOKUP(AD26,Düngemittel!$B$6:$E$64,2,FALSE)*(VLOOKUP(AD26,Düngemittel!$B$6:$E$64,3,FALSE))/100*AE26</f>
        <v>0</v>
      </c>
      <c r="AG26" s="1033">
        <f>VLOOKUP(AD26,Düngemittel!$B$6:$E$64,2,FALSE)*AE26</f>
        <v>0</v>
      </c>
      <c r="AH26" s="1033">
        <f>VLOOKUP(AD26,Düngemittel!$B$6:$E$64,4,FALSE)*AE26</f>
        <v>0</v>
      </c>
      <c r="AI26" s="2089"/>
      <c r="AJ26" s="1329"/>
      <c r="AK26" s="1330" t="s">
        <v>795</v>
      </c>
      <c r="AL26" s="1424">
        <v>0</v>
      </c>
      <c r="AM26" s="1033">
        <f>VLOOKUP(AK26,Düngemittel!$B$6:$E$64,2,FALSE)*(VLOOKUP(AK26,Düngemittel!$B$6:$E$64,3,FALSE))/100*AL26</f>
        <v>0</v>
      </c>
      <c r="AN26" s="1033">
        <f>VLOOKUP(AK26,Düngemittel!$B$6:$E$64,2,FALSE)*AL26</f>
        <v>0</v>
      </c>
      <c r="AO26" s="1033">
        <f>VLOOKUP(AK26,Düngemittel!$B$6:$E$64,4,FALSE)*AL26</f>
        <v>0</v>
      </c>
      <c r="AQ26" s="1329"/>
      <c r="AR26" s="1330" t="s">
        <v>795</v>
      </c>
      <c r="AS26" s="1424">
        <v>0</v>
      </c>
      <c r="AT26" s="1033">
        <f>VLOOKUP(AR26,Düngemittel!$B$6:$E$64,2,FALSE)*(VLOOKUP(AR26,Düngemittel!$B$6:$E$64,3,FALSE))/100*AS26</f>
        <v>0</v>
      </c>
      <c r="AU26" s="1033">
        <f>VLOOKUP(AR26,Düngemittel!$B$6:$E$64,2,FALSE)*AS26</f>
        <v>0</v>
      </c>
      <c r="AV26" s="1033">
        <f>VLOOKUP(AR26,Düngemittel!$B$6:$E$64,4,FALSE)*AS26</f>
        <v>0</v>
      </c>
      <c r="AW26" s="2081"/>
      <c r="AX26" s="1329"/>
      <c r="AY26" s="1330" t="s">
        <v>795</v>
      </c>
      <c r="AZ26" s="1424">
        <v>0</v>
      </c>
      <c r="BA26" s="1033">
        <f>VLOOKUP(AY26,Düngemittel!$B$6:$E$64,2,FALSE)*(VLOOKUP(AY26,Düngemittel!$B$6:$E$64,3,FALSE))/100*AZ26</f>
        <v>0</v>
      </c>
      <c r="BB26" s="1033">
        <f>VLOOKUP(AY26,Düngemittel!$B$6:$E$64,2,FALSE)*AZ26</f>
        <v>0</v>
      </c>
      <c r="BC26" s="1033">
        <f>VLOOKUP(AY26,Düngemittel!$B$6:$E$64,4,FALSE)*AZ26</f>
        <v>0</v>
      </c>
      <c r="BD26" s="1475"/>
      <c r="BE26" s="1282">
        <f t="shared" si="11"/>
        <v>0</v>
      </c>
      <c r="BF26" s="2352">
        <f t="shared" si="12"/>
        <v>0</v>
      </c>
      <c r="BG26" s="1283">
        <f t="shared" si="13"/>
        <v>0</v>
      </c>
      <c r="BH26" s="1151">
        <f t="shared" si="14"/>
        <v>0</v>
      </c>
      <c r="BI26" s="2352">
        <f t="shared" si="15"/>
        <v>0</v>
      </c>
      <c r="BJ26" s="1152"/>
      <c r="BK26" s="1282">
        <f t="shared" si="16"/>
        <v>0</v>
      </c>
      <c r="BL26" s="1282">
        <f t="shared" si="17"/>
        <v>0</v>
      </c>
      <c r="BM26" s="1282">
        <f t="shared" si="18"/>
        <v>0</v>
      </c>
      <c r="BN26" s="1282">
        <f t="shared" si="19"/>
        <v>0</v>
      </c>
      <c r="BO26" s="1282">
        <f t="shared" si="20"/>
        <v>0</v>
      </c>
      <c r="BP26" s="1119"/>
      <c r="BQ26" s="1119"/>
      <c r="BR26" s="1512">
        <f t="shared" si="21"/>
        <v>19</v>
      </c>
      <c r="BS26" s="1513">
        <f t="shared" si="22"/>
        <v>0</v>
      </c>
      <c r="BT26" s="1438"/>
      <c r="BU26" s="1495"/>
      <c r="BV26" s="1437"/>
      <c r="BW26" s="1437"/>
      <c r="BX26" s="1437"/>
      <c r="BY26" s="1515">
        <f t="shared" si="23"/>
        <v>0</v>
      </c>
      <c r="BZ26" s="1438"/>
      <c r="CA26" s="1495"/>
      <c r="CB26" s="1437"/>
      <c r="CC26" s="1437"/>
      <c r="CD26" s="1437"/>
      <c r="CE26" s="1515">
        <f t="shared" si="24"/>
        <v>0</v>
      </c>
      <c r="CF26" s="1438"/>
      <c r="CG26" s="1495"/>
      <c r="CH26" s="1437"/>
      <c r="CI26" s="1437"/>
      <c r="CJ26" s="1437"/>
      <c r="CK26" s="1515">
        <f t="shared" si="25"/>
        <v>0</v>
      </c>
      <c r="CL26" s="1434"/>
      <c r="CM26" s="1421"/>
      <c r="CO26" s="1016"/>
    </row>
    <row r="27" spans="1:95" ht="23.25" customHeight="1">
      <c r="A27" s="468">
        <v>20</v>
      </c>
      <c r="B27" s="1705">
        <v>0</v>
      </c>
      <c r="C27" s="610"/>
      <c r="D27" s="575">
        <f t="shared" ref="D27:D40" si="36">100-E27-F27</f>
        <v>100</v>
      </c>
      <c r="E27" s="1437">
        <v>0</v>
      </c>
      <c r="F27" s="1716">
        <v>0</v>
      </c>
      <c r="G27" s="1596">
        <v>0</v>
      </c>
      <c r="H27" s="1708">
        <v>0</v>
      </c>
      <c r="I27" s="578">
        <f t="shared" ref="I27:I40" si="37">((G27*D27/100)+(G27*E27*0.5/100)+G27*F27*0.75/100)*H27/6.25</f>
        <v>0</v>
      </c>
      <c r="J27" s="650" t="s">
        <v>90</v>
      </c>
      <c r="K27" s="580">
        <f t="shared" si="0"/>
        <v>0</v>
      </c>
      <c r="L27" s="652" t="s">
        <v>234</v>
      </c>
      <c r="M27" s="582">
        <f t="shared" si="1"/>
        <v>10</v>
      </c>
      <c r="N27" s="1712">
        <v>0</v>
      </c>
      <c r="O27" s="740">
        <f t="shared" ref="O27:O40" si="38">IF(I27-M27-K27-N27&lt;0,0,I27-M27-K27-N27)</f>
        <v>0</v>
      </c>
      <c r="P27" s="738">
        <f t="shared" ref="P27:P40" si="39">IF(O27&lt;0,0,O27*B27)</f>
        <v>0</v>
      </c>
      <c r="Q27" s="657">
        <f t="shared" si="7"/>
        <v>0</v>
      </c>
      <c r="R27" s="659">
        <f t="shared" ref="R27:R40" si="40">B27*Q27</f>
        <v>0</v>
      </c>
      <c r="S27" s="978"/>
      <c r="T27" s="1281">
        <f t="shared" si="9"/>
        <v>20</v>
      </c>
      <c r="U27" s="1281">
        <f t="shared" si="10"/>
        <v>0</v>
      </c>
      <c r="V27" s="1329"/>
      <c r="W27" s="1330" t="s">
        <v>795</v>
      </c>
      <c r="X27" s="1424">
        <v>0</v>
      </c>
      <c r="Y27" s="1033">
        <f>VLOOKUP(W27,Düngemittel!$B$6:$E$64,2,FALSE)*(VLOOKUP(W27,Düngemittel!$B$6:$E$64,3,FALSE))/100*X27</f>
        <v>0</v>
      </c>
      <c r="Z27" s="1033">
        <f>VLOOKUP(W27,Düngemittel!$B$6:$E$64,2,FALSE)*X27</f>
        <v>0</v>
      </c>
      <c r="AA27" s="1033">
        <f>VLOOKUP(W27,Düngemittel!$B$6:$E$64,4,FALSE)*X27</f>
        <v>0</v>
      </c>
      <c r="AB27" s="2089"/>
      <c r="AC27" s="1329"/>
      <c r="AD27" s="1330" t="s">
        <v>795</v>
      </c>
      <c r="AE27" s="1424">
        <v>0</v>
      </c>
      <c r="AF27" s="1033">
        <f>VLOOKUP(AD27,Düngemittel!$B$6:$E$64,2,FALSE)*(VLOOKUP(AD27,Düngemittel!$B$6:$E$64,3,FALSE))/100*AE27</f>
        <v>0</v>
      </c>
      <c r="AG27" s="1033">
        <f>VLOOKUP(AD27,Düngemittel!$B$6:$E$64,2,FALSE)*AE27</f>
        <v>0</v>
      </c>
      <c r="AH27" s="1033">
        <f>VLOOKUP(AD27,Düngemittel!$B$6:$E$64,4,FALSE)*AE27</f>
        <v>0</v>
      </c>
      <c r="AI27" s="2089"/>
      <c r="AJ27" s="1329"/>
      <c r="AK27" s="1330" t="s">
        <v>795</v>
      </c>
      <c r="AL27" s="1424">
        <v>0</v>
      </c>
      <c r="AM27" s="1033">
        <f>VLOOKUP(AK27,Düngemittel!$B$6:$E$64,2,FALSE)*(VLOOKUP(AK27,Düngemittel!$B$6:$E$64,3,FALSE))/100*AL27</f>
        <v>0</v>
      </c>
      <c r="AN27" s="1033">
        <f>VLOOKUP(AK27,Düngemittel!$B$6:$E$64,2,FALSE)*AL27</f>
        <v>0</v>
      </c>
      <c r="AO27" s="1033">
        <f>VLOOKUP(AK27,Düngemittel!$B$6:$E$64,4,FALSE)*AL27</f>
        <v>0</v>
      </c>
      <c r="AQ27" s="1329"/>
      <c r="AR27" s="1330" t="s">
        <v>795</v>
      </c>
      <c r="AS27" s="1424">
        <v>0</v>
      </c>
      <c r="AT27" s="1033">
        <f>VLOOKUP(AR27,Düngemittel!$B$6:$E$64,2,FALSE)*(VLOOKUP(AR27,Düngemittel!$B$6:$E$64,3,FALSE))/100*AS27</f>
        <v>0</v>
      </c>
      <c r="AU27" s="1033">
        <f>VLOOKUP(AR27,Düngemittel!$B$6:$E$64,2,FALSE)*AS27</f>
        <v>0</v>
      </c>
      <c r="AV27" s="1033">
        <f>VLOOKUP(AR27,Düngemittel!$B$6:$E$64,4,FALSE)*AS27</f>
        <v>0</v>
      </c>
      <c r="AW27" s="2081"/>
      <c r="AX27" s="1329"/>
      <c r="AY27" s="1330" t="s">
        <v>795</v>
      </c>
      <c r="AZ27" s="1424">
        <v>0</v>
      </c>
      <c r="BA27" s="1033">
        <f>VLOOKUP(AY27,Düngemittel!$B$6:$E$64,2,FALSE)*(VLOOKUP(AY27,Düngemittel!$B$6:$E$64,3,FALSE))/100*AZ27</f>
        <v>0</v>
      </c>
      <c r="BB27" s="1033">
        <f>VLOOKUP(AY27,Düngemittel!$B$6:$E$64,2,FALSE)*AZ27</f>
        <v>0</v>
      </c>
      <c r="BC27" s="1033">
        <f>VLOOKUP(AY27,Düngemittel!$B$6:$E$64,4,FALSE)*AZ27</f>
        <v>0</v>
      </c>
      <c r="BD27" s="1475"/>
      <c r="BE27" s="1282">
        <f t="shared" si="11"/>
        <v>0</v>
      </c>
      <c r="BF27" s="2352">
        <f t="shared" si="12"/>
        <v>0</v>
      </c>
      <c r="BG27" s="1283">
        <f t="shared" si="13"/>
        <v>0</v>
      </c>
      <c r="BH27" s="1151">
        <f t="shared" si="14"/>
        <v>0</v>
      </c>
      <c r="BI27" s="2352">
        <f t="shared" si="15"/>
        <v>0</v>
      </c>
      <c r="BJ27" s="1152"/>
      <c r="BK27" s="1282">
        <f t="shared" si="16"/>
        <v>0</v>
      </c>
      <c r="BL27" s="1282">
        <f t="shared" si="17"/>
        <v>0</v>
      </c>
      <c r="BM27" s="1282">
        <f t="shared" si="18"/>
        <v>0</v>
      </c>
      <c r="BN27" s="1282">
        <f t="shared" si="19"/>
        <v>0</v>
      </c>
      <c r="BO27" s="1282">
        <f t="shared" si="20"/>
        <v>0</v>
      </c>
      <c r="BP27" s="1119"/>
      <c r="BQ27" s="1119"/>
      <c r="BR27" s="1512">
        <f t="shared" si="21"/>
        <v>20</v>
      </c>
      <c r="BS27" s="1513">
        <f t="shared" si="22"/>
        <v>0</v>
      </c>
      <c r="BT27" s="1438"/>
      <c r="BU27" s="1495"/>
      <c r="BV27" s="1437"/>
      <c r="BW27" s="1437"/>
      <c r="BX27" s="1437"/>
      <c r="BY27" s="1515">
        <f t="shared" si="23"/>
        <v>0</v>
      </c>
      <c r="BZ27" s="1438"/>
      <c r="CA27" s="1495"/>
      <c r="CB27" s="1437"/>
      <c r="CC27" s="1437"/>
      <c r="CD27" s="1437"/>
      <c r="CE27" s="1515">
        <f t="shared" si="24"/>
        <v>0</v>
      </c>
      <c r="CF27" s="1438"/>
      <c r="CG27" s="1495"/>
      <c r="CH27" s="1437"/>
      <c r="CI27" s="1437"/>
      <c r="CJ27" s="1437"/>
      <c r="CK27" s="1515">
        <f t="shared" si="25"/>
        <v>0</v>
      </c>
      <c r="CL27" s="1434"/>
      <c r="CM27" s="1421"/>
      <c r="CO27" s="1016"/>
    </row>
    <row r="28" spans="1:95" s="1421" customFormat="1" ht="23.25" customHeight="1">
      <c r="A28" s="468">
        <v>21</v>
      </c>
      <c r="B28" s="1705">
        <v>0</v>
      </c>
      <c r="C28" s="610"/>
      <c r="D28" s="575">
        <f t="shared" ref="D28:D38" si="41">100-E28-F28</f>
        <v>100</v>
      </c>
      <c r="E28" s="1437">
        <v>0</v>
      </c>
      <c r="F28" s="1716">
        <v>0</v>
      </c>
      <c r="G28" s="2329">
        <v>0</v>
      </c>
      <c r="H28" s="1708">
        <v>0</v>
      </c>
      <c r="I28" s="578">
        <f t="shared" ref="I28:I38" si="42">((G28*D28/100)+(G28*E28*0.5/100)+G28*F28*0.75/100)*H28/6.25</f>
        <v>0</v>
      </c>
      <c r="J28" s="650" t="s">
        <v>90</v>
      </c>
      <c r="K28" s="580">
        <f t="shared" ref="K28:K38" si="43">VLOOKUP(J28,CP$17:CQ$20,2,FALSE)</f>
        <v>0</v>
      </c>
      <c r="L28" s="652" t="s">
        <v>234</v>
      </c>
      <c r="M28" s="582">
        <f t="shared" ref="M28:M38" si="44">VLOOKUP(L28,CP$6:CQ$10,2,FALSE)</f>
        <v>10</v>
      </c>
      <c r="N28" s="1712">
        <v>0</v>
      </c>
      <c r="O28" s="740">
        <f t="shared" ref="O28:O38" si="45">IF(I28-M28-K28-N28&lt;0,0,I28-M28-K28-N28)</f>
        <v>0</v>
      </c>
      <c r="P28" s="738">
        <f t="shared" ref="P28:P38" si="46">IF(O28&lt;0,0,O28*B28)</f>
        <v>0</v>
      </c>
      <c r="Q28" s="657">
        <f t="shared" ref="Q28:Q38" si="47">IF(H28=0,0,G28*(D28/100+E28*0.5/100+F28*0.75/100)*(0.3494+0.4695*LOG(H28)/6.25*H28/6.25))</f>
        <v>0</v>
      </c>
      <c r="R28" s="659">
        <f t="shared" ref="R28:R38" si="48">B28*Q28</f>
        <v>0</v>
      </c>
      <c r="S28" s="978"/>
      <c r="T28" s="1281">
        <f t="shared" ref="T28:T38" si="49">A28</f>
        <v>21</v>
      </c>
      <c r="U28" s="1281">
        <f t="shared" ref="U28:U38" si="50">C28</f>
        <v>0</v>
      </c>
      <c r="V28" s="1329"/>
      <c r="W28" s="1330" t="s">
        <v>795</v>
      </c>
      <c r="X28" s="1424">
        <v>0</v>
      </c>
      <c r="Y28" s="1033">
        <f>VLOOKUP(W28,Düngemittel!$B$6:$E$64,2,FALSE)*(VLOOKUP(W28,Düngemittel!$B$6:$E$64,3,FALSE))/100*X28</f>
        <v>0</v>
      </c>
      <c r="Z28" s="1033">
        <f>VLOOKUP(W28,Düngemittel!$B$6:$E$64,2,FALSE)*X28</f>
        <v>0</v>
      </c>
      <c r="AA28" s="1033">
        <f>VLOOKUP(W28,Düngemittel!$B$6:$E$64,4,FALSE)*X28</f>
        <v>0</v>
      </c>
      <c r="AB28" s="2324"/>
      <c r="AC28" s="1329"/>
      <c r="AD28" s="1330" t="s">
        <v>795</v>
      </c>
      <c r="AE28" s="1424">
        <v>0</v>
      </c>
      <c r="AF28" s="1033">
        <f>VLOOKUP(AD28,Düngemittel!$B$6:$E$64,2,FALSE)*(VLOOKUP(AD28,Düngemittel!$B$6:$E$64,3,FALSE))/100*AE28</f>
        <v>0</v>
      </c>
      <c r="AG28" s="1033">
        <f>VLOOKUP(AD28,Düngemittel!$B$6:$E$64,2,FALSE)*AE28</f>
        <v>0</v>
      </c>
      <c r="AH28" s="1033">
        <f>VLOOKUP(AD28,Düngemittel!$B$6:$E$64,4,FALSE)*AE28</f>
        <v>0</v>
      </c>
      <c r="AI28" s="2324"/>
      <c r="AJ28" s="1329"/>
      <c r="AK28" s="1330" t="s">
        <v>795</v>
      </c>
      <c r="AL28" s="1424">
        <v>0</v>
      </c>
      <c r="AM28" s="1033">
        <f>VLOOKUP(AK28,Düngemittel!$B$6:$E$64,2,FALSE)*(VLOOKUP(AK28,Düngemittel!$B$6:$E$64,3,FALSE))/100*AL28</f>
        <v>0</v>
      </c>
      <c r="AN28" s="1033">
        <f>VLOOKUP(AK28,Düngemittel!$B$6:$E$64,2,FALSE)*AL28</f>
        <v>0</v>
      </c>
      <c r="AO28" s="1033">
        <f>VLOOKUP(AK28,Düngemittel!$B$6:$E$64,4,FALSE)*AL28</f>
        <v>0</v>
      </c>
      <c r="AP28" s="2324"/>
      <c r="AQ28" s="1329"/>
      <c r="AR28" s="1330" t="s">
        <v>795</v>
      </c>
      <c r="AS28" s="1424">
        <v>0</v>
      </c>
      <c r="AT28" s="1033">
        <f>VLOOKUP(AR28,Düngemittel!$B$6:$E$64,2,FALSE)*(VLOOKUP(AR28,Düngemittel!$B$6:$E$64,3,FALSE))/100*AS28</f>
        <v>0</v>
      </c>
      <c r="AU28" s="1033">
        <f>VLOOKUP(AR28,Düngemittel!$B$6:$E$64,2,FALSE)*AS28</f>
        <v>0</v>
      </c>
      <c r="AV28" s="1033">
        <f>VLOOKUP(AR28,Düngemittel!$B$6:$E$64,4,FALSE)*AS28</f>
        <v>0</v>
      </c>
      <c r="AW28" s="2324"/>
      <c r="AX28" s="1329"/>
      <c r="AY28" s="1330" t="s">
        <v>795</v>
      </c>
      <c r="AZ28" s="1424">
        <v>0</v>
      </c>
      <c r="BA28" s="1033">
        <f>VLOOKUP(AY28,Düngemittel!$B$6:$E$64,2,FALSE)*(VLOOKUP(AY28,Düngemittel!$B$6:$E$64,3,FALSE))/100*AZ28</f>
        <v>0</v>
      </c>
      <c r="BB28" s="1033">
        <f>VLOOKUP(AY28,Düngemittel!$B$6:$E$64,2,FALSE)*AZ28</f>
        <v>0</v>
      </c>
      <c r="BC28" s="1033">
        <f>VLOOKUP(AY28,Düngemittel!$B$6:$E$64,4,FALSE)*AZ28</f>
        <v>0</v>
      </c>
      <c r="BD28" s="1475"/>
      <c r="BE28" s="1282">
        <f t="shared" si="11"/>
        <v>0</v>
      </c>
      <c r="BF28" s="2352">
        <f t="shared" si="12"/>
        <v>0</v>
      </c>
      <c r="BG28" s="1283">
        <f t="shared" si="13"/>
        <v>0</v>
      </c>
      <c r="BH28" s="1151">
        <f t="shared" si="14"/>
        <v>0</v>
      </c>
      <c r="BI28" s="2352">
        <f t="shared" si="15"/>
        <v>0</v>
      </c>
      <c r="BJ28" s="1152"/>
      <c r="BK28" s="1282">
        <f t="shared" ref="BK28:BK38" si="51">BE28*$B28</f>
        <v>0</v>
      </c>
      <c r="BL28" s="1282">
        <f t="shared" ref="BL28:BL38" si="52">BF28*$B28</f>
        <v>0</v>
      </c>
      <c r="BM28" s="1282">
        <f t="shared" ref="BM28:BM38" si="53">BG28*$B28</f>
        <v>0</v>
      </c>
      <c r="BN28" s="1282">
        <f t="shared" ref="BN28:BN38" si="54">BH28*$B28</f>
        <v>0</v>
      </c>
      <c r="BO28" s="1282">
        <f t="shared" ref="BO28:BO38" si="55">BI28*$B28</f>
        <v>0</v>
      </c>
      <c r="BP28" s="1119"/>
      <c r="BQ28" s="1119"/>
      <c r="BR28" s="1512">
        <f t="shared" si="21"/>
        <v>21</v>
      </c>
      <c r="BS28" s="1513">
        <f t="shared" si="22"/>
        <v>0</v>
      </c>
      <c r="BT28" s="1438"/>
      <c r="BU28" s="1495"/>
      <c r="BV28" s="1437"/>
      <c r="BW28" s="1437"/>
      <c r="BX28" s="1437"/>
      <c r="BY28" s="1515">
        <f t="shared" ref="BY28:BY38" si="56">SUM(BW28*BX28/24)</f>
        <v>0</v>
      </c>
      <c r="BZ28" s="1438"/>
      <c r="CA28" s="1495"/>
      <c r="CB28" s="1437"/>
      <c r="CC28" s="1437"/>
      <c r="CD28" s="1437"/>
      <c r="CE28" s="1515">
        <f t="shared" ref="CE28:CE38" si="57">SUM(CC28*CD28/24)</f>
        <v>0</v>
      </c>
      <c r="CF28" s="1438"/>
      <c r="CG28" s="1495"/>
      <c r="CH28" s="1437"/>
      <c r="CI28" s="1437"/>
      <c r="CJ28" s="1437"/>
      <c r="CK28" s="1515">
        <f t="shared" ref="CK28:CK38" si="58">SUM(CI28*CJ28/24)</f>
        <v>0</v>
      </c>
      <c r="CL28" s="1434"/>
    </row>
    <row r="29" spans="1:95" s="1421" customFormat="1" ht="23.25" customHeight="1">
      <c r="A29" s="468">
        <v>22</v>
      </c>
      <c r="B29" s="1705">
        <v>0</v>
      </c>
      <c r="C29" s="610"/>
      <c r="D29" s="575">
        <f t="shared" si="41"/>
        <v>100</v>
      </c>
      <c r="E29" s="1437">
        <v>0</v>
      </c>
      <c r="F29" s="1716">
        <v>0</v>
      </c>
      <c r="G29" s="2329">
        <v>0</v>
      </c>
      <c r="H29" s="1708">
        <v>0</v>
      </c>
      <c r="I29" s="578">
        <f t="shared" si="42"/>
        <v>0</v>
      </c>
      <c r="J29" s="650" t="s">
        <v>90</v>
      </c>
      <c r="K29" s="580">
        <f t="shared" si="43"/>
        <v>0</v>
      </c>
      <c r="L29" s="652" t="s">
        <v>234</v>
      </c>
      <c r="M29" s="582">
        <f t="shared" si="44"/>
        <v>10</v>
      </c>
      <c r="N29" s="1712">
        <v>0</v>
      </c>
      <c r="O29" s="740">
        <f t="shared" si="45"/>
        <v>0</v>
      </c>
      <c r="P29" s="738">
        <f t="shared" si="46"/>
        <v>0</v>
      </c>
      <c r="Q29" s="657">
        <f t="shared" si="47"/>
        <v>0</v>
      </c>
      <c r="R29" s="659">
        <f t="shared" si="48"/>
        <v>0</v>
      </c>
      <c r="S29" s="978"/>
      <c r="T29" s="1281">
        <f t="shared" si="49"/>
        <v>22</v>
      </c>
      <c r="U29" s="1281">
        <f t="shared" si="50"/>
        <v>0</v>
      </c>
      <c r="V29" s="1329"/>
      <c r="W29" s="1330" t="s">
        <v>795</v>
      </c>
      <c r="X29" s="1424">
        <v>0</v>
      </c>
      <c r="Y29" s="1033">
        <f>VLOOKUP(W29,Düngemittel!$B$6:$E$64,2,FALSE)*(VLOOKUP(W29,Düngemittel!$B$6:$E$64,3,FALSE))/100*X29</f>
        <v>0</v>
      </c>
      <c r="Z29" s="1033">
        <f>VLOOKUP(W29,Düngemittel!$B$6:$E$64,2,FALSE)*X29</f>
        <v>0</v>
      </c>
      <c r="AA29" s="1033">
        <f>VLOOKUP(W29,Düngemittel!$B$6:$E$64,4,FALSE)*X29</f>
        <v>0</v>
      </c>
      <c r="AB29" s="2324"/>
      <c r="AC29" s="1329"/>
      <c r="AD29" s="1330" t="s">
        <v>795</v>
      </c>
      <c r="AE29" s="1424">
        <v>0</v>
      </c>
      <c r="AF29" s="1033">
        <f>VLOOKUP(AD29,Düngemittel!$B$6:$E$64,2,FALSE)*(VLOOKUP(AD29,Düngemittel!$B$6:$E$64,3,FALSE))/100*AE29</f>
        <v>0</v>
      </c>
      <c r="AG29" s="1033">
        <f>VLOOKUP(AD29,Düngemittel!$B$6:$E$64,2,FALSE)*AE29</f>
        <v>0</v>
      </c>
      <c r="AH29" s="1033">
        <f>VLOOKUP(AD29,Düngemittel!$B$6:$E$64,4,FALSE)*AE29</f>
        <v>0</v>
      </c>
      <c r="AI29" s="2324"/>
      <c r="AJ29" s="1329"/>
      <c r="AK29" s="1330" t="s">
        <v>795</v>
      </c>
      <c r="AL29" s="1424">
        <v>0</v>
      </c>
      <c r="AM29" s="1033">
        <f>VLOOKUP(AK29,Düngemittel!$B$6:$E$64,2,FALSE)*(VLOOKUP(AK29,Düngemittel!$B$6:$E$64,3,FALSE))/100*AL29</f>
        <v>0</v>
      </c>
      <c r="AN29" s="1033">
        <f>VLOOKUP(AK29,Düngemittel!$B$6:$E$64,2,FALSE)*AL29</f>
        <v>0</v>
      </c>
      <c r="AO29" s="1033">
        <f>VLOOKUP(AK29,Düngemittel!$B$6:$E$64,4,FALSE)*AL29</f>
        <v>0</v>
      </c>
      <c r="AP29" s="2324"/>
      <c r="AQ29" s="1329"/>
      <c r="AR29" s="1330" t="s">
        <v>795</v>
      </c>
      <c r="AS29" s="1424">
        <v>0</v>
      </c>
      <c r="AT29" s="1033">
        <f>VLOOKUP(AR29,Düngemittel!$B$6:$E$64,2,FALSE)*(VLOOKUP(AR29,Düngemittel!$B$6:$E$64,3,FALSE))/100*AS29</f>
        <v>0</v>
      </c>
      <c r="AU29" s="1033">
        <f>VLOOKUP(AR29,Düngemittel!$B$6:$E$64,2,FALSE)*AS29</f>
        <v>0</v>
      </c>
      <c r="AV29" s="1033">
        <f>VLOOKUP(AR29,Düngemittel!$B$6:$E$64,4,FALSE)*AS29</f>
        <v>0</v>
      </c>
      <c r="AW29" s="2324"/>
      <c r="AX29" s="1329"/>
      <c r="AY29" s="1330" t="s">
        <v>795</v>
      </c>
      <c r="AZ29" s="1424">
        <v>0</v>
      </c>
      <c r="BA29" s="1033">
        <f>VLOOKUP(AY29,Düngemittel!$B$6:$E$64,2,FALSE)*(VLOOKUP(AY29,Düngemittel!$B$6:$E$64,3,FALSE))/100*AZ29</f>
        <v>0</v>
      </c>
      <c r="BB29" s="1033">
        <f>VLOOKUP(AY29,Düngemittel!$B$6:$E$64,2,FALSE)*AZ29</f>
        <v>0</v>
      </c>
      <c r="BC29" s="1033">
        <f>VLOOKUP(AY29,Düngemittel!$B$6:$E$64,4,FALSE)*AZ29</f>
        <v>0</v>
      </c>
      <c r="BD29" s="1475"/>
      <c r="BE29" s="1282">
        <f t="shared" si="11"/>
        <v>0</v>
      </c>
      <c r="BF29" s="2352">
        <f t="shared" si="12"/>
        <v>0</v>
      </c>
      <c r="BG29" s="1283">
        <f t="shared" si="13"/>
        <v>0</v>
      </c>
      <c r="BH29" s="1151">
        <f t="shared" si="14"/>
        <v>0</v>
      </c>
      <c r="BI29" s="2352">
        <f t="shared" si="15"/>
        <v>0</v>
      </c>
      <c r="BJ29" s="1152"/>
      <c r="BK29" s="1282">
        <f t="shared" si="51"/>
        <v>0</v>
      </c>
      <c r="BL29" s="1282">
        <f t="shared" si="52"/>
        <v>0</v>
      </c>
      <c r="BM29" s="1282">
        <f t="shared" si="53"/>
        <v>0</v>
      </c>
      <c r="BN29" s="1282">
        <f t="shared" si="54"/>
        <v>0</v>
      </c>
      <c r="BO29" s="1282">
        <f t="shared" si="55"/>
        <v>0</v>
      </c>
      <c r="BP29" s="1119"/>
      <c r="BQ29" s="1119"/>
      <c r="BR29" s="1512">
        <f t="shared" si="21"/>
        <v>22</v>
      </c>
      <c r="BS29" s="1513">
        <f t="shared" si="22"/>
        <v>0</v>
      </c>
      <c r="BT29" s="1438"/>
      <c r="BU29" s="1495"/>
      <c r="BV29" s="1437"/>
      <c r="BW29" s="1437"/>
      <c r="BX29" s="1437"/>
      <c r="BY29" s="1515">
        <f t="shared" si="56"/>
        <v>0</v>
      </c>
      <c r="BZ29" s="1438"/>
      <c r="CA29" s="1495"/>
      <c r="CB29" s="1437"/>
      <c r="CC29" s="1437"/>
      <c r="CD29" s="1437"/>
      <c r="CE29" s="1515">
        <f t="shared" si="57"/>
        <v>0</v>
      </c>
      <c r="CF29" s="1438"/>
      <c r="CG29" s="1495"/>
      <c r="CH29" s="1437"/>
      <c r="CI29" s="1437"/>
      <c r="CJ29" s="1437"/>
      <c r="CK29" s="1515">
        <f t="shared" si="58"/>
        <v>0</v>
      </c>
      <c r="CL29" s="1434"/>
    </row>
    <row r="30" spans="1:95" s="1421" customFormat="1" ht="23.25" customHeight="1">
      <c r="A30" s="468">
        <v>23</v>
      </c>
      <c r="B30" s="1705">
        <v>0</v>
      </c>
      <c r="C30" s="610"/>
      <c r="D30" s="575">
        <f t="shared" si="41"/>
        <v>100</v>
      </c>
      <c r="E30" s="1437">
        <v>0</v>
      </c>
      <c r="F30" s="1716">
        <v>0</v>
      </c>
      <c r="G30" s="2329">
        <v>0</v>
      </c>
      <c r="H30" s="1708">
        <v>0</v>
      </c>
      <c r="I30" s="578">
        <f t="shared" si="42"/>
        <v>0</v>
      </c>
      <c r="J30" s="650" t="s">
        <v>90</v>
      </c>
      <c r="K30" s="580">
        <f t="shared" si="43"/>
        <v>0</v>
      </c>
      <c r="L30" s="652" t="s">
        <v>234</v>
      </c>
      <c r="M30" s="582">
        <f t="shared" si="44"/>
        <v>10</v>
      </c>
      <c r="N30" s="1712">
        <v>0</v>
      </c>
      <c r="O30" s="740">
        <f t="shared" si="45"/>
        <v>0</v>
      </c>
      <c r="P30" s="738">
        <f t="shared" si="46"/>
        <v>0</v>
      </c>
      <c r="Q30" s="657">
        <f t="shared" si="47"/>
        <v>0</v>
      </c>
      <c r="R30" s="659">
        <f t="shared" si="48"/>
        <v>0</v>
      </c>
      <c r="S30" s="978"/>
      <c r="T30" s="1281">
        <f t="shared" si="49"/>
        <v>23</v>
      </c>
      <c r="U30" s="1281">
        <f t="shared" si="50"/>
        <v>0</v>
      </c>
      <c r="V30" s="1329"/>
      <c r="W30" s="1330" t="s">
        <v>795</v>
      </c>
      <c r="X30" s="1424">
        <v>0</v>
      </c>
      <c r="Y30" s="1033">
        <f>VLOOKUP(W30,Düngemittel!$B$6:$E$64,2,FALSE)*(VLOOKUP(W30,Düngemittel!$B$6:$E$64,3,FALSE))/100*X30</f>
        <v>0</v>
      </c>
      <c r="Z30" s="1033">
        <f>VLOOKUP(W30,Düngemittel!$B$6:$E$64,2,FALSE)*X30</f>
        <v>0</v>
      </c>
      <c r="AA30" s="1033">
        <f>VLOOKUP(W30,Düngemittel!$B$6:$E$64,4,FALSE)*X30</f>
        <v>0</v>
      </c>
      <c r="AB30" s="2324"/>
      <c r="AC30" s="1329"/>
      <c r="AD30" s="1330" t="s">
        <v>795</v>
      </c>
      <c r="AE30" s="1424">
        <v>0</v>
      </c>
      <c r="AF30" s="1033">
        <f>VLOOKUP(AD30,Düngemittel!$B$6:$E$64,2,FALSE)*(VLOOKUP(AD30,Düngemittel!$B$6:$E$64,3,FALSE))/100*AE30</f>
        <v>0</v>
      </c>
      <c r="AG30" s="1033">
        <f>VLOOKUP(AD30,Düngemittel!$B$6:$E$64,2,FALSE)*AE30</f>
        <v>0</v>
      </c>
      <c r="AH30" s="1033">
        <f>VLOOKUP(AD30,Düngemittel!$B$6:$E$64,4,FALSE)*AE30</f>
        <v>0</v>
      </c>
      <c r="AI30" s="2324"/>
      <c r="AJ30" s="1329"/>
      <c r="AK30" s="1330" t="s">
        <v>795</v>
      </c>
      <c r="AL30" s="1424">
        <v>0</v>
      </c>
      <c r="AM30" s="1033">
        <f>VLOOKUP(AK30,Düngemittel!$B$6:$E$64,2,FALSE)*(VLOOKUP(AK30,Düngemittel!$B$6:$E$64,3,FALSE))/100*AL30</f>
        <v>0</v>
      </c>
      <c r="AN30" s="1033">
        <f>VLOOKUP(AK30,Düngemittel!$B$6:$E$64,2,FALSE)*AL30</f>
        <v>0</v>
      </c>
      <c r="AO30" s="1033">
        <f>VLOOKUP(AK30,Düngemittel!$B$6:$E$64,4,FALSE)*AL30</f>
        <v>0</v>
      </c>
      <c r="AP30" s="2324"/>
      <c r="AQ30" s="1329"/>
      <c r="AR30" s="1330" t="s">
        <v>795</v>
      </c>
      <c r="AS30" s="1424">
        <v>0</v>
      </c>
      <c r="AT30" s="1033">
        <f>VLOOKUP(AR30,Düngemittel!$B$6:$E$64,2,FALSE)*(VLOOKUP(AR30,Düngemittel!$B$6:$E$64,3,FALSE))/100*AS30</f>
        <v>0</v>
      </c>
      <c r="AU30" s="1033">
        <f>VLOOKUP(AR30,Düngemittel!$B$6:$E$64,2,FALSE)*AS30</f>
        <v>0</v>
      </c>
      <c r="AV30" s="1033">
        <f>VLOOKUP(AR30,Düngemittel!$B$6:$E$64,4,FALSE)*AS30</f>
        <v>0</v>
      </c>
      <c r="AW30" s="2324"/>
      <c r="AX30" s="1329"/>
      <c r="AY30" s="1330" t="s">
        <v>795</v>
      </c>
      <c r="AZ30" s="1424">
        <v>0</v>
      </c>
      <c r="BA30" s="1033">
        <f>VLOOKUP(AY30,Düngemittel!$B$6:$E$64,2,FALSE)*(VLOOKUP(AY30,Düngemittel!$B$6:$E$64,3,FALSE))/100*AZ30</f>
        <v>0</v>
      </c>
      <c r="BB30" s="1033">
        <f>VLOOKUP(AY30,Düngemittel!$B$6:$E$64,2,FALSE)*AZ30</f>
        <v>0</v>
      </c>
      <c r="BC30" s="1033">
        <f>VLOOKUP(AY30,Düngemittel!$B$6:$E$64,4,FALSE)*AZ30</f>
        <v>0</v>
      </c>
      <c r="BD30" s="1475"/>
      <c r="BE30" s="1282">
        <f t="shared" si="11"/>
        <v>0</v>
      </c>
      <c r="BF30" s="2352">
        <f t="shared" si="12"/>
        <v>0</v>
      </c>
      <c r="BG30" s="1283">
        <f t="shared" si="13"/>
        <v>0</v>
      </c>
      <c r="BH30" s="1151">
        <f t="shared" si="14"/>
        <v>0</v>
      </c>
      <c r="BI30" s="2352">
        <f t="shared" si="15"/>
        <v>0</v>
      </c>
      <c r="BJ30" s="1152"/>
      <c r="BK30" s="1282">
        <f t="shared" si="51"/>
        <v>0</v>
      </c>
      <c r="BL30" s="1282">
        <f t="shared" si="52"/>
        <v>0</v>
      </c>
      <c r="BM30" s="1282">
        <f t="shared" si="53"/>
        <v>0</v>
      </c>
      <c r="BN30" s="1282">
        <f t="shared" si="54"/>
        <v>0</v>
      </c>
      <c r="BO30" s="1282">
        <f t="shared" si="55"/>
        <v>0</v>
      </c>
      <c r="BP30" s="1119"/>
      <c r="BQ30" s="1119"/>
      <c r="BR30" s="1512">
        <f t="shared" si="21"/>
        <v>23</v>
      </c>
      <c r="BS30" s="1513">
        <f t="shared" si="22"/>
        <v>0</v>
      </c>
      <c r="BT30" s="1438"/>
      <c r="BU30" s="1495"/>
      <c r="BV30" s="1437"/>
      <c r="BW30" s="1437"/>
      <c r="BX30" s="1437"/>
      <c r="BY30" s="1515">
        <f t="shared" si="56"/>
        <v>0</v>
      </c>
      <c r="BZ30" s="1438"/>
      <c r="CA30" s="1495"/>
      <c r="CB30" s="1437"/>
      <c r="CC30" s="1437"/>
      <c r="CD30" s="1437"/>
      <c r="CE30" s="1515">
        <f t="shared" si="57"/>
        <v>0</v>
      </c>
      <c r="CF30" s="1438"/>
      <c r="CG30" s="1495"/>
      <c r="CH30" s="1437"/>
      <c r="CI30" s="1437"/>
      <c r="CJ30" s="1437"/>
      <c r="CK30" s="1515">
        <f t="shared" si="58"/>
        <v>0</v>
      </c>
      <c r="CL30" s="1434"/>
    </row>
    <row r="31" spans="1:95" s="1421" customFormat="1" ht="23.25" customHeight="1">
      <c r="A31" s="468">
        <v>24</v>
      </c>
      <c r="B31" s="1705">
        <v>0</v>
      </c>
      <c r="C31" s="610"/>
      <c r="D31" s="575">
        <f t="shared" si="41"/>
        <v>100</v>
      </c>
      <c r="E31" s="1437">
        <v>0</v>
      </c>
      <c r="F31" s="1716">
        <v>0</v>
      </c>
      <c r="G31" s="2329">
        <v>0</v>
      </c>
      <c r="H31" s="1708">
        <v>0</v>
      </c>
      <c r="I31" s="578">
        <f t="shared" si="42"/>
        <v>0</v>
      </c>
      <c r="J31" s="650" t="s">
        <v>90</v>
      </c>
      <c r="K31" s="580">
        <f t="shared" si="43"/>
        <v>0</v>
      </c>
      <c r="L31" s="652" t="s">
        <v>234</v>
      </c>
      <c r="M31" s="582">
        <f t="shared" si="44"/>
        <v>10</v>
      </c>
      <c r="N31" s="1712">
        <v>0</v>
      </c>
      <c r="O31" s="740">
        <f t="shared" si="45"/>
        <v>0</v>
      </c>
      <c r="P31" s="738">
        <f t="shared" si="46"/>
        <v>0</v>
      </c>
      <c r="Q31" s="657">
        <f t="shared" si="47"/>
        <v>0</v>
      </c>
      <c r="R31" s="659">
        <f t="shared" si="48"/>
        <v>0</v>
      </c>
      <c r="S31" s="978"/>
      <c r="T31" s="1281">
        <f t="shared" si="49"/>
        <v>24</v>
      </c>
      <c r="U31" s="1281">
        <f t="shared" si="50"/>
        <v>0</v>
      </c>
      <c r="V31" s="1329"/>
      <c r="W31" s="1330" t="s">
        <v>795</v>
      </c>
      <c r="X31" s="1424">
        <v>0</v>
      </c>
      <c r="Y31" s="1033">
        <f>VLOOKUP(W31,Düngemittel!$B$6:$E$64,2,FALSE)*(VLOOKUP(W31,Düngemittel!$B$6:$E$64,3,FALSE))/100*X31</f>
        <v>0</v>
      </c>
      <c r="Z31" s="1033">
        <f>VLOOKUP(W31,Düngemittel!$B$6:$E$64,2,FALSE)*X31</f>
        <v>0</v>
      </c>
      <c r="AA31" s="1033">
        <f>VLOOKUP(W31,Düngemittel!$B$6:$E$64,4,FALSE)*X31</f>
        <v>0</v>
      </c>
      <c r="AB31" s="2324"/>
      <c r="AC31" s="1329"/>
      <c r="AD31" s="1330" t="s">
        <v>795</v>
      </c>
      <c r="AE31" s="1424">
        <v>0</v>
      </c>
      <c r="AF31" s="1033">
        <f>VLOOKUP(AD31,Düngemittel!$B$6:$E$64,2,FALSE)*(VLOOKUP(AD31,Düngemittel!$B$6:$E$64,3,FALSE))/100*AE31</f>
        <v>0</v>
      </c>
      <c r="AG31" s="1033">
        <f>VLOOKUP(AD31,Düngemittel!$B$6:$E$64,2,FALSE)*AE31</f>
        <v>0</v>
      </c>
      <c r="AH31" s="1033">
        <f>VLOOKUP(AD31,Düngemittel!$B$6:$E$64,4,FALSE)*AE31</f>
        <v>0</v>
      </c>
      <c r="AI31" s="2324"/>
      <c r="AJ31" s="1329"/>
      <c r="AK31" s="1330" t="s">
        <v>795</v>
      </c>
      <c r="AL31" s="1424">
        <v>0</v>
      </c>
      <c r="AM31" s="1033">
        <f>VLOOKUP(AK31,Düngemittel!$B$6:$E$64,2,FALSE)*(VLOOKUP(AK31,Düngemittel!$B$6:$E$64,3,FALSE))/100*AL31</f>
        <v>0</v>
      </c>
      <c r="AN31" s="1033">
        <f>VLOOKUP(AK31,Düngemittel!$B$6:$E$64,2,FALSE)*AL31</f>
        <v>0</v>
      </c>
      <c r="AO31" s="1033">
        <f>VLOOKUP(AK31,Düngemittel!$B$6:$E$64,4,FALSE)*AL31</f>
        <v>0</v>
      </c>
      <c r="AP31" s="2324"/>
      <c r="AQ31" s="1329"/>
      <c r="AR31" s="1330" t="s">
        <v>795</v>
      </c>
      <c r="AS31" s="1424">
        <v>0</v>
      </c>
      <c r="AT31" s="1033">
        <f>VLOOKUP(AR31,Düngemittel!$B$6:$E$64,2,FALSE)*(VLOOKUP(AR31,Düngemittel!$B$6:$E$64,3,FALSE))/100*AS31</f>
        <v>0</v>
      </c>
      <c r="AU31" s="1033">
        <f>VLOOKUP(AR31,Düngemittel!$B$6:$E$64,2,FALSE)*AS31</f>
        <v>0</v>
      </c>
      <c r="AV31" s="1033">
        <f>VLOOKUP(AR31,Düngemittel!$B$6:$E$64,4,FALSE)*AS31</f>
        <v>0</v>
      </c>
      <c r="AW31" s="2324"/>
      <c r="AX31" s="1329"/>
      <c r="AY31" s="1330" t="s">
        <v>795</v>
      </c>
      <c r="AZ31" s="1424">
        <v>0</v>
      </c>
      <c r="BA31" s="1033">
        <f>VLOOKUP(AY31,Düngemittel!$B$6:$E$64,2,FALSE)*(VLOOKUP(AY31,Düngemittel!$B$6:$E$64,3,FALSE))/100*AZ31</f>
        <v>0</v>
      </c>
      <c r="BB31" s="1033">
        <f>VLOOKUP(AY31,Düngemittel!$B$6:$E$64,2,FALSE)*AZ31</f>
        <v>0</v>
      </c>
      <c r="BC31" s="1033">
        <f>VLOOKUP(AY31,Düngemittel!$B$6:$E$64,4,FALSE)*AZ31</f>
        <v>0</v>
      </c>
      <c r="BD31" s="1475"/>
      <c r="BE31" s="1282">
        <f t="shared" si="11"/>
        <v>0</v>
      </c>
      <c r="BF31" s="2352">
        <f t="shared" si="12"/>
        <v>0</v>
      </c>
      <c r="BG31" s="1283">
        <f t="shared" si="13"/>
        <v>0</v>
      </c>
      <c r="BH31" s="1151">
        <f t="shared" si="14"/>
        <v>0</v>
      </c>
      <c r="BI31" s="2352">
        <f t="shared" si="15"/>
        <v>0</v>
      </c>
      <c r="BJ31" s="1152"/>
      <c r="BK31" s="1282">
        <f t="shared" si="51"/>
        <v>0</v>
      </c>
      <c r="BL31" s="1282">
        <f t="shared" si="52"/>
        <v>0</v>
      </c>
      <c r="BM31" s="1282">
        <f t="shared" si="53"/>
        <v>0</v>
      </c>
      <c r="BN31" s="1282">
        <f t="shared" si="54"/>
        <v>0</v>
      </c>
      <c r="BO31" s="1282">
        <f t="shared" si="55"/>
        <v>0</v>
      </c>
      <c r="BP31" s="1119"/>
      <c r="BQ31" s="1119"/>
      <c r="BR31" s="1512">
        <f t="shared" si="21"/>
        <v>24</v>
      </c>
      <c r="BS31" s="1513">
        <f t="shared" si="22"/>
        <v>0</v>
      </c>
      <c r="BT31" s="1438"/>
      <c r="BU31" s="1495"/>
      <c r="BV31" s="1437"/>
      <c r="BW31" s="1437"/>
      <c r="BX31" s="1437"/>
      <c r="BY31" s="1515">
        <f t="shared" si="56"/>
        <v>0</v>
      </c>
      <c r="BZ31" s="1438"/>
      <c r="CA31" s="1495"/>
      <c r="CB31" s="1437"/>
      <c r="CC31" s="1437"/>
      <c r="CD31" s="1437"/>
      <c r="CE31" s="1515">
        <f t="shared" si="57"/>
        <v>0</v>
      </c>
      <c r="CF31" s="1438"/>
      <c r="CG31" s="1495"/>
      <c r="CH31" s="1437"/>
      <c r="CI31" s="1437"/>
      <c r="CJ31" s="1437"/>
      <c r="CK31" s="1515">
        <f t="shared" si="58"/>
        <v>0</v>
      </c>
      <c r="CL31" s="1434"/>
    </row>
    <row r="32" spans="1:95" s="1421" customFormat="1" ht="23.25" customHeight="1">
      <c r="A32" s="468">
        <v>25</v>
      </c>
      <c r="B32" s="1705">
        <v>0</v>
      </c>
      <c r="C32" s="610"/>
      <c r="D32" s="575">
        <f t="shared" si="41"/>
        <v>100</v>
      </c>
      <c r="E32" s="1437">
        <v>0</v>
      </c>
      <c r="F32" s="1716">
        <v>0</v>
      </c>
      <c r="G32" s="2329">
        <v>0</v>
      </c>
      <c r="H32" s="1708">
        <v>0</v>
      </c>
      <c r="I32" s="578">
        <f t="shared" si="42"/>
        <v>0</v>
      </c>
      <c r="J32" s="650" t="s">
        <v>90</v>
      </c>
      <c r="K32" s="580">
        <f t="shared" si="43"/>
        <v>0</v>
      </c>
      <c r="L32" s="652" t="s">
        <v>234</v>
      </c>
      <c r="M32" s="582">
        <f t="shared" si="44"/>
        <v>10</v>
      </c>
      <c r="N32" s="1712">
        <v>0</v>
      </c>
      <c r="O32" s="740">
        <f t="shared" si="45"/>
        <v>0</v>
      </c>
      <c r="P32" s="738">
        <f t="shared" si="46"/>
        <v>0</v>
      </c>
      <c r="Q32" s="657">
        <f t="shared" si="47"/>
        <v>0</v>
      </c>
      <c r="R32" s="659">
        <f t="shared" si="48"/>
        <v>0</v>
      </c>
      <c r="S32" s="978"/>
      <c r="T32" s="1281">
        <f t="shared" si="49"/>
        <v>25</v>
      </c>
      <c r="U32" s="1281">
        <f t="shared" si="50"/>
        <v>0</v>
      </c>
      <c r="V32" s="1329"/>
      <c r="W32" s="1330" t="s">
        <v>795</v>
      </c>
      <c r="X32" s="1424">
        <v>0</v>
      </c>
      <c r="Y32" s="1033">
        <f>VLOOKUP(W32,Düngemittel!$B$6:$E$64,2,FALSE)*(VLOOKUP(W32,Düngemittel!$B$6:$E$64,3,FALSE))/100*X32</f>
        <v>0</v>
      </c>
      <c r="Z32" s="1033">
        <f>VLOOKUP(W32,Düngemittel!$B$6:$E$64,2,FALSE)*X32</f>
        <v>0</v>
      </c>
      <c r="AA32" s="1033">
        <f>VLOOKUP(W32,Düngemittel!$B$6:$E$64,4,FALSE)*X32</f>
        <v>0</v>
      </c>
      <c r="AB32" s="2324"/>
      <c r="AC32" s="1329"/>
      <c r="AD32" s="1330" t="s">
        <v>795</v>
      </c>
      <c r="AE32" s="1424">
        <v>0</v>
      </c>
      <c r="AF32" s="1033">
        <f>VLOOKUP(AD32,Düngemittel!$B$6:$E$64,2,FALSE)*(VLOOKUP(AD32,Düngemittel!$B$6:$E$64,3,FALSE))/100*AE32</f>
        <v>0</v>
      </c>
      <c r="AG32" s="1033">
        <f>VLOOKUP(AD32,Düngemittel!$B$6:$E$64,2,FALSE)*AE32</f>
        <v>0</v>
      </c>
      <c r="AH32" s="1033">
        <f>VLOOKUP(AD32,Düngemittel!$B$6:$E$64,4,FALSE)*AE32</f>
        <v>0</v>
      </c>
      <c r="AI32" s="2324"/>
      <c r="AJ32" s="1329"/>
      <c r="AK32" s="1330" t="s">
        <v>795</v>
      </c>
      <c r="AL32" s="1424">
        <v>0</v>
      </c>
      <c r="AM32" s="1033">
        <f>VLOOKUP(AK32,Düngemittel!$B$6:$E$64,2,FALSE)*(VLOOKUP(AK32,Düngemittel!$B$6:$E$64,3,FALSE))/100*AL32</f>
        <v>0</v>
      </c>
      <c r="AN32" s="1033">
        <f>VLOOKUP(AK32,Düngemittel!$B$6:$E$64,2,FALSE)*AL32</f>
        <v>0</v>
      </c>
      <c r="AO32" s="1033">
        <f>VLOOKUP(AK32,Düngemittel!$B$6:$E$64,4,FALSE)*AL32</f>
        <v>0</v>
      </c>
      <c r="AP32" s="2324"/>
      <c r="AQ32" s="1329"/>
      <c r="AR32" s="1330" t="s">
        <v>795</v>
      </c>
      <c r="AS32" s="1424">
        <v>0</v>
      </c>
      <c r="AT32" s="1033">
        <f>VLOOKUP(AR32,Düngemittel!$B$6:$E$64,2,FALSE)*(VLOOKUP(AR32,Düngemittel!$B$6:$E$64,3,FALSE))/100*AS32</f>
        <v>0</v>
      </c>
      <c r="AU32" s="1033">
        <f>VLOOKUP(AR32,Düngemittel!$B$6:$E$64,2,FALSE)*AS32</f>
        <v>0</v>
      </c>
      <c r="AV32" s="1033">
        <f>VLOOKUP(AR32,Düngemittel!$B$6:$E$64,4,FALSE)*AS32</f>
        <v>0</v>
      </c>
      <c r="AW32" s="2324"/>
      <c r="AX32" s="1329"/>
      <c r="AY32" s="1330" t="s">
        <v>795</v>
      </c>
      <c r="AZ32" s="1424">
        <v>0</v>
      </c>
      <c r="BA32" s="1033">
        <f>VLOOKUP(AY32,Düngemittel!$B$6:$E$64,2,FALSE)*(VLOOKUP(AY32,Düngemittel!$B$6:$E$64,3,FALSE))/100*AZ32</f>
        <v>0</v>
      </c>
      <c r="BB32" s="1033">
        <f>VLOOKUP(AY32,Düngemittel!$B$6:$E$64,2,FALSE)*AZ32</f>
        <v>0</v>
      </c>
      <c r="BC32" s="1033">
        <f>VLOOKUP(AY32,Düngemittel!$B$6:$E$64,4,FALSE)*AZ32</f>
        <v>0</v>
      </c>
      <c r="BD32" s="1475"/>
      <c r="BE32" s="1282">
        <f t="shared" si="11"/>
        <v>0</v>
      </c>
      <c r="BF32" s="2352">
        <f t="shared" si="12"/>
        <v>0</v>
      </c>
      <c r="BG32" s="1283">
        <f t="shared" si="13"/>
        <v>0</v>
      </c>
      <c r="BH32" s="1151">
        <f t="shared" si="14"/>
        <v>0</v>
      </c>
      <c r="BI32" s="2352">
        <f t="shared" si="15"/>
        <v>0</v>
      </c>
      <c r="BJ32" s="1152"/>
      <c r="BK32" s="1282">
        <f t="shared" si="51"/>
        <v>0</v>
      </c>
      <c r="BL32" s="1282">
        <f t="shared" si="52"/>
        <v>0</v>
      </c>
      <c r="BM32" s="1282">
        <f t="shared" si="53"/>
        <v>0</v>
      </c>
      <c r="BN32" s="1282">
        <f t="shared" si="54"/>
        <v>0</v>
      </c>
      <c r="BO32" s="1282">
        <f t="shared" si="55"/>
        <v>0</v>
      </c>
      <c r="BP32" s="1119"/>
      <c r="BQ32" s="1119"/>
      <c r="BR32" s="1512">
        <f t="shared" si="21"/>
        <v>25</v>
      </c>
      <c r="BS32" s="1513">
        <f t="shared" si="22"/>
        <v>0</v>
      </c>
      <c r="BT32" s="1438"/>
      <c r="BU32" s="1495"/>
      <c r="BV32" s="1437"/>
      <c r="BW32" s="1437"/>
      <c r="BX32" s="1437"/>
      <c r="BY32" s="1515">
        <f t="shared" si="56"/>
        <v>0</v>
      </c>
      <c r="BZ32" s="1438"/>
      <c r="CA32" s="1495"/>
      <c r="CB32" s="1437"/>
      <c r="CC32" s="1437"/>
      <c r="CD32" s="1437"/>
      <c r="CE32" s="1515">
        <f t="shared" si="57"/>
        <v>0</v>
      </c>
      <c r="CF32" s="1438"/>
      <c r="CG32" s="1495"/>
      <c r="CH32" s="1437"/>
      <c r="CI32" s="1437"/>
      <c r="CJ32" s="1437"/>
      <c r="CK32" s="1515">
        <f t="shared" si="58"/>
        <v>0</v>
      </c>
      <c r="CL32" s="1434"/>
    </row>
    <row r="33" spans="1:94" s="1421" customFormat="1" ht="23.25" customHeight="1">
      <c r="A33" s="468">
        <v>26</v>
      </c>
      <c r="B33" s="1705">
        <v>0</v>
      </c>
      <c r="C33" s="610"/>
      <c r="D33" s="575">
        <f t="shared" si="41"/>
        <v>100</v>
      </c>
      <c r="E33" s="1437">
        <v>0</v>
      </c>
      <c r="F33" s="1716">
        <v>0</v>
      </c>
      <c r="G33" s="2329">
        <v>0</v>
      </c>
      <c r="H33" s="1708">
        <v>0</v>
      </c>
      <c r="I33" s="578">
        <f t="shared" si="42"/>
        <v>0</v>
      </c>
      <c r="J33" s="650" t="s">
        <v>90</v>
      </c>
      <c r="K33" s="580">
        <f t="shared" si="43"/>
        <v>0</v>
      </c>
      <c r="L33" s="652" t="s">
        <v>234</v>
      </c>
      <c r="M33" s="582">
        <f t="shared" si="44"/>
        <v>10</v>
      </c>
      <c r="N33" s="1712">
        <v>0</v>
      </c>
      <c r="O33" s="740">
        <f t="shared" si="45"/>
        <v>0</v>
      </c>
      <c r="P33" s="738">
        <f t="shared" si="46"/>
        <v>0</v>
      </c>
      <c r="Q33" s="657">
        <f t="shared" si="47"/>
        <v>0</v>
      </c>
      <c r="R33" s="659">
        <f t="shared" si="48"/>
        <v>0</v>
      </c>
      <c r="S33" s="978"/>
      <c r="T33" s="1281">
        <f t="shared" si="49"/>
        <v>26</v>
      </c>
      <c r="U33" s="1281">
        <f t="shared" si="50"/>
        <v>0</v>
      </c>
      <c r="V33" s="1329"/>
      <c r="W33" s="1330" t="s">
        <v>795</v>
      </c>
      <c r="X33" s="1424">
        <v>0</v>
      </c>
      <c r="Y33" s="1033">
        <f>VLOOKUP(W33,Düngemittel!$B$6:$E$64,2,FALSE)*(VLOOKUP(W33,Düngemittel!$B$6:$E$64,3,FALSE))/100*X33</f>
        <v>0</v>
      </c>
      <c r="Z33" s="1033">
        <f>VLOOKUP(W33,Düngemittel!$B$6:$E$64,2,FALSE)*X33</f>
        <v>0</v>
      </c>
      <c r="AA33" s="1033">
        <f>VLOOKUP(W33,Düngemittel!$B$6:$E$64,4,FALSE)*X33</f>
        <v>0</v>
      </c>
      <c r="AB33" s="2324"/>
      <c r="AC33" s="1329"/>
      <c r="AD33" s="1330" t="s">
        <v>795</v>
      </c>
      <c r="AE33" s="1424">
        <v>0</v>
      </c>
      <c r="AF33" s="1033">
        <f>VLOOKUP(AD33,Düngemittel!$B$6:$E$64,2,FALSE)*(VLOOKUP(AD33,Düngemittel!$B$6:$E$64,3,FALSE))/100*AE33</f>
        <v>0</v>
      </c>
      <c r="AG33" s="1033">
        <f>VLOOKUP(AD33,Düngemittel!$B$6:$E$64,2,FALSE)*AE33</f>
        <v>0</v>
      </c>
      <c r="AH33" s="1033">
        <f>VLOOKUP(AD33,Düngemittel!$B$6:$E$64,4,FALSE)*AE33</f>
        <v>0</v>
      </c>
      <c r="AI33" s="2324"/>
      <c r="AJ33" s="1329"/>
      <c r="AK33" s="1330" t="s">
        <v>795</v>
      </c>
      <c r="AL33" s="1424">
        <v>0</v>
      </c>
      <c r="AM33" s="1033">
        <f>VLOOKUP(AK33,Düngemittel!$B$6:$E$64,2,FALSE)*(VLOOKUP(AK33,Düngemittel!$B$6:$E$64,3,FALSE))/100*AL33</f>
        <v>0</v>
      </c>
      <c r="AN33" s="1033">
        <f>VLOOKUP(AK33,Düngemittel!$B$6:$E$64,2,FALSE)*AL33</f>
        <v>0</v>
      </c>
      <c r="AO33" s="1033">
        <f>VLOOKUP(AK33,Düngemittel!$B$6:$E$64,4,FALSE)*AL33</f>
        <v>0</v>
      </c>
      <c r="AP33" s="2324"/>
      <c r="AQ33" s="1329"/>
      <c r="AR33" s="1330" t="s">
        <v>795</v>
      </c>
      <c r="AS33" s="1424">
        <v>0</v>
      </c>
      <c r="AT33" s="1033">
        <f>VLOOKUP(AR33,Düngemittel!$B$6:$E$64,2,FALSE)*(VLOOKUP(AR33,Düngemittel!$B$6:$E$64,3,FALSE))/100*AS33</f>
        <v>0</v>
      </c>
      <c r="AU33" s="1033">
        <f>VLOOKUP(AR33,Düngemittel!$B$6:$E$64,2,FALSE)*AS33</f>
        <v>0</v>
      </c>
      <c r="AV33" s="1033">
        <f>VLOOKUP(AR33,Düngemittel!$B$6:$E$64,4,FALSE)*AS33</f>
        <v>0</v>
      </c>
      <c r="AW33" s="2324"/>
      <c r="AX33" s="1329"/>
      <c r="AY33" s="1330" t="s">
        <v>795</v>
      </c>
      <c r="AZ33" s="1424">
        <v>0</v>
      </c>
      <c r="BA33" s="1033">
        <f>VLOOKUP(AY33,Düngemittel!$B$6:$E$64,2,FALSE)*(VLOOKUP(AY33,Düngemittel!$B$6:$E$64,3,FALSE))/100*AZ33</f>
        <v>0</v>
      </c>
      <c r="BB33" s="1033">
        <f>VLOOKUP(AY33,Düngemittel!$B$6:$E$64,2,FALSE)*AZ33</f>
        <v>0</v>
      </c>
      <c r="BC33" s="1033">
        <f>VLOOKUP(AY33,Düngemittel!$B$6:$E$64,4,FALSE)*AZ33</f>
        <v>0</v>
      </c>
      <c r="BD33" s="1475"/>
      <c r="BE33" s="1282">
        <f t="shared" si="11"/>
        <v>0</v>
      </c>
      <c r="BF33" s="2352">
        <f t="shared" si="12"/>
        <v>0</v>
      </c>
      <c r="BG33" s="1283">
        <f t="shared" si="13"/>
        <v>0</v>
      </c>
      <c r="BH33" s="1151">
        <f t="shared" si="14"/>
        <v>0</v>
      </c>
      <c r="BI33" s="2352">
        <f t="shared" si="15"/>
        <v>0</v>
      </c>
      <c r="BJ33" s="1152"/>
      <c r="BK33" s="1282">
        <f t="shared" si="51"/>
        <v>0</v>
      </c>
      <c r="BL33" s="1282">
        <f t="shared" si="52"/>
        <v>0</v>
      </c>
      <c r="BM33" s="1282">
        <f t="shared" si="53"/>
        <v>0</v>
      </c>
      <c r="BN33" s="1282">
        <f t="shared" si="54"/>
        <v>0</v>
      </c>
      <c r="BO33" s="1282">
        <f t="shared" si="55"/>
        <v>0</v>
      </c>
      <c r="BP33" s="1119"/>
      <c r="BQ33" s="1119"/>
      <c r="BR33" s="1512">
        <f t="shared" si="21"/>
        <v>26</v>
      </c>
      <c r="BS33" s="1513">
        <f t="shared" si="22"/>
        <v>0</v>
      </c>
      <c r="BT33" s="1438"/>
      <c r="BU33" s="1495"/>
      <c r="BV33" s="1437"/>
      <c r="BW33" s="1437"/>
      <c r="BX33" s="1437"/>
      <c r="BY33" s="1515">
        <f t="shared" si="56"/>
        <v>0</v>
      </c>
      <c r="BZ33" s="1438"/>
      <c r="CA33" s="1495"/>
      <c r="CB33" s="1437"/>
      <c r="CC33" s="1437"/>
      <c r="CD33" s="1437"/>
      <c r="CE33" s="1515">
        <f t="shared" si="57"/>
        <v>0</v>
      </c>
      <c r="CF33" s="1438"/>
      <c r="CG33" s="1495"/>
      <c r="CH33" s="1437"/>
      <c r="CI33" s="1437"/>
      <c r="CJ33" s="1437"/>
      <c r="CK33" s="1515">
        <f t="shared" si="58"/>
        <v>0</v>
      </c>
      <c r="CL33" s="1434"/>
    </row>
    <row r="34" spans="1:94" s="1421" customFormat="1" ht="23.25" customHeight="1">
      <c r="A34" s="468">
        <v>27</v>
      </c>
      <c r="B34" s="1705">
        <v>0</v>
      </c>
      <c r="C34" s="610"/>
      <c r="D34" s="575">
        <f t="shared" si="41"/>
        <v>100</v>
      </c>
      <c r="E34" s="1437">
        <v>0</v>
      </c>
      <c r="F34" s="1716">
        <v>0</v>
      </c>
      <c r="G34" s="2329">
        <v>0</v>
      </c>
      <c r="H34" s="1708">
        <v>0</v>
      </c>
      <c r="I34" s="578">
        <f t="shared" si="42"/>
        <v>0</v>
      </c>
      <c r="J34" s="650" t="s">
        <v>90</v>
      </c>
      <c r="K34" s="580">
        <f t="shared" si="43"/>
        <v>0</v>
      </c>
      <c r="L34" s="652" t="s">
        <v>234</v>
      </c>
      <c r="M34" s="582">
        <f t="shared" si="44"/>
        <v>10</v>
      </c>
      <c r="N34" s="1712">
        <v>0</v>
      </c>
      <c r="O34" s="740">
        <f t="shared" si="45"/>
        <v>0</v>
      </c>
      <c r="P34" s="738">
        <f t="shared" si="46"/>
        <v>0</v>
      </c>
      <c r="Q34" s="657">
        <f t="shared" si="47"/>
        <v>0</v>
      </c>
      <c r="R34" s="659">
        <f t="shared" si="48"/>
        <v>0</v>
      </c>
      <c r="S34" s="978"/>
      <c r="T34" s="1281">
        <f t="shared" si="49"/>
        <v>27</v>
      </c>
      <c r="U34" s="1281">
        <f t="shared" si="50"/>
        <v>0</v>
      </c>
      <c r="V34" s="1329"/>
      <c r="W34" s="1330" t="s">
        <v>795</v>
      </c>
      <c r="X34" s="1424">
        <v>0</v>
      </c>
      <c r="Y34" s="1033">
        <f>VLOOKUP(W34,Düngemittel!$B$6:$E$64,2,FALSE)*(VLOOKUP(W34,Düngemittel!$B$6:$E$64,3,FALSE))/100*X34</f>
        <v>0</v>
      </c>
      <c r="Z34" s="1033">
        <f>VLOOKUP(W34,Düngemittel!$B$6:$E$64,2,FALSE)*X34</f>
        <v>0</v>
      </c>
      <c r="AA34" s="1033">
        <f>VLOOKUP(W34,Düngemittel!$B$6:$E$64,4,FALSE)*X34</f>
        <v>0</v>
      </c>
      <c r="AB34" s="2324"/>
      <c r="AC34" s="1329"/>
      <c r="AD34" s="1330" t="s">
        <v>795</v>
      </c>
      <c r="AE34" s="1424">
        <v>0</v>
      </c>
      <c r="AF34" s="1033">
        <f>VLOOKUP(AD34,Düngemittel!$B$6:$E$64,2,FALSE)*(VLOOKUP(AD34,Düngemittel!$B$6:$E$64,3,FALSE))/100*AE34</f>
        <v>0</v>
      </c>
      <c r="AG34" s="1033">
        <f>VLOOKUP(AD34,Düngemittel!$B$6:$E$64,2,FALSE)*AE34</f>
        <v>0</v>
      </c>
      <c r="AH34" s="1033">
        <f>VLOOKUP(AD34,Düngemittel!$B$6:$E$64,4,FALSE)*AE34</f>
        <v>0</v>
      </c>
      <c r="AI34" s="2324"/>
      <c r="AJ34" s="1329"/>
      <c r="AK34" s="1330" t="s">
        <v>795</v>
      </c>
      <c r="AL34" s="1424">
        <v>0</v>
      </c>
      <c r="AM34" s="1033">
        <f>VLOOKUP(AK34,Düngemittel!$B$6:$E$64,2,FALSE)*(VLOOKUP(AK34,Düngemittel!$B$6:$E$64,3,FALSE))/100*AL34</f>
        <v>0</v>
      </c>
      <c r="AN34" s="1033">
        <f>VLOOKUP(AK34,Düngemittel!$B$6:$E$64,2,FALSE)*AL34</f>
        <v>0</v>
      </c>
      <c r="AO34" s="1033">
        <f>VLOOKUP(AK34,Düngemittel!$B$6:$E$64,4,FALSE)*AL34</f>
        <v>0</v>
      </c>
      <c r="AP34" s="2324"/>
      <c r="AQ34" s="1329"/>
      <c r="AR34" s="1330" t="s">
        <v>795</v>
      </c>
      <c r="AS34" s="1424">
        <v>0</v>
      </c>
      <c r="AT34" s="1033">
        <f>VLOOKUP(AR34,Düngemittel!$B$6:$E$64,2,FALSE)*(VLOOKUP(AR34,Düngemittel!$B$6:$E$64,3,FALSE))/100*AS34</f>
        <v>0</v>
      </c>
      <c r="AU34" s="1033">
        <f>VLOOKUP(AR34,Düngemittel!$B$6:$E$64,2,FALSE)*AS34</f>
        <v>0</v>
      </c>
      <c r="AV34" s="1033">
        <f>VLOOKUP(AR34,Düngemittel!$B$6:$E$64,4,FALSE)*AS34</f>
        <v>0</v>
      </c>
      <c r="AW34" s="2324"/>
      <c r="AX34" s="1329"/>
      <c r="AY34" s="1330" t="s">
        <v>795</v>
      </c>
      <c r="AZ34" s="1424">
        <v>0</v>
      </c>
      <c r="BA34" s="1033">
        <f>VLOOKUP(AY34,Düngemittel!$B$6:$E$64,2,FALSE)*(VLOOKUP(AY34,Düngemittel!$B$6:$E$64,3,FALSE))/100*AZ34</f>
        <v>0</v>
      </c>
      <c r="BB34" s="1033">
        <f>VLOOKUP(AY34,Düngemittel!$B$6:$E$64,2,FALSE)*AZ34</f>
        <v>0</v>
      </c>
      <c r="BC34" s="1033">
        <f>VLOOKUP(AY34,Düngemittel!$B$6:$E$64,4,FALSE)*AZ34</f>
        <v>0</v>
      </c>
      <c r="BD34" s="1475"/>
      <c r="BE34" s="1282">
        <f t="shared" si="11"/>
        <v>0</v>
      </c>
      <c r="BF34" s="2352">
        <f t="shared" si="12"/>
        <v>0</v>
      </c>
      <c r="BG34" s="1283">
        <f t="shared" si="13"/>
        <v>0</v>
      </c>
      <c r="BH34" s="1151">
        <f t="shared" si="14"/>
        <v>0</v>
      </c>
      <c r="BI34" s="2352">
        <f t="shared" si="15"/>
        <v>0</v>
      </c>
      <c r="BJ34" s="1152"/>
      <c r="BK34" s="1282">
        <f t="shared" si="51"/>
        <v>0</v>
      </c>
      <c r="BL34" s="1282">
        <f t="shared" si="52"/>
        <v>0</v>
      </c>
      <c r="BM34" s="1282">
        <f t="shared" si="53"/>
        <v>0</v>
      </c>
      <c r="BN34" s="1282">
        <f t="shared" si="54"/>
        <v>0</v>
      </c>
      <c r="BO34" s="1282">
        <f t="shared" si="55"/>
        <v>0</v>
      </c>
      <c r="BP34" s="1119"/>
      <c r="BQ34" s="1119"/>
      <c r="BR34" s="1512">
        <f t="shared" si="21"/>
        <v>27</v>
      </c>
      <c r="BS34" s="1513">
        <f t="shared" si="22"/>
        <v>0</v>
      </c>
      <c r="BT34" s="1438"/>
      <c r="BU34" s="1495"/>
      <c r="BV34" s="1437"/>
      <c r="BW34" s="1437"/>
      <c r="BX34" s="1437"/>
      <c r="BY34" s="1515">
        <f t="shared" si="56"/>
        <v>0</v>
      </c>
      <c r="BZ34" s="1438"/>
      <c r="CA34" s="1495"/>
      <c r="CB34" s="1437"/>
      <c r="CC34" s="1437"/>
      <c r="CD34" s="1437"/>
      <c r="CE34" s="1515">
        <f t="shared" si="57"/>
        <v>0</v>
      </c>
      <c r="CF34" s="1438"/>
      <c r="CG34" s="1495"/>
      <c r="CH34" s="1437"/>
      <c r="CI34" s="1437"/>
      <c r="CJ34" s="1437"/>
      <c r="CK34" s="1515">
        <f t="shared" si="58"/>
        <v>0</v>
      </c>
      <c r="CL34" s="1434"/>
    </row>
    <row r="35" spans="1:94" s="1421" customFormat="1" ht="23.25" customHeight="1">
      <c r="A35" s="468">
        <v>28</v>
      </c>
      <c r="B35" s="1705">
        <v>0</v>
      </c>
      <c r="C35" s="610"/>
      <c r="D35" s="575">
        <f t="shared" si="41"/>
        <v>100</v>
      </c>
      <c r="E35" s="1437">
        <v>0</v>
      </c>
      <c r="F35" s="1716">
        <v>0</v>
      </c>
      <c r="G35" s="2329">
        <v>0</v>
      </c>
      <c r="H35" s="1708">
        <v>0</v>
      </c>
      <c r="I35" s="578">
        <f t="shared" si="42"/>
        <v>0</v>
      </c>
      <c r="J35" s="650" t="s">
        <v>90</v>
      </c>
      <c r="K35" s="580">
        <f t="shared" si="43"/>
        <v>0</v>
      </c>
      <c r="L35" s="652" t="s">
        <v>234</v>
      </c>
      <c r="M35" s="582">
        <f t="shared" si="44"/>
        <v>10</v>
      </c>
      <c r="N35" s="1712">
        <v>0</v>
      </c>
      <c r="O35" s="740">
        <f t="shared" si="45"/>
        <v>0</v>
      </c>
      <c r="P35" s="738">
        <f t="shared" si="46"/>
        <v>0</v>
      </c>
      <c r="Q35" s="657">
        <f t="shared" si="47"/>
        <v>0</v>
      </c>
      <c r="R35" s="659">
        <f t="shared" si="48"/>
        <v>0</v>
      </c>
      <c r="S35" s="978"/>
      <c r="T35" s="1281">
        <f t="shared" si="49"/>
        <v>28</v>
      </c>
      <c r="U35" s="1281">
        <f t="shared" si="50"/>
        <v>0</v>
      </c>
      <c r="V35" s="1329"/>
      <c r="W35" s="1330" t="s">
        <v>795</v>
      </c>
      <c r="X35" s="1424">
        <v>0</v>
      </c>
      <c r="Y35" s="1033">
        <f>VLOOKUP(W35,Düngemittel!$B$6:$E$64,2,FALSE)*(VLOOKUP(W35,Düngemittel!$B$6:$E$64,3,FALSE))/100*X35</f>
        <v>0</v>
      </c>
      <c r="Z35" s="1033">
        <f>VLOOKUP(W35,Düngemittel!$B$6:$E$64,2,FALSE)*X35</f>
        <v>0</v>
      </c>
      <c r="AA35" s="1033">
        <f>VLOOKUP(W35,Düngemittel!$B$6:$E$64,4,FALSE)*X35</f>
        <v>0</v>
      </c>
      <c r="AB35" s="2324"/>
      <c r="AC35" s="1329"/>
      <c r="AD35" s="1330" t="s">
        <v>795</v>
      </c>
      <c r="AE35" s="1424">
        <v>0</v>
      </c>
      <c r="AF35" s="1033">
        <f>VLOOKUP(AD35,Düngemittel!$B$6:$E$64,2,FALSE)*(VLOOKUP(AD35,Düngemittel!$B$6:$E$64,3,FALSE))/100*AE35</f>
        <v>0</v>
      </c>
      <c r="AG35" s="1033">
        <f>VLOOKUP(AD35,Düngemittel!$B$6:$E$64,2,FALSE)*AE35</f>
        <v>0</v>
      </c>
      <c r="AH35" s="1033">
        <f>VLOOKUP(AD35,Düngemittel!$B$6:$E$64,4,FALSE)*AE35</f>
        <v>0</v>
      </c>
      <c r="AI35" s="2324"/>
      <c r="AJ35" s="1329"/>
      <c r="AK35" s="1330" t="s">
        <v>795</v>
      </c>
      <c r="AL35" s="1424">
        <v>0</v>
      </c>
      <c r="AM35" s="1033">
        <f>VLOOKUP(AK35,Düngemittel!$B$6:$E$64,2,FALSE)*(VLOOKUP(AK35,Düngemittel!$B$6:$E$64,3,FALSE))/100*AL35</f>
        <v>0</v>
      </c>
      <c r="AN35" s="1033">
        <f>VLOOKUP(AK35,Düngemittel!$B$6:$E$64,2,FALSE)*AL35</f>
        <v>0</v>
      </c>
      <c r="AO35" s="1033">
        <f>VLOOKUP(AK35,Düngemittel!$B$6:$E$64,4,FALSE)*AL35</f>
        <v>0</v>
      </c>
      <c r="AP35" s="2324"/>
      <c r="AQ35" s="1329"/>
      <c r="AR35" s="1330" t="s">
        <v>795</v>
      </c>
      <c r="AS35" s="1424">
        <v>0</v>
      </c>
      <c r="AT35" s="1033">
        <f>VLOOKUP(AR35,Düngemittel!$B$6:$E$64,2,FALSE)*(VLOOKUP(AR35,Düngemittel!$B$6:$E$64,3,FALSE))/100*AS35</f>
        <v>0</v>
      </c>
      <c r="AU35" s="1033">
        <f>VLOOKUP(AR35,Düngemittel!$B$6:$E$64,2,FALSE)*AS35</f>
        <v>0</v>
      </c>
      <c r="AV35" s="1033">
        <f>VLOOKUP(AR35,Düngemittel!$B$6:$E$64,4,FALSE)*AS35</f>
        <v>0</v>
      </c>
      <c r="AW35" s="2324"/>
      <c r="AX35" s="1329"/>
      <c r="AY35" s="1330" t="s">
        <v>795</v>
      </c>
      <c r="AZ35" s="1424">
        <v>0</v>
      </c>
      <c r="BA35" s="1033">
        <f>VLOOKUP(AY35,Düngemittel!$B$6:$E$64,2,FALSE)*(VLOOKUP(AY35,Düngemittel!$B$6:$E$64,3,FALSE))/100*AZ35</f>
        <v>0</v>
      </c>
      <c r="BB35" s="1033">
        <f>VLOOKUP(AY35,Düngemittel!$B$6:$E$64,2,FALSE)*AZ35</f>
        <v>0</v>
      </c>
      <c r="BC35" s="1033">
        <f>VLOOKUP(AY35,Düngemittel!$B$6:$E$64,4,FALSE)*AZ35</f>
        <v>0</v>
      </c>
      <c r="BD35" s="1475"/>
      <c r="BE35" s="1282">
        <f t="shared" si="11"/>
        <v>0</v>
      </c>
      <c r="BF35" s="2352">
        <f t="shared" si="12"/>
        <v>0</v>
      </c>
      <c r="BG35" s="1283">
        <f t="shared" si="13"/>
        <v>0</v>
      </c>
      <c r="BH35" s="1151">
        <f t="shared" si="14"/>
        <v>0</v>
      </c>
      <c r="BI35" s="2352">
        <f t="shared" si="15"/>
        <v>0</v>
      </c>
      <c r="BJ35" s="1152"/>
      <c r="BK35" s="1282">
        <f t="shared" si="51"/>
        <v>0</v>
      </c>
      <c r="BL35" s="1282">
        <f t="shared" si="52"/>
        <v>0</v>
      </c>
      <c r="BM35" s="1282">
        <f t="shared" si="53"/>
        <v>0</v>
      </c>
      <c r="BN35" s="1282">
        <f t="shared" si="54"/>
        <v>0</v>
      </c>
      <c r="BO35" s="1282">
        <f t="shared" si="55"/>
        <v>0</v>
      </c>
      <c r="BP35" s="1119"/>
      <c r="BQ35" s="1119"/>
      <c r="BR35" s="1512">
        <f t="shared" si="21"/>
        <v>28</v>
      </c>
      <c r="BS35" s="1513">
        <f t="shared" si="22"/>
        <v>0</v>
      </c>
      <c r="BT35" s="1438"/>
      <c r="BU35" s="1495"/>
      <c r="BV35" s="1437"/>
      <c r="BW35" s="1437"/>
      <c r="BX35" s="1437"/>
      <c r="BY35" s="1515">
        <f t="shared" si="56"/>
        <v>0</v>
      </c>
      <c r="BZ35" s="1438"/>
      <c r="CA35" s="1495"/>
      <c r="CB35" s="1437"/>
      <c r="CC35" s="1437"/>
      <c r="CD35" s="1437"/>
      <c r="CE35" s="1515">
        <f t="shared" si="57"/>
        <v>0</v>
      </c>
      <c r="CF35" s="1438"/>
      <c r="CG35" s="1495"/>
      <c r="CH35" s="1437"/>
      <c r="CI35" s="1437"/>
      <c r="CJ35" s="1437"/>
      <c r="CK35" s="1515">
        <f t="shared" si="58"/>
        <v>0</v>
      </c>
      <c r="CL35" s="1434"/>
    </row>
    <row r="36" spans="1:94" s="1421" customFormat="1" ht="23.25" customHeight="1">
      <c r="A36" s="468">
        <v>29</v>
      </c>
      <c r="B36" s="1705">
        <v>0</v>
      </c>
      <c r="C36" s="610"/>
      <c r="D36" s="575">
        <f t="shared" si="41"/>
        <v>100</v>
      </c>
      <c r="E36" s="1437">
        <v>0</v>
      </c>
      <c r="F36" s="1716">
        <v>0</v>
      </c>
      <c r="G36" s="2329">
        <v>0</v>
      </c>
      <c r="H36" s="1708">
        <v>0</v>
      </c>
      <c r="I36" s="578">
        <f t="shared" si="42"/>
        <v>0</v>
      </c>
      <c r="J36" s="650" t="s">
        <v>90</v>
      </c>
      <c r="K36" s="580">
        <f t="shared" si="43"/>
        <v>0</v>
      </c>
      <c r="L36" s="652" t="s">
        <v>234</v>
      </c>
      <c r="M36" s="582">
        <f t="shared" si="44"/>
        <v>10</v>
      </c>
      <c r="N36" s="1712">
        <v>0</v>
      </c>
      <c r="O36" s="740">
        <f t="shared" si="45"/>
        <v>0</v>
      </c>
      <c r="P36" s="738">
        <f t="shared" si="46"/>
        <v>0</v>
      </c>
      <c r="Q36" s="657">
        <f t="shared" si="47"/>
        <v>0</v>
      </c>
      <c r="R36" s="659">
        <f t="shared" si="48"/>
        <v>0</v>
      </c>
      <c r="S36" s="978"/>
      <c r="T36" s="1281">
        <f t="shared" si="49"/>
        <v>29</v>
      </c>
      <c r="U36" s="1281">
        <f t="shared" si="50"/>
        <v>0</v>
      </c>
      <c r="V36" s="1329"/>
      <c r="W36" s="1330" t="s">
        <v>795</v>
      </c>
      <c r="X36" s="1424">
        <v>0</v>
      </c>
      <c r="Y36" s="1033">
        <f>VLOOKUP(W36,Düngemittel!$B$6:$E$64,2,FALSE)*(VLOOKUP(W36,Düngemittel!$B$6:$E$64,3,FALSE))/100*X36</f>
        <v>0</v>
      </c>
      <c r="Z36" s="1033">
        <f>VLOOKUP(W36,Düngemittel!$B$6:$E$64,2,FALSE)*X36</f>
        <v>0</v>
      </c>
      <c r="AA36" s="1033">
        <f>VLOOKUP(W36,Düngemittel!$B$6:$E$64,4,FALSE)*X36</f>
        <v>0</v>
      </c>
      <c r="AB36" s="2324"/>
      <c r="AC36" s="1329"/>
      <c r="AD36" s="1330" t="s">
        <v>795</v>
      </c>
      <c r="AE36" s="1424">
        <v>0</v>
      </c>
      <c r="AF36" s="1033">
        <f>VLOOKUP(AD36,Düngemittel!$B$6:$E$64,2,FALSE)*(VLOOKUP(AD36,Düngemittel!$B$6:$E$64,3,FALSE))/100*AE36</f>
        <v>0</v>
      </c>
      <c r="AG36" s="1033">
        <f>VLOOKUP(AD36,Düngemittel!$B$6:$E$64,2,FALSE)*AE36</f>
        <v>0</v>
      </c>
      <c r="AH36" s="1033">
        <f>VLOOKUP(AD36,Düngemittel!$B$6:$E$64,4,FALSE)*AE36</f>
        <v>0</v>
      </c>
      <c r="AI36" s="2324"/>
      <c r="AJ36" s="1329"/>
      <c r="AK36" s="1330" t="s">
        <v>795</v>
      </c>
      <c r="AL36" s="1424">
        <v>0</v>
      </c>
      <c r="AM36" s="1033">
        <f>VLOOKUP(AK36,Düngemittel!$B$6:$E$64,2,FALSE)*(VLOOKUP(AK36,Düngemittel!$B$6:$E$64,3,FALSE))/100*AL36</f>
        <v>0</v>
      </c>
      <c r="AN36" s="1033">
        <f>VLOOKUP(AK36,Düngemittel!$B$6:$E$64,2,FALSE)*AL36</f>
        <v>0</v>
      </c>
      <c r="AO36" s="1033">
        <f>VLOOKUP(AK36,Düngemittel!$B$6:$E$64,4,FALSE)*AL36</f>
        <v>0</v>
      </c>
      <c r="AP36" s="2324"/>
      <c r="AQ36" s="1329"/>
      <c r="AR36" s="1330" t="s">
        <v>795</v>
      </c>
      <c r="AS36" s="1424">
        <v>0</v>
      </c>
      <c r="AT36" s="1033">
        <f>VLOOKUP(AR36,Düngemittel!$B$6:$E$64,2,FALSE)*(VLOOKUP(AR36,Düngemittel!$B$6:$E$64,3,FALSE))/100*AS36</f>
        <v>0</v>
      </c>
      <c r="AU36" s="1033">
        <f>VLOOKUP(AR36,Düngemittel!$B$6:$E$64,2,FALSE)*AS36</f>
        <v>0</v>
      </c>
      <c r="AV36" s="1033">
        <f>VLOOKUP(AR36,Düngemittel!$B$6:$E$64,4,FALSE)*AS36</f>
        <v>0</v>
      </c>
      <c r="AW36" s="2324"/>
      <c r="AX36" s="1329"/>
      <c r="AY36" s="1330" t="s">
        <v>795</v>
      </c>
      <c r="AZ36" s="1424">
        <v>0</v>
      </c>
      <c r="BA36" s="1033">
        <f>VLOOKUP(AY36,Düngemittel!$B$6:$E$64,2,FALSE)*(VLOOKUP(AY36,Düngemittel!$B$6:$E$64,3,FALSE))/100*AZ36</f>
        <v>0</v>
      </c>
      <c r="BB36" s="1033">
        <f>VLOOKUP(AY36,Düngemittel!$B$6:$E$64,2,FALSE)*AZ36</f>
        <v>0</v>
      </c>
      <c r="BC36" s="1033">
        <f>VLOOKUP(AY36,Düngemittel!$B$6:$E$64,4,FALSE)*AZ36</f>
        <v>0</v>
      </c>
      <c r="BD36" s="1475"/>
      <c r="BE36" s="1282">
        <f t="shared" si="11"/>
        <v>0</v>
      </c>
      <c r="BF36" s="2352">
        <f t="shared" si="12"/>
        <v>0</v>
      </c>
      <c r="BG36" s="1283">
        <f t="shared" si="13"/>
        <v>0</v>
      </c>
      <c r="BH36" s="1151">
        <f t="shared" si="14"/>
        <v>0</v>
      </c>
      <c r="BI36" s="2352">
        <f t="shared" si="15"/>
        <v>0</v>
      </c>
      <c r="BJ36" s="1152"/>
      <c r="BK36" s="1282">
        <f t="shared" si="51"/>
        <v>0</v>
      </c>
      <c r="BL36" s="1282">
        <f t="shared" si="52"/>
        <v>0</v>
      </c>
      <c r="BM36" s="1282">
        <f t="shared" si="53"/>
        <v>0</v>
      </c>
      <c r="BN36" s="1282">
        <f t="shared" si="54"/>
        <v>0</v>
      </c>
      <c r="BO36" s="1282">
        <f t="shared" si="55"/>
        <v>0</v>
      </c>
      <c r="BP36" s="1119"/>
      <c r="BQ36" s="1119"/>
      <c r="BR36" s="1512">
        <f t="shared" si="21"/>
        <v>29</v>
      </c>
      <c r="BS36" s="1513">
        <f t="shared" si="22"/>
        <v>0</v>
      </c>
      <c r="BT36" s="1438"/>
      <c r="BU36" s="1495"/>
      <c r="BV36" s="1437"/>
      <c r="BW36" s="1437"/>
      <c r="BX36" s="1437"/>
      <c r="BY36" s="1515">
        <f t="shared" si="56"/>
        <v>0</v>
      </c>
      <c r="BZ36" s="1438"/>
      <c r="CA36" s="1495"/>
      <c r="CB36" s="1437"/>
      <c r="CC36" s="1437"/>
      <c r="CD36" s="1437"/>
      <c r="CE36" s="1515">
        <f t="shared" si="57"/>
        <v>0</v>
      </c>
      <c r="CF36" s="1438"/>
      <c r="CG36" s="1495"/>
      <c r="CH36" s="1437"/>
      <c r="CI36" s="1437"/>
      <c r="CJ36" s="1437"/>
      <c r="CK36" s="1515">
        <f t="shared" si="58"/>
        <v>0</v>
      </c>
      <c r="CL36" s="1434"/>
    </row>
    <row r="37" spans="1:94" s="1421" customFormat="1" ht="23.25" customHeight="1">
      <c r="A37" s="468">
        <v>30</v>
      </c>
      <c r="B37" s="1705">
        <v>0</v>
      </c>
      <c r="C37" s="610"/>
      <c r="D37" s="575">
        <f t="shared" si="41"/>
        <v>100</v>
      </c>
      <c r="E37" s="1437">
        <v>0</v>
      </c>
      <c r="F37" s="1716">
        <v>0</v>
      </c>
      <c r="G37" s="2329">
        <v>0</v>
      </c>
      <c r="H37" s="1708">
        <v>0</v>
      </c>
      <c r="I37" s="578">
        <f t="shared" si="42"/>
        <v>0</v>
      </c>
      <c r="J37" s="650" t="s">
        <v>90</v>
      </c>
      <c r="K37" s="580">
        <f t="shared" si="43"/>
        <v>0</v>
      </c>
      <c r="L37" s="652" t="s">
        <v>234</v>
      </c>
      <c r="M37" s="582">
        <f t="shared" si="44"/>
        <v>10</v>
      </c>
      <c r="N37" s="1712">
        <v>0</v>
      </c>
      <c r="O37" s="740">
        <f t="shared" si="45"/>
        <v>0</v>
      </c>
      <c r="P37" s="738">
        <f t="shared" si="46"/>
        <v>0</v>
      </c>
      <c r="Q37" s="657">
        <f t="shared" si="47"/>
        <v>0</v>
      </c>
      <c r="R37" s="659">
        <f t="shared" si="48"/>
        <v>0</v>
      </c>
      <c r="S37" s="978"/>
      <c r="T37" s="1281">
        <f t="shared" si="49"/>
        <v>30</v>
      </c>
      <c r="U37" s="1281">
        <f t="shared" si="50"/>
        <v>0</v>
      </c>
      <c r="V37" s="1329"/>
      <c r="W37" s="1330" t="s">
        <v>795</v>
      </c>
      <c r="X37" s="1424">
        <v>0</v>
      </c>
      <c r="Y37" s="1033">
        <f>VLOOKUP(W37,Düngemittel!$B$6:$E$64,2,FALSE)*(VLOOKUP(W37,Düngemittel!$B$6:$E$64,3,FALSE))/100*X37</f>
        <v>0</v>
      </c>
      <c r="Z37" s="1033">
        <f>VLOOKUP(W37,Düngemittel!$B$6:$E$64,2,FALSE)*X37</f>
        <v>0</v>
      </c>
      <c r="AA37" s="1033">
        <f>VLOOKUP(W37,Düngemittel!$B$6:$E$64,4,FALSE)*X37</f>
        <v>0</v>
      </c>
      <c r="AB37" s="2324"/>
      <c r="AC37" s="1329"/>
      <c r="AD37" s="1330" t="s">
        <v>795</v>
      </c>
      <c r="AE37" s="1424">
        <v>0</v>
      </c>
      <c r="AF37" s="1033">
        <f>VLOOKUP(AD37,Düngemittel!$B$6:$E$64,2,FALSE)*(VLOOKUP(AD37,Düngemittel!$B$6:$E$64,3,FALSE))/100*AE37</f>
        <v>0</v>
      </c>
      <c r="AG37" s="1033">
        <f>VLOOKUP(AD37,Düngemittel!$B$6:$E$64,2,FALSE)*AE37</f>
        <v>0</v>
      </c>
      <c r="AH37" s="1033">
        <f>VLOOKUP(AD37,Düngemittel!$B$6:$E$64,4,FALSE)*AE37</f>
        <v>0</v>
      </c>
      <c r="AI37" s="2324"/>
      <c r="AJ37" s="1329"/>
      <c r="AK37" s="1330" t="s">
        <v>795</v>
      </c>
      <c r="AL37" s="1424">
        <v>0</v>
      </c>
      <c r="AM37" s="1033">
        <f>VLOOKUP(AK37,Düngemittel!$B$6:$E$64,2,FALSE)*(VLOOKUP(AK37,Düngemittel!$B$6:$E$64,3,FALSE))/100*AL37</f>
        <v>0</v>
      </c>
      <c r="AN37" s="1033">
        <f>VLOOKUP(AK37,Düngemittel!$B$6:$E$64,2,FALSE)*AL37</f>
        <v>0</v>
      </c>
      <c r="AO37" s="1033">
        <f>VLOOKUP(AK37,Düngemittel!$B$6:$E$64,4,FALSE)*AL37</f>
        <v>0</v>
      </c>
      <c r="AP37" s="2324"/>
      <c r="AQ37" s="1329"/>
      <c r="AR37" s="1330" t="s">
        <v>795</v>
      </c>
      <c r="AS37" s="1424">
        <v>0</v>
      </c>
      <c r="AT37" s="1033">
        <f>VLOOKUP(AR37,Düngemittel!$B$6:$E$64,2,FALSE)*(VLOOKUP(AR37,Düngemittel!$B$6:$E$64,3,FALSE))/100*AS37</f>
        <v>0</v>
      </c>
      <c r="AU37" s="1033">
        <f>VLOOKUP(AR37,Düngemittel!$B$6:$E$64,2,FALSE)*AS37</f>
        <v>0</v>
      </c>
      <c r="AV37" s="1033">
        <f>VLOOKUP(AR37,Düngemittel!$B$6:$E$64,4,FALSE)*AS37</f>
        <v>0</v>
      </c>
      <c r="AW37" s="2324"/>
      <c r="AX37" s="1329"/>
      <c r="AY37" s="1330" t="s">
        <v>795</v>
      </c>
      <c r="AZ37" s="1424">
        <v>0</v>
      </c>
      <c r="BA37" s="1033">
        <f>VLOOKUP(AY37,Düngemittel!$B$6:$E$64,2,FALSE)*(VLOOKUP(AY37,Düngemittel!$B$6:$E$64,3,FALSE))/100*AZ37</f>
        <v>0</v>
      </c>
      <c r="BB37" s="1033">
        <f>VLOOKUP(AY37,Düngemittel!$B$6:$E$64,2,FALSE)*AZ37</f>
        <v>0</v>
      </c>
      <c r="BC37" s="1033">
        <f>VLOOKUP(AY37,Düngemittel!$B$6:$E$64,4,FALSE)*AZ37</f>
        <v>0</v>
      </c>
      <c r="BD37" s="1475"/>
      <c r="BE37" s="1282">
        <f t="shared" si="11"/>
        <v>0</v>
      </c>
      <c r="BF37" s="2352">
        <f t="shared" si="12"/>
        <v>0</v>
      </c>
      <c r="BG37" s="1283">
        <f t="shared" si="13"/>
        <v>0</v>
      </c>
      <c r="BH37" s="1151">
        <f t="shared" si="14"/>
        <v>0</v>
      </c>
      <c r="BI37" s="2352">
        <f t="shared" si="15"/>
        <v>0</v>
      </c>
      <c r="BJ37" s="1152"/>
      <c r="BK37" s="1282">
        <f t="shared" si="51"/>
        <v>0</v>
      </c>
      <c r="BL37" s="1282">
        <f t="shared" si="52"/>
        <v>0</v>
      </c>
      <c r="BM37" s="1282">
        <f t="shared" si="53"/>
        <v>0</v>
      </c>
      <c r="BN37" s="1282">
        <f t="shared" si="54"/>
        <v>0</v>
      </c>
      <c r="BO37" s="1282">
        <f t="shared" si="55"/>
        <v>0</v>
      </c>
      <c r="BP37" s="1119"/>
      <c r="BQ37" s="1119"/>
      <c r="BR37" s="1512">
        <f t="shared" si="21"/>
        <v>30</v>
      </c>
      <c r="BS37" s="1513">
        <f t="shared" si="22"/>
        <v>0</v>
      </c>
      <c r="BT37" s="1438"/>
      <c r="BU37" s="1495"/>
      <c r="BV37" s="1437"/>
      <c r="BW37" s="1437"/>
      <c r="BX37" s="1437"/>
      <c r="BY37" s="1515">
        <f t="shared" si="56"/>
        <v>0</v>
      </c>
      <c r="BZ37" s="1438"/>
      <c r="CA37" s="1495"/>
      <c r="CB37" s="1437"/>
      <c r="CC37" s="1437"/>
      <c r="CD37" s="1437"/>
      <c r="CE37" s="1515">
        <f t="shared" si="57"/>
        <v>0</v>
      </c>
      <c r="CF37" s="1438"/>
      <c r="CG37" s="1495"/>
      <c r="CH37" s="1437"/>
      <c r="CI37" s="1437"/>
      <c r="CJ37" s="1437"/>
      <c r="CK37" s="1515">
        <f t="shared" si="58"/>
        <v>0</v>
      </c>
      <c r="CL37" s="1434"/>
    </row>
    <row r="38" spans="1:94" s="1421" customFormat="1" ht="23.25" customHeight="1">
      <c r="A38" s="468">
        <v>31</v>
      </c>
      <c r="B38" s="1705">
        <v>0</v>
      </c>
      <c r="C38" s="610"/>
      <c r="D38" s="575">
        <f t="shared" si="41"/>
        <v>100</v>
      </c>
      <c r="E38" s="1437">
        <v>0</v>
      </c>
      <c r="F38" s="1716">
        <v>0</v>
      </c>
      <c r="G38" s="2329">
        <v>0</v>
      </c>
      <c r="H38" s="1708">
        <v>0</v>
      </c>
      <c r="I38" s="578">
        <f t="shared" si="42"/>
        <v>0</v>
      </c>
      <c r="J38" s="650" t="s">
        <v>90</v>
      </c>
      <c r="K38" s="580">
        <f t="shared" si="43"/>
        <v>0</v>
      </c>
      <c r="L38" s="652" t="s">
        <v>234</v>
      </c>
      <c r="M38" s="582">
        <f t="shared" si="44"/>
        <v>10</v>
      </c>
      <c r="N38" s="1712">
        <v>0</v>
      </c>
      <c r="O38" s="740">
        <f t="shared" si="45"/>
        <v>0</v>
      </c>
      <c r="P38" s="738">
        <f t="shared" si="46"/>
        <v>0</v>
      </c>
      <c r="Q38" s="657">
        <f t="shared" si="47"/>
        <v>0</v>
      </c>
      <c r="R38" s="659">
        <f t="shared" si="48"/>
        <v>0</v>
      </c>
      <c r="S38" s="978"/>
      <c r="T38" s="1281">
        <f t="shared" si="49"/>
        <v>31</v>
      </c>
      <c r="U38" s="1281">
        <f t="shared" si="50"/>
        <v>0</v>
      </c>
      <c r="V38" s="1329"/>
      <c r="W38" s="1330" t="s">
        <v>795</v>
      </c>
      <c r="X38" s="1424">
        <v>0</v>
      </c>
      <c r="Y38" s="1033">
        <f>VLOOKUP(W38,Düngemittel!$B$6:$E$64,2,FALSE)*(VLOOKUP(W38,Düngemittel!$B$6:$E$64,3,FALSE))/100*X38</f>
        <v>0</v>
      </c>
      <c r="Z38" s="1033">
        <f>VLOOKUP(W38,Düngemittel!$B$6:$E$64,2,FALSE)*X38</f>
        <v>0</v>
      </c>
      <c r="AA38" s="1033">
        <f>VLOOKUP(W38,Düngemittel!$B$6:$E$64,4,FALSE)*X38</f>
        <v>0</v>
      </c>
      <c r="AB38" s="2324"/>
      <c r="AC38" s="1329"/>
      <c r="AD38" s="1330" t="s">
        <v>795</v>
      </c>
      <c r="AE38" s="1424">
        <v>0</v>
      </c>
      <c r="AF38" s="1033">
        <f>VLOOKUP(AD38,Düngemittel!$B$6:$E$64,2,FALSE)*(VLOOKUP(AD38,Düngemittel!$B$6:$E$64,3,FALSE))/100*AE38</f>
        <v>0</v>
      </c>
      <c r="AG38" s="1033">
        <f>VLOOKUP(AD38,Düngemittel!$B$6:$E$64,2,FALSE)*AE38</f>
        <v>0</v>
      </c>
      <c r="AH38" s="1033">
        <f>VLOOKUP(AD38,Düngemittel!$B$6:$E$64,4,FALSE)*AE38</f>
        <v>0</v>
      </c>
      <c r="AI38" s="2324"/>
      <c r="AJ38" s="1329"/>
      <c r="AK38" s="1330" t="s">
        <v>795</v>
      </c>
      <c r="AL38" s="1424">
        <v>0</v>
      </c>
      <c r="AM38" s="1033">
        <f>VLOOKUP(AK38,Düngemittel!$B$6:$E$64,2,FALSE)*(VLOOKUP(AK38,Düngemittel!$B$6:$E$64,3,FALSE))/100*AL38</f>
        <v>0</v>
      </c>
      <c r="AN38" s="1033">
        <f>VLOOKUP(AK38,Düngemittel!$B$6:$E$64,2,FALSE)*AL38</f>
        <v>0</v>
      </c>
      <c r="AO38" s="1033">
        <f>VLOOKUP(AK38,Düngemittel!$B$6:$E$64,4,FALSE)*AL38</f>
        <v>0</v>
      </c>
      <c r="AP38" s="2324"/>
      <c r="AQ38" s="1329"/>
      <c r="AR38" s="1330" t="s">
        <v>795</v>
      </c>
      <c r="AS38" s="1424">
        <v>0</v>
      </c>
      <c r="AT38" s="1033">
        <f>VLOOKUP(AR38,Düngemittel!$B$6:$E$64,2,FALSE)*(VLOOKUP(AR38,Düngemittel!$B$6:$E$64,3,FALSE))/100*AS38</f>
        <v>0</v>
      </c>
      <c r="AU38" s="1033">
        <f>VLOOKUP(AR38,Düngemittel!$B$6:$E$64,2,FALSE)*AS38</f>
        <v>0</v>
      </c>
      <c r="AV38" s="1033">
        <f>VLOOKUP(AR38,Düngemittel!$B$6:$E$64,4,FALSE)*AS38</f>
        <v>0</v>
      </c>
      <c r="AW38" s="2324"/>
      <c r="AX38" s="1329"/>
      <c r="AY38" s="1330" t="s">
        <v>795</v>
      </c>
      <c r="AZ38" s="1424">
        <v>0</v>
      </c>
      <c r="BA38" s="1033">
        <f>VLOOKUP(AY38,Düngemittel!$B$6:$E$64,2,FALSE)*(VLOOKUP(AY38,Düngemittel!$B$6:$E$64,3,FALSE))/100*AZ38</f>
        <v>0</v>
      </c>
      <c r="BB38" s="1033">
        <f>VLOOKUP(AY38,Düngemittel!$B$6:$E$64,2,FALSE)*AZ38</f>
        <v>0</v>
      </c>
      <c r="BC38" s="1033">
        <f>VLOOKUP(AY38,Düngemittel!$B$6:$E$64,4,FALSE)*AZ38</f>
        <v>0</v>
      </c>
      <c r="BD38" s="1475"/>
      <c r="BE38" s="1282">
        <f t="shared" si="11"/>
        <v>0</v>
      </c>
      <c r="BF38" s="2352">
        <f t="shared" si="12"/>
        <v>0</v>
      </c>
      <c r="BG38" s="1283">
        <f t="shared" si="13"/>
        <v>0</v>
      </c>
      <c r="BH38" s="1151">
        <f t="shared" si="14"/>
        <v>0</v>
      </c>
      <c r="BI38" s="2352">
        <f t="shared" si="15"/>
        <v>0</v>
      </c>
      <c r="BJ38" s="1152"/>
      <c r="BK38" s="1282">
        <f t="shared" si="51"/>
        <v>0</v>
      </c>
      <c r="BL38" s="1282">
        <f t="shared" si="52"/>
        <v>0</v>
      </c>
      <c r="BM38" s="1282">
        <f t="shared" si="53"/>
        <v>0</v>
      </c>
      <c r="BN38" s="1282">
        <f t="shared" si="54"/>
        <v>0</v>
      </c>
      <c r="BO38" s="1282">
        <f t="shared" si="55"/>
        <v>0</v>
      </c>
      <c r="BP38" s="1119"/>
      <c r="BQ38" s="1119"/>
      <c r="BR38" s="1512">
        <f t="shared" si="21"/>
        <v>31</v>
      </c>
      <c r="BS38" s="1513">
        <f t="shared" si="22"/>
        <v>0</v>
      </c>
      <c r="BT38" s="1438"/>
      <c r="BU38" s="1495"/>
      <c r="BV38" s="1437"/>
      <c r="BW38" s="1437"/>
      <c r="BX38" s="1437"/>
      <c r="BY38" s="1515">
        <f t="shared" si="56"/>
        <v>0</v>
      </c>
      <c r="BZ38" s="1438"/>
      <c r="CA38" s="1495"/>
      <c r="CB38" s="1437"/>
      <c r="CC38" s="1437"/>
      <c r="CD38" s="1437"/>
      <c r="CE38" s="1515">
        <f t="shared" si="57"/>
        <v>0</v>
      </c>
      <c r="CF38" s="1438"/>
      <c r="CG38" s="1495"/>
      <c r="CH38" s="1437"/>
      <c r="CI38" s="1437"/>
      <c r="CJ38" s="1437"/>
      <c r="CK38" s="1515">
        <f t="shared" si="58"/>
        <v>0</v>
      </c>
      <c r="CL38" s="1434"/>
    </row>
    <row r="39" spans="1:94" ht="23.25" customHeight="1">
      <c r="A39" s="468">
        <v>32</v>
      </c>
      <c r="B39" s="1705">
        <v>0</v>
      </c>
      <c r="C39" s="610"/>
      <c r="D39" s="575">
        <f t="shared" si="36"/>
        <v>100</v>
      </c>
      <c r="E39" s="1437">
        <v>0</v>
      </c>
      <c r="F39" s="1716">
        <v>0</v>
      </c>
      <c r="G39" s="1596">
        <v>0</v>
      </c>
      <c r="H39" s="1708">
        <v>0</v>
      </c>
      <c r="I39" s="578">
        <f t="shared" si="37"/>
        <v>0</v>
      </c>
      <c r="J39" s="650" t="s">
        <v>90</v>
      </c>
      <c r="K39" s="580">
        <f t="shared" si="0"/>
        <v>0</v>
      </c>
      <c r="L39" s="652" t="s">
        <v>234</v>
      </c>
      <c r="M39" s="582">
        <f t="shared" si="1"/>
        <v>10</v>
      </c>
      <c r="N39" s="1712">
        <v>0</v>
      </c>
      <c r="O39" s="740">
        <f t="shared" si="38"/>
        <v>0</v>
      </c>
      <c r="P39" s="738">
        <f t="shared" si="39"/>
        <v>0</v>
      </c>
      <c r="Q39" s="657">
        <f t="shared" si="7"/>
        <v>0</v>
      </c>
      <c r="R39" s="659">
        <f t="shared" si="40"/>
        <v>0</v>
      </c>
      <c r="S39" s="978"/>
      <c r="T39" s="1281">
        <f t="shared" si="9"/>
        <v>32</v>
      </c>
      <c r="U39" s="1281">
        <f t="shared" si="10"/>
        <v>0</v>
      </c>
      <c r="V39" s="1329"/>
      <c r="W39" s="1330" t="s">
        <v>795</v>
      </c>
      <c r="X39" s="1424">
        <v>0</v>
      </c>
      <c r="Y39" s="1033">
        <f>VLOOKUP(W39,Düngemittel!$B$6:$E$64,2,FALSE)*(VLOOKUP(W39,Düngemittel!$B$6:$E$64,3,FALSE))/100*X39</f>
        <v>0</v>
      </c>
      <c r="Z39" s="1033">
        <f>VLOOKUP(W39,Düngemittel!$B$6:$E$64,2,FALSE)*X39</f>
        <v>0</v>
      </c>
      <c r="AA39" s="1033">
        <f>VLOOKUP(W39,Düngemittel!$B$6:$E$64,4,FALSE)*X39</f>
        <v>0</v>
      </c>
      <c r="AB39" s="142"/>
      <c r="AC39" s="1329"/>
      <c r="AD39" s="1330" t="s">
        <v>795</v>
      </c>
      <c r="AE39" s="1424">
        <v>0</v>
      </c>
      <c r="AF39" s="1033">
        <f>VLOOKUP(AD39,Düngemittel!$B$6:$E$64,2,FALSE)*(VLOOKUP(AD39,Düngemittel!$B$6:$E$64,3,FALSE))/100*AE39</f>
        <v>0</v>
      </c>
      <c r="AG39" s="1033">
        <f>VLOOKUP(AD39,Düngemittel!$B$6:$E$64,2,FALSE)*AE39</f>
        <v>0</v>
      </c>
      <c r="AH39" s="1033">
        <f>VLOOKUP(AD39,Düngemittel!$B$6:$E$64,4,FALSE)*AE39</f>
        <v>0</v>
      </c>
      <c r="AI39" s="142"/>
      <c r="AJ39" s="1329"/>
      <c r="AK39" s="1330" t="s">
        <v>795</v>
      </c>
      <c r="AL39" s="1424">
        <v>0</v>
      </c>
      <c r="AM39" s="1033">
        <f>VLOOKUP(AK39,Düngemittel!$B$6:$E$64,2,FALSE)*(VLOOKUP(AK39,Düngemittel!$B$6:$E$64,3,FALSE))/100*AL39</f>
        <v>0</v>
      </c>
      <c r="AN39" s="1033">
        <f>VLOOKUP(AK39,Düngemittel!$B$6:$E$64,2,FALSE)*AL39</f>
        <v>0</v>
      </c>
      <c r="AO39" s="1033">
        <f>VLOOKUP(AK39,Düngemittel!$B$6:$E$64,4,FALSE)*AL39</f>
        <v>0</v>
      </c>
      <c r="AP39" s="142"/>
      <c r="AQ39" s="1329"/>
      <c r="AR39" s="1330" t="s">
        <v>795</v>
      </c>
      <c r="AS39" s="1424">
        <v>0</v>
      </c>
      <c r="AT39" s="1033">
        <f>VLOOKUP(AR39,Düngemittel!$B$6:$E$64,2,FALSE)*(VLOOKUP(AR39,Düngemittel!$B$6:$E$64,3,FALSE))/100*AS39</f>
        <v>0</v>
      </c>
      <c r="AU39" s="1033">
        <f>VLOOKUP(AR39,Düngemittel!$B$6:$E$64,2,FALSE)*AS39</f>
        <v>0</v>
      </c>
      <c r="AV39" s="1033">
        <f>VLOOKUP(AR39,Düngemittel!$B$6:$E$64,4,FALSE)*AS39</f>
        <v>0</v>
      </c>
      <c r="AW39" s="142"/>
      <c r="AX39" s="1329"/>
      <c r="AY39" s="1330" t="s">
        <v>795</v>
      </c>
      <c r="AZ39" s="1424">
        <v>0</v>
      </c>
      <c r="BA39" s="1033">
        <f>VLOOKUP(AY39,Düngemittel!$B$6:$E$64,2,FALSE)*(VLOOKUP(AY39,Düngemittel!$B$6:$E$64,3,FALSE))/100*AZ39</f>
        <v>0</v>
      </c>
      <c r="BB39" s="1033">
        <f>VLOOKUP(AY39,Düngemittel!$B$6:$E$64,2,FALSE)*AZ39</f>
        <v>0</v>
      </c>
      <c r="BC39" s="1033">
        <f>VLOOKUP(AY39,Düngemittel!$B$6:$E$64,4,FALSE)*AZ39</f>
        <v>0</v>
      </c>
      <c r="BD39" s="1475"/>
      <c r="BE39" s="1282">
        <f t="shared" si="11"/>
        <v>0</v>
      </c>
      <c r="BF39" s="2352">
        <f t="shared" si="12"/>
        <v>0</v>
      </c>
      <c r="BG39" s="1283">
        <f t="shared" si="13"/>
        <v>0</v>
      </c>
      <c r="BH39" s="1151">
        <f t="shared" si="14"/>
        <v>0</v>
      </c>
      <c r="BI39" s="2352">
        <f t="shared" si="15"/>
        <v>0</v>
      </c>
      <c r="BJ39" s="1152"/>
      <c r="BK39" s="1282">
        <f t="shared" si="16"/>
        <v>0</v>
      </c>
      <c r="BL39" s="1282">
        <f t="shared" si="17"/>
        <v>0</v>
      </c>
      <c r="BM39" s="1282">
        <f t="shared" si="18"/>
        <v>0</v>
      </c>
      <c r="BN39" s="1282">
        <f t="shared" si="19"/>
        <v>0</v>
      </c>
      <c r="BO39" s="1282">
        <f t="shared" si="20"/>
        <v>0</v>
      </c>
      <c r="BP39" s="1119"/>
      <c r="BQ39" s="1119"/>
      <c r="BR39" s="1512">
        <f t="shared" si="21"/>
        <v>32</v>
      </c>
      <c r="BS39" s="1513">
        <f t="shared" si="22"/>
        <v>0</v>
      </c>
      <c r="BT39" s="1438"/>
      <c r="BU39" s="1495"/>
      <c r="BV39" s="1437"/>
      <c r="BW39" s="1437"/>
      <c r="BX39" s="1437"/>
      <c r="BY39" s="1515">
        <f t="shared" si="23"/>
        <v>0</v>
      </c>
      <c r="BZ39" s="1438"/>
      <c r="CA39" s="1495"/>
      <c r="CB39" s="1437"/>
      <c r="CC39" s="1437"/>
      <c r="CD39" s="1437"/>
      <c r="CE39" s="1515">
        <f t="shared" si="24"/>
        <v>0</v>
      </c>
      <c r="CF39" s="1438"/>
      <c r="CG39" s="1495"/>
      <c r="CH39" s="1437"/>
      <c r="CI39" s="1437"/>
      <c r="CJ39" s="1437"/>
      <c r="CK39" s="1515">
        <f t="shared" si="25"/>
        <v>0</v>
      </c>
      <c r="CL39" s="1434"/>
      <c r="CM39" s="1421"/>
      <c r="CO39" s="1016"/>
    </row>
    <row r="40" spans="1:94" s="111" customFormat="1" ht="23.25" customHeight="1">
      <c r="A40" s="468">
        <v>33</v>
      </c>
      <c r="B40" s="1705">
        <v>0</v>
      </c>
      <c r="C40" s="614"/>
      <c r="D40" s="575">
        <f t="shared" si="36"/>
        <v>100</v>
      </c>
      <c r="E40" s="1437">
        <v>0</v>
      </c>
      <c r="F40" s="1716">
        <v>0</v>
      </c>
      <c r="G40" s="1596">
        <v>0</v>
      </c>
      <c r="H40" s="1708">
        <v>0</v>
      </c>
      <c r="I40" s="578">
        <f t="shared" si="37"/>
        <v>0</v>
      </c>
      <c r="J40" s="650" t="s">
        <v>90</v>
      </c>
      <c r="K40" s="580">
        <f t="shared" si="0"/>
        <v>0</v>
      </c>
      <c r="L40" s="652" t="s">
        <v>234</v>
      </c>
      <c r="M40" s="582">
        <f t="shared" si="1"/>
        <v>10</v>
      </c>
      <c r="N40" s="1712">
        <v>0</v>
      </c>
      <c r="O40" s="740">
        <f t="shared" si="38"/>
        <v>0</v>
      </c>
      <c r="P40" s="738">
        <f t="shared" si="39"/>
        <v>0</v>
      </c>
      <c r="Q40" s="657">
        <f t="shared" si="7"/>
        <v>0</v>
      </c>
      <c r="R40" s="659">
        <f t="shared" si="40"/>
        <v>0</v>
      </c>
      <c r="S40" s="978"/>
      <c r="T40" s="1281">
        <f t="shared" si="9"/>
        <v>33</v>
      </c>
      <c r="U40" s="1281">
        <f t="shared" si="10"/>
        <v>0</v>
      </c>
      <c r="V40" s="1329"/>
      <c r="W40" s="1330" t="s">
        <v>795</v>
      </c>
      <c r="X40" s="1424">
        <v>0</v>
      </c>
      <c r="Y40" s="1033">
        <f>VLOOKUP(W40,Düngemittel!$B$6:$E$64,2,FALSE)*(VLOOKUP(W40,Düngemittel!$B$6:$E$64,3,FALSE))/100*X40</f>
        <v>0</v>
      </c>
      <c r="Z40" s="1033">
        <f>VLOOKUP(W40,Düngemittel!$B$6:$E$64,2,FALSE)*X40</f>
        <v>0</v>
      </c>
      <c r="AA40" s="1033">
        <f>VLOOKUP(W40,Düngemittel!$B$6:$E$64,4,FALSE)*X40</f>
        <v>0</v>
      </c>
      <c r="AB40" s="2089"/>
      <c r="AC40" s="1329"/>
      <c r="AD40" s="1330" t="s">
        <v>795</v>
      </c>
      <c r="AE40" s="1424">
        <v>0</v>
      </c>
      <c r="AF40" s="1033">
        <f>VLOOKUP(AD40,Düngemittel!$B$6:$E$64,2,FALSE)*(VLOOKUP(AD40,Düngemittel!$B$6:$E$64,3,FALSE))/100*AE40</f>
        <v>0</v>
      </c>
      <c r="AG40" s="1033">
        <f>VLOOKUP(AD40,Düngemittel!$B$6:$E$64,2,FALSE)*AE40</f>
        <v>0</v>
      </c>
      <c r="AH40" s="1033">
        <f>VLOOKUP(AD40,Düngemittel!$B$6:$E$64,4,FALSE)*AE40</f>
        <v>0</v>
      </c>
      <c r="AI40" s="2089"/>
      <c r="AJ40" s="1329"/>
      <c r="AK40" s="1330" t="s">
        <v>795</v>
      </c>
      <c r="AL40" s="1424">
        <v>0</v>
      </c>
      <c r="AM40" s="1033">
        <f>VLOOKUP(AK40,Düngemittel!$B$6:$E$64,2,FALSE)*(VLOOKUP(AK40,Düngemittel!$B$6:$E$64,3,FALSE))/100*AL40</f>
        <v>0</v>
      </c>
      <c r="AN40" s="1033">
        <f>VLOOKUP(AK40,Düngemittel!$B$6:$E$64,2,FALSE)*AL40</f>
        <v>0</v>
      </c>
      <c r="AO40" s="1033">
        <f>VLOOKUP(AK40,Düngemittel!$B$6:$E$64,4,FALSE)*AL40</f>
        <v>0</v>
      </c>
      <c r="AP40" s="2081"/>
      <c r="AQ40" s="1329"/>
      <c r="AR40" s="1330" t="s">
        <v>795</v>
      </c>
      <c r="AS40" s="1424">
        <v>0</v>
      </c>
      <c r="AT40" s="1033">
        <f>VLOOKUP(AR40,Düngemittel!$B$6:$E$64,2,FALSE)*(VLOOKUP(AR40,Düngemittel!$B$6:$E$64,3,FALSE))/100*AS40</f>
        <v>0</v>
      </c>
      <c r="AU40" s="1033">
        <f>VLOOKUP(AR40,Düngemittel!$B$6:$E$64,2,FALSE)*AS40</f>
        <v>0</v>
      </c>
      <c r="AV40" s="1033">
        <f>VLOOKUP(AR40,Düngemittel!$B$6:$E$64,4,FALSE)*AS40</f>
        <v>0</v>
      </c>
      <c r="AW40" s="2081"/>
      <c r="AX40" s="1329"/>
      <c r="AY40" s="1330" t="s">
        <v>795</v>
      </c>
      <c r="AZ40" s="1424">
        <v>0</v>
      </c>
      <c r="BA40" s="1033">
        <f>VLOOKUP(AY40,Düngemittel!$B$6:$E$64,2,FALSE)*(VLOOKUP(AY40,Düngemittel!$B$6:$E$64,3,FALSE))/100*AZ40</f>
        <v>0</v>
      </c>
      <c r="BB40" s="1033">
        <f>VLOOKUP(AY40,Düngemittel!$B$6:$E$64,2,FALSE)*AZ40</f>
        <v>0</v>
      </c>
      <c r="BC40" s="1033">
        <f>VLOOKUP(AY40,Düngemittel!$B$6:$E$64,4,FALSE)*AZ40</f>
        <v>0</v>
      </c>
      <c r="BD40" s="1475"/>
      <c r="BE40" s="1282">
        <f t="shared" si="11"/>
        <v>0</v>
      </c>
      <c r="BF40" s="2352">
        <f t="shared" si="12"/>
        <v>0</v>
      </c>
      <c r="BG40" s="1283">
        <f t="shared" si="13"/>
        <v>0</v>
      </c>
      <c r="BH40" s="1151">
        <f t="shared" si="14"/>
        <v>0</v>
      </c>
      <c r="BI40" s="2352">
        <f t="shared" si="15"/>
        <v>0</v>
      </c>
      <c r="BJ40" s="1152"/>
      <c r="BK40" s="1282">
        <f t="shared" si="16"/>
        <v>0</v>
      </c>
      <c r="BL40" s="1282">
        <f t="shared" si="17"/>
        <v>0</v>
      </c>
      <c r="BM40" s="1282">
        <f t="shared" si="18"/>
        <v>0</v>
      </c>
      <c r="BN40" s="1282">
        <f t="shared" si="19"/>
        <v>0</v>
      </c>
      <c r="BO40" s="1282">
        <f t="shared" si="20"/>
        <v>0</v>
      </c>
      <c r="BP40" s="1119"/>
      <c r="BQ40" s="1119"/>
      <c r="BR40" s="1512">
        <f t="shared" si="21"/>
        <v>33</v>
      </c>
      <c r="BS40" s="1513">
        <f t="shared" si="22"/>
        <v>0</v>
      </c>
      <c r="BT40" s="1438"/>
      <c r="BU40" s="1495"/>
      <c r="BV40" s="1437"/>
      <c r="BW40" s="1437"/>
      <c r="BX40" s="1437"/>
      <c r="BY40" s="1515">
        <f t="shared" si="23"/>
        <v>0</v>
      </c>
      <c r="BZ40" s="1438"/>
      <c r="CA40" s="1495"/>
      <c r="CB40" s="1437"/>
      <c r="CC40" s="1437"/>
      <c r="CD40" s="1437"/>
      <c r="CE40" s="1515">
        <f t="shared" si="24"/>
        <v>0</v>
      </c>
      <c r="CF40" s="1438"/>
      <c r="CG40" s="1495"/>
      <c r="CH40" s="1437"/>
      <c r="CI40" s="1437"/>
      <c r="CJ40" s="1437"/>
      <c r="CK40" s="1515">
        <f t="shared" si="25"/>
        <v>0</v>
      </c>
      <c r="CL40" s="1434"/>
      <c r="CM40" s="1421"/>
      <c r="CN40" s="1016"/>
      <c r="CO40" s="1016"/>
      <c r="CP40" s="1016"/>
    </row>
    <row r="41" spans="1:94" ht="23.25" customHeight="1">
      <c r="A41" s="468">
        <v>34</v>
      </c>
      <c r="B41" s="1705">
        <v>0</v>
      </c>
      <c r="C41" s="610"/>
      <c r="D41" s="575">
        <f t="shared" si="4"/>
        <v>100</v>
      </c>
      <c r="E41" s="1437">
        <v>0</v>
      </c>
      <c r="F41" s="1716">
        <v>0</v>
      </c>
      <c r="G41" s="1596">
        <v>0</v>
      </c>
      <c r="H41" s="1708">
        <v>0</v>
      </c>
      <c r="I41" s="578">
        <f t="shared" si="5"/>
        <v>0</v>
      </c>
      <c r="J41" s="650" t="s">
        <v>90</v>
      </c>
      <c r="K41" s="580">
        <f t="shared" si="0"/>
        <v>0</v>
      </c>
      <c r="L41" s="652" t="s">
        <v>234</v>
      </c>
      <c r="M41" s="582">
        <f t="shared" si="1"/>
        <v>10</v>
      </c>
      <c r="N41" s="1712">
        <v>0</v>
      </c>
      <c r="O41" s="740">
        <f t="shared" si="6"/>
        <v>0</v>
      </c>
      <c r="P41" s="738">
        <f t="shared" si="2"/>
        <v>0</v>
      </c>
      <c r="Q41" s="657">
        <f t="shared" si="7"/>
        <v>0</v>
      </c>
      <c r="R41" s="659">
        <f t="shared" si="8"/>
        <v>0</v>
      </c>
      <c r="S41" s="978"/>
      <c r="T41" s="1281">
        <f t="shared" si="9"/>
        <v>34</v>
      </c>
      <c r="U41" s="1281">
        <f t="shared" si="10"/>
        <v>0</v>
      </c>
      <c r="V41" s="1329"/>
      <c r="W41" s="1330" t="s">
        <v>795</v>
      </c>
      <c r="X41" s="1424">
        <v>0</v>
      </c>
      <c r="Y41" s="1033">
        <f>VLOOKUP(W41,Düngemittel!$B$6:$E$64,2,FALSE)*(VLOOKUP(W41,Düngemittel!$B$6:$E$64,3,FALSE))/100*X41</f>
        <v>0</v>
      </c>
      <c r="Z41" s="1033">
        <f>VLOOKUP(W41,Düngemittel!$B$6:$E$64,2,FALSE)*X41</f>
        <v>0</v>
      </c>
      <c r="AA41" s="1033">
        <f>VLOOKUP(W41,Düngemittel!$B$6:$E$64,4,FALSE)*X41</f>
        <v>0</v>
      </c>
      <c r="AB41" s="2089"/>
      <c r="AC41" s="1329"/>
      <c r="AD41" s="1330" t="s">
        <v>795</v>
      </c>
      <c r="AE41" s="1424">
        <v>0</v>
      </c>
      <c r="AF41" s="1033">
        <f>VLOOKUP(AD41,Düngemittel!$B$6:$E$64,2,FALSE)*(VLOOKUP(AD41,Düngemittel!$B$6:$E$64,3,FALSE))/100*AE41</f>
        <v>0</v>
      </c>
      <c r="AG41" s="1033">
        <f>VLOOKUP(AD41,Düngemittel!$B$6:$E$64,2,FALSE)*AE41</f>
        <v>0</v>
      </c>
      <c r="AH41" s="1033">
        <f>VLOOKUP(AD41,Düngemittel!$B$6:$E$64,4,FALSE)*AE41</f>
        <v>0</v>
      </c>
      <c r="AI41" s="2089"/>
      <c r="AJ41" s="1329"/>
      <c r="AK41" s="1330" t="s">
        <v>795</v>
      </c>
      <c r="AL41" s="1424">
        <v>0</v>
      </c>
      <c r="AM41" s="1033">
        <f>VLOOKUP(AK41,Düngemittel!$B$6:$E$64,2,FALSE)*(VLOOKUP(AK41,Düngemittel!$B$6:$E$64,3,FALSE))/100*AL41</f>
        <v>0</v>
      </c>
      <c r="AN41" s="1033">
        <f>VLOOKUP(AK41,Düngemittel!$B$6:$E$64,2,FALSE)*AL41</f>
        <v>0</v>
      </c>
      <c r="AO41" s="1033">
        <f>VLOOKUP(AK41,Düngemittel!$B$6:$E$64,4,FALSE)*AL41</f>
        <v>0</v>
      </c>
      <c r="AQ41" s="1329"/>
      <c r="AR41" s="1330" t="s">
        <v>795</v>
      </c>
      <c r="AS41" s="1424">
        <v>0</v>
      </c>
      <c r="AT41" s="1033">
        <f>VLOOKUP(AR41,Düngemittel!$B$6:$E$64,2,FALSE)*(VLOOKUP(AR41,Düngemittel!$B$6:$E$64,3,FALSE))/100*AS41</f>
        <v>0</v>
      </c>
      <c r="AU41" s="1033">
        <f>VLOOKUP(AR41,Düngemittel!$B$6:$E$64,2,FALSE)*AS41</f>
        <v>0</v>
      </c>
      <c r="AV41" s="1033">
        <f>VLOOKUP(AR41,Düngemittel!$B$6:$E$64,4,FALSE)*AS41</f>
        <v>0</v>
      </c>
      <c r="AW41" s="2081"/>
      <c r="AX41" s="1329"/>
      <c r="AY41" s="1330" t="s">
        <v>795</v>
      </c>
      <c r="AZ41" s="1424">
        <v>0</v>
      </c>
      <c r="BA41" s="1033">
        <f>VLOOKUP(AY41,Düngemittel!$B$6:$E$64,2,FALSE)*(VLOOKUP(AY41,Düngemittel!$B$6:$E$64,3,FALSE))/100*AZ41</f>
        <v>0</v>
      </c>
      <c r="BB41" s="1033">
        <f>VLOOKUP(AY41,Düngemittel!$B$6:$E$64,2,FALSE)*AZ41</f>
        <v>0</v>
      </c>
      <c r="BC41" s="1033">
        <f>VLOOKUP(AY41,Düngemittel!$B$6:$E$64,4,FALSE)*AZ41</f>
        <v>0</v>
      </c>
      <c r="BD41" s="1475"/>
      <c r="BE41" s="1282">
        <f t="shared" si="11"/>
        <v>0</v>
      </c>
      <c r="BF41" s="2352">
        <f t="shared" si="12"/>
        <v>0</v>
      </c>
      <c r="BG41" s="1283">
        <f t="shared" si="13"/>
        <v>0</v>
      </c>
      <c r="BH41" s="1151">
        <f t="shared" si="14"/>
        <v>0</v>
      </c>
      <c r="BI41" s="2352">
        <f t="shared" si="15"/>
        <v>0</v>
      </c>
      <c r="BJ41" s="1152"/>
      <c r="BK41" s="1282">
        <f t="shared" si="16"/>
        <v>0</v>
      </c>
      <c r="BL41" s="1282">
        <f t="shared" si="17"/>
        <v>0</v>
      </c>
      <c r="BM41" s="1282">
        <f t="shared" si="18"/>
        <v>0</v>
      </c>
      <c r="BN41" s="1282">
        <f t="shared" si="19"/>
        <v>0</v>
      </c>
      <c r="BO41" s="1282">
        <f t="shared" si="20"/>
        <v>0</v>
      </c>
      <c r="BP41" s="1119"/>
      <c r="BQ41" s="1119"/>
      <c r="BR41" s="1512">
        <f t="shared" si="21"/>
        <v>34</v>
      </c>
      <c r="BS41" s="1513">
        <f t="shared" si="22"/>
        <v>0</v>
      </c>
      <c r="BT41" s="1438"/>
      <c r="BU41" s="1495"/>
      <c r="BV41" s="1437"/>
      <c r="BW41" s="1437"/>
      <c r="BX41" s="1437"/>
      <c r="BY41" s="1515">
        <f t="shared" si="23"/>
        <v>0</v>
      </c>
      <c r="BZ41" s="1438"/>
      <c r="CA41" s="1495"/>
      <c r="CB41" s="1437"/>
      <c r="CC41" s="1437"/>
      <c r="CD41" s="1437"/>
      <c r="CE41" s="1515">
        <f t="shared" si="24"/>
        <v>0</v>
      </c>
      <c r="CF41" s="1438"/>
      <c r="CG41" s="1495"/>
      <c r="CH41" s="1437"/>
      <c r="CI41" s="1437"/>
      <c r="CJ41" s="1437"/>
      <c r="CK41" s="1515">
        <f t="shared" si="25"/>
        <v>0</v>
      </c>
      <c r="CL41" s="1434"/>
      <c r="CM41" s="1421"/>
      <c r="CO41" s="1016"/>
    </row>
    <row r="42" spans="1:94" s="111" customFormat="1" ht="23.25" customHeight="1" thickBot="1">
      <c r="A42" s="468">
        <v>35</v>
      </c>
      <c r="B42" s="1718">
        <v>0</v>
      </c>
      <c r="C42" s="1461"/>
      <c r="D42" s="1462">
        <f t="shared" ref="D42" si="59">100-E42-F42</f>
        <v>100</v>
      </c>
      <c r="E42" s="1440">
        <v>0</v>
      </c>
      <c r="F42" s="1717">
        <v>0</v>
      </c>
      <c r="G42" s="1709">
        <v>0</v>
      </c>
      <c r="H42" s="1710">
        <v>0</v>
      </c>
      <c r="I42" s="1463">
        <f t="shared" ref="I42" si="60">((G42*D42/100)+(G42*E42*0.5/100)+G42*F42*0.75/100)*H42/6.25</f>
        <v>0</v>
      </c>
      <c r="J42" s="1464" t="s">
        <v>90</v>
      </c>
      <c r="K42" s="1465">
        <f t="shared" si="0"/>
        <v>0</v>
      </c>
      <c r="L42" s="1466" t="s">
        <v>234</v>
      </c>
      <c r="M42" s="1467">
        <f t="shared" si="1"/>
        <v>10</v>
      </c>
      <c r="N42" s="1713">
        <v>0</v>
      </c>
      <c r="O42" s="1468">
        <f t="shared" ref="O42" si="61">IF(I42-M42-K42-N42&lt;0,0,I42-M42-K42-N42)</f>
        <v>0</v>
      </c>
      <c r="P42" s="1469">
        <f t="shared" ref="P42" si="62">IF(O42&lt;0,0,O42*B42)</f>
        <v>0</v>
      </c>
      <c r="Q42" s="1470">
        <f t="shared" si="7"/>
        <v>0</v>
      </c>
      <c r="R42" s="1471">
        <f t="shared" ref="R42" si="63">B42*Q42</f>
        <v>0</v>
      </c>
      <c r="S42" s="978"/>
      <c r="T42" s="1281">
        <f t="shared" si="9"/>
        <v>35</v>
      </c>
      <c r="U42" s="1281">
        <f t="shared" si="10"/>
        <v>0</v>
      </c>
      <c r="V42" s="1329"/>
      <c r="W42" s="1330" t="s">
        <v>795</v>
      </c>
      <c r="X42" s="1424">
        <v>0</v>
      </c>
      <c r="Y42" s="1033">
        <f>VLOOKUP(W42,Düngemittel!$B$6:$E$64,2,FALSE)*(VLOOKUP(W42,Düngemittel!$B$6:$E$64,3,FALSE))/100*X42</f>
        <v>0</v>
      </c>
      <c r="Z42" s="1033">
        <f>VLOOKUP(W42,Düngemittel!$B$6:$E$64,2,FALSE)*X42</f>
        <v>0</v>
      </c>
      <c r="AA42" s="1033">
        <f>VLOOKUP(W42,Düngemittel!$B$6:$E$64,4,FALSE)*X42</f>
        <v>0</v>
      </c>
      <c r="AB42" s="2089"/>
      <c r="AC42" s="1329"/>
      <c r="AD42" s="1330" t="s">
        <v>795</v>
      </c>
      <c r="AE42" s="1424">
        <v>0</v>
      </c>
      <c r="AF42" s="1033">
        <f>VLOOKUP(AD42,Düngemittel!$B$6:$E$64,2,FALSE)*(VLOOKUP(AD42,Düngemittel!$B$6:$E$64,3,FALSE))/100*AE42</f>
        <v>0</v>
      </c>
      <c r="AG42" s="1033">
        <f>VLOOKUP(AD42,Düngemittel!$B$6:$E$64,2,FALSE)*AE42</f>
        <v>0</v>
      </c>
      <c r="AH42" s="1033">
        <f>VLOOKUP(AD42,Düngemittel!$B$6:$E$64,4,FALSE)*AE42</f>
        <v>0</v>
      </c>
      <c r="AI42" s="2089"/>
      <c r="AJ42" s="1329"/>
      <c r="AK42" s="1330" t="s">
        <v>795</v>
      </c>
      <c r="AL42" s="1424">
        <v>0</v>
      </c>
      <c r="AM42" s="1033">
        <f>VLOOKUP(AK42,Düngemittel!$B$6:$E$64,2,FALSE)*(VLOOKUP(AK42,Düngemittel!$B$6:$E$64,3,FALSE))/100*AL42</f>
        <v>0</v>
      </c>
      <c r="AN42" s="1033">
        <f>VLOOKUP(AK42,Düngemittel!$B$6:$E$64,2,FALSE)*AL42</f>
        <v>0</v>
      </c>
      <c r="AO42" s="1033">
        <f>VLOOKUP(AK42,Düngemittel!$B$6:$E$64,4,FALSE)*AL42</f>
        <v>0</v>
      </c>
      <c r="AP42" s="2081"/>
      <c r="AQ42" s="1329"/>
      <c r="AR42" s="1330" t="s">
        <v>795</v>
      </c>
      <c r="AS42" s="1424">
        <v>0</v>
      </c>
      <c r="AT42" s="1033">
        <f>VLOOKUP(AR42,Düngemittel!$B$6:$E$64,2,FALSE)*(VLOOKUP(AR42,Düngemittel!$B$6:$E$64,3,FALSE))/100*AS42</f>
        <v>0</v>
      </c>
      <c r="AU42" s="1033">
        <f>VLOOKUP(AR42,Düngemittel!$B$6:$E$64,2,FALSE)*AS42</f>
        <v>0</v>
      </c>
      <c r="AV42" s="1033">
        <f>VLOOKUP(AR42,Düngemittel!$B$6:$E$64,4,FALSE)*AS42</f>
        <v>0</v>
      </c>
      <c r="AW42" s="2081"/>
      <c r="AX42" s="1329"/>
      <c r="AY42" s="1330" t="s">
        <v>795</v>
      </c>
      <c r="AZ42" s="1424">
        <v>0</v>
      </c>
      <c r="BA42" s="1033">
        <f>VLOOKUP(AY42,Düngemittel!$B$6:$E$64,2,FALSE)*(VLOOKUP(AY42,Düngemittel!$B$6:$E$64,3,FALSE))/100*AZ42</f>
        <v>0</v>
      </c>
      <c r="BB42" s="1033">
        <f>VLOOKUP(AY42,Düngemittel!$B$6:$E$64,2,FALSE)*AZ42</f>
        <v>0</v>
      </c>
      <c r="BC42" s="1033">
        <f>VLOOKUP(AY42,Düngemittel!$B$6:$E$64,4,FALSE)*AZ42</f>
        <v>0</v>
      </c>
      <c r="BD42" s="1475"/>
      <c r="BE42" s="1282">
        <f t="shared" si="11"/>
        <v>0</v>
      </c>
      <c r="BF42" s="2352">
        <f t="shared" si="12"/>
        <v>0</v>
      </c>
      <c r="BG42" s="1283">
        <f t="shared" si="13"/>
        <v>0</v>
      </c>
      <c r="BH42" s="1151">
        <f t="shared" si="14"/>
        <v>0</v>
      </c>
      <c r="BI42" s="2352">
        <f t="shared" si="15"/>
        <v>0</v>
      </c>
      <c r="BJ42" s="1152"/>
      <c r="BK42" s="1282">
        <f t="shared" si="16"/>
        <v>0</v>
      </c>
      <c r="BL42" s="1282">
        <f t="shared" si="17"/>
        <v>0</v>
      </c>
      <c r="BM42" s="1282">
        <f t="shared" si="18"/>
        <v>0</v>
      </c>
      <c r="BN42" s="1282">
        <f t="shared" si="19"/>
        <v>0</v>
      </c>
      <c r="BO42" s="1282">
        <f t="shared" si="20"/>
        <v>0</v>
      </c>
      <c r="BP42" s="1119"/>
      <c r="BQ42" s="1119"/>
      <c r="BR42" s="1512">
        <f t="shared" si="21"/>
        <v>35</v>
      </c>
      <c r="BS42" s="1513">
        <f t="shared" si="22"/>
        <v>0</v>
      </c>
      <c r="BT42" s="1439"/>
      <c r="BU42" s="1496"/>
      <c r="BV42" s="1440"/>
      <c r="BW42" s="1440"/>
      <c r="BX42" s="1440"/>
      <c r="BY42" s="1517">
        <f t="shared" si="23"/>
        <v>0</v>
      </c>
      <c r="BZ42" s="1439"/>
      <c r="CA42" s="1496"/>
      <c r="CB42" s="1440"/>
      <c r="CC42" s="1440"/>
      <c r="CD42" s="1440"/>
      <c r="CE42" s="1517">
        <f t="shared" si="24"/>
        <v>0</v>
      </c>
      <c r="CF42" s="1439"/>
      <c r="CG42" s="1496"/>
      <c r="CH42" s="1440"/>
      <c r="CI42" s="1440"/>
      <c r="CJ42" s="1440"/>
      <c r="CK42" s="1517">
        <f t="shared" si="25"/>
        <v>0</v>
      </c>
      <c r="CL42" s="1436"/>
      <c r="CM42" s="1421"/>
      <c r="CN42" s="1016"/>
      <c r="CO42" s="1016"/>
      <c r="CP42" s="1016"/>
    </row>
    <row r="43" spans="1:94" ht="25.5" customHeight="1" thickBot="1">
      <c r="A43" s="518" t="s">
        <v>286</v>
      </c>
      <c r="B43" s="1130">
        <f>SUM(B8:B42)</f>
        <v>0</v>
      </c>
      <c r="C43" s="1199" t="s">
        <v>1102</v>
      </c>
      <c r="D43" s="1200"/>
      <c r="E43" s="1201"/>
      <c r="F43" s="1201"/>
      <c r="G43" s="1202"/>
      <c r="H43" s="1203"/>
      <c r="I43" s="1203"/>
      <c r="J43" s="1203"/>
      <c r="K43" s="1203"/>
      <c r="L43" s="1203"/>
      <c r="M43" s="1175"/>
      <c r="N43" s="1175"/>
      <c r="O43" s="1204" t="s">
        <v>1021</v>
      </c>
      <c r="P43" s="514">
        <f>SUM(P8:P42)</f>
        <v>0</v>
      </c>
      <c r="Q43" s="2233"/>
      <c r="R43" s="2237">
        <f>SUM(R8:R42)</f>
        <v>0</v>
      </c>
      <c r="S43" s="636"/>
      <c r="T43" s="636"/>
      <c r="U43" s="636"/>
      <c r="V43" s="636"/>
      <c r="W43" s="636"/>
      <c r="X43" s="636"/>
      <c r="Y43" s="636"/>
      <c r="Z43" s="636"/>
      <c r="AA43" s="636"/>
      <c r="AB43" s="636"/>
      <c r="AC43" s="636"/>
      <c r="AD43" s="636"/>
      <c r="AE43" s="636"/>
      <c r="AF43" s="636"/>
      <c r="BE43" s="1070"/>
      <c r="BF43" s="1091"/>
      <c r="BG43" s="1091"/>
      <c r="BH43" s="492"/>
      <c r="BI43" s="1091"/>
      <c r="BJ43" s="316"/>
      <c r="BK43" s="1127">
        <f>SUM(BK8:BK42)</f>
        <v>0</v>
      </c>
      <c r="BL43" s="1127">
        <f>SUM(BL8:BL42)</f>
        <v>0</v>
      </c>
      <c r="BM43" s="1452">
        <f t="shared" ref="BM43:BO43" si="64">SUM(BM8:BM42)</f>
        <v>0</v>
      </c>
      <c r="BN43" s="1452">
        <f t="shared" si="64"/>
        <v>0</v>
      </c>
      <c r="BO43" s="1452">
        <f t="shared" si="64"/>
        <v>0</v>
      </c>
      <c r="BP43" s="1143" t="s">
        <v>1081</v>
      </c>
      <c r="BQ43" s="95"/>
      <c r="BR43" s="95"/>
      <c r="BS43" s="95"/>
      <c r="BT43" s="95"/>
      <c r="BU43" s="95"/>
      <c r="BV43" s="95"/>
      <c r="BW43" s="95"/>
      <c r="BX43" s="95"/>
      <c r="BY43" s="95"/>
      <c r="BZ43" s="95"/>
      <c r="CA43" s="95"/>
      <c r="CB43" s="95"/>
      <c r="CC43" s="95"/>
      <c r="CD43" s="95"/>
      <c r="CE43" s="95"/>
      <c r="CF43" s="95"/>
      <c r="CG43" s="95"/>
      <c r="CH43" s="95"/>
      <c r="CM43" s="146"/>
    </row>
    <row r="44" spans="1:94" ht="16.5" customHeight="1">
      <c r="A44" s="315"/>
      <c r="B44" s="488"/>
      <c r="C44" s="1421"/>
      <c r="D44" s="1196"/>
      <c r="E44" s="1196"/>
      <c r="F44" s="1196"/>
      <c r="G44" s="1170"/>
      <c r="H44" s="1170"/>
      <c r="I44" s="1170"/>
      <c r="J44" s="1170"/>
      <c r="K44" s="1170"/>
      <c r="L44" s="1170"/>
      <c r="M44" s="1017"/>
      <c r="N44" s="1017"/>
      <c r="O44" s="216"/>
      <c r="P44" s="2493" t="s">
        <v>1100</v>
      </c>
      <c r="Q44" s="1164"/>
      <c r="R44" s="2493" t="s">
        <v>1101</v>
      </c>
      <c r="S44" s="636"/>
      <c r="T44" s="636"/>
      <c r="U44" s="636"/>
      <c r="V44" s="636"/>
      <c r="W44" s="636"/>
      <c r="X44" s="636"/>
      <c r="Y44" s="636"/>
      <c r="Z44" s="636"/>
      <c r="AA44" s="636"/>
      <c r="AB44" s="636"/>
      <c r="AC44" s="636"/>
      <c r="AD44" s="636"/>
      <c r="AE44" s="636"/>
      <c r="AF44" s="636"/>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C44" s="488"/>
      <c r="BE44" s="622" t="e">
        <f>BK44</f>
        <v>#DIV/0!</v>
      </c>
      <c r="BF44" s="622" t="e">
        <f t="shared" ref="BF44:BI44" si="65">BL44</f>
        <v>#DIV/0!</v>
      </c>
      <c r="BG44" s="622" t="e">
        <f t="shared" si="65"/>
        <v>#DIV/0!</v>
      </c>
      <c r="BH44" s="1138" t="e">
        <f t="shared" si="65"/>
        <v>#DIV/0!</v>
      </c>
      <c r="BI44" s="622" t="e">
        <f t="shared" si="65"/>
        <v>#DIV/0!</v>
      </c>
      <c r="BJ44" s="316"/>
      <c r="BK44" s="622" t="e">
        <f>BK43/$B43</f>
        <v>#DIV/0!</v>
      </c>
      <c r="BL44" s="622" t="e">
        <f>BL43/$B43</f>
        <v>#DIV/0!</v>
      </c>
      <c r="BM44" s="622" t="e">
        <f>BM43/$B43</f>
        <v>#DIV/0!</v>
      </c>
      <c r="BN44" s="1138" t="e">
        <f>BN43/$B43</f>
        <v>#DIV/0!</v>
      </c>
      <c r="BO44" s="1127" t="e">
        <f>BO43/$B43</f>
        <v>#DIV/0!</v>
      </c>
      <c r="BP44" s="1143" t="s">
        <v>1060</v>
      </c>
      <c r="BQ44" s="95"/>
      <c r="BR44" s="95"/>
      <c r="BS44" s="95"/>
      <c r="BT44" s="95"/>
      <c r="BU44" s="95"/>
      <c r="BV44" s="95"/>
      <c r="BW44" s="95"/>
      <c r="BX44" s="95"/>
      <c r="BY44" s="95"/>
      <c r="BZ44" s="95"/>
      <c r="CA44" s="95"/>
      <c r="CB44" s="95"/>
      <c r="CC44" s="95"/>
      <c r="CD44" s="95"/>
      <c r="CE44" s="95"/>
      <c r="CF44" s="95"/>
      <c r="CG44" s="95"/>
      <c r="CH44" s="95"/>
      <c r="CI44" s="488"/>
      <c r="CJ44" s="18"/>
      <c r="CM44" s="152"/>
    </row>
    <row r="45" spans="1:94" ht="60" customHeight="1" thickBot="1">
      <c r="A45" s="1181"/>
      <c r="B45" s="1421"/>
      <c r="C45" s="1421"/>
      <c r="D45" s="1196"/>
      <c r="E45" s="1196"/>
      <c r="F45" s="1196"/>
      <c r="G45" s="1170"/>
      <c r="H45" s="1170"/>
      <c r="I45" s="1170"/>
      <c r="J45" s="1170"/>
      <c r="K45" s="1170"/>
      <c r="L45" s="1170"/>
      <c r="M45" s="1017"/>
      <c r="N45" s="1164"/>
      <c r="O45" s="316"/>
      <c r="P45" s="2494"/>
      <c r="Q45" s="1164"/>
      <c r="R45" s="2494"/>
      <c r="S45" s="983"/>
      <c r="T45" s="983"/>
      <c r="U45" s="983"/>
      <c r="V45" s="983"/>
      <c r="W45" s="983"/>
      <c r="X45" s="983"/>
      <c r="Y45" s="983"/>
      <c r="Z45" s="983"/>
      <c r="AA45" s="983"/>
      <c r="AB45" s="983"/>
      <c r="AC45" s="983"/>
      <c r="AD45" s="983"/>
      <c r="AE45" s="983"/>
      <c r="AF45" s="983"/>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488"/>
      <c r="BE45" s="1134" t="s">
        <v>1080</v>
      </c>
      <c r="BF45" s="1210" t="s">
        <v>1066</v>
      </c>
      <c r="BG45" s="1210" t="s">
        <v>1067</v>
      </c>
      <c r="BH45" s="906" t="s">
        <v>1241</v>
      </c>
      <c r="BI45" s="1210" t="s">
        <v>284</v>
      </c>
      <c r="BJ45" s="1209"/>
      <c r="BK45" s="1806" t="s">
        <v>1080</v>
      </c>
      <c r="BL45" s="1168" t="s">
        <v>1307</v>
      </c>
      <c r="BM45" s="1168" t="s">
        <v>1308</v>
      </c>
      <c r="BN45" s="906" t="s">
        <v>1241</v>
      </c>
      <c r="BO45" s="1210" t="s">
        <v>284</v>
      </c>
      <c r="BP45" s="488"/>
      <c r="BQ45" s="488"/>
      <c r="BR45" s="488"/>
      <c r="BS45" s="488"/>
      <c r="BT45" s="488"/>
      <c r="BU45" s="488"/>
      <c r="BV45" s="488"/>
      <c r="BW45" s="488"/>
      <c r="BX45" s="488"/>
      <c r="BY45" s="488"/>
      <c r="BZ45" s="488"/>
      <c r="CA45" s="488"/>
      <c r="CB45" s="488"/>
      <c r="CC45" s="488"/>
      <c r="CD45" s="488"/>
      <c r="CE45" s="488"/>
      <c r="CF45" s="488"/>
      <c r="CG45" s="488"/>
      <c r="CH45" s="488"/>
      <c r="CI45" s="488"/>
      <c r="CJ45" s="487"/>
      <c r="CK45" s="1114"/>
      <c r="CM45" s="152"/>
    </row>
    <row r="46" spans="1:94" ht="16.5" customHeight="1">
      <c r="B46" s="175"/>
      <c r="D46" s="1016"/>
      <c r="E46" s="175"/>
      <c r="J46" s="185"/>
      <c r="Q46" s="1017"/>
      <c r="R46" s="1017"/>
      <c r="S46" s="1017"/>
      <c r="T46" s="1017"/>
      <c r="U46" s="1017"/>
      <c r="V46" s="1017"/>
      <c r="W46" s="1017"/>
      <c r="X46" s="1017"/>
      <c r="Y46" s="1017"/>
      <c r="Z46" s="1017"/>
      <c r="AA46" s="1026"/>
      <c r="AB46" s="1026"/>
      <c r="AC46" s="1026"/>
      <c r="AD46" s="1026"/>
      <c r="AE46" s="1026"/>
      <c r="AF46" s="1026"/>
      <c r="AG46" s="1017"/>
      <c r="AH46" s="1026"/>
      <c r="AI46" s="1026"/>
      <c r="AJ46" s="1026"/>
      <c r="AK46" s="1026"/>
      <c r="AL46" s="1026"/>
      <c r="AM46" s="1026"/>
      <c r="AN46" s="1026"/>
      <c r="AO46" s="1036"/>
      <c r="AQ46" s="1036"/>
      <c r="AR46" s="1036"/>
      <c r="AS46" s="1036"/>
      <c r="AT46" s="1036"/>
      <c r="AU46" s="1036"/>
      <c r="AV46" s="1036"/>
      <c r="AW46" s="1106"/>
      <c r="AX46" s="1106"/>
      <c r="AY46" s="1106"/>
      <c r="AZ46" s="1106"/>
      <c r="BA46" s="1106"/>
      <c r="BB46" s="1106"/>
      <c r="BC46" s="1106"/>
      <c r="BD46" s="1036"/>
      <c r="BE46" s="1121"/>
      <c r="BF46" s="1036"/>
      <c r="BG46" s="1036"/>
      <c r="BH46" s="1075"/>
      <c r="BI46" s="1036"/>
      <c r="BJ46" s="1036"/>
      <c r="BK46" s="1121"/>
      <c r="BL46" s="1036"/>
      <c r="BM46" s="1036"/>
      <c r="BN46" s="1075"/>
      <c r="BO46" s="1036"/>
      <c r="BP46" s="1106"/>
      <c r="BQ46" s="1106"/>
      <c r="BR46" s="1113"/>
      <c r="BS46" s="1113"/>
      <c r="BT46" s="1113"/>
      <c r="BU46" s="1113"/>
      <c r="BV46" s="1113"/>
      <c r="BW46" s="1113"/>
      <c r="BX46" s="1113"/>
      <c r="BY46" s="1113"/>
      <c r="BZ46" s="1113"/>
      <c r="CA46" s="1113"/>
      <c r="CB46" s="1113"/>
      <c r="CC46" s="1113"/>
      <c r="CD46" s="1113"/>
      <c r="CE46" s="1113"/>
      <c r="CF46" s="1113"/>
      <c r="CG46" s="1113"/>
      <c r="CH46" s="1113"/>
      <c r="CI46" s="1026"/>
      <c r="CM46" s="146"/>
    </row>
    <row r="47" spans="1:94" ht="35.25" customHeight="1">
      <c r="A47" s="2664" t="s">
        <v>1068</v>
      </c>
      <c r="B47" s="2665"/>
      <c r="C47" s="2667" t="s">
        <v>1072</v>
      </c>
      <c r="D47" s="2668"/>
      <c r="E47" s="2668"/>
      <c r="F47" s="2668"/>
      <c r="G47" s="2668"/>
      <c r="H47" s="2668"/>
      <c r="I47" s="2668"/>
      <c r="J47" s="2668"/>
      <c r="K47" s="2668"/>
      <c r="L47" s="2668"/>
      <c r="M47" s="2542"/>
      <c r="N47" s="2542"/>
      <c r="O47" s="2542"/>
      <c r="P47" s="2542"/>
      <c r="Q47" s="2470"/>
      <c r="R47" s="2471"/>
      <c r="S47" s="200"/>
      <c r="T47" s="200"/>
      <c r="U47" s="200"/>
      <c r="V47" s="200"/>
      <c r="W47" s="200"/>
      <c r="X47" s="200"/>
      <c r="Y47" s="200"/>
      <c r="Z47" s="200"/>
      <c r="AA47" s="200"/>
      <c r="AB47" s="200"/>
      <c r="AC47" s="200"/>
      <c r="AD47" s="200"/>
      <c r="AE47" s="200"/>
      <c r="AF47" s="200"/>
      <c r="AG47" s="1017"/>
      <c r="AH47" s="1026"/>
      <c r="AI47" s="1026"/>
      <c r="AJ47" s="1026"/>
      <c r="AK47" s="1026"/>
      <c r="AL47" s="1026"/>
      <c r="AM47" s="1026"/>
      <c r="AN47" s="1026"/>
      <c r="AO47" s="1036"/>
      <c r="AQ47" s="1036"/>
      <c r="AR47" s="1036"/>
      <c r="AS47" s="1036"/>
      <c r="AT47" s="1036"/>
      <c r="AU47" s="1036"/>
      <c r="AV47" s="1036"/>
      <c r="AW47" s="1106"/>
      <c r="AX47" s="1106"/>
      <c r="AY47" s="1106"/>
      <c r="AZ47" s="1106"/>
      <c r="BA47" s="1106"/>
      <c r="BB47" s="1106"/>
      <c r="BC47" s="1106"/>
      <c r="BD47" s="1036"/>
      <c r="BE47" s="1121"/>
      <c r="BF47" s="1036"/>
      <c r="BG47" s="1036"/>
      <c r="BH47" s="1075"/>
      <c r="BI47" s="1036"/>
      <c r="BJ47" s="1036"/>
      <c r="BK47" s="1121"/>
      <c r="BL47" s="1036"/>
      <c r="BM47" s="1036"/>
      <c r="BN47" s="1075"/>
      <c r="BO47" s="1036"/>
      <c r="BP47" s="1106"/>
      <c r="BQ47" s="1106"/>
      <c r="BR47" s="1113"/>
      <c r="BS47" s="1113"/>
      <c r="BT47" s="1113"/>
      <c r="BU47" s="1113"/>
      <c r="BV47" s="1113"/>
      <c r="BW47" s="1113"/>
      <c r="BX47" s="1113"/>
      <c r="BY47" s="1113"/>
      <c r="BZ47" s="1113"/>
      <c r="CA47" s="1113"/>
      <c r="CB47" s="1113"/>
      <c r="CC47" s="1113"/>
      <c r="CD47" s="1113"/>
      <c r="CE47" s="1113"/>
      <c r="CF47" s="1113"/>
      <c r="CG47" s="1113"/>
      <c r="CH47" s="1113"/>
      <c r="CI47" s="1026"/>
      <c r="CM47" s="146"/>
    </row>
    <row r="48" spans="1:94" ht="28.5" customHeight="1">
      <c r="A48" s="2665"/>
      <c r="B48" s="2665"/>
      <c r="C48" s="2669"/>
      <c r="D48" s="2670"/>
      <c r="E48" s="2670"/>
      <c r="F48" s="2670"/>
      <c r="G48" s="2670"/>
      <c r="H48" s="2670"/>
      <c r="I48" s="2670"/>
      <c r="J48" s="2670"/>
      <c r="K48" s="2670"/>
      <c r="L48" s="2670"/>
      <c r="M48" s="2526"/>
      <c r="N48" s="2526"/>
      <c r="O48" s="2526"/>
      <c r="P48" s="2526"/>
      <c r="Q48" s="2452"/>
      <c r="R48" s="2475"/>
      <c r="S48" s="200"/>
      <c r="T48" s="200"/>
      <c r="U48" s="200"/>
      <c r="V48" s="200"/>
      <c r="W48" s="200"/>
      <c r="X48" s="200"/>
      <c r="Y48" s="200"/>
      <c r="Z48" s="200"/>
      <c r="AA48" s="200"/>
      <c r="AB48" s="200"/>
      <c r="AC48" s="200"/>
      <c r="AD48" s="200"/>
      <c r="AE48" s="200"/>
      <c r="AF48" s="200"/>
      <c r="AG48" s="1017"/>
      <c r="AH48" s="1026"/>
      <c r="AI48" s="1026"/>
      <c r="AJ48" s="1026"/>
      <c r="AK48" s="1026"/>
      <c r="AL48" s="1026"/>
      <c r="AM48" s="1026"/>
      <c r="AN48" s="1026"/>
      <c r="AO48" s="1036"/>
      <c r="AQ48" s="1036"/>
      <c r="AR48" s="1036"/>
      <c r="AS48" s="1036"/>
      <c r="AT48" s="1036"/>
      <c r="AU48" s="1036"/>
      <c r="AV48" s="1036"/>
      <c r="AW48" s="1106"/>
      <c r="AX48" s="1106"/>
      <c r="AY48" s="1106"/>
      <c r="AZ48" s="1106"/>
      <c r="BA48" s="1106"/>
      <c r="BB48" s="1106"/>
      <c r="BC48" s="1106"/>
      <c r="BD48" s="1036"/>
      <c r="BE48" s="1121"/>
      <c r="BF48" s="1036"/>
      <c r="BG48" s="1036"/>
      <c r="BH48" s="1075"/>
      <c r="BI48" s="1036"/>
      <c r="BJ48" s="1036"/>
      <c r="BK48" s="1121"/>
      <c r="BL48" s="1036"/>
      <c r="BM48" s="1036"/>
      <c r="BN48" s="1075"/>
      <c r="BO48" s="1036"/>
      <c r="BP48" s="1106"/>
      <c r="BQ48" s="1106"/>
      <c r="BR48" s="1113"/>
      <c r="BS48" s="1113"/>
      <c r="BT48" s="1113"/>
      <c r="BU48" s="1113"/>
      <c r="BV48" s="1113"/>
      <c r="BW48" s="1113"/>
      <c r="BX48" s="1113"/>
      <c r="BY48" s="1113"/>
      <c r="BZ48" s="1113"/>
      <c r="CA48" s="1113"/>
      <c r="CB48" s="1113"/>
      <c r="CC48" s="1113"/>
      <c r="CD48" s="1113"/>
      <c r="CE48" s="1113"/>
      <c r="CF48" s="1113"/>
      <c r="CG48" s="1113"/>
      <c r="CH48" s="1113"/>
      <c r="CI48" s="1026"/>
      <c r="CM48" s="146"/>
    </row>
    <row r="49" spans="1:91" ht="24.75" customHeight="1">
      <c r="A49" s="2666"/>
      <c r="B49" s="2666"/>
      <c r="C49" s="2671"/>
      <c r="D49" s="2479"/>
      <c r="E49" s="2479"/>
      <c r="F49" s="2479"/>
      <c r="G49" s="2479"/>
      <c r="H49" s="2479"/>
      <c r="I49" s="2479"/>
      <c r="J49" s="2479"/>
      <c r="K49" s="2479"/>
      <c r="L49" s="2479"/>
      <c r="M49" s="2479"/>
      <c r="N49" s="2479"/>
      <c r="O49" s="2479"/>
      <c r="P49" s="2479"/>
      <c r="Q49" s="2479"/>
      <c r="R49" s="2480"/>
      <c r="S49" s="200"/>
      <c r="T49" s="200"/>
      <c r="U49" s="200"/>
      <c r="V49" s="200"/>
      <c r="W49" s="200"/>
      <c r="X49" s="200"/>
      <c r="Y49" s="200"/>
      <c r="Z49" s="200"/>
      <c r="AA49" s="200"/>
      <c r="AB49" s="200"/>
      <c r="AC49" s="200"/>
      <c r="AD49" s="200"/>
      <c r="AE49" s="200"/>
      <c r="AF49" s="200"/>
      <c r="AG49" s="1017"/>
      <c r="AH49" s="1026"/>
      <c r="AI49" s="1026"/>
      <c r="AJ49" s="1026"/>
      <c r="AK49" s="1026"/>
      <c r="AL49" s="1026"/>
      <c r="AM49" s="1026"/>
      <c r="AN49" s="1026"/>
      <c r="AO49" s="1036"/>
      <c r="AQ49" s="1036"/>
      <c r="AR49" s="1036"/>
      <c r="AS49" s="1036"/>
      <c r="AT49" s="1036"/>
      <c r="AU49" s="1036"/>
      <c r="AV49" s="1036"/>
      <c r="AW49" s="1106"/>
      <c r="AX49" s="1106"/>
      <c r="AY49" s="1106"/>
      <c r="AZ49" s="1106"/>
      <c r="BA49" s="1106"/>
      <c r="BB49" s="1106"/>
      <c r="BC49" s="1106"/>
      <c r="BD49" s="1036"/>
      <c r="BE49" s="1121"/>
      <c r="BF49" s="1036"/>
      <c r="BG49" s="1036"/>
      <c r="BH49" s="1075"/>
      <c r="BI49" s="1036"/>
      <c r="BJ49" s="1036"/>
      <c r="BK49" s="1121"/>
      <c r="BL49" s="1036"/>
      <c r="BM49" s="1036"/>
      <c r="BN49" s="1075"/>
      <c r="BO49" s="1036"/>
      <c r="BP49" s="1106"/>
      <c r="BQ49" s="1106"/>
      <c r="BR49" s="1113"/>
      <c r="BS49" s="1113"/>
      <c r="BT49" s="1113"/>
      <c r="BU49" s="1113"/>
      <c r="BV49" s="1113"/>
      <c r="BW49" s="1113"/>
      <c r="BX49" s="1113"/>
      <c r="BY49" s="1113"/>
      <c r="BZ49" s="1113"/>
      <c r="CA49" s="1113"/>
      <c r="CB49" s="1113"/>
      <c r="CC49" s="1113"/>
      <c r="CD49" s="1113"/>
      <c r="CE49" s="1113"/>
      <c r="CF49" s="1113"/>
      <c r="CG49" s="1113"/>
      <c r="CH49" s="1113"/>
      <c r="CI49" s="1026"/>
      <c r="CM49" s="146"/>
    </row>
    <row r="50" spans="1:91" ht="24.75" customHeight="1">
      <c r="B50" s="175"/>
      <c r="D50" s="1016"/>
      <c r="E50" s="175"/>
      <c r="J50" s="185"/>
      <c r="Q50" s="1017"/>
      <c r="R50" s="1017"/>
      <c r="S50" s="200"/>
      <c r="T50" s="200"/>
      <c r="U50" s="200"/>
      <c r="V50" s="200"/>
      <c r="W50" s="200"/>
      <c r="X50" s="200"/>
      <c r="Y50" s="200"/>
      <c r="Z50" s="200"/>
      <c r="AA50" s="200"/>
      <c r="AB50" s="200"/>
      <c r="AC50" s="200"/>
      <c r="AD50" s="200"/>
      <c r="AE50" s="200"/>
      <c r="AF50" s="200"/>
      <c r="AG50" s="1017"/>
      <c r="AH50" s="1026"/>
      <c r="AI50" s="1026"/>
      <c r="AJ50" s="1026"/>
      <c r="AK50" s="1026"/>
      <c r="AL50" s="1026"/>
      <c r="AM50" s="1026"/>
      <c r="AN50" s="1026"/>
      <c r="AO50" s="1036"/>
      <c r="AQ50" s="1036"/>
      <c r="AR50" s="1036"/>
      <c r="AS50" s="1036"/>
      <c r="AT50" s="1036"/>
      <c r="AU50" s="1036"/>
      <c r="AV50" s="1036"/>
      <c r="AW50" s="1106"/>
      <c r="AX50" s="1106"/>
      <c r="AY50" s="1106"/>
      <c r="AZ50" s="1106"/>
      <c r="BA50" s="1106"/>
      <c r="BB50" s="1106"/>
      <c r="BC50" s="1106"/>
      <c r="BD50" s="1036"/>
      <c r="BE50" s="1121"/>
      <c r="BF50" s="1036"/>
      <c r="BG50" s="1036"/>
      <c r="BH50" s="1075"/>
      <c r="BI50" s="1036"/>
      <c r="BJ50" s="1036"/>
      <c r="BK50" s="1121"/>
      <c r="BL50" s="1036"/>
      <c r="BM50" s="1036"/>
      <c r="BN50" s="1075"/>
      <c r="BO50" s="1036"/>
      <c r="BP50" s="1106"/>
      <c r="BQ50" s="1106"/>
      <c r="BR50" s="1113"/>
      <c r="BS50" s="1113"/>
      <c r="BT50" s="1113"/>
      <c r="BU50" s="1113"/>
      <c r="BV50" s="1113"/>
      <c r="BW50" s="1113"/>
      <c r="BX50" s="1113"/>
      <c r="BY50" s="1113"/>
      <c r="BZ50" s="1113"/>
      <c r="CA50" s="1113"/>
      <c r="CB50" s="1113"/>
      <c r="CC50" s="1113"/>
      <c r="CD50" s="1113"/>
      <c r="CE50" s="1113"/>
      <c r="CF50" s="1113"/>
      <c r="CG50" s="1113"/>
      <c r="CH50" s="1113"/>
      <c r="CI50" s="1026"/>
    </row>
    <row r="51" spans="1:91" ht="15" customHeight="1">
      <c r="A51" s="2481" t="s">
        <v>609</v>
      </c>
      <c r="B51" s="2482"/>
      <c r="C51" s="2489" t="s">
        <v>1073</v>
      </c>
      <c r="D51" s="2490"/>
      <c r="E51" s="2490"/>
      <c r="F51" s="2490"/>
      <c r="G51" s="2490"/>
      <c r="H51" s="2490"/>
      <c r="I51" s="2490"/>
      <c r="J51" s="2490"/>
      <c r="K51" s="2490"/>
      <c r="L51" s="2490"/>
      <c r="M51" s="2490"/>
      <c r="N51" s="2490"/>
      <c r="O51" s="2490"/>
      <c r="P51" s="2490"/>
      <c r="Q51" s="2491"/>
      <c r="R51" s="2491"/>
      <c r="S51" s="1017"/>
      <c r="T51" s="1017"/>
      <c r="U51" s="1017"/>
      <c r="V51" s="1017"/>
      <c r="W51" s="1017"/>
      <c r="X51" s="1017"/>
      <c r="Y51" s="1017"/>
      <c r="Z51" s="1017"/>
      <c r="AA51" s="1026"/>
      <c r="AB51" s="1026"/>
      <c r="AC51" s="1026"/>
      <c r="AD51" s="1026"/>
      <c r="AE51" s="1026"/>
      <c r="AF51" s="1026"/>
      <c r="AG51" s="1017"/>
      <c r="AH51" s="1026"/>
      <c r="AI51" s="1026"/>
      <c r="AJ51" s="1026"/>
      <c r="AK51" s="1026"/>
      <c r="AL51" s="1026"/>
      <c r="AM51" s="1026"/>
      <c r="AN51" s="1026"/>
      <c r="AO51" s="1036"/>
      <c r="AQ51" s="1036"/>
      <c r="AR51" s="1036"/>
      <c r="AS51" s="1036"/>
      <c r="AT51" s="1036"/>
      <c r="AU51" s="1036"/>
      <c r="AV51" s="1036"/>
      <c r="AW51" s="1106"/>
      <c r="AX51" s="1106"/>
      <c r="AY51" s="1106"/>
      <c r="AZ51" s="1106"/>
      <c r="BA51" s="1106"/>
      <c r="BB51" s="1106"/>
      <c r="BC51" s="1106"/>
      <c r="BD51" s="1036"/>
      <c r="BE51" s="1121"/>
      <c r="BF51" s="1036"/>
      <c r="BG51" s="1036"/>
      <c r="BH51" s="1075"/>
      <c r="BI51" s="1036"/>
      <c r="BJ51" s="1036"/>
      <c r="BK51" s="1121"/>
      <c r="BL51" s="1036"/>
      <c r="BM51" s="1036"/>
      <c r="BN51" s="1075"/>
      <c r="BO51" s="1036"/>
      <c r="BP51" s="1106"/>
      <c r="BQ51" s="1106"/>
      <c r="BR51" s="1113"/>
      <c r="BS51" s="1113"/>
      <c r="BT51" s="1113"/>
      <c r="BU51" s="1113"/>
      <c r="BV51" s="1113"/>
      <c r="BW51" s="1113"/>
      <c r="BX51" s="1113"/>
      <c r="BY51" s="1113"/>
      <c r="BZ51" s="1113"/>
      <c r="CA51" s="1113"/>
      <c r="CB51" s="1113"/>
      <c r="CC51" s="1113"/>
      <c r="CD51" s="1113"/>
      <c r="CE51" s="1113"/>
      <c r="CF51" s="1113"/>
      <c r="CG51" s="1113"/>
      <c r="CH51" s="1113"/>
      <c r="CI51" s="1026"/>
    </row>
    <row r="52" spans="1:91" ht="15" customHeight="1">
      <c r="A52" s="2483"/>
      <c r="B52" s="2484"/>
      <c r="C52" s="2490"/>
      <c r="D52" s="2490"/>
      <c r="E52" s="2490"/>
      <c r="F52" s="2490"/>
      <c r="G52" s="2490"/>
      <c r="H52" s="2490"/>
      <c r="I52" s="2490"/>
      <c r="J52" s="2490"/>
      <c r="K52" s="2490"/>
      <c r="L52" s="2490"/>
      <c r="M52" s="2490"/>
      <c r="N52" s="2490"/>
      <c r="O52" s="2490"/>
      <c r="P52" s="2490"/>
      <c r="Q52" s="2491"/>
      <c r="R52" s="2491"/>
      <c r="S52" s="1017"/>
      <c r="T52" s="1017"/>
      <c r="U52" s="1017"/>
      <c r="V52" s="1017"/>
      <c r="W52" s="1017"/>
      <c r="X52" s="1017"/>
      <c r="Y52" s="1017"/>
      <c r="Z52" s="1017"/>
      <c r="AA52" s="1026"/>
      <c r="AB52" s="1026"/>
      <c r="AC52" s="1026"/>
      <c r="AD52" s="1026"/>
      <c r="AE52" s="1026"/>
      <c r="AF52" s="1026"/>
    </row>
    <row r="53" spans="1:91" ht="15" customHeight="1">
      <c r="A53" s="2485"/>
      <c r="B53" s="2486"/>
      <c r="C53" s="2490"/>
      <c r="D53" s="2490"/>
      <c r="E53" s="2490"/>
      <c r="F53" s="2490"/>
      <c r="G53" s="2490"/>
      <c r="H53" s="2490"/>
      <c r="I53" s="2490"/>
      <c r="J53" s="2490"/>
      <c r="K53" s="2490"/>
      <c r="L53" s="2490"/>
      <c r="M53" s="2490"/>
      <c r="N53" s="2490"/>
      <c r="O53" s="2490"/>
      <c r="P53" s="2490"/>
      <c r="Q53" s="2491"/>
      <c r="R53" s="2491"/>
    </row>
    <row r="54" spans="1:91" ht="24" customHeight="1">
      <c r="A54" s="2487"/>
      <c r="B54" s="2488"/>
      <c r="C54" s="2489" t="s">
        <v>588</v>
      </c>
      <c r="D54" s="2490"/>
      <c r="E54" s="2490"/>
      <c r="F54" s="2490"/>
      <c r="G54" s="2490"/>
      <c r="H54" s="2490"/>
      <c r="I54" s="2490"/>
      <c r="J54" s="2490"/>
      <c r="K54" s="2490"/>
      <c r="L54" s="2490"/>
      <c r="M54" s="2490"/>
      <c r="N54" s="2490"/>
      <c r="O54" s="2491"/>
      <c r="P54" s="2491"/>
      <c r="Q54" s="2491"/>
      <c r="R54" s="2491"/>
    </row>
    <row r="55" spans="1:91">
      <c r="Q55" s="1017"/>
      <c r="R55" s="1017"/>
      <c r="AG55" s="1019"/>
      <c r="AH55" s="1027"/>
      <c r="AI55" s="1027"/>
      <c r="AJ55" s="1027"/>
      <c r="AK55" s="1027"/>
      <c r="AL55" s="1027"/>
      <c r="AM55" s="1027"/>
      <c r="AN55" s="1027"/>
      <c r="AO55" s="1037"/>
      <c r="AP55" s="2079"/>
      <c r="AQ55" s="1037"/>
      <c r="AR55" s="1037"/>
      <c r="AS55" s="1037"/>
      <c r="AT55" s="1037"/>
      <c r="AU55" s="1037"/>
      <c r="AV55" s="1037"/>
      <c r="AW55" s="1107"/>
      <c r="AX55" s="1107"/>
      <c r="AY55" s="1107"/>
      <c r="AZ55" s="1107"/>
      <c r="BA55" s="1107"/>
      <c r="BB55" s="1107"/>
      <c r="BC55" s="1107"/>
      <c r="BD55" s="1037"/>
      <c r="BE55" s="1122"/>
      <c r="BF55" s="1037"/>
      <c r="BG55" s="1037"/>
      <c r="BH55" s="1076"/>
      <c r="BI55" s="1037"/>
      <c r="BJ55" s="1037"/>
      <c r="BK55" s="1122"/>
      <c r="BL55" s="1037"/>
      <c r="BM55" s="1037"/>
      <c r="BN55" s="1076"/>
      <c r="BO55" s="1037"/>
      <c r="BP55" s="1107"/>
      <c r="BQ55" s="1107"/>
      <c r="BR55" s="1114"/>
      <c r="BS55" s="1114"/>
      <c r="BT55" s="1114"/>
      <c r="BU55" s="1114"/>
      <c r="BV55" s="1114"/>
      <c r="BW55" s="1114"/>
      <c r="BX55" s="1114"/>
      <c r="BY55" s="1114"/>
      <c r="BZ55" s="1114"/>
      <c r="CA55" s="1114"/>
      <c r="CB55" s="1114"/>
      <c r="CC55" s="1114"/>
      <c r="CD55" s="1114"/>
      <c r="CE55" s="1114"/>
      <c r="CF55" s="1114"/>
      <c r="CG55" s="1114"/>
      <c r="CH55" s="1114"/>
      <c r="CI55" s="1027"/>
    </row>
    <row r="56" spans="1:91" ht="9.75" customHeight="1">
      <c r="Q56" s="1017"/>
      <c r="R56" s="1017"/>
      <c r="S56" s="1017"/>
      <c r="T56" s="1017"/>
      <c r="U56" s="1017"/>
      <c r="V56" s="1017"/>
      <c r="W56" s="1017"/>
      <c r="X56" s="1017"/>
      <c r="Y56" s="1017"/>
      <c r="Z56" s="1017"/>
      <c r="AA56" s="1026"/>
      <c r="AB56" s="1026"/>
      <c r="AC56" s="1026"/>
      <c r="AD56" s="1026"/>
      <c r="AE56" s="1026"/>
      <c r="AF56" s="1026"/>
      <c r="AG56" s="1017"/>
      <c r="AH56" s="1026"/>
      <c r="AI56" s="1026"/>
      <c r="AJ56" s="1026"/>
      <c r="AK56" s="1026"/>
      <c r="AL56" s="1026"/>
      <c r="AM56" s="1026"/>
      <c r="AN56" s="1026"/>
      <c r="AO56" s="1036"/>
      <c r="AQ56" s="1036"/>
      <c r="AR56" s="1036"/>
      <c r="AS56" s="1036"/>
      <c r="AT56" s="1036"/>
      <c r="AU56" s="1036"/>
      <c r="AV56" s="1036"/>
      <c r="AW56" s="1106"/>
      <c r="AX56" s="1106"/>
      <c r="AY56" s="1106"/>
      <c r="AZ56" s="1106"/>
      <c r="BA56" s="1106"/>
      <c r="BB56" s="1106"/>
      <c r="BC56" s="1106"/>
      <c r="BD56" s="1036"/>
      <c r="BE56" s="1121"/>
      <c r="BF56" s="1036"/>
      <c r="BG56" s="1036"/>
      <c r="BH56" s="1075"/>
      <c r="BI56" s="1036"/>
      <c r="BJ56" s="1036"/>
      <c r="BK56" s="1121"/>
      <c r="BL56" s="1036"/>
      <c r="BM56" s="1036"/>
      <c r="BN56" s="1075"/>
      <c r="BO56" s="1036"/>
      <c r="BP56" s="1106"/>
      <c r="BQ56" s="1106"/>
      <c r="BR56" s="1113"/>
      <c r="BS56" s="1113"/>
      <c r="BT56" s="1113"/>
      <c r="BU56" s="1113"/>
      <c r="BV56" s="1113"/>
      <c r="BW56" s="1113"/>
      <c r="BX56" s="1113"/>
      <c r="BY56" s="1113"/>
      <c r="BZ56" s="1113"/>
      <c r="CA56" s="1113"/>
      <c r="CB56" s="1113"/>
      <c r="CC56" s="1113"/>
      <c r="CD56" s="1113"/>
      <c r="CE56" s="1113"/>
      <c r="CF56" s="1113"/>
      <c r="CG56" s="1113"/>
      <c r="CH56" s="1113"/>
      <c r="CI56" s="1026"/>
    </row>
    <row r="57" spans="1:91" ht="18.75">
      <c r="Q57" s="1017"/>
      <c r="S57" s="1017"/>
      <c r="T57" s="1017"/>
      <c r="U57" s="861"/>
      <c r="V57" s="861"/>
      <c r="W57" s="1017"/>
      <c r="X57" s="1017"/>
      <c r="Y57" s="1017"/>
      <c r="Z57" s="1017"/>
      <c r="AA57" s="1026"/>
      <c r="AB57" s="1026"/>
      <c r="AC57" s="1026"/>
      <c r="AD57" s="1026"/>
      <c r="AE57" s="1026"/>
      <c r="AF57" s="1026"/>
      <c r="AG57" s="1017"/>
      <c r="AH57" s="1026"/>
      <c r="AI57" s="1026"/>
      <c r="AJ57" s="1026"/>
      <c r="AK57" s="1026"/>
      <c r="AL57" s="1026"/>
      <c r="AM57" s="1026"/>
      <c r="AN57" s="1026"/>
      <c r="AO57" s="1036"/>
      <c r="AQ57" s="1036"/>
      <c r="AR57" s="1036"/>
      <c r="AS57" s="1036"/>
      <c r="AT57" s="1036"/>
      <c r="AU57" s="1036"/>
      <c r="AV57" s="1036"/>
      <c r="AW57" s="1106"/>
      <c r="AX57" s="1106"/>
      <c r="AY57" s="1106"/>
      <c r="AZ57" s="1106"/>
      <c r="BA57" s="1106"/>
      <c r="BB57" s="1106"/>
      <c r="BC57" s="1106"/>
      <c r="BD57" s="1036"/>
      <c r="BE57" s="1121"/>
      <c r="BF57" s="1036"/>
      <c r="BG57" s="1036"/>
      <c r="BH57" s="1075"/>
      <c r="BI57" s="1036"/>
      <c r="BJ57" s="1036"/>
      <c r="BK57" s="1121"/>
      <c r="BL57" s="1036"/>
      <c r="BM57" s="1036"/>
      <c r="BN57" s="1075"/>
      <c r="BO57" s="1036"/>
      <c r="BP57" s="1106"/>
      <c r="BQ57" s="1106"/>
      <c r="BR57" s="1113"/>
      <c r="BS57" s="1113"/>
      <c r="BT57" s="1113"/>
      <c r="BU57" s="1113"/>
      <c r="BV57" s="1113"/>
      <c r="BW57" s="1113"/>
      <c r="BX57" s="1113"/>
      <c r="BY57" s="1113"/>
      <c r="BZ57" s="1113"/>
      <c r="CA57" s="1113"/>
      <c r="CB57" s="1113"/>
      <c r="CC57" s="1113"/>
      <c r="CD57" s="1113"/>
      <c r="CE57" s="1113"/>
      <c r="CF57" s="1113"/>
      <c r="CG57" s="1113"/>
      <c r="CH57" s="1113"/>
      <c r="CI57" s="1026"/>
      <c r="CJ57" s="1017"/>
    </row>
    <row r="58" spans="1:91">
      <c r="Q58" s="1021"/>
      <c r="S58" s="1017"/>
      <c r="T58" s="1017"/>
      <c r="U58" s="2526"/>
      <c r="V58" s="2526"/>
      <c r="W58" s="2527"/>
      <c r="X58" s="2527"/>
      <c r="Y58" s="2527"/>
      <c r="Z58" s="2527"/>
      <c r="AA58" s="2527"/>
      <c r="AB58" s="2527"/>
      <c r="AC58" s="2527"/>
      <c r="AD58" s="2527"/>
      <c r="AE58" s="2527"/>
      <c r="AF58" s="2527"/>
      <c r="AG58" s="2527"/>
      <c r="AH58" s="2527"/>
      <c r="AI58" s="2527"/>
      <c r="AJ58" s="2527"/>
      <c r="AK58" s="2527"/>
      <c r="AL58" s="2527"/>
      <c r="AM58" s="2527"/>
      <c r="AN58" s="2527"/>
      <c r="AO58" s="2527"/>
      <c r="AP58" s="2527"/>
      <c r="AQ58" s="2527"/>
      <c r="AR58" s="2527"/>
      <c r="AS58" s="2527"/>
      <c r="AT58" s="2527"/>
      <c r="AU58" s="2527"/>
      <c r="AV58" s="2527"/>
      <c r="AW58" s="2527"/>
      <c r="AX58" s="2527"/>
      <c r="AY58" s="2527"/>
      <c r="AZ58" s="2527"/>
      <c r="BA58" s="2527"/>
      <c r="BB58" s="2527"/>
      <c r="BC58" s="2527"/>
      <c r="BD58" s="2527"/>
      <c r="BE58" s="2527"/>
      <c r="BF58" s="2527"/>
      <c r="BG58" s="2527"/>
      <c r="BH58" s="2527"/>
      <c r="BI58" s="2527"/>
      <c r="BJ58" s="2527"/>
      <c r="BK58" s="2527"/>
      <c r="BL58" s="2527"/>
      <c r="BM58" s="2527"/>
      <c r="BN58" s="2527"/>
      <c r="BO58" s="2527"/>
      <c r="BP58" s="2527"/>
      <c r="BQ58" s="2527"/>
      <c r="BR58" s="2527"/>
      <c r="BS58" s="2527"/>
      <c r="BT58" s="2527"/>
      <c r="BU58" s="2527"/>
      <c r="BV58" s="2527"/>
      <c r="BW58" s="2527"/>
      <c r="BX58" s="2527"/>
      <c r="BY58" s="2527"/>
      <c r="BZ58" s="2527"/>
      <c r="CA58" s="2527"/>
      <c r="CB58" s="2527"/>
      <c r="CC58" s="2527"/>
      <c r="CD58" s="2527"/>
      <c r="CE58" s="2527"/>
      <c r="CF58" s="2527"/>
      <c r="CG58" s="2527"/>
      <c r="CH58" s="2527"/>
      <c r="CI58" s="2527"/>
      <c r="CJ58" s="2527"/>
    </row>
    <row r="59" spans="1:91">
      <c r="Q59" s="1021"/>
      <c r="U59" s="2527"/>
      <c r="V59" s="2527"/>
      <c r="W59" s="2527"/>
      <c r="X59" s="2527"/>
      <c r="Y59" s="2527"/>
      <c r="Z59" s="2527"/>
      <c r="AA59" s="2527"/>
      <c r="AB59" s="2527"/>
      <c r="AC59" s="2527"/>
      <c r="AD59" s="2527"/>
      <c r="AE59" s="2527"/>
      <c r="AF59" s="2527"/>
      <c r="AG59" s="2527"/>
      <c r="AH59" s="2527"/>
      <c r="AI59" s="2527"/>
      <c r="AJ59" s="2527"/>
      <c r="AK59" s="2527"/>
      <c r="AL59" s="2527"/>
      <c r="AM59" s="2527"/>
      <c r="AN59" s="2527"/>
      <c r="AO59" s="2527"/>
      <c r="AP59" s="2527"/>
      <c r="AQ59" s="2527"/>
      <c r="AR59" s="2527"/>
      <c r="AS59" s="2527"/>
      <c r="AT59" s="2527"/>
      <c r="AU59" s="2527"/>
      <c r="AV59" s="2527"/>
      <c r="AW59" s="2527"/>
      <c r="AX59" s="2527"/>
      <c r="AY59" s="2527"/>
      <c r="AZ59" s="2527"/>
      <c r="BA59" s="2527"/>
      <c r="BB59" s="2527"/>
      <c r="BC59" s="2527"/>
      <c r="BD59" s="2527"/>
      <c r="BE59" s="2527"/>
      <c r="BF59" s="2527"/>
      <c r="BG59" s="2527"/>
      <c r="BH59" s="2527"/>
      <c r="BI59" s="2527"/>
      <c r="BJ59" s="2527"/>
      <c r="BK59" s="2527"/>
      <c r="BL59" s="2527"/>
      <c r="BM59" s="2527"/>
      <c r="BN59" s="2527"/>
      <c r="BO59" s="2527"/>
      <c r="BP59" s="2527"/>
      <c r="BQ59" s="2527"/>
      <c r="BR59" s="2527"/>
      <c r="BS59" s="2527"/>
      <c r="BT59" s="2527"/>
      <c r="BU59" s="2527"/>
      <c r="BV59" s="2527"/>
      <c r="BW59" s="2527"/>
      <c r="BX59" s="2527"/>
      <c r="BY59" s="2527"/>
      <c r="BZ59" s="2527"/>
      <c r="CA59" s="2527"/>
      <c r="CB59" s="2527"/>
      <c r="CC59" s="2527"/>
      <c r="CD59" s="2527"/>
      <c r="CE59" s="2527"/>
      <c r="CF59" s="2527"/>
      <c r="CG59" s="2527"/>
      <c r="CH59" s="2527"/>
      <c r="CI59" s="2527"/>
      <c r="CJ59" s="2527"/>
    </row>
    <row r="60" spans="1:91">
      <c r="R60" s="1017"/>
      <c r="U60" s="1017"/>
      <c r="V60" s="1017"/>
      <c r="W60" s="1017"/>
      <c r="X60" s="1017"/>
      <c r="Y60" s="1017"/>
      <c r="Z60" s="1017"/>
      <c r="AA60" s="1026"/>
      <c r="AB60" s="1026"/>
      <c r="AC60" s="1026"/>
      <c r="AD60" s="1026"/>
      <c r="AE60" s="1026"/>
      <c r="AF60" s="1026"/>
      <c r="AG60" s="1017"/>
      <c r="AH60" s="1026"/>
      <c r="AI60" s="1026"/>
      <c r="AJ60" s="1026"/>
      <c r="AK60" s="1026"/>
      <c r="AL60" s="1026"/>
      <c r="AM60" s="1026"/>
      <c r="AN60" s="1026"/>
      <c r="AO60" s="1036"/>
      <c r="AQ60" s="1036"/>
      <c r="AR60" s="1036"/>
      <c r="AS60" s="1036"/>
      <c r="AT60" s="1036"/>
      <c r="AU60" s="1036"/>
      <c r="AV60" s="1036"/>
      <c r="AW60" s="1106"/>
      <c r="AX60" s="1106"/>
      <c r="AY60" s="1106"/>
      <c r="AZ60" s="1106"/>
      <c r="BA60" s="1106"/>
      <c r="BB60" s="1106"/>
      <c r="BC60" s="1106"/>
      <c r="BD60" s="1036"/>
      <c r="BE60" s="1121"/>
      <c r="BF60" s="1036"/>
      <c r="BG60" s="1036"/>
      <c r="BH60" s="1075"/>
      <c r="BI60" s="1036"/>
      <c r="BJ60" s="1036"/>
      <c r="BK60" s="1121"/>
      <c r="BL60" s="1036"/>
      <c r="BM60" s="1036"/>
      <c r="BN60" s="1075"/>
      <c r="BO60" s="1036"/>
      <c r="BP60" s="1106"/>
      <c r="BQ60" s="1106"/>
      <c r="BR60" s="1113"/>
      <c r="BS60" s="1113"/>
      <c r="BT60" s="1113"/>
      <c r="BU60" s="1113"/>
      <c r="BV60" s="1113"/>
      <c r="BW60" s="1113"/>
      <c r="BX60" s="1113"/>
      <c r="BY60" s="1113"/>
      <c r="BZ60" s="1113"/>
      <c r="CA60" s="1113"/>
      <c r="CB60" s="1113"/>
      <c r="CC60" s="1113"/>
      <c r="CD60" s="1113"/>
      <c r="CE60" s="1113"/>
      <c r="CF60" s="1113"/>
      <c r="CG60" s="1113"/>
      <c r="CH60" s="1113"/>
      <c r="CI60" s="1026"/>
      <c r="CJ60" s="1017"/>
    </row>
    <row r="61" spans="1:91" ht="15.75">
      <c r="Q61" s="1017"/>
      <c r="R61" s="1017"/>
      <c r="U61" s="860"/>
      <c r="V61" s="860"/>
      <c r="W61" s="1023"/>
      <c r="X61" s="2545"/>
      <c r="Y61" s="2452"/>
      <c r="Z61" s="908"/>
      <c r="AA61" s="908"/>
      <c r="AB61" s="908"/>
      <c r="AC61" s="908"/>
      <c r="AD61" s="908"/>
      <c r="AE61" s="908"/>
      <c r="AF61" s="908"/>
      <c r="AG61" s="908"/>
      <c r="AH61" s="908"/>
      <c r="AI61" s="908"/>
      <c r="AJ61" s="908"/>
      <c r="AK61" s="908"/>
      <c r="AL61" s="908"/>
      <c r="AM61" s="908"/>
      <c r="AN61" s="908"/>
      <c r="AO61" s="908"/>
      <c r="AP61" s="908"/>
      <c r="AQ61" s="908"/>
      <c r="AR61" s="908"/>
      <c r="AS61" s="908"/>
      <c r="AT61" s="908"/>
      <c r="AU61" s="908"/>
      <c r="AV61" s="908"/>
      <c r="AW61" s="908"/>
      <c r="AX61" s="908"/>
      <c r="AY61" s="908"/>
      <c r="AZ61" s="908"/>
      <c r="BA61" s="908"/>
      <c r="BB61" s="908"/>
      <c r="BC61" s="908"/>
      <c r="BD61" s="908"/>
      <c r="BE61" s="908"/>
      <c r="BF61" s="908"/>
      <c r="BG61" s="908"/>
      <c r="BH61" s="908"/>
      <c r="BI61" s="908"/>
      <c r="BJ61" s="908"/>
      <c r="BK61" s="908"/>
      <c r="BL61" s="908"/>
      <c r="BM61" s="908"/>
      <c r="BN61" s="908"/>
      <c r="BO61" s="908"/>
      <c r="BP61" s="908"/>
      <c r="BQ61" s="908"/>
      <c r="BR61" s="908"/>
      <c r="BS61" s="908"/>
      <c r="BT61" s="908"/>
      <c r="BU61" s="908"/>
      <c r="BV61" s="908"/>
      <c r="BW61" s="908"/>
      <c r="BX61" s="908"/>
      <c r="BY61" s="908"/>
      <c r="BZ61" s="908"/>
      <c r="CA61" s="908"/>
      <c r="CB61" s="908"/>
      <c r="CC61" s="908"/>
      <c r="CD61" s="908"/>
      <c r="CE61" s="908"/>
      <c r="CF61" s="908"/>
      <c r="CG61" s="908"/>
      <c r="CH61" s="908"/>
      <c r="CI61" s="908"/>
    </row>
    <row r="62" spans="1:91" ht="15.75">
      <c r="R62" s="1017"/>
      <c r="U62" s="860"/>
      <c r="V62" s="860"/>
      <c r="W62" s="1023"/>
      <c r="X62" s="782"/>
      <c r="Y62" s="782"/>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c r="BJ62" s="909"/>
      <c r="BK62" s="909"/>
      <c r="BL62" s="909"/>
      <c r="BM62" s="909"/>
      <c r="BN62" s="909"/>
      <c r="BO62" s="909"/>
      <c r="BP62" s="909"/>
      <c r="BQ62" s="909"/>
      <c r="BR62" s="909"/>
      <c r="BS62" s="909"/>
      <c r="BT62" s="909"/>
      <c r="BU62" s="909"/>
      <c r="BV62" s="909"/>
      <c r="BW62" s="909"/>
      <c r="BX62" s="909"/>
      <c r="BY62" s="909"/>
      <c r="BZ62" s="909"/>
      <c r="CA62" s="909"/>
      <c r="CB62" s="909"/>
      <c r="CC62" s="909"/>
      <c r="CD62" s="909"/>
      <c r="CE62" s="909"/>
      <c r="CF62" s="909"/>
      <c r="CG62" s="909"/>
      <c r="CH62" s="909"/>
      <c r="CI62" s="909"/>
    </row>
    <row r="63" spans="1:91" ht="15.75">
      <c r="U63" s="201"/>
      <c r="V63" s="201"/>
      <c r="W63" s="1023"/>
      <c r="X63" s="1093"/>
      <c r="Y63" s="1093"/>
      <c r="Z63" s="1095"/>
      <c r="AA63" s="1095"/>
      <c r="AB63" s="1031"/>
      <c r="AC63" s="1031"/>
      <c r="AD63" s="1031"/>
      <c r="AE63" s="1031"/>
      <c r="AF63" s="1031"/>
      <c r="AG63" s="1025"/>
      <c r="AH63" s="1031"/>
      <c r="AI63" s="1031"/>
      <c r="AJ63" s="1031"/>
      <c r="AK63" s="1031"/>
      <c r="AL63" s="1031"/>
      <c r="AM63" s="1031"/>
      <c r="AN63" s="1031"/>
      <c r="AO63" s="1041"/>
      <c r="AP63" s="1117"/>
      <c r="AQ63" s="1041"/>
      <c r="AR63" s="1041"/>
      <c r="AS63" s="1041"/>
      <c r="AT63" s="1041"/>
      <c r="AU63" s="1041"/>
      <c r="AV63" s="1041"/>
      <c r="AW63" s="1109"/>
      <c r="AX63" s="1109"/>
      <c r="AY63" s="1109"/>
      <c r="AZ63" s="1109"/>
      <c r="BA63" s="1109"/>
      <c r="BB63" s="1109"/>
      <c r="BC63" s="1109"/>
      <c r="BD63" s="1041"/>
      <c r="BE63" s="1117"/>
      <c r="BF63" s="1041"/>
      <c r="BG63" s="1041"/>
      <c r="BH63" s="1080"/>
      <c r="BI63" s="1041"/>
      <c r="BJ63" s="1041"/>
      <c r="BK63" s="1117"/>
      <c r="BL63" s="1041"/>
      <c r="BM63" s="1041"/>
      <c r="BN63" s="1080"/>
      <c r="BO63" s="1041"/>
      <c r="BP63" s="1109"/>
      <c r="BQ63" s="1109"/>
      <c r="BR63" s="1117"/>
      <c r="BS63" s="1117"/>
      <c r="BT63" s="1117"/>
      <c r="BU63" s="1117"/>
      <c r="BV63" s="1117"/>
      <c r="BW63" s="1117"/>
      <c r="BX63" s="1117"/>
      <c r="BY63" s="1117"/>
      <c r="BZ63" s="1117"/>
      <c r="CA63" s="1117"/>
      <c r="CB63" s="1117"/>
      <c r="CC63" s="1117"/>
      <c r="CD63" s="1117"/>
      <c r="CE63" s="1117"/>
      <c r="CF63" s="1117"/>
      <c r="CG63" s="1117"/>
      <c r="CH63" s="1117"/>
      <c r="CI63" s="1031"/>
    </row>
    <row r="64" spans="1:91" ht="15.75">
      <c r="U64" s="201"/>
      <c r="V64" s="201"/>
      <c r="W64" s="1023"/>
      <c r="X64" s="1093"/>
      <c r="Y64" s="1093"/>
      <c r="Z64" s="1095"/>
      <c r="AA64" s="1095"/>
      <c r="AB64" s="1031"/>
      <c r="AC64" s="1031"/>
      <c r="AD64" s="1031"/>
      <c r="AE64" s="1031"/>
      <c r="AF64" s="1031"/>
      <c r="AG64" s="1025"/>
      <c r="AH64" s="1031"/>
      <c r="AI64" s="1031"/>
      <c r="AJ64" s="1031"/>
      <c r="AK64" s="1031"/>
      <c r="AL64" s="1031"/>
      <c r="AM64" s="1031"/>
      <c r="AN64" s="1031"/>
      <c r="AO64" s="1041"/>
      <c r="AP64" s="1117"/>
      <c r="AQ64" s="1041"/>
      <c r="AR64" s="1041"/>
      <c r="AS64" s="1041"/>
      <c r="AT64" s="1041"/>
      <c r="AU64" s="1041"/>
      <c r="AV64" s="1041"/>
      <c r="AW64" s="1109"/>
      <c r="AX64" s="1109"/>
      <c r="AY64" s="1109"/>
      <c r="AZ64" s="1109"/>
      <c r="BA64" s="1109"/>
      <c r="BB64" s="1109"/>
      <c r="BC64" s="1109"/>
      <c r="BD64" s="1041"/>
      <c r="BE64" s="1117"/>
      <c r="BF64" s="1041"/>
      <c r="BG64" s="1041"/>
      <c r="BH64" s="1080"/>
      <c r="BI64" s="1041"/>
      <c r="BJ64" s="1041"/>
      <c r="BK64" s="1117"/>
      <c r="BL64" s="1041"/>
      <c r="BM64" s="1041"/>
      <c r="BN64" s="1080"/>
      <c r="BO64" s="1041"/>
      <c r="BP64" s="1109"/>
      <c r="BQ64" s="1109"/>
      <c r="BR64" s="1117"/>
      <c r="BS64" s="1117"/>
      <c r="BT64" s="1117"/>
      <c r="BU64" s="1117"/>
      <c r="BV64" s="1117"/>
      <c r="BW64" s="1117"/>
      <c r="BX64" s="1117"/>
      <c r="BY64" s="1117"/>
      <c r="BZ64" s="1117"/>
      <c r="CA64" s="1117"/>
      <c r="CB64" s="1117"/>
      <c r="CC64" s="1117"/>
      <c r="CD64" s="1117"/>
      <c r="CE64" s="1117"/>
      <c r="CF64" s="1117"/>
      <c r="CG64" s="1117"/>
      <c r="CH64" s="1117"/>
      <c r="CI64" s="1031"/>
    </row>
    <row r="65" spans="21:87" ht="15.75">
      <c r="U65" s="201"/>
      <c r="V65" s="201"/>
      <c r="W65" s="1023"/>
      <c r="X65" s="1093"/>
      <c r="Y65" s="1093"/>
      <c r="Z65" s="1095"/>
      <c r="AA65" s="1095"/>
      <c r="AB65" s="1031"/>
      <c r="AC65" s="1031"/>
      <c r="AD65" s="1031"/>
      <c r="AE65" s="1031"/>
      <c r="AF65" s="1031"/>
      <c r="AG65" s="1025"/>
      <c r="AH65" s="1031"/>
      <c r="AI65" s="1031"/>
      <c r="AJ65" s="1031"/>
      <c r="AK65" s="1031"/>
      <c r="AL65" s="1031"/>
      <c r="AM65" s="1031"/>
      <c r="AN65" s="1031"/>
      <c r="AO65" s="1041"/>
      <c r="AP65" s="1117"/>
      <c r="AQ65" s="1041"/>
      <c r="AR65" s="1041"/>
      <c r="AS65" s="1041"/>
      <c r="AT65" s="1041"/>
      <c r="AU65" s="1041"/>
      <c r="AV65" s="1041"/>
      <c r="AW65" s="1109"/>
      <c r="AX65" s="1109"/>
      <c r="AY65" s="1109"/>
      <c r="AZ65" s="1109"/>
      <c r="BA65" s="1109"/>
      <c r="BB65" s="1109"/>
      <c r="BC65" s="1109"/>
      <c r="BD65" s="1041"/>
      <c r="BE65" s="1117"/>
      <c r="BF65" s="1041"/>
      <c r="BG65" s="1041"/>
      <c r="BH65" s="1080"/>
      <c r="BI65" s="1041"/>
      <c r="BJ65" s="1041"/>
      <c r="BK65" s="1117"/>
      <c r="BL65" s="1041"/>
      <c r="BM65" s="1041"/>
      <c r="BN65" s="1080"/>
      <c r="BO65" s="1041"/>
      <c r="BP65" s="1109"/>
      <c r="BQ65" s="1109"/>
      <c r="BR65" s="1117"/>
      <c r="BS65" s="1117"/>
      <c r="BT65" s="1117"/>
      <c r="BU65" s="1117"/>
      <c r="BV65" s="1117"/>
      <c r="BW65" s="1117"/>
      <c r="BX65" s="1117"/>
      <c r="BY65" s="1117"/>
      <c r="BZ65" s="1117"/>
      <c r="CA65" s="1117"/>
      <c r="CB65" s="1117"/>
      <c r="CC65" s="1117"/>
      <c r="CD65" s="1117"/>
      <c r="CE65" s="1117"/>
      <c r="CF65" s="1117"/>
      <c r="CG65" s="1117"/>
      <c r="CH65" s="1117"/>
      <c r="CI65" s="1031"/>
    </row>
    <row r="66" spans="21:87" ht="15.75">
      <c r="U66" s="201"/>
      <c r="V66" s="201"/>
      <c r="W66" s="1023"/>
      <c r="X66" s="1093"/>
      <c r="Y66" s="1093"/>
      <c r="Z66" s="1095"/>
      <c r="AA66" s="1095"/>
      <c r="AB66" s="1031"/>
      <c r="AC66" s="1031"/>
      <c r="AD66" s="1031"/>
      <c r="AE66" s="1031"/>
      <c r="AF66" s="1031"/>
      <c r="AG66" s="1025"/>
      <c r="AH66" s="1031"/>
      <c r="AI66" s="1031"/>
      <c r="AJ66" s="1031"/>
      <c r="AK66" s="1031"/>
      <c r="AL66" s="1031"/>
      <c r="AM66" s="1031"/>
      <c r="AN66" s="1031"/>
      <c r="AO66" s="1041"/>
      <c r="AP66" s="1117"/>
      <c r="AQ66" s="1041"/>
      <c r="AR66" s="1041"/>
      <c r="AS66" s="1041"/>
      <c r="AT66" s="1041"/>
      <c r="AU66" s="1041"/>
      <c r="AV66" s="1041"/>
      <c r="AW66" s="1109"/>
      <c r="AX66" s="1109"/>
      <c r="AY66" s="1109"/>
      <c r="AZ66" s="1109"/>
      <c r="BA66" s="1109"/>
      <c r="BB66" s="1109"/>
      <c r="BC66" s="1109"/>
      <c r="BD66" s="1041"/>
      <c r="BE66" s="1117"/>
      <c r="BF66" s="1041"/>
      <c r="BG66" s="1041"/>
      <c r="BH66" s="1080"/>
      <c r="BI66" s="1041"/>
      <c r="BJ66" s="1041"/>
      <c r="BK66" s="1117"/>
      <c r="BL66" s="1041"/>
      <c r="BM66" s="1041"/>
      <c r="BN66" s="1080"/>
      <c r="BO66" s="1041"/>
      <c r="BP66" s="1109"/>
      <c r="BQ66" s="1109"/>
      <c r="BR66" s="1117"/>
      <c r="BS66" s="1117"/>
      <c r="BT66" s="1117"/>
      <c r="BU66" s="1117"/>
      <c r="BV66" s="1117"/>
      <c r="BW66" s="1117"/>
      <c r="BX66" s="1117"/>
      <c r="BY66" s="1117"/>
      <c r="BZ66" s="1117"/>
      <c r="CA66" s="1117"/>
      <c r="CB66" s="1117"/>
      <c r="CC66" s="1117"/>
      <c r="CD66" s="1117"/>
      <c r="CE66" s="1117"/>
      <c r="CF66" s="1117"/>
      <c r="CG66" s="1117"/>
      <c r="CH66" s="1117"/>
      <c r="CI66" s="1031"/>
    </row>
    <row r="67" spans="21:87" ht="15.75">
      <c r="U67" s="201"/>
      <c r="V67" s="201"/>
      <c r="W67" s="1023"/>
      <c r="X67" s="1093"/>
      <c r="Y67" s="1093"/>
      <c r="Z67" s="1095"/>
      <c r="AA67" s="1095"/>
      <c r="AB67" s="1031"/>
      <c r="AC67" s="1031"/>
      <c r="AD67" s="1031"/>
      <c r="AE67" s="1031"/>
      <c r="AF67" s="1031"/>
      <c r="AG67" s="1025"/>
      <c r="AH67" s="1031"/>
      <c r="AI67" s="1031"/>
      <c r="AJ67" s="1031"/>
      <c r="AK67" s="1031"/>
      <c r="AL67" s="1031"/>
      <c r="AM67" s="1031"/>
      <c r="AN67" s="1031"/>
      <c r="AO67" s="1041"/>
      <c r="AP67" s="1117"/>
      <c r="AQ67" s="1041"/>
      <c r="AR67" s="1041"/>
      <c r="AS67" s="1041"/>
      <c r="AT67" s="1041"/>
      <c r="AU67" s="1041"/>
      <c r="AV67" s="1041"/>
      <c r="AW67" s="1109"/>
      <c r="AX67" s="1109"/>
      <c r="AY67" s="1109"/>
      <c r="AZ67" s="1109"/>
      <c r="BA67" s="1109"/>
      <c r="BB67" s="1109"/>
      <c r="BC67" s="1109"/>
      <c r="BD67" s="1041"/>
      <c r="BE67" s="1117"/>
      <c r="BF67" s="1041"/>
      <c r="BG67" s="1041"/>
      <c r="BH67" s="1080"/>
      <c r="BI67" s="1041"/>
      <c r="BJ67" s="1041"/>
      <c r="BK67" s="1117"/>
      <c r="BL67" s="1041"/>
      <c r="BM67" s="1041"/>
      <c r="BN67" s="1080"/>
      <c r="BO67" s="1041"/>
      <c r="BP67" s="1109"/>
      <c r="BQ67" s="1109"/>
      <c r="BR67" s="1117"/>
      <c r="BS67" s="1117"/>
      <c r="BT67" s="1117"/>
      <c r="BU67" s="1117"/>
      <c r="BV67" s="1117"/>
      <c r="BW67" s="1117"/>
      <c r="BX67" s="1117"/>
      <c r="BY67" s="1117"/>
      <c r="BZ67" s="1117"/>
      <c r="CA67" s="1117"/>
      <c r="CB67" s="1117"/>
      <c r="CC67" s="1117"/>
      <c r="CD67" s="1117"/>
      <c r="CE67" s="1117"/>
      <c r="CF67" s="1117"/>
      <c r="CG67" s="1117"/>
      <c r="CH67" s="1117"/>
      <c r="CI67" s="1031"/>
    </row>
    <row r="68" spans="21:87" ht="15.75">
      <c r="U68" s="201"/>
      <c r="V68" s="201"/>
      <c r="W68" s="1023"/>
      <c r="X68" s="1093"/>
      <c r="Y68" s="1093"/>
      <c r="Z68" s="1095"/>
      <c r="AA68" s="1095"/>
      <c r="AB68" s="1031"/>
      <c r="AC68" s="1031"/>
      <c r="AD68" s="1031"/>
      <c r="AE68" s="1031"/>
      <c r="AF68" s="1031"/>
      <c r="AG68" s="1025"/>
      <c r="AH68" s="1031"/>
      <c r="AI68" s="1031"/>
      <c r="AJ68" s="1031"/>
      <c r="AK68" s="1031"/>
      <c r="AL68" s="1031"/>
      <c r="AM68" s="1031"/>
      <c r="AN68" s="1031"/>
      <c r="AO68" s="1041"/>
      <c r="AP68" s="1117"/>
      <c r="AQ68" s="1041"/>
      <c r="AR68" s="1041"/>
      <c r="AS68" s="1041"/>
      <c r="AT68" s="1041"/>
      <c r="AU68" s="1041"/>
      <c r="AV68" s="1041"/>
      <c r="AW68" s="1109"/>
      <c r="AX68" s="1109"/>
      <c r="AY68" s="1109"/>
      <c r="AZ68" s="1109"/>
      <c r="BA68" s="1109"/>
      <c r="BB68" s="1109"/>
      <c r="BC68" s="1109"/>
      <c r="BD68" s="1041"/>
      <c r="BE68" s="1117"/>
      <c r="BF68" s="1041"/>
      <c r="BG68" s="1041"/>
      <c r="BH68" s="1080"/>
      <c r="BI68" s="1041"/>
      <c r="BJ68" s="1041"/>
      <c r="BK68" s="1117"/>
      <c r="BL68" s="1041"/>
      <c r="BM68" s="1041"/>
      <c r="BN68" s="1080"/>
      <c r="BO68" s="1041"/>
      <c r="BP68" s="1109"/>
      <c r="BQ68" s="1109"/>
      <c r="BR68" s="1117"/>
      <c r="BS68" s="1117"/>
      <c r="BT68" s="1117"/>
      <c r="BU68" s="1117"/>
      <c r="BV68" s="1117"/>
      <c r="BW68" s="1117"/>
      <c r="BX68" s="1117"/>
      <c r="BY68" s="1117"/>
      <c r="BZ68" s="1117"/>
      <c r="CA68" s="1117"/>
      <c r="CB68" s="1117"/>
      <c r="CC68" s="1117"/>
      <c r="CD68" s="1117"/>
      <c r="CE68" s="1117"/>
      <c r="CF68" s="1117"/>
      <c r="CG68" s="1117"/>
      <c r="CH68" s="1117"/>
      <c r="CI68" s="1031"/>
    </row>
    <row r="69" spans="21:87" ht="15.75">
      <c r="U69" s="201"/>
      <c r="V69" s="201"/>
      <c r="W69" s="1023"/>
      <c r="X69" s="1093"/>
      <c r="Y69" s="1093"/>
      <c r="Z69" s="1095"/>
      <c r="AA69" s="1095"/>
      <c r="AB69" s="1031"/>
      <c r="AC69" s="1031"/>
      <c r="AD69" s="1031"/>
      <c r="AE69" s="1031"/>
      <c r="AF69" s="1031"/>
      <c r="AG69" s="1025"/>
      <c r="AH69" s="1031"/>
      <c r="AI69" s="1031"/>
      <c r="AJ69" s="1031"/>
      <c r="AK69" s="1031"/>
      <c r="AL69" s="1031"/>
      <c r="AM69" s="1031"/>
      <c r="AN69" s="1031"/>
      <c r="AO69" s="1041"/>
      <c r="AP69" s="1117"/>
      <c r="AQ69" s="1041"/>
      <c r="AR69" s="1041"/>
      <c r="AS69" s="1041"/>
      <c r="AT69" s="1041"/>
      <c r="AU69" s="1041"/>
      <c r="AV69" s="1041"/>
      <c r="AW69" s="1109"/>
      <c r="AX69" s="1109"/>
      <c r="AY69" s="1109"/>
      <c r="AZ69" s="1109"/>
      <c r="BA69" s="1109"/>
      <c r="BB69" s="1109"/>
      <c r="BC69" s="1109"/>
      <c r="BD69" s="1041"/>
      <c r="BE69" s="1117"/>
      <c r="BF69" s="1041"/>
      <c r="BG69" s="1041"/>
      <c r="BH69" s="1080"/>
      <c r="BI69" s="1041"/>
      <c r="BJ69" s="1041"/>
      <c r="BK69" s="1117"/>
      <c r="BL69" s="1041"/>
      <c r="BM69" s="1041"/>
      <c r="BN69" s="1080"/>
      <c r="BO69" s="1041"/>
      <c r="BP69" s="1109"/>
      <c r="BQ69" s="1109"/>
      <c r="BR69" s="1117"/>
      <c r="BS69" s="1117"/>
      <c r="BT69" s="1117"/>
      <c r="BU69" s="1117"/>
      <c r="BV69" s="1117"/>
      <c r="BW69" s="1117"/>
      <c r="BX69" s="1117"/>
      <c r="BY69" s="1117"/>
      <c r="BZ69" s="1117"/>
      <c r="CA69" s="1117"/>
      <c r="CB69" s="1117"/>
      <c r="CC69" s="1117"/>
      <c r="CD69" s="1117"/>
      <c r="CE69" s="1117"/>
      <c r="CF69" s="1117"/>
      <c r="CG69" s="1117"/>
      <c r="CH69" s="1117"/>
      <c r="CI69" s="1031"/>
    </row>
    <row r="70" spans="21:87" ht="15.75">
      <c r="U70" s="201"/>
      <c r="V70" s="201"/>
      <c r="W70" s="1023"/>
      <c r="X70" s="1093"/>
      <c r="Y70" s="1093"/>
      <c r="Z70" s="1095"/>
      <c r="AA70" s="1095"/>
      <c r="AB70" s="1031"/>
      <c r="AC70" s="1031"/>
      <c r="AD70" s="1031"/>
      <c r="AE70" s="1031"/>
      <c r="AF70" s="1031"/>
      <c r="AG70" s="1025"/>
      <c r="AH70" s="1031"/>
      <c r="AI70" s="1031"/>
      <c r="AJ70" s="1031"/>
      <c r="AK70" s="1031"/>
      <c r="AL70" s="1031"/>
      <c r="AM70" s="1031"/>
      <c r="AN70" s="1031"/>
      <c r="AO70" s="1041"/>
      <c r="AP70" s="1117"/>
      <c r="AQ70" s="1041"/>
      <c r="AR70" s="1041"/>
      <c r="AS70" s="1041"/>
      <c r="AT70" s="1041"/>
      <c r="AU70" s="1041"/>
      <c r="AV70" s="1041"/>
      <c r="AW70" s="1109"/>
      <c r="AX70" s="1109"/>
      <c r="AY70" s="1109"/>
      <c r="AZ70" s="1109"/>
      <c r="BA70" s="1109"/>
      <c r="BB70" s="1109"/>
      <c r="BC70" s="1109"/>
      <c r="BD70" s="1041"/>
      <c r="BE70" s="1117"/>
      <c r="BF70" s="1041"/>
      <c r="BG70" s="1041"/>
      <c r="BH70" s="1080"/>
      <c r="BI70" s="1041"/>
      <c r="BJ70" s="1041"/>
      <c r="BK70" s="1117"/>
      <c r="BL70" s="1041"/>
      <c r="BM70" s="1041"/>
      <c r="BN70" s="1080"/>
      <c r="BO70" s="1041"/>
      <c r="BP70" s="1109"/>
      <c r="BQ70" s="1109"/>
      <c r="BR70" s="1117"/>
      <c r="BS70" s="1117"/>
      <c r="BT70" s="1117"/>
      <c r="BU70" s="1117"/>
      <c r="BV70" s="1117"/>
      <c r="BW70" s="1117"/>
      <c r="BX70" s="1117"/>
      <c r="BY70" s="1117"/>
      <c r="BZ70" s="1117"/>
      <c r="CA70" s="1117"/>
      <c r="CB70" s="1117"/>
      <c r="CC70" s="1117"/>
      <c r="CD70" s="1117"/>
      <c r="CE70" s="1117"/>
      <c r="CF70" s="1117"/>
      <c r="CG70" s="1117"/>
      <c r="CH70" s="1117"/>
      <c r="CI70" s="1031"/>
    </row>
    <row r="71" spans="21:87" ht="15.75">
      <c r="U71" s="201"/>
      <c r="V71" s="201"/>
      <c r="W71" s="1023"/>
      <c r="X71" s="143"/>
      <c r="Y71" s="1093"/>
      <c r="Z71" s="1095"/>
      <c r="AA71" s="1095"/>
      <c r="AB71" s="1031"/>
      <c r="AC71" s="1031"/>
      <c r="AD71" s="1031"/>
      <c r="AE71" s="1031"/>
      <c r="AF71" s="1031"/>
      <c r="AG71" s="1025"/>
      <c r="AH71" s="1031"/>
      <c r="AI71" s="1031"/>
      <c r="AJ71" s="1031"/>
      <c r="AK71" s="1031"/>
      <c r="AL71" s="1031"/>
      <c r="AM71" s="1031"/>
      <c r="AN71" s="1031"/>
      <c r="AO71" s="1041"/>
      <c r="AP71" s="1117"/>
      <c r="AQ71" s="1041"/>
      <c r="AR71" s="1041"/>
      <c r="AS71" s="1041"/>
      <c r="AT71" s="1041"/>
      <c r="AU71" s="1041"/>
      <c r="AV71" s="1041"/>
      <c r="AW71" s="1109"/>
      <c r="AX71" s="1109"/>
      <c r="AY71" s="1109"/>
      <c r="AZ71" s="1109"/>
      <c r="BA71" s="1109"/>
      <c r="BB71" s="1109"/>
      <c r="BC71" s="1109"/>
      <c r="BD71" s="1041"/>
      <c r="BE71" s="1117"/>
      <c r="BF71" s="1041"/>
      <c r="BG71" s="1041"/>
      <c r="BH71" s="1080"/>
      <c r="BI71" s="1041"/>
      <c r="BJ71" s="1041"/>
      <c r="BK71" s="1117"/>
      <c r="BL71" s="1041"/>
      <c r="BM71" s="1041"/>
      <c r="BN71" s="1080"/>
      <c r="BO71" s="1041"/>
      <c r="BP71" s="1109"/>
      <c r="BQ71" s="1109"/>
      <c r="BR71" s="1117"/>
      <c r="BS71" s="1117"/>
      <c r="BT71" s="1117"/>
      <c r="BU71" s="1117"/>
      <c r="BV71" s="1117"/>
      <c r="BW71" s="1117"/>
      <c r="BX71" s="1117"/>
      <c r="BY71" s="1117"/>
      <c r="BZ71" s="1117"/>
      <c r="CA71" s="1117"/>
      <c r="CB71" s="1117"/>
      <c r="CC71" s="1117"/>
      <c r="CD71" s="1117"/>
      <c r="CE71" s="1117"/>
      <c r="CF71" s="1117"/>
      <c r="CG71" s="1117"/>
      <c r="CH71" s="1117"/>
      <c r="CI71" s="1031"/>
    </row>
    <row r="72" spans="21:87" ht="15.75">
      <c r="U72" s="201"/>
      <c r="V72" s="201"/>
      <c r="W72" s="1023"/>
      <c r="X72" s="1093"/>
      <c r="Y72" s="1093"/>
      <c r="Z72" s="1095"/>
      <c r="AA72" s="1095"/>
      <c r="AB72" s="1031"/>
      <c r="AC72" s="1031"/>
      <c r="AD72" s="1031"/>
      <c r="AE72" s="1031"/>
      <c r="AF72" s="1031"/>
      <c r="AG72" s="1025"/>
      <c r="AH72" s="1031"/>
      <c r="AI72" s="1031"/>
      <c r="AJ72" s="1031"/>
      <c r="AK72" s="1031"/>
      <c r="AL72" s="1031"/>
      <c r="AM72" s="1031"/>
      <c r="AN72" s="1031"/>
      <c r="AO72" s="1041"/>
      <c r="AP72" s="1117"/>
      <c r="AQ72" s="1041"/>
      <c r="AR72" s="1041"/>
      <c r="AS72" s="1041"/>
      <c r="AT72" s="1041"/>
      <c r="AU72" s="1041"/>
      <c r="AV72" s="1041"/>
      <c r="AW72" s="1109"/>
      <c r="AX72" s="1109"/>
      <c r="AY72" s="1109"/>
      <c r="AZ72" s="1109"/>
      <c r="BA72" s="1109"/>
      <c r="BB72" s="1109"/>
      <c r="BC72" s="1109"/>
      <c r="BD72" s="1041"/>
      <c r="BE72" s="1117"/>
      <c r="BF72" s="1041"/>
      <c r="BG72" s="1041"/>
      <c r="BH72" s="1080"/>
      <c r="BI72" s="1041"/>
      <c r="BJ72" s="1041"/>
      <c r="BK72" s="1117"/>
      <c r="BL72" s="1041"/>
      <c r="BM72" s="1041"/>
      <c r="BN72" s="1080"/>
      <c r="BO72" s="1041"/>
      <c r="BP72" s="1109"/>
      <c r="BQ72" s="1109"/>
      <c r="BR72" s="1117"/>
      <c r="BS72" s="1117"/>
      <c r="BT72" s="1117"/>
      <c r="BU72" s="1117"/>
      <c r="BV72" s="1117"/>
      <c r="BW72" s="1117"/>
      <c r="BX72" s="1117"/>
      <c r="BY72" s="1117"/>
      <c r="BZ72" s="1117"/>
      <c r="CA72" s="1117"/>
      <c r="CB72" s="1117"/>
      <c r="CC72" s="1117"/>
      <c r="CD72" s="1117"/>
      <c r="CE72" s="1117"/>
      <c r="CF72" s="1117"/>
      <c r="CG72" s="1117"/>
      <c r="CH72" s="1117"/>
      <c r="CI72" s="1031"/>
    </row>
    <row r="73" spans="21:87" ht="15.75">
      <c r="U73" s="201"/>
      <c r="V73" s="201"/>
      <c r="W73" s="1023"/>
      <c r="X73" s="1093"/>
      <c r="Y73" s="1093"/>
      <c r="Z73" s="1095"/>
      <c r="AA73" s="1095"/>
      <c r="AB73" s="1031"/>
      <c r="AC73" s="1031"/>
      <c r="AD73" s="1031"/>
      <c r="AE73" s="1031"/>
      <c r="AF73" s="1031"/>
      <c r="AG73" s="1025"/>
      <c r="AH73" s="1031"/>
      <c r="AI73" s="1031"/>
      <c r="AJ73" s="1031"/>
      <c r="AK73" s="1031"/>
      <c r="AL73" s="1031"/>
      <c r="AM73" s="1031"/>
      <c r="AN73" s="1031"/>
      <c r="AO73" s="1041"/>
      <c r="AP73" s="1117"/>
      <c r="AQ73" s="1041"/>
      <c r="AR73" s="1041"/>
      <c r="AS73" s="1041"/>
      <c r="AT73" s="1041"/>
      <c r="AU73" s="1041"/>
      <c r="AV73" s="1041"/>
      <c r="AW73" s="1109"/>
      <c r="AX73" s="1109"/>
      <c r="AY73" s="1109"/>
      <c r="AZ73" s="1109"/>
      <c r="BA73" s="1109"/>
      <c r="BB73" s="1109"/>
      <c r="BC73" s="1109"/>
      <c r="BD73" s="1041"/>
      <c r="BE73" s="1117"/>
      <c r="BF73" s="1041"/>
      <c r="BG73" s="1041"/>
      <c r="BH73" s="1080"/>
      <c r="BI73" s="1041"/>
      <c r="BJ73" s="1041"/>
      <c r="BK73" s="1117"/>
      <c r="BL73" s="1041"/>
      <c r="BM73" s="1041"/>
      <c r="BN73" s="1080"/>
      <c r="BO73" s="1041"/>
      <c r="BP73" s="1109"/>
      <c r="BQ73" s="1109"/>
      <c r="BR73" s="1117"/>
      <c r="BS73" s="1117"/>
      <c r="BT73" s="1117"/>
      <c r="BU73" s="1117"/>
      <c r="BV73" s="1117"/>
      <c r="BW73" s="1117"/>
      <c r="BX73" s="1117"/>
      <c r="BY73" s="1117"/>
      <c r="BZ73" s="1117"/>
      <c r="CA73" s="1117"/>
      <c r="CB73" s="1117"/>
      <c r="CC73" s="1117"/>
      <c r="CD73" s="1117"/>
      <c r="CE73" s="1117"/>
      <c r="CF73" s="1117"/>
      <c r="CG73" s="1117"/>
      <c r="CH73" s="1117"/>
      <c r="CI73" s="1031"/>
    </row>
    <row r="74" spans="21:87" ht="15.75">
      <c r="U74" s="201"/>
      <c r="V74" s="201"/>
      <c r="W74" s="1023"/>
      <c r="X74" s="143"/>
      <c r="Y74" s="1093"/>
      <c r="Z74" s="1095"/>
      <c r="AA74" s="1095"/>
      <c r="AB74" s="1031"/>
      <c r="AC74" s="1031"/>
      <c r="AD74" s="1031"/>
      <c r="AE74" s="1031"/>
      <c r="AF74" s="1031"/>
      <c r="AG74" s="1025"/>
      <c r="AH74" s="1031"/>
      <c r="AI74" s="1031"/>
      <c r="AJ74" s="1031"/>
      <c r="AK74" s="1031"/>
      <c r="AL74" s="1031"/>
      <c r="AM74" s="1031"/>
      <c r="AN74" s="1031"/>
      <c r="AO74" s="1041"/>
      <c r="AP74" s="1117"/>
      <c r="AQ74" s="1041"/>
      <c r="AR74" s="1041"/>
      <c r="AS74" s="1041"/>
      <c r="AT74" s="1041"/>
      <c r="AU74" s="1041"/>
      <c r="AV74" s="1041"/>
      <c r="AW74" s="1109"/>
      <c r="AX74" s="1109"/>
      <c r="AY74" s="1109"/>
      <c r="AZ74" s="1109"/>
      <c r="BA74" s="1109"/>
      <c r="BB74" s="1109"/>
      <c r="BC74" s="1109"/>
      <c r="BD74" s="1041"/>
      <c r="BE74" s="1117"/>
      <c r="BF74" s="1041"/>
      <c r="BG74" s="1041"/>
      <c r="BH74" s="1080"/>
      <c r="BI74" s="1041"/>
      <c r="BJ74" s="1041"/>
      <c r="BK74" s="1117"/>
      <c r="BL74" s="1041"/>
      <c r="BM74" s="1041"/>
      <c r="BN74" s="1080"/>
      <c r="BO74" s="1041"/>
      <c r="BP74" s="1109"/>
      <c r="BQ74" s="1109"/>
      <c r="BR74" s="1117"/>
      <c r="BS74" s="1117"/>
      <c r="BT74" s="1117"/>
      <c r="BU74" s="1117"/>
      <c r="BV74" s="1117"/>
      <c r="BW74" s="1117"/>
      <c r="BX74" s="1117"/>
      <c r="BY74" s="1117"/>
      <c r="BZ74" s="1117"/>
      <c r="CA74" s="1117"/>
      <c r="CB74" s="1117"/>
      <c r="CC74" s="1117"/>
      <c r="CD74" s="1117"/>
      <c r="CE74" s="1117"/>
      <c r="CF74" s="1117"/>
      <c r="CG74" s="1117"/>
      <c r="CH74" s="1117"/>
      <c r="CI74" s="1031"/>
    </row>
    <row r="75" spans="21:87" ht="15.75">
      <c r="U75" s="201"/>
      <c r="V75" s="201"/>
      <c r="W75" s="1023"/>
      <c r="X75" s="1093"/>
      <c r="Y75" s="1093"/>
      <c r="Z75" s="1095"/>
      <c r="AA75" s="1095"/>
      <c r="AB75" s="1031"/>
      <c r="AC75" s="1031"/>
      <c r="AD75" s="1031"/>
      <c r="AE75" s="1031"/>
      <c r="AF75" s="1031"/>
      <c r="AG75" s="1025"/>
      <c r="AH75" s="1031"/>
      <c r="AI75" s="1031"/>
      <c r="AJ75" s="1031"/>
      <c r="AK75" s="1031"/>
      <c r="AL75" s="1031"/>
      <c r="AM75" s="1031"/>
      <c r="AN75" s="1031"/>
      <c r="AO75" s="1041"/>
      <c r="AP75" s="1117"/>
      <c r="AQ75" s="1041"/>
      <c r="AR75" s="1041"/>
      <c r="AS75" s="1041"/>
      <c r="AT75" s="1041"/>
      <c r="AU75" s="1041"/>
      <c r="AV75" s="1041"/>
      <c r="AW75" s="1109"/>
      <c r="AX75" s="1109"/>
      <c r="AY75" s="1109"/>
      <c r="AZ75" s="1109"/>
      <c r="BA75" s="1109"/>
      <c r="BB75" s="1109"/>
      <c r="BC75" s="1109"/>
      <c r="BD75" s="1041"/>
      <c r="BE75" s="1117"/>
      <c r="BF75" s="1041"/>
      <c r="BG75" s="1041"/>
      <c r="BH75" s="1080"/>
      <c r="BI75" s="1041"/>
      <c r="BJ75" s="1041"/>
      <c r="BK75" s="1117"/>
      <c r="BL75" s="1041"/>
      <c r="BM75" s="1041"/>
      <c r="BN75" s="1080"/>
      <c r="BO75" s="1041"/>
      <c r="BP75" s="1109"/>
      <c r="BQ75" s="1109"/>
      <c r="BR75" s="1117"/>
      <c r="BS75" s="1117"/>
      <c r="BT75" s="1117"/>
      <c r="BU75" s="1117"/>
      <c r="BV75" s="1117"/>
      <c r="BW75" s="1117"/>
      <c r="BX75" s="1117"/>
      <c r="BY75" s="1117"/>
      <c r="BZ75" s="1117"/>
      <c r="CA75" s="1117"/>
      <c r="CB75" s="1117"/>
      <c r="CC75" s="1117"/>
      <c r="CD75" s="1117"/>
      <c r="CE75" s="1117"/>
      <c r="CF75" s="1117"/>
      <c r="CG75" s="1117"/>
      <c r="CH75" s="1117"/>
      <c r="CI75" s="1031"/>
    </row>
    <row r="76" spans="21:87" ht="15.75">
      <c r="U76" s="201"/>
      <c r="V76" s="201"/>
      <c r="W76" s="1023"/>
      <c r="X76" s="1093"/>
      <c r="Y76" s="1093"/>
      <c r="Z76" s="1095"/>
      <c r="AA76" s="1095"/>
      <c r="AB76" s="1031"/>
      <c r="AC76" s="1031"/>
      <c r="AD76" s="1031"/>
      <c r="AE76" s="1031"/>
      <c r="AF76" s="1031"/>
      <c r="AG76" s="1025"/>
      <c r="AH76" s="1031"/>
      <c r="AI76" s="1031"/>
      <c r="AJ76" s="1031"/>
      <c r="AK76" s="1031"/>
      <c r="AL76" s="1031"/>
      <c r="AM76" s="1031"/>
      <c r="AN76" s="1031"/>
      <c r="AO76" s="1041"/>
      <c r="AP76" s="1117"/>
      <c r="AQ76" s="1041"/>
      <c r="AR76" s="1041"/>
      <c r="AS76" s="1041"/>
      <c r="AT76" s="1041"/>
      <c r="AU76" s="1041"/>
      <c r="AV76" s="1041"/>
      <c r="AW76" s="1109"/>
      <c r="AX76" s="1109"/>
      <c r="AY76" s="1109"/>
      <c r="AZ76" s="1109"/>
      <c r="BA76" s="1109"/>
      <c r="BB76" s="1109"/>
      <c r="BC76" s="1109"/>
      <c r="BD76" s="1041"/>
      <c r="BE76" s="1117"/>
      <c r="BF76" s="1041"/>
      <c r="BG76" s="1041"/>
      <c r="BH76" s="1080"/>
      <c r="BI76" s="1041"/>
      <c r="BJ76" s="1041"/>
      <c r="BK76" s="1117"/>
      <c r="BL76" s="1041"/>
      <c r="BM76" s="1041"/>
      <c r="BN76" s="1080"/>
      <c r="BO76" s="1041"/>
      <c r="BP76" s="1109"/>
      <c r="BQ76" s="1109"/>
      <c r="BR76" s="1117"/>
      <c r="BS76" s="1117"/>
      <c r="BT76" s="1117"/>
      <c r="BU76" s="1117"/>
      <c r="BV76" s="1117"/>
      <c r="BW76" s="1117"/>
      <c r="BX76" s="1117"/>
      <c r="BY76" s="1117"/>
      <c r="BZ76" s="1117"/>
      <c r="CA76" s="1117"/>
      <c r="CB76" s="1117"/>
      <c r="CC76" s="1117"/>
      <c r="CD76" s="1117"/>
      <c r="CE76" s="1117"/>
      <c r="CF76" s="1117"/>
      <c r="CG76" s="1117"/>
      <c r="CH76" s="1117"/>
      <c r="CI76" s="1031"/>
    </row>
    <row r="77" spans="21:87" ht="15.75">
      <c r="U77" s="201"/>
      <c r="V77" s="201"/>
      <c r="W77" s="1023"/>
      <c r="X77" s="1093"/>
      <c r="Y77" s="1093"/>
      <c r="Z77" s="1095"/>
      <c r="AA77" s="1095"/>
      <c r="AB77" s="1031"/>
      <c r="AC77" s="1031"/>
      <c r="AD77" s="1031"/>
      <c r="AE77" s="1031"/>
      <c r="AF77" s="1031"/>
      <c r="AG77" s="1025"/>
      <c r="AH77" s="1031"/>
      <c r="AI77" s="1031"/>
      <c r="AJ77" s="1031"/>
      <c r="AK77" s="1031"/>
      <c r="AL77" s="1031"/>
      <c r="AM77" s="1031"/>
      <c r="AN77" s="1031"/>
      <c r="AO77" s="1041"/>
      <c r="AP77" s="1117"/>
      <c r="AQ77" s="1041"/>
      <c r="AR77" s="1041"/>
      <c r="AS77" s="1041"/>
      <c r="AT77" s="1041"/>
      <c r="AU77" s="1041"/>
      <c r="AV77" s="1041"/>
      <c r="AW77" s="1109"/>
      <c r="AX77" s="1109"/>
      <c r="AY77" s="1109"/>
      <c r="AZ77" s="1109"/>
      <c r="BA77" s="1109"/>
      <c r="BB77" s="1109"/>
      <c r="BC77" s="1109"/>
      <c r="BD77" s="1041"/>
      <c r="BE77" s="1117"/>
      <c r="BF77" s="1041"/>
      <c r="BG77" s="1041"/>
      <c r="BH77" s="1080"/>
      <c r="BI77" s="1041"/>
      <c r="BJ77" s="1041"/>
      <c r="BK77" s="1117"/>
      <c r="BL77" s="1041"/>
      <c r="BM77" s="1041"/>
      <c r="BN77" s="1080"/>
      <c r="BO77" s="1041"/>
      <c r="BP77" s="1109"/>
      <c r="BQ77" s="1109"/>
      <c r="BR77" s="1117"/>
      <c r="BS77" s="1117"/>
      <c r="BT77" s="1117"/>
      <c r="BU77" s="1117"/>
      <c r="BV77" s="1117"/>
      <c r="BW77" s="1117"/>
      <c r="BX77" s="1117"/>
      <c r="BY77" s="1117"/>
      <c r="BZ77" s="1117"/>
      <c r="CA77" s="1117"/>
      <c r="CB77" s="1117"/>
      <c r="CC77" s="1117"/>
      <c r="CD77" s="1117"/>
      <c r="CE77" s="1117"/>
      <c r="CF77" s="1117"/>
      <c r="CG77" s="1117"/>
      <c r="CH77" s="1117"/>
      <c r="CI77" s="1031"/>
    </row>
    <row r="78" spans="21:87" ht="15.75">
      <c r="U78" s="201"/>
      <c r="V78" s="201"/>
      <c r="W78" s="1023"/>
      <c r="X78" s="1093"/>
      <c r="Y78" s="1093"/>
      <c r="Z78" s="1095"/>
      <c r="AA78" s="1095"/>
      <c r="AB78" s="1031"/>
      <c r="AC78" s="1031"/>
      <c r="AD78" s="1031"/>
      <c r="AE78" s="1031"/>
      <c r="AF78" s="1031"/>
      <c r="AG78" s="1025"/>
      <c r="AH78" s="1031"/>
      <c r="AI78" s="1031"/>
      <c r="AJ78" s="1031"/>
      <c r="AK78" s="1031"/>
      <c r="AL78" s="1031"/>
      <c r="AM78" s="1031"/>
      <c r="AN78" s="1031"/>
      <c r="AO78" s="1041"/>
      <c r="AP78" s="1117"/>
      <c r="AQ78" s="1041"/>
      <c r="AR78" s="1041"/>
      <c r="AS78" s="1041"/>
      <c r="AT78" s="1041"/>
      <c r="AU78" s="1041"/>
      <c r="AV78" s="1041"/>
      <c r="AW78" s="1109"/>
      <c r="AX78" s="1109"/>
      <c r="AY78" s="1109"/>
      <c r="AZ78" s="1109"/>
      <c r="BA78" s="1109"/>
      <c r="BB78" s="1109"/>
      <c r="BC78" s="1109"/>
      <c r="BD78" s="1041"/>
      <c r="BE78" s="1117"/>
      <c r="BF78" s="1041"/>
      <c r="BG78" s="1041"/>
      <c r="BH78" s="1080"/>
      <c r="BI78" s="1041"/>
      <c r="BJ78" s="1041"/>
      <c r="BK78" s="1117"/>
      <c r="BL78" s="1041"/>
      <c r="BM78" s="1041"/>
      <c r="BN78" s="1080"/>
      <c r="BO78" s="1041"/>
      <c r="BP78" s="1109"/>
      <c r="BQ78" s="1109"/>
      <c r="BR78" s="1117"/>
      <c r="BS78" s="1117"/>
      <c r="BT78" s="1117"/>
      <c r="BU78" s="1117"/>
      <c r="BV78" s="1117"/>
      <c r="BW78" s="1117"/>
      <c r="BX78" s="1117"/>
      <c r="BY78" s="1117"/>
      <c r="BZ78" s="1117"/>
      <c r="CA78" s="1117"/>
      <c r="CB78" s="1117"/>
      <c r="CC78" s="1117"/>
      <c r="CD78" s="1117"/>
      <c r="CE78" s="1117"/>
      <c r="CF78" s="1117"/>
      <c r="CG78" s="1117"/>
      <c r="CH78" s="1117"/>
      <c r="CI78" s="1031"/>
    </row>
    <row r="79" spans="21:87" ht="15.75">
      <c r="U79" s="201"/>
      <c r="V79" s="201"/>
      <c r="W79" s="1023"/>
      <c r="X79" s="1093"/>
      <c r="Y79" s="1093"/>
      <c r="Z79" s="1095"/>
      <c r="AA79" s="1095"/>
      <c r="AB79" s="1031"/>
      <c r="AC79" s="1031"/>
      <c r="AD79" s="1031"/>
      <c r="AE79" s="1031"/>
      <c r="AF79" s="1031"/>
      <c r="AG79" s="1025"/>
      <c r="AH79" s="1031"/>
      <c r="AI79" s="1031"/>
      <c r="AJ79" s="1031"/>
      <c r="AK79" s="1031"/>
      <c r="AL79" s="1031"/>
      <c r="AM79" s="1031"/>
      <c r="AN79" s="1031"/>
      <c r="AO79" s="1041"/>
      <c r="AP79" s="1117"/>
      <c r="AQ79" s="1041"/>
      <c r="AR79" s="1041"/>
      <c r="AS79" s="1041"/>
      <c r="AT79" s="1041"/>
      <c r="AU79" s="1041"/>
      <c r="AV79" s="1041"/>
      <c r="AW79" s="1109"/>
      <c r="AX79" s="1109"/>
      <c r="AY79" s="1109"/>
      <c r="AZ79" s="1109"/>
      <c r="BA79" s="1109"/>
      <c r="BB79" s="1109"/>
      <c r="BC79" s="1109"/>
      <c r="BD79" s="1041"/>
      <c r="BE79" s="1117"/>
      <c r="BF79" s="1041"/>
      <c r="BG79" s="1041"/>
      <c r="BH79" s="1080"/>
      <c r="BI79" s="1041"/>
      <c r="BJ79" s="1041"/>
      <c r="BK79" s="1117"/>
      <c r="BL79" s="1041"/>
      <c r="BM79" s="1041"/>
      <c r="BN79" s="1080"/>
      <c r="BO79" s="1041"/>
      <c r="BP79" s="1109"/>
      <c r="BQ79" s="1109"/>
      <c r="BR79" s="1117"/>
      <c r="BS79" s="1117"/>
      <c r="BT79" s="1117"/>
      <c r="BU79" s="1117"/>
      <c r="BV79" s="1117"/>
      <c r="BW79" s="1117"/>
      <c r="BX79" s="1117"/>
      <c r="BY79" s="1117"/>
      <c r="BZ79" s="1117"/>
      <c r="CA79" s="1117"/>
      <c r="CB79" s="1117"/>
      <c r="CC79" s="1117"/>
      <c r="CD79" s="1117"/>
      <c r="CE79" s="1117"/>
      <c r="CF79" s="1117"/>
      <c r="CG79" s="1117"/>
      <c r="CH79" s="1117"/>
      <c r="CI79" s="1031"/>
    </row>
    <row r="80" spans="21:87" ht="15.75">
      <c r="U80" s="201"/>
      <c r="V80" s="201"/>
      <c r="W80" s="1023"/>
      <c r="X80" s="1093"/>
      <c r="Y80" s="1093"/>
      <c r="Z80" s="1095"/>
      <c r="AA80" s="1095"/>
      <c r="AB80" s="1031"/>
      <c r="AC80" s="1031"/>
      <c r="AD80" s="1031"/>
      <c r="AE80" s="1031"/>
      <c r="AF80" s="1031"/>
      <c r="AG80" s="1025"/>
      <c r="AH80" s="1031"/>
      <c r="AI80" s="1031"/>
      <c r="AJ80" s="1031"/>
      <c r="AK80" s="1031"/>
      <c r="AL80" s="1031"/>
      <c r="AM80" s="1031"/>
      <c r="AN80" s="1031"/>
      <c r="AO80" s="1041"/>
      <c r="AP80" s="1117"/>
      <c r="AQ80" s="1041"/>
      <c r="AR80" s="1041"/>
      <c r="AS80" s="1041"/>
      <c r="AT80" s="1041"/>
      <c r="AU80" s="1041"/>
      <c r="AV80" s="1041"/>
      <c r="AW80" s="1109"/>
      <c r="AX80" s="1109"/>
      <c r="AY80" s="1109"/>
      <c r="AZ80" s="1109"/>
      <c r="BA80" s="1109"/>
      <c r="BB80" s="1109"/>
      <c r="BC80" s="1109"/>
      <c r="BD80" s="1041"/>
      <c r="BE80" s="1117"/>
      <c r="BF80" s="1041"/>
      <c r="BG80" s="1041"/>
      <c r="BH80" s="1080"/>
      <c r="BI80" s="1041"/>
      <c r="BJ80" s="1041"/>
      <c r="BK80" s="1117"/>
      <c r="BL80" s="1041"/>
      <c r="BM80" s="1041"/>
      <c r="BN80" s="1080"/>
      <c r="BO80" s="1041"/>
      <c r="BP80" s="1109"/>
      <c r="BQ80" s="1109"/>
      <c r="BR80" s="1117"/>
      <c r="BS80" s="1117"/>
      <c r="BT80" s="1117"/>
      <c r="BU80" s="1117"/>
      <c r="BV80" s="1117"/>
      <c r="BW80" s="1117"/>
      <c r="BX80" s="1117"/>
      <c r="BY80" s="1117"/>
      <c r="BZ80" s="1117"/>
      <c r="CA80" s="1117"/>
      <c r="CB80" s="1117"/>
      <c r="CC80" s="1117"/>
      <c r="CD80" s="1117"/>
      <c r="CE80" s="1117"/>
      <c r="CF80" s="1117"/>
      <c r="CG80" s="1117"/>
      <c r="CH80" s="1117"/>
      <c r="CI80" s="1031"/>
    </row>
    <row r="81" spans="21:87" ht="15.75">
      <c r="U81" s="201"/>
      <c r="V81" s="201"/>
      <c r="W81" s="1023"/>
      <c r="X81" s="1093"/>
      <c r="Y81" s="1093"/>
      <c r="Z81" s="1095"/>
      <c r="AA81" s="1095"/>
      <c r="AB81" s="1031"/>
      <c r="AC81" s="1031"/>
      <c r="AD81" s="1031"/>
      <c r="AE81" s="1031"/>
      <c r="AF81" s="1031"/>
      <c r="AG81" s="1025"/>
      <c r="AH81" s="1031"/>
      <c r="AI81" s="1031"/>
      <c r="AJ81" s="1031"/>
      <c r="AK81" s="1031"/>
      <c r="AL81" s="1031"/>
      <c r="AM81" s="1031"/>
      <c r="AN81" s="1031"/>
      <c r="AO81" s="1041"/>
      <c r="AP81" s="1117"/>
      <c r="AQ81" s="1041"/>
      <c r="AR81" s="1041"/>
      <c r="AS81" s="1041"/>
      <c r="AT81" s="1041"/>
      <c r="AU81" s="1041"/>
      <c r="AV81" s="1041"/>
      <c r="AW81" s="1109"/>
      <c r="AX81" s="1109"/>
      <c r="AY81" s="1109"/>
      <c r="AZ81" s="1109"/>
      <c r="BA81" s="1109"/>
      <c r="BB81" s="1109"/>
      <c r="BC81" s="1109"/>
      <c r="BD81" s="1041"/>
      <c r="BE81" s="1117"/>
      <c r="BF81" s="1041"/>
      <c r="BG81" s="1041"/>
      <c r="BH81" s="1080"/>
      <c r="BI81" s="1041"/>
      <c r="BJ81" s="1041"/>
      <c r="BK81" s="1117"/>
      <c r="BL81" s="1041"/>
      <c r="BM81" s="1041"/>
      <c r="BN81" s="1080"/>
      <c r="BO81" s="1041"/>
      <c r="BP81" s="1109"/>
      <c r="BQ81" s="1109"/>
      <c r="BR81" s="1117"/>
      <c r="BS81" s="1117"/>
      <c r="BT81" s="1117"/>
      <c r="BU81" s="1117"/>
      <c r="BV81" s="1117"/>
      <c r="BW81" s="1117"/>
      <c r="BX81" s="1117"/>
      <c r="BY81" s="1117"/>
      <c r="BZ81" s="1117"/>
      <c r="CA81" s="1117"/>
      <c r="CB81" s="1117"/>
      <c r="CC81" s="1117"/>
      <c r="CD81" s="1117"/>
      <c r="CE81" s="1117"/>
      <c r="CF81" s="1117"/>
      <c r="CG81" s="1117"/>
      <c r="CH81" s="1117"/>
      <c r="CI81" s="1031"/>
    </row>
    <row r="82" spans="21:87" ht="15.75">
      <c r="U82" s="201"/>
      <c r="V82" s="201"/>
      <c r="W82" s="1023"/>
      <c r="X82" s="143"/>
      <c r="Y82" s="143"/>
      <c r="Z82" s="1095"/>
      <c r="AA82" s="1095"/>
      <c r="AB82" s="1031"/>
      <c r="AC82" s="1031"/>
      <c r="AD82" s="1031"/>
      <c r="AE82" s="1031"/>
      <c r="AF82" s="1031"/>
      <c r="AG82" s="1025"/>
      <c r="AH82" s="1031"/>
      <c r="AI82" s="1031"/>
      <c r="AJ82" s="1031"/>
      <c r="AK82" s="1031"/>
      <c r="AL82" s="1031"/>
      <c r="AM82" s="1031"/>
      <c r="AN82" s="1031"/>
      <c r="AO82" s="1041"/>
      <c r="AP82" s="1117"/>
      <c r="AQ82" s="1041"/>
      <c r="AR82" s="1041"/>
      <c r="AS82" s="1041"/>
      <c r="AT82" s="1041"/>
      <c r="AU82" s="1041"/>
      <c r="AV82" s="1041"/>
      <c r="AW82" s="1109"/>
      <c r="AX82" s="1109"/>
      <c r="AY82" s="1109"/>
      <c r="AZ82" s="1109"/>
      <c r="BA82" s="1109"/>
      <c r="BB82" s="1109"/>
      <c r="BC82" s="1109"/>
      <c r="BD82" s="1041"/>
      <c r="BE82" s="1117"/>
      <c r="BF82" s="1041"/>
      <c r="BG82" s="1041"/>
      <c r="BH82" s="1080"/>
      <c r="BI82" s="1041"/>
      <c r="BJ82" s="1041"/>
      <c r="BK82" s="1117"/>
      <c r="BL82" s="1041"/>
      <c r="BM82" s="1041"/>
      <c r="BN82" s="1080"/>
      <c r="BO82" s="1041"/>
      <c r="BP82" s="1109"/>
      <c r="BQ82" s="1109"/>
      <c r="BR82" s="1117"/>
      <c r="BS82" s="1117"/>
      <c r="BT82" s="1117"/>
      <c r="BU82" s="1117"/>
      <c r="BV82" s="1117"/>
      <c r="BW82" s="1117"/>
      <c r="BX82" s="1117"/>
      <c r="BY82" s="1117"/>
      <c r="BZ82" s="1117"/>
      <c r="CA82" s="1117"/>
      <c r="CB82" s="1117"/>
      <c r="CC82" s="1117"/>
      <c r="CD82" s="1117"/>
      <c r="CE82" s="1117"/>
      <c r="CF82" s="1117"/>
      <c r="CG82" s="1117"/>
      <c r="CH82" s="1117"/>
      <c r="CI82" s="1031"/>
    </row>
    <row r="83" spans="21:87" ht="15.75">
      <c r="U83" s="201"/>
      <c r="V83" s="201"/>
      <c r="W83" s="1023"/>
      <c r="X83" s="1093"/>
      <c r="Y83" s="1093"/>
      <c r="Z83" s="1095"/>
      <c r="AA83" s="1095"/>
      <c r="AB83" s="1031"/>
      <c r="AC83" s="1031"/>
      <c r="AD83" s="1031"/>
      <c r="AE83" s="1031"/>
      <c r="AF83" s="1031"/>
      <c r="AG83" s="1025"/>
      <c r="AH83" s="1031"/>
      <c r="AI83" s="1031"/>
      <c r="AJ83" s="1031"/>
      <c r="AK83" s="1031"/>
      <c r="AL83" s="1031"/>
      <c r="AM83" s="1031"/>
      <c r="AN83" s="1031"/>
      <c r="AO83" s="1041"/>
      <c r="AP83" s="1117"/>
      <c r="AQ83" s="1041"/>
      <c r="AR83" s="1041"/>
      <c r="AS83" s="1041"/>
      <c r="AT83" s="1041"/>
      <c r="AU83" s="1041"/>
      <c r="AV83" s="1041"/>
      <c r="AW83" s="1109"/>
      <c r="AX83" s="1109"/>
      <c r="AY83" s="1109"/>
      <c r="AZ83" s="1109"/>
      <c r="BA83" s="1109"/>
      <c r="BB83" s="1109"/>
      <c r="BC83" s="1109"/>
      <c r="BD83" s="1041"/>
      <c r="BE83" s="1117"/>
      <c r="BF83" s="1041"/>
      <c r="BG83" s="1041"/>
      <c r="BH83" s="1080"/>
      <c r="BI83" s="1041"/>
      <c r="BJ83" s="1041"/>
      <c r="BK83" s="1117"/>
      <c r="BL83" s="1041"/>
      <c r="BM83" s="1041"/>
      <c r="BN83" s="1080"/>
      <c r="BO83" s="1041"/>
      <c r="BP83" s="1109"/>
      <c r="BQ83" s="1109"/>
      <c r="BR83" s="1117"/>
      <c r="BS83" s="1117"/>
      <c r="BT83" s="1117"/>
      <c r="BU83" s="1117"/>
      <c r="BV83" s="1117"/>
      <c r="BW83" s="1117"/>
      <c r="BX83" s="1117"/>
      <c r="BY83" s="1117"/>
      <c r="BZ83" s="1117"/>
      <c r="CA83" s="1117"/>
      <c r="CB83" s="1117"/>
      <c r="CC83" s="1117"/>
      <c r="CD83" s="1117"/>
      <c r="CE83" s="1117"/>
      <c r="CF83" s="1117"/>
      <c r="CG83" s="1117"/>
      <c r="CH83" s="1117"/>
      <c r="CI83" s="1031"/>
    </row>
    <row r="84" spans="21:87" ht="15.75">
      <c r="U84" s="201"/>
      <c r="V84" s="201"/>
      <c r="W84" s="1023"/>
      <c r="X84" s="1094"/>
      <c r="Y84" s="1093"/>
      <c r="Z84" s="1095"/>
      <c r="AA84" s="1095"/>
      <c r="AB84" s="1031"/>
      <c r="AC84" s="1031"/>
      <c r="AD84" s="1031"/>
      <c r="AE84" s="1031"/>
      <c r="AF84" s="1031"/>
      <c r="AG84" s="1025"/>
      <c r="AH84" s="1031"/>
      <c r="AI84" s="1031"/>
      <c r="AJ84" s="1031"/>
      <c r="AK84" s="1031"/>
      <c r="AL84" s="1031"/>
      <c r="AM84" s="1031"/>
      <c r="AN84" s="1031"/>
      <c r="AO84" s="1041"/>
      <c r="AP84" s="1117"/>
      <c r="AQ84" s="1041"/>
      <c r="AR84" s="1041"/>
      <c r="AS84" s="1041"/>
      <c r="AT84" s="1041"/>
      <c r="AU84" s="1041"/>
      <c r="AV84" s="1041"/>
      <c r="AW84" s="1109"/>
      <c r="AX84" s="1109"/>
      <c r="AY84" s="1109"/>
      <c r="AZ84" s="1109"/>
      <c r="BA84" s="1109"/>
      <c r="BB84" s="1109"/>
      <c r="BC84" s="1109"/>
      <c r="BD84" s="1041"/>
      <c r="BE84" s="1117"/>
      <c r="BF84" s="1041"/>
      <c r="BG84" s="1041"/>
      <c r="BH84" s="1080"/>
      <c r="BI84" s="1041"/>
      <c r="BJ84" s="1041"/>
      <c r="BK84" s="1117"/>
      <c r="BL84" s="1041"/>
      <c r="BM84" s="1041"/>
      <c r="BN84" s="1080"/>
      <c r="BO84" s="1041"/>
      <c r="BP84" s="1109"/>
      <c r="BQ84" s="1109"/>
      <c r="BR84" s="1117"/>
      <c r="BS84" s="1117"/>
      <c r="BT84" s="1117"/>
      <c r="BU84" s="1117"/>
      <c r="BV84" s="1117"/>
      <c r="BW84" s="1117"/>
      <c r="BX84" s="1117"/>
      <c r="BY84" s="1117"/>
      <c r="BZ84" s="1117"/>
      <c r="CA84" s="1117"/>
      <c r="CB84" s="1117"/>
      <c r="CC84" s="1117"/>
      <c r="CD84" s="1117"/>
      <c r="CE84" s="1117"/>
      <c r="CF84" s="1117"/>
      <c r="CG84" s="1117"/>
      <c r="CH84" s="1117"/>
      <c r="CI84" s="1031"/>
    </row>
    <row r="85" spans="21:87" ht="15.75">
      <c r="U85" s="201"/>
      <c r="V85" s="201"/>
      <c r="W85" s="1023"/>
      <c r="X85" s="1094"/>
      <c r="Y85" s="1093"/>
      <c r="Z85" s="1095"/>
      <c r="AA85" s="1095"/>
      <c r="AB85" s="1031"/>
      <c r="AC85" s="1031"/>
      <c r="AD85" s="1031"/>
      <c r="AE85" s="1031"/>
      <c r="AF85" s="1031"/>
      <c r="AG85" s="1025"/>
      <c r="AH85" s="1031"/>
      <c r="AI85" s="1031"/>
      <c r="AJ85" s="1031"/>
      <c r="AK85" s="1031"/>
      <c r="AL85" s="1031"/>
      <c r="AM85" s="1031"/>
      <c r="AN85" s="1031"/>
      <c r="AO85" s="1041"/>
      <c r="AP85" s="1117"/>
      <c r="AQ85" s="1041"/>
      <c r="AR85" s="1041"/>
      <c r="AS85" s="1041"/>
      <c r="AT85" s="1041"/>
      <c r="AU85" s="1041"/>
      <c r="AV85" s="1041"/>
      <c r="AW85" s="1109"/>
      <c r="AX85" s="1109"/>
      <c r="AY85" s="1109"/>
      <c r="AZ85" s="1109"/>
      <c r="BA85" s="1109"/>
      <c r="BB85" s="1109"/>
      <c r="BC85" s="1109"/>
      <c r="BD85" s="1041"/>
      <c r="BE85" s="1117"/>
      <c r="BF85" s="1041"/>
      <c r="BG85" s="1041"/>
      <c r="BH85" s="1080"/>
      <c r="BI85" s="1041"/>
      <c r="BJ85" s="1041"/>
      <c r="BK85" s="1117"/>
      <c r="BL85" s="1041"/>
      <c r="BM85" s="1041"/>
      <c r="BN85" s="1080"/>
      <c r="BO85" s="1041"/>
      <c r="BP85" s="1109"/>
      <c r="BQ85" s="1109"/>
      <c r="BR85" s="1117"/>
      <c r="BS85" s="1117"/>
      <c r="BT85" s="1117"/>
      <c r="BU85" s="1117"/>
      <c r="BV85" s="1117"/>
      <c r="BW85" s="1117"/>
      <c r="BX85" s="1117"/>
      <c r="BY85" s="1117"/>
      <c r="BZ85" s="1117"/>
      <c r="CA85" s="1117"/>
      <c r="CB85" s="1117"/>
      <c r="CC85" s="1117"/>
      <c r="CD85" s="1117"/>
      <c r="CE85" s="1117"/>
      <c r="CF85" s="1117"/>
      <c r="CG85" s="1117"/>
      <c r="CH85" s="1117"/>
      <c r="CI85" s="1031"/>
    </row>
    <row r="86" spans="21:87" ht="15.75">
      <c r="U86" s="201"/>
      <c r="V86" s="201"/>
      <c r="W86" s="1023"/>
      <c r="X86" s="1094"/>
      <c r="Y86" s="1094"/>
      <c r="Z86" s="1095"/>
      <c r="AA86" s="1095"/>
      <c r="AB86" s="1031"/>
      <c r="AC86" s="1031"/>
      <c r="AD86" s="1031"/>
      <c r="AE86" s="1031"/>
      <c r="AF86" s="1031"/>
      <c r="AG86" s="1025"/>
      <c r="AH86" s="1031"/>
      <c r="AI86" s="1031"/>
      <c r="AJ86" s="1031"/>
      <c r="AK86" s="1031"/>
      <c r="AL86" s="1031"/>
      <c r="AM86" s="1031"/>
      <c r="AN86" s="1031"/>
      <c r="AO86" s="1041"/>
      <c r="AP86" s="1117"/>
      <c r="AQ86" s="1041"/>
      <c r="AR86" s="1041"/>
      <c r="AS86" s="1041"/>
      <c r="AT86" s="1041"/>
      <c r="AU86" s="1041"/>
      <c r="AV86" s="1041"/>
      <c r="AW86" s="1109"/>
      <c r="AX86" s="1109"/>
      <c r="AY86" s="1109"/>
      <c r="AZ86" s="1109"/>
      <c r="BA86" s="1109"/>
      <c r="BB86" s="1109"/>
      <c r="BC86" s="1109"/>
      <c r="BD86" s="1041"/>
      <c r="BE86" s="1117"/>
      <c r="BF86" s="1041"/>
      <c r="BG86" s="1041"/>
      <c r="BH86" s="1080"/>
      <c r="BI86" s="1041"/>
      <c r="BJ86" s="1041"/>
      <c r="BK86" s="1117"/>
      <c r="BL86" s="1041"/>
      <c r="BM86" s="1041"/>
      <c r="BN86" s="1080"/>
      <c r="BO86" s="1041"/>
      <c r="BP86" s="1109"/>
      <c r="BQ86" s="1109"/>
      <c r="BR86" s="1117"/>
      <c r="BS86" s="1117"/>
      <c r="BT86" s="1117"/>
      <c r="BU86" s="1117"/>
      <c r="BV86" s="1117"/>
      <c r="BW86" s="1117"/>
      <c r="BX86" s="1117"/>
      <c r="BY86" s="1117"/>
      <c r="BZ86" s="1117"/>
      <c r="CA86" s="1117"/>
      <c r="CB86" s="1117"/>
      <c r="CC86" s="1117"/>
      <c r="CD86" s="1117"/>
      <c r="CE86" s="1117"/>
      <c r="CF86" s="1117"/>
      <c r="CG86" s="1117"/>
      <c r="CH86" s="1117"/>
      <c r="CI86" s="1031"/>
    </row>
    <row r="87" spans="21:87" ht="15.75">
      <c r="U87" s="201"/>
      <c r="V87" s="201"/>
      <c r="W87" s="1023"/>
      <c r="X87" s="1094"/>
      <c r="Y87" s="1094"/>
      <c r="Z87" s="1095"/>
      <c r="AA87" s="1095"/>
      <c r="AB87" s="1031"/>
      <c r="AC87" s="1031"/>
      <c r="AD87" s="1031"/>
      <c r="AE87" s="1031"/>
      <c r="AF87" s="1031"/>
      <c r="AG87" s="1025"/>
      <c r="AH87" s="1031"/>
      <c r="AI87" s="1031"/>
      <c r="AJ87" s="1031"/>
      <c r="AK87" s="1031"/>
      <c r="AL87" s="1031"/>
      <c r="AM87" s="1031"/>
      <c r="AN87" s="1031"/>
      <c r="AO87" s="1041"/>
      <c r="AP87" s="1117"/>
      <c r="AQ87" s="1041"/>
      <c r="AR87" s="1041"/>
      <c r="AS87" s="1041"/>
      <c r="AT87" s="1041"/>
      <c r="AU87" s="1041"/>
      <c r="AV87" s="1041"/>
      <c r="AW87" s="1109"/>
      <c r="AX87" s="1109"/>
      <c r="AY87" s="1109"/>
      <c r="AZ87" s="1109"/>
      <c r="BA87" s="1109"/>
      <c r="BB87" s="1109"/>
      <c r="BC87" s="1109"/>
      <c r="BD87" s="1041"/>
      <c r="BE87" s="1117"/>
      <c r="BF87" s="1041"/>
      <c r="BG87" s="1041"/>
      <c r="BH87" s="1080"/>
      <c r="BI87" s="1041"/>
      <c r="BJ87" s="1041"/>
      <c r="BK87" s="1117"/>
      <c r="BL87" s="1041"/>
      <c r="BM87" s="1041"/>
      <c r="BN87" s="1080"/>
      <c r="BO87" s="1041"/>
      <c r="BP87" s="1109"/>
      <c r="BQ87" s="1109"/>
      <c r="BR87" s="1117"/>
      <c r="BS87" s="1117"/>
      <c r="BT87" s="1117"/>
      <c r="BU87" s="1117"/>
      <c r="BV87" s="1117"/>
      <c r="BW87" s="1117"/>
      <c r="BX87" s="1117"/>
      <c r="BY87" s="1117"/>
      <c r="BZ87" s="1117"/>
      <c r="CA87" s="1117"/>
      <c r="CB87" s="1117"/>
      <c r="CC87" s="1117"/>
      <c r="CD87" s="1117"/>
      <c r="CE87" s="1117"/>
      <c r="CF87" s="1117"/>
      <c r="CG87" s="1117"/>
      <c r="CH87" s="1117"/>
      <c r="CI87" s="1031"/>
    </row>
    <row r="88" spans="21:87" ht="15.75">
      <c r="U88" s="201"/>
      <c r="V88" s="201"/>
      <c r="W88" s="1023"/>
      <c r="X88" s="1094"/>
      <c r="Y88" s="1094"/>
      <c r="Z88" s="1095"/>
      <c r="AA88" s="1095"/>
      <c r="AB88" s="1031"/>
      <c r="AC88" s="1031"/>
      <c r="AD88" s="1031"/>
      <c r="AE88" s="1031"/>
      <c r="AF88" s="1031"/>
      <c r="AG88" s="1025"/>
      <c r="AH88" s="1031"/>
      <c r="AI88" s="1031"/>
      <c r="AJ88" s="1031"/>
      <c r="AK88" s="1031"/>
      <c r="AL88" s="1031"/>
      <c r="AM88" s="1031"/>
      <c r="AN88" s="1031"/>
      <c r="AO88" s="1041"/>
      <c r="AP88" s="1117"/>
      <c r="AQ88" s="1041"/>
      <c r="AR88" s="1041"/>
      <c r="AS88" s="1041"/>
      <c r="AT88" s="1041"/>
      <c r="AU88" s="1041"/>
      <c r="AV88" s="1041"/>
      <c r="AW88" s="1109"/>
      <c r="AX88" s="1109"/>
      <c r="AY88" s="1109"/>
      <c r="AZ88" s="1109"/>
      <c r="BA88" s="1109"/>
      <c r="BB88" s="1109"/>
      <c r="BC88" s="1109"/>
      <c r="BD88" s="1041"/>
      <c r="BE88" s="1117"/>
      <c r="BF88" s="1041"/>
      <c r="BG88" s="1041"/>
      <c r="BH88" s="1080"/>
      <c r="BI88" s="1041"/>
      <c r="BJ88" s="1041"/>
      <c r="BK88" s="1117"/>
      <c r="BL88" s="1041"/>
      <c r="BM88" s="1041"/>
      <c r="BN88" s="1080"/>
      <c r="BO88" s="1041"/>
      <c r="BP88" s="1109"/>
      <c r="BQ88" s="1109"/>
      <c r="BR88" s="1117"/>
      <c r="BS88" s="1117"/>
      <c r="BT88" s="1117"/>
      <c r="BU88" s="1117"/>
      <c r="BV88" s="1117"/>
      <c r="BW88" s="1117"/>
      <c r="BX88" s="1117"/>
      <c r="BY88" s="1117"/>
      <c r="BZ88" s="1117"/>
      <c r="CA88" s="1117"/>
      <c r="CB88" s="1117"/>
      <c r="CC88" s="1117"/>
      <c r="CD88" s="1117"/>
      <c r="CE88" s="1117"/>
      <c r="CF88" s="1117"/>
      <c r="CG88" s="1117"/>
      <c r="CH88" s="1117"/>
      <c r="CI88" s="1031"/>
    </row>
    <row r="89" spans="21:87" ht="15.75">
      <c r="U89" s="201"/>
      <c r="V89" s="201"/>
      <c r="W89" s="1023"/>
      <c r="X89" s="1094"/>
      <c r="Y89" s="1094"/>
      <c r="Z89" s="1095"/>
      <c r="AA89" s="1095"/>
      <c r="AB89" s="1031"/>
      <c r="AC89" s="1031"/>
      <c r="AD89" s="1031"/>
      <c r="AE89" s="1031"/>
      <c r="AF89" s="1031"/>
      <c r="AG89" s="1025"/>
      <c r="AH89" s="1031"/>
      <c r="AI89" s="1031"/>
      <c r="AJ89" s="1031"/>
      <c r="AK89" s="1031"/>
      <c r="AL89" s="1031"/>
      <c r="AM89" s="1031"/>
      <c r="AN89" s="1031"/>
      <c r="AO89" s="1041"/>
      <c r="AP89" s="1117"/>
      <c r="AQ89" s="1041"/>
      <c r="AR89" s="1041"/>
      <c r="AS89" s="1041"/>
      <c r="AT89" s="1041"/>
      <c r="AU89" s="1041"/>
      <c r="AV89" s="1041"/>
      <c r="AW89" s="1109"/>
      <c r="AX89" s="1109"/>
      <c r="AY89" s="1109"/>
      <c r="AZ89" s="1109"/>
      <c r="BA89" s="1109"/>
      <c r="BB89" s="1109"/>
      <c r="BC89" s="1109"/>
      <c r="BD89" s="1041"/>
      <c r="BE89" s="1117"/>
      <c r="BF89" s="1041"/>
      <c r="BG89" s="1041"/>
      <c r="BH89" s="1080"/>
      <c r="BI89" s="1041"/>
      <c r="BJ89" s="1041"/>
      <c r="BK89" s="1117"/>
      <c r="BL89" s="1041"/>
      <c r="BM89" s="1041"/>
      <c r="BN89" s="1080"/>
      <c r="BO89" s="1041"/>
      <c r="BP89" s="1109"/>
      <c r="BQ89" s="1109"/>
      <c r="BR89" s="1117"/>
      <c r="BS89" s="1117"/>
      <c r="BT89" s="1117"/>
      <c r="BU89" s="1117"/>
      <c r="BV89" s="1117"/>
      <c r="BW89" s="1117"/>
      <c r="BX89" s="1117"/>
      <c r="BY89" s="1117"/>
      <c r="BZ89" s="1117"/>
      <c r="CA89" s="1117"/>
      <c r="CB89" s="1117"/>
      <c r="CC89" s="1117"/>
      <c r="CD89" s="1117"/>
      <c r="CE89" s="1117"/>
      <c r="CF89" s="1117"/>
      <c r="CG89" s="1117"/>
      <c r="CH89" s="1117"/>
      <c r="CI89" s="1031"/>
    </row>
    <row r="90" spans="21:87" ht="15.75">
      <c r="U90" s="182"/>
      <c r="V90" s="182"/>
      <c r="W90" s="1023"/>
      <c r="X90" s="1094"/>
      <c r="Y90" s="1094"/>
      <c r="Z90" s="1095"/>
      <c r="AA90" s="1095"/>
      <c r="AB90" s="1031"/>
      <c r="AC90" s="1031"/>
      <c r="AD90" s="1031"/>
      <c r="AE90" s="1031"/>
      <c r="AF90" s="1031"/>
      <c r="AG90" s="1025"/>
      <c r="AH90" s="1031"/>
      <c r="AI90" s="1031"/>
      <c r="AJ90" s="1031"/>
      <c r="AK90" s="1031"/>
      <c r="AL90" s="1031"/>
      <c r="AM90" s="1031"/>
      <c r="AN90" s="1031"/>
      <c r="AO90" s="1041"/>
      <c r="AP90" s="1117"/>
      <c r="AQ90" s="1041"/>
      <c r="AR90" s="1041"/>
      <c r="AS90" s="1041"/>
      <c r="AT90" s="1041"/>
      <c r="AU90" s="1041"/>
      <c r="AV90" s="1041"/>
      <c r="AW90" s="1109"/>
      <c r="AX90" s="1109"/>
      <c r="AY90" s="1109"/>
      <c r="AZ90" s="1109"/>
      <c r="BA90" s="1109"/>
      <c r="BB90" s="1109"/>
      <c r="BC90" s="1109"/>
      <c r="BD90" s="1041"/>
      <c r="BE90" s="1117"/>
      <c r="BF90" s="1041"/>
      <c r="BG90" s="1041"/>
      <c r="BH90" s="1080"/>
      <c r="BI90" s="1041"/>
      <c r="BJ90" s="1041"/>
      <c r="BK90" s="1117"/>
      <c r="BL90" s="1041"/>
      <c r="BM90" s="1041"/>
      <c r="BN90" s="1080"/>
      <c r="BO90" s="1041"/>
      <c r="BP90" s="1109"/>
      <c r="BQ90" s="1109"/>
      <c r="BR90" s="1117"/>
      <c r="BS90" s="1117"/>
      <c r="BT90" s="1117"/>
      <c r="BU90" s="1117"/>
      <c r="BV90" s="1117"/>
      <c r="BW90" s="1117"/>
      <c r="BX90" s="1117"/>
      <c r="BY90" s="1117"/>
      <c r="BZ90" s="1117"/>
      <c r="CA90" s="1117"/>
      <c r="CB90" s="1117"/>
      <c r="CC90" s="1117"/>
      <c r="CD90" s="1117"/>
      <c r="CE90" s="1117"/>
      <c r="CF90" s="1117"/>
      <c r="CG90" s="1117"/>
      <c r="CH90" s="1117"/>
      <c r="CI90" s="1031"/>
    </row>
    <row r="91" spans="21:87" ht="15.75">
      <c r="U91" s="182"/>
      <c r="V91" s="182"/>
      <c r="W91" s="1023"/>
      <c r="X91" s="1094"/>
      <c r="Y91" s="1094"/>
      <c r="Z91" s="1095"/>
      <c r="AA91" s="1095"/>
      <c r="AB91" s="1031"/>
      <c r="AC91" s="1031"/>
      <c r="AD91" s="1031"/>
      <c r="AE91" s="1031"/>
      <c r="AF91" s="1031"/>
      <c r="AG91" s="1025"/>
      <c r="AH91" s="1031"/>
      <c r="AI91" s="1031"/>
      <c r="AJ91" s="1031"/>
      <c r="AK91" s="1031"/>
      <c r="AL91" s="1031"/>
      <c r="AM91" s="1031"/>
      <c r="AN91" s="1031"/>
      <c r="AO91" s="1041"/>
      <c r="AP91" s="1117"/>
      <c r="AQ91" s="1041"/>
      <c r="AR91" s="1041"/>
      <c r="AS91" s="1041"/>
      <c r="AT91" s="1041"/>
      <c r="AU91" s="1041"/>
      <c r="AV91" s="1041"/>
      <c r="AW91" s="1109"/>
      <c r="AX91" s="1109"/>
      <c r="AY91" s="1109"/>
      <c r="AZ91" s="1109"/>
      <c r="BA91" s="1109"/>
      <c r="BB91" s="1109"/>
      <c r="BC91" s="1109"/>
      <c r="BD91" s="1041"/>
      <c r="BE91" s="1117"/>
      <c r="BF91" s="1041"/>
      <c r="BG91" s="1041"/>
      <c r="BH91" s="1080"/>
      <c r="BI91" s="1041"/>
      <c r="BJ91" s="1041"/>
      <c r="BK91" s="1117"/>
      <c r="BL91" s="1041"/>
      <c r="BM91" s="1041"/>
      <c r="BN91" s="1080"/>
      <c r="BO91" s="1041"/>
      <c r="BP91" s="1109"/>
      <c r="BQ91" s="1109"/>
      <c r="BR91" s="1117"/>
      <c r="BS91" s="1117"/>
      <c r="BT91" s="1117"/>
      <c r="BU91" s="1117"/>
      <c r="BV91" s="1117"/>
      <c r="BW91" s="1117"/>
      <c r="BX91" s="1117"/>
      <c r="BY91" s="1117"/>
      <c r="BZ91" s="1117"/>
      <c r="CA91" s="1117"/>
      <c r="CB91" s="1117"/>
      <c r="CC91" s="1117"/>
      <c r="CD91" s="1117"/>
      <c r="CE91" s="1117"/>
      <c r="CF91" s="1117"/>
      <c r="CG91" s="1117"/>
      <c r="CH91" s="1117"/>
      <c r="CI91" s="1031"/>
    </row>
    <row r="92" spans="21:87" ht="15.75">
      <c r="U92" s="862"/>
      <c r="V92" s="862"/>
      <c r="W92" s="1023"/>
      <c r="X92" s="1094"/>
      <c r="Y92" s="1093"/>
      <c r="Z92" s="1095"/>
      <c r="AA92" s="1095"/>
      <c r="AB92" s="1031"/>
      <c r="AC92" s="1031"/>
      <c r="AD92" s="1031"/>
      <c r="AE92" s="1031"/>
      <c r="AF92" s="1031"/>
      <c r="AG92" s="1025"/>
      <c r="AH92" s="1031"/>
      <c r="AI92" s="1031"/>
      <c r="AJ92" s="1031"/>
      <c r="AK92" s="1031"/>
      <c r="AL92" s="1031"/>
      <c r="AM92" s="1031"/>
      <c r="AN92" s="1031"/>
      <c r="AO92" s="1041"/>
      <c r="AP92" s="1117"/>
      <c r="AQ92" s="1041"/>
      <c r="AR92" s="1041"/>
      <c r="AS92" s="1041"/>
      <c r="AT92" s="1041"/>
      <c r="AU92" s="1041"/>
      <c r="AV92" s="1041"/>
      <c r="AW92" s="1109"/>
      <c r="AX92" s="1109"/>
      <c r="AY92" s="1109"/>
      <c r="AZ92" s="1109"/>
      <c r="BA92" s="1109"/>
      <c r="BB92" s="1109"/>
      <c r="BC92" s="1109"/>
      <c r="BD92" s="1041"/>
      <c r="BE92" s="1117"/>
      <c r="BF92" s="1041"/>
      <c r="BG92" s="1041"/>
      <c r="BH92" s="1080"/>
      <c r="BI92" s="1041"/>
      <c r="BJ92" s="1041"/>
      <c r="BK92" s="1117"/>
      <c r="BL92" s="1041"/>
      <c r="BM92" s="1041"/>
      <c r="BN92" s="1080"/>
      <c r="BO92" s="1041"/>
      <c r="BP92" s="1109"/>
      <c r="BQ92" s="1109"/>
      <c r="BR92" s="1117"/>
      <c r="BS92" s="1117"/>
      <c r="BT92" s="1117"/>
      <c r="BU92" s="1117"/>
      <c r="BV92" s="1117"/>
      <c r="BW92" s="1117"/>
      <c r="BX92" s="1117"/>
      <c r="BY92" s="1117"/>
      <c r="BZ92" s="1117"/>
      <c r="CA92" s="1117"/>
      <c r="CB92" s="1117"/>
      <c r="CC92" s="1117"/>
      <c r="CD92" s="1117"/>
      <c r="CE92" s="1117"/>
      <c r="CF92" s="1117"/>
      <c r="CG92" s="1117"/>
      <c r="CH92" s="1117"/>
      <c r="CI92" s="1031"/>
    </row>
    <row r="93" spans="21:87" ht="15.75">
      <c r="U93" s="862"/>
      <c r="V93" s="862"/>
      <c r="W93" s="1023"/>
      <c r="X93" s="1094"/>
      <c r="Y93" s="1093"/>
      <c r="Z93" s="1095"/>
      <c r="AA93" s="1095"/>
      <c r="AB93" s="1031"/>
      <c r="AC93" s="1031"/>
      <c r="AD93" s="1031"/>
      <c r="AE93" s="1031"/>
      <c r="AF93" s="1031"/>
      <c r="AG93" s="1025"/>
      <c r="AH93" s="1031"/>
      <c r="AI93" s="1031"/>
      <c r="AJ93" s="1031"/>
      <c r="AK93" s="1031"/>
      <c r="AL93" s="1031"/>
      <c r="AM93" s="1031"/>
      <c r="AN93" s="1031"/>
      <c r="AO93" s="1041"/>
      <c r="AP93" s="1117"/>
      <c r="AQ93" s="1041"/>
      <c r="AR93" s="1041"/>
      <c r="AS93" s="1041"/>
      <c r="AT93" s="1041"/>
      <c r="AU93" s="1041"/>
      <c r="AV93" s="1041"/>
      <c r="AW93" s="1109"/>
      <c r="AX93" s="1109"/>
      <c r="AY93" s="1109"/>
      <c r="AZ93" s="1109"/>
      <c r="BA93" s="1109"/>
      <c r="BB93" s="1109"/>
      <c r="BC93" s="1109"/>
      <c r="BD93" s="1041"/>
      <c r="BE93" s="1117"/>
      <c r="BF93" s="1041"/>
      <c r="BG93" s="1041"/>
      <c r="BH93" s="1080"/>
      <c r="BI93" s="1041"/>
      <c r="BJ93" s="1041"/>
      <c r="BK93" s="1117"/>
      <c r="BL93" s="1041"/>
      <c r="BM93" s="1041"/>
      <c r="BN93" s="1080"/>
      <c r="BO93" s="1041"/>
      <c r="BP93" s="1109"/>
      <c r="BQ93" s="1109"/>
      <c r="BR93" s="1117"/>
      <c r="BS93" s="1117"/>
      <c r="BT93" s="1117"/>
      <c r="BU93" s="1117"/>
      <c r="BV93" s="1117"/>
      <c r="BW93" s="1117"/>
      <c r="BX93" s="1117"/>
      <c r="BY93" s="1117"/>
      <c r="BZ93" s="1117"/>
      <c r="CA93" s="1117"/>
      <c r="CB93" s="1117"/>
      <c r="CC93" s="1117"/>
      <c r="CD93" s="1117"/>
      <c r="CE93" s="1117"/>
      <c r="CF93" s="1117"/>
      <c r="CG93" s="1117"/>
      <c r="CH93" s="1117"/>
      <c r="CI93" s="1031"/>
    </row>
    <row r="94" spans="21:87" ht="15.75">
      <c r="U94" s="862"/>
      <c r="V94" s="862"/>
      <c r="W94" s="1023"/>
      <c r="X94" s="1094"/>
      <c r="Y94" s="1093"/>
      <c r="Z94" s="1095"/>
      <c r="AA94" s="1095"/>
      <c r="AB94" s="1031"/>
      <c r="AC94" s="1031"/>
      <c r="AD94" s="1031"/>
      <c r="AE94" s="1031"/>
      <c r="AF94" s="1031"/>
      <c r="AG94" s="1025"/>
      <c r="AH94" s="1031"/>
      <c r="AI94" s="1031"/>
      <c r="AJ94" s="1031"/>
      <c r="AK94" s="1031"/>
      <c r="AL94" s="1031"/>
      <c r="AM94" s="1031"/>
      <c r="AN94" s="1031"/>
      <c r="AO94" s="1041"/>
      <c r="AP94" s="1117"/>
      <c r="AQ94" s="1041"/>
      <c r="AR94" s="1041"/>
      <c r="AS94" s="1041"/>
      <c r="AT94" s="1041"/>
      <c r="AU94" s="1041"/>
      <c r="AV94" s="1041"/>
      <c r="AW94" s="1109"/>
      <c r="AX94" s="1109"/>
      <c r="AY94" s="1109"/>
      <c r="AZ94" s="1109"/>
      <c r="BA94" s="1109"/>
      <c r="BB94" s="1109"/>
      <c r="BC94" s="1109"/>
      <c r="BD94" s="1041"/>
      <c r="BE94" s="1117"/>
      <c r="BF94" s="1041"/>
      <c r="BG94" s="1041"/>
      <c r="BH94" s="1080"/>
      <c r="BI94" s="1041"/>
      <c r="BJ94" s="1041"/>
      <c r="BK94" s="1117"/>
      <c r="BL94" s="1041"/>
      <c r="BM94" s="1041"/>
      <c r="BN94" s="1080"/>
      <c r="BO94" s="1041"/>
      <c r="BP94" s="1109"/>
      <c r="BQ94" s="1109"/>
      <c r="BR94" s="1117"/>
      <c r="BS94" s="1117"/>
      <c r="BT94" s="1117"/>
      <c r="BU94" s="1117"/>
      <c r="BV94" s="1117"/>
      <c r="BW94" s="1117"/>
      <c r="BX94" s="1117"/>
      <c r="BY94" s="1117"/>
      <c r="BZ94" s="1117"/>
      <c r="CA94" s="1117"/>
      <c r="CB94" s="1117"/>
      <c r="CC94" s="1117"/>
      <c r="CD94" s="1117"/>
      <c r="CE94" s="1117"/>
      <c r="CF94" s="1117"/>
      <c r="CG94" s="1117"/>
      <c r="CH94" s="1117"/>
      <c r="CI94" s="1031"/>
    </row>
    <row r="95" spans="21:87" ht="15.75">
      <c r="U95" s="1015"/>
      <c r="V95" s="1015"/>
      <c r="W95" s="1023"/>
      <c r="X95" s="1094"/>
      <c r="Y95" s="1093"/>
      <c r="Z95" s="1095"/>
      <c r="AA95" s="1095"/>
      <c r="AB95" s="1031"/>
      <c r="AC95" s="1031"/>
      <c r="AD95" s="1031"/>
      <c r="AE95" s="1031"/>
      <c r="AF95" s="1031"/>
      <c r="AG95" s="1025"/>
      <c r="AH95" s="1031"/>
      <c r="AI95" s="1031"/>
      <c r="AJ95" s="1031"/>
      <c r="AK95" s="1031"/>
      <c r="AL95" s="1031"/>
      <c r="AM95" s="1031"/>
      <c r="AN95" s="1031"/>
      <c r="AO95" s="1041"/>
      <c r="AP95" s="1117"/>
      <c r="AQ95" s="1041"/>
      <c r="AR95" s="1041"/>
      <c r="AS95" s="1041"/>
      <c r="AT95" s="1041"/>
      <c r="AU95" s="1041"/>
      <c r="AV95" s="1041"/>
      <c r="AW95" s="1109"/>
      <c r="AX95" s="1109"/>
      <c r="AY95" s="1109"/>
      <c r="AZ95" s="1109"/>
      <c r="BA95" s="1109"/>
      <c r="BB95" s="1109"/>
      <c r="BC95" s="1109"/>
      <c r="BD95" s="1041"/>
      <c r="BE95" s="1117"/>
      <c r="BF95" s="1041"/>
      <c r="BG95" s="1041"/>
      <c r="BH95" s="1080"/>
      <c r="BI95" s="1041"/>
      <c r="BJ95" s="1041"/>
      <c r="BK95" s="1117"/>
      <c r="BL95" s="1041"/>
      <c r="BM95" s="1041"/>
      <c r="BN95" s="1080"/>
      <c r="BO95" s="1041"/>
      <c r="BP95" s="1109"/>
      <c r="BQ95" s="1109"/>
      <c r="BR95" s="1117"/>
      <c r="BS95" s="1117"/>
      <c r="BT95" s="1117"/>
      <c r="BU95" s="1117"/>
      <c r="BV95" s="1117"/>
      <c r="BW95" s="1117"/>
      <c r="BX95" s="1117"/>
      <c r="BY95" s="1117"/>
      <c r="BZ95" s="1117"/>
      <c r="CA95" s="1117"/>
      <c r="CB95" s="1117"/>
      <c r="CC95" s="1117"/>
      <c r="CD95" s="1117"/>
      <c r="CE95" s="1117"/>
      <c r="CF95" s="1117"/>
      <c r="CG95" s="1117"/>
      <c r="CH95" s="1117"/>
      <c r="CI95" s="1031"/>
    </row>
    <row r="96" spans="21:87" ht="15.75">
      <c r="U96" s="1014"/>
      <c r="V96" s="1014"/>
      <c r="W96" s="1023"/>
      <c r="X96" s="1094"/>
      <c r="Y96" s="1093"/>
      <c r="Z96" s="1095"/>
      <c r="AA96" s="1095"/>
      <c r="AB96" s="1031"/>
      <c r="AC96" s="1031"/>
      <c r="AD96" s="1031"/>
      <c r="AE96" s="1031"/>
      <c r="AF96" s="1031"/>
      <c r="AG96" s="1025"/>
      <c r="AH96" s="1031"/>
      <c r="AI96" s="1031"/>
      <c r="AJ96" s="1031"/>
      <c r="AK96" s="1031"/>
      <c r="AL96" s="1031"/>
      <c r="AM96" s="1031"/>
      <c r="AN96" s="1031"/>
      <c r="AO96" s="1041"/>
      <c r="AP96" s="1117"/>
      <c r="AQ96" s="1041"/>
      <c r="AR96" s="1041"/>
      <c r="AS96" s="1041"/>
      <c r="AT96" s="1041"/>
      <c r="AU96" s="1041"/>
      <c r="AV96" s="1041"/>
      <c r="AW96" s="1109"/>
      <c r="AX96" s="1109"/>
      <c r="AY96" s="1109"/>
      <c r="AZ96" s="1109"/>
      <c r="BA96" s="1109"/>
      <c r="BB96" s="1109"/>
      <c r="BC96" s="1109"/>
      <c r="BD96" s="1041"/>
      <c r="BE96" s="1117"/>
      <c r="BF96" s="1041"/>
      <c r="BG96" s="1041"/>
      <c r="BH96" s="1080"/>
      <c r="BI96" s="1041"/>
      <c r="BJ96" s="1041"/>
      <c r="BK96" s="1117"/>
      <c r="BL96" s="1041"/>
      <c r="BM96" s="1041"/>
      <c r="BN96" s="1080"/>
      <c r="BO96" s="1041"/>
      <c r="BP96" s="1109"/>
      <c r="BQ96" s="1109"/>
      <c r="BR96" s="1117"/>
      <c r="BS96" s="1117"/>
      <c r="BT96" s="1117"/>
      <c r="BU96" s="1117"/>
      <c r="BV96" s="1117"/>
      <c r="BW96" s="1117"/>
      <c r="BX96" s="1117"/>
      <c r="BY96" s="1117"/>
      <c r="BZ96" s="1117"/>
      <c r="CA96" s="1117"/>
      <c r="CB96" s="1117"/>
      <c r="CC96" s="1117"/>
      <c r="CD96" s="1117"/>
      <c r="CE96" s="1117"/>
      <c r="CF96" s="1117"/>
      <c r="CG96" s="1117"/>
      <c r="CH96" s="1117"/>
      <c r="CI96" s="1031"/>
    </row>
    <row r="97" spans="21:87" ht="15.75">
      <c r="U97" s="1014"/>
      <c r="V97" s="1014"/>
      <c r="W97" s="1023"/>
      <c r="X97" s="1094"/>
      <c r="Y97" s="1094"/>
      <c r="Z97" s="908"/>
      <c r="AA97" s="908"/>
      <c r="AB97" s="908"/>
      <c r="AC97" s="908"/>
      <c r="AD97" s="908"/>
      <c r="AE97" s="908"/>
      <c r="AF97" s="908"/>
      <c r="AG97" s="908"/>
      <c r="AH97" s="908"/>
      <c r="AI97" s="908"/>
      <c r="AJ97" s="908"/>
      <c r="AK97" s="908"/>
      <c r="AL97" s="908"/>
      <c r="AM97" s="908"/>
      <c r="AN97" s="908"/>
      <c r="AO97" s="908"/>
      <c r="AP97" s="908"/>
      <c r="AQ97" s="908"/>
      <c r="AR97" s="908"/>
      <c r="AS97" s="908"/>
      <c r="AT97" s="908"/>
      <c r="AU97" s="908"/>
      <c r="AV97" s="908"/>
      <c r="AW97" s="908"/>
      <c r="AX97" s="908"/>
      <c r="AY97" s="908"/>
      <c r="AZ97" s="908"/>
      <c r="BA97" s="908"/>
      <c r="BB97" s="908"/>
      <c r="BC97" s="908"/>
      <c r="BD97" s="908"/>
      <c r="BE97" s="908"/>
      <c r="BF97" s="908"/>
      <c r="BG97" s="908"/>
      <c r="BH97" s="908"/>
      <c r="BI97" s="908"/>
      <c r="BJ97" s="908"/>
      <c r="BK97" s="908"/>
      <c r="BL97" s="908"/>
      <c r="BM97" s="908"/>
      <c r="BN97" s="908"/>
      <c r="BO97" s="908"/>
      <c r="BP97" s="908"/>
      <c r="BQ97" s="908"/>
      <c r="BR97" s="908"/>
      <c r="BS97" s="908"/>
      <c r="BT97" s="908"/>
      <c r="BU97" s="908"/>
      <c r="BV97" s="908"/>
      <c r="BW97" s="908"/>
      <c r="BX97" s="908"/>
      <c r="BY97" s="908"/>
      <c r="BZ97" s="908"/>
      <c r="CA97" s="908"/>
      <c r="CB97" s="908"/>
      <c r="CC97" s="908"/>
      <c r="CD97" s="908"/>
      <c r="CE97" s="908"/>
      <c r="CF97" s="908"/>
      <c r="CG97" s="908"/>
      <c r="CH97" s="908"/>
      <c r="CI97" s="908"/>
    </row>
    <row r="98" spans="21:87" ht="15.75">
      <c r="U98" s="1014"/>
      <c r="V98" s="1014"/>
      <c r="W98" s="1023"/>
      <c r="X98" s="1094"/>
      <c r="Y98" s="1093"/>
      <c r="Z98" s="1095"/>
      <c r="AA98" s="1095"/>
      <c r="AB98" s="1031"/>
      <c r="AC98" s="1031"/>
      <c r="AD98" s="1031"/>
      <c r="AE98" s="1031"/>
      <c r="AF98" s="1031"/>
      <c r="AG98" s="1025"/>
      <c r="AH98" s="1031"/>
      <c r="AI98" s="1031"/>
      <c r="AJ98" s="1031"/>
      <c r="AK98" s="1031"/>
      <c r="AL98" s="1031"/>
      <c r="AM98" s="1031"/>
      <c r="AN98" s="1031"/>
      <c r="AO98" s="1041"/>
      <c r="AP98" s="1117"/>
      <c r="AQ98" s="1041"/>
      <c r="AR98" s="1041"/>
      <c r="AS98" s="1041"/>
      <c r="AT98" s="1041"/>
      <c r="AU98" s="1041"/>
      <c r="AV98" s="1041"/>
      <c r="AW98" s="1109"/>
      <c r="AX98" s="1109"/>
      <c r="AY98" s="1109"/>
      <c r="AZ98" s="1109"/>
      <c r="BA98" s="1109"/>
      <c r="BB98" s="1109"/>
      <c r="BC98" s="1109"/>
      <c r="BD98" s="1041"/>
      <c r="BE98" s="1117"/>
      <c r="BF98" s="1041"/>
      <c r="BG98" s="1041"/>
      <c r="BH98" s="1080"/>
      <c r="BI98" s="1041"/>
      <c r="BJ98" s="1041"/>
      <c r="BK98" s="1117"/>
      <c r="BL98" s="1041"/>
      <c r="BM98" s="1041"/>
      <c r="BN98" s="1080"/>
      <c r="BO98" s="1041"/>
      <c r="BP98" s="1109"/>
      <c r="BQ98" s="1109"/>
      <c r="BR98" s="1117"/>
      <c r="BS98" s="1117"/>
      <c r="BT98" s="1117"/>
      <c r="BU98" s="1117"/>
      <c r="BV98" s="1117"/>
      <c r="BW98" s="1117"/>
      <c r="BX98" s="1117"/>
      <c r="BY98" s="1117"/>
      <c r="BZ98" s="1117"/>
      <c r="CA98" s="1117"/>
      <c r="CB98" s="1117"/>
      <c r="CC98" s="1117"/>
      <c r="CD98" s="1117"/>
      <c r="CE98" s="1117"/>
      <c r="CF98" s="1117"/>
      <c r="CG98" s="1117"/>
      <c r="CH98" s="1117"/>
      <c r="CI98" s="1031"/>
    </row>
    <row r="99" spans="21:87" ht="15.75">
      <c r="U99" s="201"/>
      <c r="V99" s="201"/>
      <c r="Z99" s="682"/>
      <c r="AA99" s="682"/>
      <c r="AB99" s="682"/>
      <c r="AC99" s="682"/>
      <c r="AD99" s="682"/>
      <c r="AE99" s="682"/>
      <c r="AF99" s="682"/>
      <c r="AG99" s="682"/>
      <c r="AH99" s="682"/>
      <c r="AI99" s="682"/>
      <c r="AJ99" s="682"/>
      <c r="AK99" s="682"/>
      <c r="AL99" s="682"/>
      <c r="AM99" s="682"/>
      <c r="AN99" s="682"/>
      <c r="AO99" s="682"/>
      <c r="AP99" s="1194"/>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c r="CB99" s="682"/>
      <c r="CC99" s="682"/>
      <c r="CD99" s="682"/>
      <c r="CE99" s="682"/>
      <c r="CF99" s="682"/>
      <c r="CG99" s="682"/>
      <c r="CH99" s="682"/>
      <c r="CI99" s="682"/>
    </row>
    <row r="100" spans="21:87" ht="15.75">
      <c r="U100" s="201"/>
      <c r="V100" s="201"/>
      <c r="Z100" s="682"/>
      <c r="AA100" s="682"/>
      <c r="AB100" s="682"/>
      <c r="AC100" s="682"/>
      <c r="AD100" s="682"/>
      <c r="AE100" s="682"/>
      <c r="AF100" s="682"/>
      <c r="AG100" s="682"/>
      <c r="AH100" s="682"/>
      <c r="AI100" s="682"/>
      <c r="AJ100" s="682"/>
      <c r="AK100" s="682"/>
      <c r="AL100" s="682"/>
      <c r="AM100" s="682"/>
      <c r="AN100" s="682"/>
      <c r="AO100" s="682"/>
      <c r="AP100" s="1194"/>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c r="CB100" s="682"/>
      <c r="CC100" s="682"/>
      <c r="CD100" s="682"/>
      <c r="CE100" s="682"/>
      <c r="CF100" s="682"/>
      <c r="CG100" s="682"/>
      <c r="CH100" s="682"/>
      <c r="CI100" s="682"/>
    </row>
    <row r="102" spans="21:87" ht="15.75">
      <c r="Y102" s="140"/>
      <c r="Z102" s="141"/>
      <c r="AA102" s="141"/>
      <c r="AB102" s="141"/>
      <c r="AC102" s="141"/>
      <c r="AD102" s="141"/>
      <c r="AE102" s="141"/>
      <c r="AF102" s="141"/>
      <c r="AG102" s="141"/>
      <c r="AH102" s="141"/>
      <c r="AI102" s="141"/>
      <c r="AJ102" s="141"/>
      <c r="AK102" s="141"/>
      <c r="AL102" s="141"/>
      <c r="AM102" s="141"/>
      <c r="AN102" s="141"/>
      <c r="AO102" s="141"/>
      <c r="AP102" s="207"/>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c r="CE102" s="141"/>
      <c r="CF102" s="141"/>
      <c r="CG102" s="141"/>
      <c r="CH102" s="141"/>
      <c r="CI102" s="141"/>
    </row>
    <row r="103" spans="21:87" ht="15.75">
      <c r="Y103" s="140"/>
      <c r="Z103" s="1022"/>
      <c r="AA103" s="1029"/>
      <c r="AB103" s="1029"/>
      <c r="AC103" s="1029"/>
      <c r="AD103" s="1029"/>
      <c r="AE103" s="1029"/>
      <c r="AF103" s="1029"/>
      <c r="AG103" s="1022"/>
      <c r="AH103" s="1029"/>
      <c r="AI103" s="1029"/>
      <c r="AJ103" s="1029"/>
      <c r="AK103" s="1029"/>
      <c r="AL103" s="1029"/>
      <c r="AM103" s="1029"/>
      <c r="AN103" s="1029"/>
      <c r="AO103" s="1039"/>
      <c r="AP103" s="2082"/>
      <c r="AQ103" s="1039"/>
      <c r="AR103" s="1039"/>
      <c r="AS103" s="1039"/>
      <c r="AT103" s="1039"/>
      <c r="AU103" s="1039"/>
      <c r="AV103" s="1039"/>
      <c r="AW103" s="1091"/>
      <c r="AX103" s="1091"/>
      <c r="AY103" s="1091"/>
      <c r="AZ103" s="1091"/>
      <c r="BA103" s="1091"/>
      <c r="BB103" s="1091"/>
      <c r="BC103" s="1091"/>
      <c r="BD103" s="1039"/>
      <c r="BE103" s="1091"/>
      <c r="BF103" s="1039"/>
      <c r="BG103" s="1039"/>
      <c r="BH103" s="1078"/>
      <c r="BI103" s="1039"/>
      <c r="BJ103" s="1039"/>
      <c r="BK103" s="1091"/>
      <c r="BL103" s="1039"/>
      <c r="BM103" s="1039"/>
      <c r="BN103" s="1078"/>
      <c r="BO103" s="1039"/>
      <c r="BP103" s="1091"/>
      <c r="BQ103" s="1091"/>
      <c r="BR103" s="1091"/>
      <c r="BS103" s="1091"/>
      <c r="BT103" s="1091"/>
      <c r="BU103" s="1091"/>
      <c r="BV103" s="1091"/>
      <c r="BW103" s="1091"/>
      <c r="BX103" s="1091"/>
      <c r="BY103" s="1091"/>
      <c r="BZ103" s="1091"/>
      <c r="CA103" s="1091"/>
      <c r="CB103" s="1091"/>
      <c r="CC103" s="1091"/>
      <c r="CD103" s="1091"/>
      <c r="CE103" s="1091"/>
      <c r="CF103" s="1091"/>
      <c r="CG103" s="1091"/>
      <c r="CH103" s="1091"/>
      <c r="CI103" s="1029"/>
    </row>
    <row r="104" spans="21:87" ht="15.75">
      <c r="Y104" s="140"/>
      <c r="Z104" s="1022"/>
      <c r="AA104" s="1029"/>
      <c r="AB104" s="1029"/>
      <c r="AC104" s="1029"/>
      <c r="AD104" s="1029"/>
      <c r="AE104" s="1029"/>
      <c r="AF104" s="1029"/>
      <c r="AG104" s="1022"/>
      <c r="AH104" s="1029"/>
      <c r="AI104" s="1029"/>
      <c r="AJ104" s="1029"/>
      <c r="AK104" s="1029"/>
      <c r="AL104" s="1029"/>
      <c r="AM104" s="1029"/>
      <c r="AN104" s="1029"/>
      <c r="AO104" s="1039"/>
      <c r="AP104" s="2082"/>
      <c r="AQ104" s="1039"/>
      <c r="AR104" s="1039"/>
      <c r="AS104" s="1039"/>
      <c r="AT104" s="1039"/>
      <c r="AU104" s="1039"/>
      <c r="AV104" s="1039"/>
      <c r="AW104" s="1091"/>
      <c r="AX104" s="1091"/>
      <c r="AY104" s="1091"/>
      <c r="AZ104" s="1091"/>
      <c r="BA104" s="1091"/>
      <c r="BB104" s="1091"/>
      <c r="BC104" s="1091"/>
      <c r="BD104" s="1039"/>
      <c r="BE104" s="1091"/>
      <c r="BF104" s="1039"/>
      <c r="BG104" s="1039"/>
      <c r="BH104" s="1078"/>
      <c r="BI104" s="1039"/>
      <c r="BJ104" s="1039"/>
      <c r="BK104" s="1091"/>
      <c r="BL104" s="1039"/>
      <c r="BM104" s="1039"/>
      <c r="BN104" s="1078"/>
      <c r="BO104" s="1039"/>
      <c r="BP104" s="1091"/>
      <c r="BQ104" s="1091"/>
      <c r="BR104" s="1091"/>
      <c r="BS104" s="1091"/>
      <c r="BT104" s="1091"/>
      <c r="BU104" s="1091"/>
      <c r="BV104" s="1091"/>
      <c r="BW104" s="1091"/>
      <c r="BX104" s="1091"/>
      <c r="BY104" s="1091"/>
      <c r="BZ104" s="1091"/>
      <c r="CA104" s="1091"/>
      <c r="CB104" s="1091"/>
      <c r="CC104" s="1091"/>
      <c r="CD104" s="1091"/>
      <c r="CE104" s="1091"/>
      <c r="CF104" s="1091"/>
      <c r="CG104" s="1091"/>
      <c r="CH104" s="1091"/>
      <c r="CI104" s="1029"/>
    </row>
    <row r="105" spans="21:87" ht="15.75">
      <c r="Y105" s="140"/>
      <c r="Z105" s="1022"/>
      <c r="AA105" s="1029"/>
      <c r="AB105" s="1029"/>
      <c r="AC105" s="1029"/>
      <c r="AD105" s="1029"/>
      <c r="AE105" s="1029"/>
      <c r="AF105" s="1029"/>
      <c r="AG105" s="1022"/>
      <c r="AH105" s="1029"/>
      <c r="AI105" s="1029"/>
      <c r="AJ105" s="1029"/>
      <c r="AK105" s="1029"/>
      <c r="AL105" s="1029"/>
      <c r="AM105" s="1029"/>
      <c r="AN105" s="1029"/>
      <c r="AO105" s="1039"/>
      <c r="AP105" s="2082"/>
      <c r="AQ105" s="1039"/>
      <c r="AR105" s="1039"/>
      <c r="AS105" s="1039"/>
      <c r="AT105" s="1039"/>
      <c r="AU105" s="1039"/>
      <c r="AV105" s="1039"/>
      <c r="AW105" s="1091"/>
      <c r="AX105" s="1091"/>
      <c r="AY105" s="1091"/>
      <c r="AZ105" s="1091"/>
      <c r="BA105" s="1091"/>
      <c r="BB105" s="1091"/>
      <c r="BC105" s="1091"/>
      <c r="BD105" s="1039"/>
      <c r="BE105" s="1091"/>
      <c r="BF105" s="1039"/>
      <c r="BG105" s="1039"/>
      <c r="BH105" s="1078"/>
      <c r="BI105" s="1039"/>
      <c r="BJ105" s="1039"/>
      <c r="BK105" s="1091"/>
      <c r="BL105" s="1039"/>
      <c r="BM105" s="1039"/>
      <c r="BN105" s="1078"/>
      <c r="BO105" s="1039"/>
      <c r="BP105" s="1091"/>
      <c r="BQ105" s="1091"/>
      <c r="BR105" s="1091"/>
      <c r="BS105" s="1091"/>
      <c r="BT105" s="1091"/>
      <c r="BU105" s="1091"/>
      <c r="BV105" s="1091"/>
      <c r="BW105" s="1091"/>
      <c r="BX105" s="1091"/>
      <c r="BY105" s="1091"/>
      <c r="BZ105" s="1091"/>
      <c r="CA105" s="1091"/>
      <c r="CB105" s="1091"/>
      <c r="CC105" s="1091"/>
      <c r="CD105" s="1091"/>
      <c r="CE105" s="1091"/>
      <c r="CF105" s="1091"/>
      <c r="CG105" s="1091"/>
      <c r="CH105" s="1091"/>
      <c r="CI105" s="1029"/>
    </row>
    <row r="106" spans="21:87" ht="15.75">
      <c r="U106" s="1017"/>
      <c r="V106" s="1017"/>
      <c r="W106" s="1017"/>
      <c r="X106" s="1017"/>
      <c r="Y106" s="140"/>
      <c r="Z106" s="1020"/>
      <c r="AA106" s="1030"/>
      <c r="AB106" s="1030"/>
      <c r="AC106" s="1030"/>
      <c r="AD106" s="1030"/>
      <c r="AE106" s="1030"/>
      <c r="AF106" s="1030"/>
      <c r="AG106" s="1020"/>
      <c r="AH106" s="1030"/>
      <c r="AI106" s="1030"/>
      <c r="AJ106" s="1030"/>
      <c r="AK106" s="1030"/>
      <c r="AL106" s="1030"/>
      <c r="AM106" s="1030"/>
      <c r="AN106" s="1030"/>
      <c r="AO106" s="1038"/>
      <c r="AP106" s="1874"/>
      <c r="AQ106" s="1038"/>
      <c r="AR106" s="1038"/>
      <c r="AS106" s="1038"/>
      <c r="AT106" s="1038"/>
      <c r="AU106" s="1038"/>
      <c r="AV106" s="1038"/>
      <c r="AW106" s="1110"/>
      <c r="AX106" s="1110"/>
      <c r="AY106" s="1110"/>
      <c r="AZ106" s="1110"/>
      <c r="BA106" s="1110"/>
      <c r="BB106" s="1110"/>
      <c r="BC106" s="1110"/>
      <c r="BD106" s="1038"/>
      <c r="BE106" s="1128"/>
      <c r="BF106" s="1038"/>
      <c r="BG106" s="1038"/>
      <c r="BH106" s="1079"/>
      <c r="BI106" s="1038"/>
      <c r="BJ106" s="1038"/>
      <c r="BK106" s="1128"/>
      <c r="BL106" s="1038"/>
      <c r="BM106" s="1038"/>
      <c r="BN106" s="1079"/>
      <c r="BO106" s="1038"/>
      <c r="BP106" s="1110"/>
      <c r="BQ106" s="1110"/>
      <c r="BR106" s="1118"/>
      <c r="BS106" s="1118"/>
      <c r="BT106" s="1118"/>
      <c r="BU106" s="1118"/>
      <c r="BV106" s="1118"/>
      <c r="BW106" s="1118"/>
      <c r="BX106" s="1118"/>
      <c r="BY106" s="1118"/>
      <c r="BZ106" s="1118"/>
      <c r="CA106" s="1118"/>
      <c r="CB106" s="1118"/>
      <c r="CC106" s="1118"/>
      <c r="CD106" s="1118"/>
      <c r="CE106" s="1118"/>
      <c r="CF106" s="1118"/>
      <c r="CG106" s="1118"/>
      <c r="CH106" s="1118"/>
      <c r="CI106" s="1030"/>
    </row>
    <row r="107" spans="21:87" ht="15.75">
      <c r="U107" s="201"/>
      <c r="V107" s="201"/>
      <c r="W107" s="1017"/>
      <c r="X107" s="200"/>
      <c r="Y107" s="168"/>
      <c r="Z107" s="1020"/>
      <c r="AA107" s="1030"/>
      <c r="AB107" s="1030"/>
      <c r="AC107" s="1030"/>
      <c r="AD107" s="1030"/>
      <c r="AE107" s="1030"/>
      <c r="AF107" s="1030"/>
      <c r="AG107" s="1020"/>
      <c r="AH107" s="1030"/>
      <c r="AI107" s="1030"/>
      <c r="AJ107" s="1030"/>
      <c r="AK107" s="1030"/>
      <c r="AL107" s="1030"/>
      <c r="AM107" s="1030"/>
      <c r="AN107" s="1030"/>
      <c r="AO107" s="1038"/>
      <c r="AP107" s="1874"/>
      <c r="AQ107" s="1038"/>
      <c r="AR107" s="1038"/>
      <c r="AS107" s="1038"/>
      <c r="AT107" s="1038"/>
      <c r="AU107" s="1038"/>
      <c r="AV107" s="1038"/>
      <c r="AW107" s="1110"/>
      <c r="AX107" s="1110"/>
      <c r="AY107" s="1110"/>
      <c r="AZ107" s="1110"/>
      <c r="BA107" s="1110"/>
      <c r="BB107" s="1110"/>
      <c r="BC107" s="1110"/>
      <c r="BD107" s="1038"/>
      <c r="BE107" s="1128"/>
      <c r="BF107" s="1038"/>
      <c r="BG107" s="1038"/>
      <c r="BH107" s="1079"/>
      <c r="BI107" s="1038"/>
      <c r="BJ107" s="1038"/>
      <c r="BK107" s="1128"/>
      <c r="BL107" s="1038"/>
      <c r="BM107" s="1038"/>
      <c r="BN107" s="1079"/>
      <c r="BO107" s="1038"/>
      <c r="BP107" s="1110"/>
      <c r="BQ107" s="1110"/>
      <c r="BR107" s="1118"/>
      <c r="BS107" s="1118"/>
      <c r="BT107" s="1118"/>
      <c r="BU107" s="1118"/>
      <c r="BV107" s="1118"/>
      <c r="BW107" s="1118"/>
      <c r="BX107" s="1118"/>
      <c r="BY107" s="1118"/>
      <c r="BZ107" s="1118"/>
      <c r="CA107" s="1118"/>
      <c r="CB107" s="1118"/>
      <c r="CC107" s="1118"/>
      <c r="CD107" s="1118"/>
      <c r="CE107" s="1118"/>
      <c r="CF107" s="1118"/>
      <c r="CG107" s="1118"/>
      <c r="CH107" s="1118"/>
      <c r="CI107" s="1030"/>
    </row>
    <row r="108" spans="21:87" ht="15.75">
      <c r="U108" s="201"/>
      <c r="V108" s="201"/>
      <c r="W108" s="1017"/>
      <c r="X108" s="200"/>
      <c r="Y108" s="140"/>
      <c r="Z108" s="1020"/>
      <c r="AA108" s="1030"/>
      <c r="AB108" s="1030"/>
      <c r="AC108" s="1030"/>
      <c r="AD108" s="1030"/>
      <c r="AE108" s="1030"/>
      <c r="AF108" s="1030"/>
      <c r="AG108" s="1020"/>
      <c r="AH108" s="1030"/>
      <c r="AI108" s="1030"/>
      <c r="AJ108" s="1030"/>
      <c r="AK108" s="1030"/>
      <c r="AL108" s="1030"/>
      <c r="AM108" s="1030"/>
      <c r="AN108" s="1030"/>
      <c r="AO108" s="1038"/>
      <c r="AP108" s="1874"/>
      <c r="AQ108" s="1038"/>
      <c r="AR108" s="1038"/>
      <c r="AS108" s="1038"/>
      <c r="AT108" s="1038"/>
      <c r="AU108" s="1038"/>
      <c r="AV108" s="1038"/>
      <c r="AW108" s="1110"/>
      <c r="AX108" s="1110"/>
      <c r="AY108" s="1110"/>
      <c r="AZ108" s="1110"/>
      <c r="BA108" s="1110"/>
      <c r="BB108" s="1110"/>
      <c r="BC108" s="1110"/>
      <c r="BD108" s="1038"/>
      <c r="BE108" s="1128"/>
      <c r="BF108" s="1038"/>
      <c r="BG108" s="1038"/>
      <c r="BH108" s="1079"/>
      <c r="BI108" s="1038"/>
      <c r="BJ108" s="1038"/>
      <c r="BK108" s="1128"/>
      <c r="BL108" s="1038"/>
      <c r="BM108" s="1038"/>
      <c r="BN108" s="1079"/>
      <c r="BO108" s="1038"/>
      <c r="BP108" s="1110"/>
      <c r="BQ108" s="1110"/>
      <c r="BR108" s="1118"/>
      <c r="BS108" s="1118"/>
      <c r="BT108" s="1118"/>
      <c r="BU108" s="1118"/>
      <c r="BV108" s="1118"/>
      <c r="BW108" s="1118"/>
      <c r="BX108" s="1118"/>
      <c r="BY108" s="1118"/>
      <c r="BZ108" s="1118"/>
      <c r="CA108" s="1118"/>
      <c r="CB108" s="1118"/>
      <c r="CC108" s="1118"/>
      <c r="CD108" s="1118"/>
      <c r="CE108" s="1118"/>
      <c r="CF108" s="1118"/>
      <c r="CG108" s="1118"/>
      <c r="CH108" s="1118"/>
      <c r="CI108" s="1030"/>
    </row>
    <row r="109" spans="21:87" ht="15.75">
      <c r="U109" s="1017"/>
      <c r="V109" s="1017"/>
      <c r="W109" s="1017"/>
      <c r="X109" s="1017"/>
      <c r="Y109" s="140"/>
      <c r="Z109" s="1022"/>
      <c r="AA109" s="1029"/>
      <c r="AB109" s="1029"/>
      <c r="AC109" s="1029"/>
      <c r="AD109" s="1029"/>
      <c r="AE109" s="1029"/>
      <c r="AF109" s="1029"/>
      <c r="AG109" s="1022"/>
      <c r="AH109" s="1029"/>
      <c r="AI109" s="1029"/>
      <c r="AJ109" s="1029"/>
      <c r="AK109" s="1029"/>
      <c r="AL109" s="1029"/>
      <c r="AM109" s="1029"/>
      <c r="AN109" s="1029"/>
      <c r="AO109" s="1039"/>
      <c r="AP109" s="2082"/>
      <c r="AQ109" s="1039"/>
      <c r="AR109" s="1039"/>
      <c r="AS109" s="1039"/>
      <c r="AT109" s="1039"/>
      <c r="AU109" s="1039"/>
      <c r="AV109" s="1039"/>
      <c r="AW109" s="1091"/>
      <c r="AX109" s="1091"/>
      <c r="AY109" s="1091"/>
      <c r="AZ109" s="1091"/>
      <c r="BA109" s="1091"/>
      <c r="BB109" s="1091"/>
      <c r="BC109" s="1091"/>
      <c r="BD109" s="1039"/>
      <c r="BE109" s="1091"/>
      <c r="BF109" s="1039"/>
      <c r="BG109" s="1039"/>
      <c r="BH109" s="1078"/>
      <c r="BI109" s="1039"/>
      <c r="BJ109" s="1039"/>
      <c r="BK109" s="1091"/>
      <c r="BL109" s="1039"/>
      <c r="BM109" s="1039"/>
      <c r="BN109" s="1078"/>
      <c r="BO109" s="1039"/>
      <c r="BP109" s="1091"/>
      <c r="BQ109" s="1091"/>
      <c r="BR109" s="1091"/>
      <c r="BS109" s="1091"/>
      <c r="BT109" s="1091"/>
      <c r="BU109" s="1091"/>
      <c r="BV109" s="1091"/>
      <c r="BW109" s="1091"/>
      <c r="BX109" s="1091"/>
      <c r="BY109" s="1091"/>
      <c r="BZ109" s="1091"/>
      <c r="CA109" s="1091"/>
      <c r="CB109" s="1091"/>
      <c r="CC109" s="1091"/>
      <c r="CD109" s="1091"/>
      <c r="CE109" s="1091"/>
      <c r="CF109" s="1091"/>
      <c r="CG109" s="1091"/>
      <c r="CH109" s="1091"/>
      <c r="CI109" s="1029"/>
    </row>
    <row r="110" spans="21:87" ht="15.75">
      <c r="U110" s="1017"/>
      <c r="V110" s="1017"/>
      <c r="W110" s="1017"/>
      <c r="X110" s="1017"/>
      <c r="Y110" s="168"/>
      <c r="Z110" s="1020"/>
      <c r="AA110" s="1030"/>
      <c r="AB110" s="1030"/>
      <c r="AC110" s="1030"/>
      <c r="AD110" s="1030"/>
      <c r="AE110" s="1030"/>
      <c r="AF110" s="1030"/>
      <c r="AG110" s="1020"/>
      <c r="AH110" s="1030"/>
      <c r="AI110" s="1030"/>
      <c r="AJ110" s="1030"/>
      <c r="AK110" s="1030"/>
      <c r="AL110" s="1030"/>
      <c r="AM110" s="1030"/>
      <c r="AN110" s="1030"/>
      <c r="AO110" s="1038"/>
      <c r="AP110" s="1874"/>
      <c r="AQ110" s="1038"/>
      <c r="AR110" s="1038"/>
      <c r="AS110" s="1038"/>
      <c r="AT110" s="1038"/>
      <c r="AU110" s="1038"/>
      <c r="AV110" s="1038"/>
      <c r="AW110" s="1110"/>
      <c r="AX110" s="1110"/>
      <c r="AY110" s="1110"/>
      <c r="AZ110" s="1110"/>
      <c r="BA110" s="1110"/>
      <c r="BB110" s="1110"/>
      <c r="BC110" s="1110"/>
      <c r="BD110" s="1038"/>
      <c r="BE110" s="1128"/>
      <c r="BF110" s="1038"/>
      <c r="BG110" s="1038"/>
      <c r="BH110" s="1079"/>
      <c r="BI110" s="1038"/>
      <c r="BJ110" s="1038"/>
      <c r="BK110" s="1128"/>
      <c r="BL110" s="1038"/>
      <c r="BM110" s="1038"/>
      <c r="BN110" s="1079"/>
      <c r="BO110" s="1038"/>
      <c r="BP110" s="1110"/>
      <c r="BQ110" s="1110"/>
      <c r="BR110" s="1118"/>
      <c r="BS110" s="1118"/>
      <c r="BT110" s="1118"/>
      <c r="BU110" s="1118"/>
      <c r="BV110" s="1118"/>
      <c r="BW110" s="1118"/>
      <c r="BX110" s="1118"/>
      <c r="BY110" s="1118"/>
      <c r="BZ110" s="1118"/>
      <c r="CA110" s="1118"/>
      <c r="CB110" s="1118"/>
      <c r="CC110" s="1118"/>
      <c r="CD110" s="1118"/>
      <c r="CE110" s="1118"/>
      <c r="CF110" s="1118"/>
      <c r="CG110" s="1118"/>
      <c r="CH110" s="1118"/>
      <c r="CI110" s="1030"/>
    </row>
    <row r="111" spans="21:87" ht="15.75">
      <c r="Y111" s="140"/>
      <c r="Z111" s="1020"/>
      <c r="AA111" s="1030"/>
      <c r="AB111" s="1030"/>
      <c r="AC111" s="1030"/>
      <c r="AD111" s="1030"/>
      <c r="AE111" s="1030"/>
      <c r="AF111" s="1030"/>
      <c r="AG111" s="1020"/>
      <c r="AH111" s="1030"/>
      <c r="AI111" s="1030"/>
      <c r="AJ111" s="1030"/>
      <c r="AK111" s="1030"/>
      <c r="AL111" s="1030"/>
      <c r="AM111" s="1030"/>
      <c r="AN111" s="1030"/>
      <c r="AO111" s="1038"/>
      <c r="AP111" s="1874"/>
      <c r="AQ111" s="1038"/>
      <c r="AR111" s="1038"/>
      <c r="AS111" s="1038"/>
      <c r="AT111" s="1038"/>
      <c r="AU111" s="1038"/>
      <c r="AV111" s="1038"/>
      <c r="AW111" s="1110"/>
      <c r="AX111" s="1110"/>
      <c r="AY111" s="1110"/>
      <c r="AZ111" s="1110"/>
      <c r="BA111" s="1110"/>
      <c r="BB111" s="1110"/>
      <c r="BC111" s="1110"/>
      <c r="BD111" s="1038"/>
      <c r="BE111" s="1128"/>
      <c r="BF111" s="1038"/>
      <c r="BG111" s="1038"/>
      <c r="BH111" s="1079"/>
      <c r="BI111" s="1038"/>
      <c r="BJ111" s="1038"/>
      <c r="BK111" s="1128"/>
      <c r="BL111" s="1038"/>
      <c r="BM111" s="1038"/>
      <c r="BN111" s="1079"/>
      <c r="BO111" s="1038"/>
      <c r="BP111" s="1110"/>
      <c r="BQ111" s="1110"/>
      <c r="BR111" s="1118"/>
      <c r="BS111" s="1118"/>
      <c r="BT111" s="1118"/>
      <c r="BU111" s="1118"/>
      <c r="BV111" s="1118"/>
      <c r="BW111" s="1118"/>
      <c r="BX111" s="1118"/>
      <c r="BY111" s="1118"/>
      <c r="BZ111" s="1118"/>
      <c r="CA111" s="1118"/>
      <c r="CB111" s="1118"/>
      <c r="CC111" s="1118"/>
      <c r="CD111" s="1118"/>
      <c r="CE111" s="1118"/>
      <c r="CF111" s="1118"/>
      <c r="CG111" s="1118"/>
      <c r="CH111" s="1118"/>
      <c r="CI111" s="1030"/>
    </row>
    <row r="112" spans="21:87" ht="15.75">
      <c r="Y112" s="140"/>
      <c r="Z112" s="1020"/>
      <c r="AA112" s="1030"/>
      <c r="AB112" s="1030"/>
      <c r="AC112" s="1030"/>
      <c r="AD112" s="1030"/>
      <c r="AE112" s="1030"/>
      <c r="AF112" s="1030"/>
      <c r="AG112" s="1020"/>
      <c r="AH112" s="1030"/>
      <c r="AI112" s="1030"/>
      <c r="AJ112" s="1030"/>
      <c r="AK112" s="1030"/>
      <c r="AL112" s="1030"/>
      <c r="AM112" s="1030"/>
      <c r="AN112" s="1030"/>
      <c r="AO112" s="1038"/>
      <c r="AP112" s="1874"/>
      <c r="AQ112" s="1038"/>
      <c r="AR112" s="1038"/>
      <c r="AS112" s="1038"/>
      <c r="AT112" s="1038"/>
      <c r="AU112" s="1038"/>
      <c r="AV112" s="1038"/>
      <c r="AW112" s="1110"/>
      <c r="AX112" s="1110"/>
      <c r="AY112" s="1110"/>
      <c r="AZ112" s="1110"/>
      <c r="BA112" s="1110"/>
      <c r="BB112" s="1110"/>
      <c r="BC112" s="1110"/>
      <c r="BD112" s="1038"/>
      <c r="BE112" s="1128"/>
      <c r="BF112" s="1038"/>
      <c r="BG112" s="1038"/>
      <c r="BH112" s="1079"/>
      <c r="BI112" s="1038"/>
      <c r="BJ112" s="1038"/>
      <c r="BK112" s="1128"/>
      <c r="BL112" s="1038"/>
      <c r="BM112" s="1038"/>
      <c r="BN112" s="1079"/>
      <c r="BO112" s="1038"/>
      <c r="BP112" s="1110"/>
      <c r="BQ112" s="1110"/>
      <c r="BR112" s="1118"/>
      <c r="BS112" s="1118"/>
      <c r="BT112" s="1118"/>
      <c r="BU112" s="1118"/>
      <c r="BV112" s="1118"/>
      <c r="BW112" s="1118"/>
      <c r="BX112" s="1118"/>
      <c r="BY112" s="1118"/>
      <c r="BZ112" s="1118"/>
      <c r="CA112" s="1118"/>
      <c r="CB112" s="1118"/>
      <c r="CC112" s="1118"/>
      <c r="CD112" s="1118"/>
      <c r="CE112" s="1118"/>
      <c r="CF112" s="1118"/>
      <c r="CG112" s="1118"/>
      <c r="CH112" s="1118"/>
      <c r="CI112" s="1030"/>
    </row>
    <row r="113" spans="25:87" ht="15.75">
      <c r="Y113" s="140"/>
      <c r="Z113" s="1020"/>
      <c r="AA113" s="1030"/>
      <c r="AB113" s="1030"/>
      <c r="AC113" s="1030"/>
      <c r="AD113" s="1030"/>
      <c r="AE113" s="1030"/>
      <c r="AF113" s="1030"/>
      <c r="AG113" s="1020"/>
      <c r="AH113" s="1030"/>
      <c r="AI113" s="1030"/>
      <c r="AJ113" s="1030"/>
      <c r="AK113" s="1030"/>
      <c r="AL113" s="1030"/>
      <c r="AM113" s="1030"/>
      <c r="AN113" s="1030"/>
      <c r="AO113" s="1038"/>
      <c r="AP113" s="1874"/>
      <c r="AQ113" s="1038"/>
      <c r="AR113" s="1038"/>
      <c r="AS113" s="1038"/>
      <c r="AT113" s="1038"/>
      <c r="AU113" s="1038"/>
      <c r="AV113" s="1038"/>
      <c r="AW113" s="1110"/>
      <c r="AX113" s="1110"/>
      <c r="AY113" s="1110"/>
      <c r="AZ113" s="1110"/>
      <c r="BA113" s="1110"/>
      <c r="BB113" s="1110"/>
      <c r="BC113" s="1110"/>
      <c r="BD113" s="1038"/>
      <c r="BE113" s="1128"/>
      <c r="BF113" s="1038"/>
      <c r="BG113" s="1038"/>
      <c r="BH113" s="1079"/>
      <c r="BI113" s="1038"/>
      <c r="BJ113" s="1038"/>
      <c r="BK113" s="1128"/>
      <c r="BL113" s="1038"/>
      <c r="BM113" s="1038"/>
      <c r="BN113" s="1079"/>
      <c r="BO113" s="1038"/>
      <c r="BP113" s="1110"/>
      <c r="BQ113" s="1110"/>
      <c r="BR113" s="1118"/>
      <c r="BS113" s="1118"/>
      <c r="BT113" s="1118"/>
      <c r="BU113" s="1118"/>
      <c r="BV113" s="1118"/>
      <c r="BW113" s="1118"/>
      <c r="BX113" s="1118"/>
      <c r="BY113" s="1118"/>
      <c r="BZ113" s="1118"/>
      <c r="CA113" s="1118"/>
      <c r="CB113" s="1118"/>
      <c r="CC113" s="1118"/>
      <c r="CD113" s="1118"/>
      <c r="CE113" s="1118"/>
      <c r="CF113" s="1118"/>
      <c r="CG113" s="1118"/>
      <c r="CH113" s="1118"/>
      <c r="CI113" s="1030"/>
    </row>
    <row r="114" spans="25:87" ht="15.75">
      <c r="Y114" s="140"/>
      <c r="Z114" s="1020"/>
      <c r="AA114" s="1030"/>
      <c r="AB114" s="1030"/>
      <c r="AC114" s="1030"/>
      <c r="AD114" s="1030"/>
      <c r="AE114" s="1030"/>
      <c r="AF114" s="1030"/>
      <c r="AG114" s="1020"/>
      <c r="AH114" s="1030"/>
      <c r="AI114" s="1030"/>
      <c r="AJ114" s="1030"/>
      <c r="AK114" s="1030"/>
      <c r="AL114" s="1030"/>
      <c r="AM114" s="1030"/>
      <c r="AN114" s="1030"/>
      <c r="AO114" s="1038"/>
      <c r="AP114" s="1874"/>
      <c r="AQ114" s="1038"/>
      <c r="AR114" s="1038"/>
      <c r="AS114" s="1038"/>
      <c r="AT114" s="1038"/>
      <c r="AU114" s="1038"/>
      <c r="AV114" s="1038"/>
      <c r="AW114" s="1110"/>
      <c r="AX114" s="1110"/>
      <c r="AY114" s="1110"/>
      <c r="AZ114" s="1110"/>
      <c r="BA114" s="1110"/>
      <c r="BB114" s="1110"/>
      <c r="BC114" s="1110"/>
      <c r="BD114" s="1038"/>
      <c r="BE114" s="1128"/>
      <c r="BF114" s="1038"/>
      <c r="BG114" s="1038"/>
      <c r="BH114" s="1079"/>
      <c r="BI114" s="1038"/>
      <c r="BJ114" s="1038"/>
      <c r="BK114" s="1128"/>
      <c r="BL114" s="1038"/>
      <c r="BM114" s="1038"/>
      <c r="BN114" s="1079"/>
      <c r="BO114" s="1038"/>
      <c r="BP114" s="1110"/>
      <c r="BQ114" s="1110"/>
      <c r="BR114" s="1118"/>
      <c r="BS114" s="1118"/>
      <c r="BT114" s="1118"/>
      <c r="BU114" s="1118"/>
      <c r="BV114" s="1118"/>
      <c r="BW114" s="1118"/>
      <c r="BX114" s="1118"/>
      <c r="BY114" s="1118"/>
      <c r="BZ114" s="1118"/>
      <c r="CA114" s="1118"/>
      <c r="CB114" s="1118"/>
      <c r="CC114" s="1118"/>
      <c r="CD114" s="1118"/>
      <c r="CE114" s="1118"/>
      <c r="CF114" s="1118"/>
      <c r="CG114" s="1118"/>
      <c r="CH114" s="1118"/>
      <c r="CI114" s="1030"/>
    </row>
    <row r="115" spans="25:87" ht="15.75">
      <c r="Y115" s="140"/>
      <c r="Z115" s="1020"/>
      <c r="AA115" s="1030"/>
      <c r="AB115" s="1030"/>
      <c r="AC115" s="1030"/>
      <c r="AD115" s="1030"/>
      <c r="AE115" s="1030"/>
      <c r="AF115" s="1030"/>
      <c r="AG115" s="1020"/>
      <c r="AH115" s="1030"/>
      <c r="AI115" s="1030"/>
      <c r="AJ115" s="1030"/>
      <c r="AK115" s="1030"/>
      <c r="AL115" s="1030"/>
      <c r="AM115" s="1030"/>
      <c r="AN115" s="1030"/>
      <c r="AO115" s="1038"/>
      <c r="AP115" s="1874"/>
      <c r="AQ115" s="1038"/>
      <c r="AR115" s="1038"/>
      <c r="AS115" s="1038"/>
      <c r="AT115" s="1038"/>
      <c r="AU115" s="1038"/>
      <c r="AV115" s="1038"/>
      <c r="AW115" s="1110"/>
      <c r="AX115" s="1110"/>
      <c r="AY115" s="1110"/>
      <c r="AZ115" s="1110"/>
      <c r="BA115" s="1110"/>
      <c r="BB115" s="1110"/>
      <c r="BC115" s="1110"/>
      <c r="BD115" s="1038"/>
      <c r="BE115" s="1128"/>
      <c r="BF115" s="1038"/>
      <c r="BG115" s="1038"/>
      <c r="BH115" s="1079"/>
      <c r="BI115" s="1038"/>
      <c r="BJ115" s="1038"/>
      <c r="BK115" s="1128"/>
      <c r="BL115" s="1038"/>
      <c r="BM115" s="1038"/>
      <c r="BN115" s="1079"/>
      <c r="BO115" s="1038"/>
      <c r="BP115" s="1110"/>
      <c r="BQ115" s="1110"/>
      <c r="BR115" s="1118"/>
      <c r="BS115" s="1118"/>
      <c r="BT115" s="1118"/>
      <c r="BU115" s="1118"/>
      <c r="BV115" s="1118"/>
      <c r="BW115" s="1118"/>
      <c r="BX115" s="1118"/>
      <c r="BY115" s="1118"/>
      <c r="BZ115" s="1118"/>
      <c r="CA115" s="1118"/>
      <c r="CB115" s="1118"/>
      <c r="CC115" s="1118"/>
      <c r="CD115" s="1118"/>
      <c r="CE115" s="1118"/>
      <c r="CF115" s="1118"/>
      <c r="CG115" s="1118"/>
      <c r="CH115" s="1118"/>
      <c r="CI115" s="1030"/>
    </row>
    <row r="116" spans="25:87" ht="15.75">
      <c r="Y116" s="140"/>
      <c r="Z116" s="1020"/>
      <c r="AA116" s="1030"/>
      <c r="AB116" s="1030"/>
      <c r="AC116" s="1030"/>
      <c r="AD116" s="1030"/>
      <c r="AE116" s="1030"/>
      <c r="AF116" s="1030"/>
      <c r="AG116" s="1020"/>
      <c r="AH116" s="1030"/>
      <c r="AI116" s="1030"/>
      <c r="AJ116" s="1030"/>
      <c r="AK116" s="1030"/>
      <c r="AL116" s="1030"/>
      <c r="AM116" s="1030"/>
      <c r="AN116" s="1030"/>
      <c r="AO116" s="1038"/>
      <c r="AP116" s="1874"/>
      <c r="AQ116" s="1038"/>
      <c r="AR116" s="1038"/>
      <c r="AS116" s="1038"/>
      <c r="AT116" s="1038"/>
      <c r="AU116" s="1038"/>
      <c r="AV116" s="1038"/>
      <c r="AW116" s="1110"/>
      <c r="AX116" s="1110"/>
      <c r="AY116" s="1110"/>
      <c r="AZ116" s="1110"/>
      <c r="BA116" s="1110"/>
      <c r="BB116" s="1110"/>
      <c r="BC116" s="1110"/>
      <c r="BD116" s="1038"/>
      <c r="BE116" s="1128"/>
      <c r="BF116" s="1038"/>
      <c r="BG116" s="1038"/>
      <c r="BH116" s="1079"/>
      <c r="BI116" s="1038"/>
      <c r="BJ116" s="1038"/>
      <c r="BK116" s="1128"/>
      <c r="BL116" s="1038"/>
      <c r="BM116" s="1038"/>
      <c r="BN116" s="1079"/>
      <c r="BO116" s="1038"/>
      <c r="BP116" s="1110"/>
      <c r="BQ116" s="1110"/>
      <c r="BR116" s="1118"/>
      <c r="BS116" s="1118"/>
      <c r="BT116" s="1118"/>
      <c r="BU116" s="1118"/>
      <c r="BV116" s="1118"/>
      <c r="BW116" s="1118"/>
      <c r="BX116" s="1118"/>
      <c r="BY116" s="1118"/>
      <c r="BZ116" s="1118"/>
      <c r="CA116" s="1118"/>
      <c r="CB116" s="1118"/>
      <c r="CC116" s="1118"/>
      <c r="CD116" s="1118"/>
      <c r="CE116" s="1118"/>
      <c r="CF116" s="1118"/>
      <c r="CG116" s="1118"/>
      <c r="CH116" s="1118"/>
      <c r="CI116" s="1030"/>
    </row>
    <row r="117" spans="25:87" ht="15.75">
      <c r="Y117" s="140"/>
      <c r="Z117" s="1020"/>
      <c r="AA117" s="1030"/>
      <c r="AB117" s="1030"/>
      <c r="AC117" s="1030"/>
      <c r="AD117" s="1030"/>
      <c r="AE117" s="1030"/>
      <c r="AF117" s="1030"/>
      <c r="AG117" s="1020"/>
      <c r="AH117" s="1030"/>
      <c r="AI117" s="1030"/>
      <c r="AJ117" s="1030"/>
      <c r="AK117" s="1030"/>
      <c r="AL117" s="1030"/>
      <c r="AM117" s="1030"/>
      <c r="AN117" s="1030"/>
      <c r="AO117" s="1038"/>
      <c r="AP117" s="1874"/>
      <c r="AQ117" s="1038"/>
      <c r="AR117" s="1038"/>
      <c r="AS117" s="1038"/>
      <c r="AT117" s="1038"/>
      <c r="AU117" s="1038"/>
      <c r="AV117" s="1038"/>
      <c r="AW117" s="1110"/>
      <c r="AX117" s="1110"/>
      <c r="AY117" s="1110"/>
      <c r="AZ117" s="1110"/>
      <c r="BA117" s="1110"/>
      <c r="BB117" s="1110"/>
      <c r="BC117" s="1110"/>
      <c r="BD117" s="1038"/>
      <c r="BE117" s="1128"/>
      <c r="BF117" s="1038"/>
      <c r="BG117" s="1038"/>
      <c r="BH117" s="1079"/>
      <c r="BI117" s="1038"/>
      <c r="BJ117" s="1038"/>
      <c r="BK117" s="1128"/>
      <c r="BL117" s="1038"/>
      <c r="BM117" s="1038"/>
      <c r="BN117" s="1079"/>
      <c r="BO117" s="1038"/>
      <c r="BP117" s="1110"/>
      <c r="BQ117" s="1110"/>
      <c r="BR117" s="1118"/>
      <c r="BS117" s="1118"/>
      <c r="BT117" s="1118"/>
      <c r="BU117" s="1118"/>
      <c r="BV117" s="1118"/>
      <c r="BW117" s="1118"/>
      <c r="BX117" s="1118"/>
      <c r="BY117" s="1118"/>
      <c r="BZ117" s="1118"/>
      <c r="CA117" s="1118"/>
      <c r="CB117" s="1118"/>
      <c r="CC117" s="1118"/>
      <c r="CD117" s="1118"/>
      <c r="CE117" s="1118"/>
      <c r="CF117" s="1118"/>
      <c r="CG117" s="1118"/>
      <c r="CH117" s="1118"/>
      <c r="CI117" s="1030"/>
    </row>
    <row r="118" spans="25:87" ht="15.75">
      <c r="Y118" s="168"/>
      <c r="Z118" s="1020"/>
      <c r="AA118" s="1030"/>
      <c r="AB118" s="1030"/>
      <c r="AC118" s="1030"/>
      <c r="AD118" s="1030"/>
      <c r="AE118" s="1030"/>
      <c r="AF118" s="1030"/>
      <c r="AG118" s="1020"/>
      <c r="AH118" s="1030"/>
      <c r="AI118" s="1030"/>
      <c r="AJ118" s="1030"/>
      <c r="AK118" s="1030"/>
      <c r="AL118" s="1030"/>
      <c r="AM118" s="1030"/>
      <c r="AN118" s="1030"/>
      <c r="AO118" s="1038"/>
      <c r="AP118" s="1874"/>
      <c r="AQ118" s="1038"/>
      <c r="AR118" s="1038"/>
      <c r="AS118" s="1038"/>
      <c r="AT118" s="1038"/>
      <c r="AU118" s="1038"/>
      <c r="AV118" s="1038"/>
      <c r="AW118" s="1110"/>
      <c r="AX118" s="1110"/>
      <c r="AY118" s="1110"/>
      <c r="AZ118" s="1110"/>
      <c r="BA118" s="1110"/>
      <c r="BB118" s="1110"/>
      <c r="BC118" s="1110"/>
      <c r="BD118" s="1038"/>
      <c r="BE118" s="1128"/>
      <c r="BF118" s="1038"/>
      <c r="BG118" s="1038"/>
      <c r="BH118" s="1079"/>
      <c r="BI118" s="1038"/>
      <c r="BJ118" s="1038"/>
      <c r="BK118" s="1128"/>
      <c r="BL118" s="1038"/>
      <c r="BM118" s="1038"/>
      <c r="BN118" s="1079"/>
      <c r="BO118" s="1038"/>
      <c r="BP118" s="1110"/>
      <c r="BQ118" s="1110"/>
      <c r="BR118" s="1118"/>
      <c r="BS118" s="1118"/>
      <c r="BT118" s="1118"/>
      <c r="BU118" s="1118"/>
      <c r="BV118" s="1118"/>
      <c r="BW118" s="1118"/>
      <c r="BX118" s="1118"/>
      <c r="BY118" s="1118"/>
      <c r="BZ118" s="1118"/>
      <c r="CA118" s="1118"/>
      <c r="CB118" s="1118"/>
      <c r="CC118" s="1118"/>
      <c r="CD118" s="1118"/>
      <c r="CE118" s="1118"/>
      <c r="CF118" s="1118"/>
      <c r="CG118" s="1118"/>
      <c r="CH118" s="1118"/>
      <c r="CI118" s="1030"/>
    </row>
    <row r="119" spans="25:87" ht="15.75">
      <c r="Y119" s="168"/>
      <c r="Z119" s="1020"/>
      <c r="AA119" s="1030"/>
      <c r="AB119" s="1030"/>
      <c r="AC119" s="1030"/>
      <c r="AD119" s="1030"/>
      <c r="AE119" s="1030"/>
      <c r="AF119" s="1030"/>
      <c r="AG119" s="1020"/>
      <c r="AH119" s="1030"/>
      <c r="AI119" s="1030"/>
      <c r="AJ119" s="1030"/>
      <c r="AK119" s="1030"/>
      <c r="AL119" s="1030"/>
      <c r="AM119" s="1030"/>
      <c r="AN119" s="1030"/>
      <c r="AO119" s="1038"/>
      <c r="AP119" s="1874"/>
      <c r="AQ119" s="1038"/>
      <c r="AR119" s="1038"/>
      <c r="AS119" s="1038"/>
      <c r="AT119" s="1038"/>
      <c r="AU119" s="1038"/>
      <c r="AV119" s="1038"/>
      <c r="AW119" s="1110"/>
      <c r="AX119" s="1110"/>
      <c r="AY119" s="1110"/>
      <c r="AZ119" s="1110"/>
      <c r="BA119" s="1110"/>
      <c r="BB119" s="1110"/>
      <c r="BC119" s="1110"/>
      <c r="BD119" s="1038"/>
      <c r="BE119" s="1128"/>
      <c r="BF119" s="1038"/>
      <c r="BG119" s="1038"/>
      <c r="BH119" s="1079"/>
      <c r="BI119" s="1038"/>
      <c r="BJ119" s="1038"/>
      <c r="BK119" s="1128"/>
      <c r="BL119" s="1038"/>
      <c r="BM119" s="1038"/>
      <c r="BN119" s="1079"/>
      <c r="BO119" s="1038"/>
      <c r="BP119" s="1110"/>
      <c r="BQ119" s="1110"/>
      <c r="BR119" s="1118"/>
      <c r="BS119" s="1118"/>
      <c r="BT119" s="1118"/>
      <c r="BU119" s="1118"/>
      <c r="BV119" s="1118"/>
      <c r="BW119" s="1118"/>
      <c r="BX119" s="1118"/>
      <c r="BY119" s="1118"/>
      <c r="BZ119" s="1118"/>
      <c r="CA119" s="1118"/>
      <c r="CB119" s="1118"/>
      <c r="CC119" s="1118"/>
      <c r="CD119" s="1118"/>
      <c r="CE119" s="1118"/>
      <c r="CF119" s="1118"/>
      <c r="CG119" s="1118"/>
      <c r="CH119" s="1118"/>
      <c r="CI119" s="1030"/>
    </row>
    <row r="120" spans="25:87" ht="15.75">
      <c r="Y120" s="168"/>
      <c r="Z120" s="1020"/>
      <c r="AA120" s="1030"/>
      <c r="AB120" s="1030"/>
      <c r="AC120" s="1030"/>
      <c r="AD120" s="1030"/>
      <c r="AE120" s="1030"/>
      <c r="AF120" s="1030"/>
      <c r="AG120" s="1020"/>
      <c r="AH120" s="1030"/>
      <c r="AI120" s="1030"/>
      <c r="AJ120" s="1030"/>
      <c r="AK120" s="1030"/>
      <c r="AL120" s="1030"/>
      <c r="AM120" s="1030"/>
      <c r="AN120" s="1030"/>
      <c r="AO120" s="1038"/>
      <c r="AP120" s="1874"/>
      <c r="AQ120" s="1038"/>
      <c r="AR120" s="1038"/>
      <c r="AS120" s="1038"/>
      <c r="AT120" s="1038"/>
      <c r="AU120" s="1038"/>
      <c r="AV120" s="1038"/>
      <c r="AW120" s="1110"/>
      <c r="AX120" s="1110"/>
      <c r="AY120" s="1110"/>
      <c r="AZ120" s="1110"/>
      <c r="BA120" s="1110"/>
      <c r="BB120" s="1110"/>
      <c r="BC120" s="1110"/>
      <c r="BD120" s="1038"/>
      <c r="BE120" s="1128"/>
      <c r="BF120" s="1038"/>
      <c r="BG120" s="1038"/>
      <c r="BH120" s="1079"/>
      <c r="BI120" s="1038"/>
      <c r="BJ120" s="1038"/>
      <c r="BK120" s="1128"/>
      <c r="BL120" s="1038"/>
      <c r="BM120" s="1038"/>
      <c r="BN120" s="1079"/>
      <c r="BO120" s="1038"/>
      <c r="BP120" s="1110"/>
      <c r="BQ120" s="1110"/>
      <c r="BR120" s="1118"/>
      <c r="BS120" s="1118"/>
      <c r="BT120" s="1118"/>
      <c r="BU120" s="1118"/>
      <c r="BV120" s="1118"/>
      <c r="BW120" s="1118"/>
      <c r="BX120" s="1118"/>
      <c r="BY120" s="1118"/>
      <c r="BZ120" s="1118"/>
      <c r="CA120" s="1118"/>
      <c r="CB120" s="1118"/>
      <c r="CC120" s="1118"/>
      <c r="CD120" s="1118"/>
      <c r="CE120" s="1118"/>
      <c r="CF120" s="1118"/>
      <c r="CG120" s="1118"/>
      <c r="CH120" s="1118"/>
      <c r="CI120" s="1030"/>
    </row>
    <row r="121" spans="25:87" ht="15.75">
      <c r="Y121" s="168"/>
      <c r="Z121" s="1020"/>
      <c r="AA121" s="1030"/>
      <c r="AB121" s="1030"/>
      <c r="AC121" s="1030"/>
      <c r="AD121" s="1030"/>
      <c r="AE121" s="1030"/>
      <c r="AF121" s="1030"/>
      <c r="AG121" s="1020"/>
      <c r="AH121" s="1030"/>
      <c r="AI121" s="1030"/>
      <c r="AJ121" s="1030"/>
      <c r="AK121" s="1030"/>
      <c r="AL121" s="1030"/>
      <c r="AM121" s="1030"/>
      <c r="AN121" s="1030"/>
      <c r="AO121" s="1038"/>
      <c r="AP121" s="1874"/>
      <c r="AQ121" s="1038"/>
      <c r="AR121" s="1038"/>
      <c r="AS121" s="1038"/>
      <c r="AT121" s="1038"/>
      <c r="AU121" s="1038"/>
      <c r="AV121" s="1038"/>
      <c r="AW121" s="1110"/>
      <c r="AX121" s="1110"/>
      <c r="AY121" s="1110"/>
      <c r="AZ121" s="1110"/>
      <c r="BA121" s="1110"/>
      <c r="BB121" s="1110"/>
      <c r="BC121" s="1110"/>
      <c r="BD121" s="1038"/>
      <c r="BE121" s="1128"/>
      <c r="BF121" s="1038"/>
      <c r="BG121" s="1038"/>
      <c r="BH121" s="1079"/>
      <c r="BI121" s="1038"/>
      <c r="BJ121" s="1038"/>
      <c r="BK121" s="1128"/>
      <c r="BL121" s="1038"/>
      <c r="BM121" s="1038"/>
      <c r="BN121" s="1079"/>
      <c r="BO121" s="1038"/>
      <c r="BP121" s="1110"/>
      <c r="BQ121" s="1110"/>
      <c r="BR121" s="1118"/>
      <c r="BS121" s="1118"/>
      <c r="BT121" s="1118"/>
      <c r="BU121" s="1118"/>
      <c r="BV121" s="1118"/>
      <c r="BW121" s="1118"/>
      <c r="BX121" s="1118"/>
      <c r="BY121" s="1118"/>
      <c r="BZ121" s="1118"/>
      <c r="CA121" s="1118"/>
      <c r="CB121" s="1118"/>
      <c r="CC121" s="1118"/>
      <c r="CD121" s="1118"/>
      <c r="CE121" s="1118"/>
      <c r="CF121" s="1118"/>
      <c r="CG121" s="1118"/>
      <c r="CH121" s="1118"/>
      <c r="CI121" s="1030"/>
    </row>
    <row r="122" spans="25:87" ht="15.75">
      <c r="Y122" s="168"/>
      <c r="Z122" s="1020"/>
      <c r="AA122" s="1030"/>
      <c r="AB122" s="1030"/>
      <c r="AC122" s="1030"/>
      <c r="AD122" s="1030"/>
      <c r="AE122" s="1030"/>
      <c r="AF122" s="1030"/>
      <c r="AG122" s="1020"/>
      <c r="AH122" s="1030"/>
      <c r="AI122" s="1030"/>
      <c r="AJ122" s="1030"/>
      <c r="AK122" s="1030"/>
      <c r="AL122" s="1030"/>
      <c r="AM122" s="1030"/>
      <c r="AN122" s="1030"/>
      <c r="AO122" s="1038"/>
      <c r="AP122" s="1874"/>
      <c r="AQ122" s="1038"/>
      <c r="AR122" s="1038"/>
      <c r="AS122" s="1038"/>
      <c r="AT122" s="1038"/>
      <c r="AU122" s="1038"/>
      <c r="AV122" s="1038"/>
      <c r="AW122" s="1110"/>
      <c r="AX122" s="1110"/>
      <c r="AY122" s="1110"/>
      <c r="AZ122" s="1110"/>
      <c r="BA122" s="1110"/>
      <c r="BB122" s="1110"/>
      <c r="BC122" s="1110"/>
      <c r="BD122" s="1038"/>
      <c r="BE122" s="1128"/>
      <c r="BF122" s="1038"/>
      <c r="BG122" s="1038"/>
      <c r="BH122" s="1079"/>
      <c r="BI122" s="1038"/>
      <c r="BJ122" s="1038"/>
      <c r="BK122" s="1128"/>
      <c r="BL122" s="1038"/>
      <c r="BM122" s="1038"/>
      <c r="BN122" s="1079"/>
      <c r="BO122" s="1038"/>
      <c r="BP122" s="1110"/>
      <c r="BQ122" s="1110"/>
      <c r="BR122" s="1118"/>
      <c r="BS122" s="1118"/>
      <c r="BT122" s="1118"/>
      <c r="BU122" s="1118"/>
      <c r="BV122" s="1118"/>
      <c r="BW122" s="1118"/>
      <c r="BX122" s="1118"/>
      <c r="BY122" s="1118"/>
      <c r="BZ122" s="1118"/>
      <c r="CA122" s="1118"/>
      <c r="CB122" s="1118"/>
      <c r="CC122" s="1118"/>
      <c r="CD122" s="1118"/>
      <c r="CE122" s="1118"/>
      <c r="CF122" s="1118"/>
      <c r="CG122" s="1118"/>
      <c r="CH122" s="1118"/>
      <c r="CI122" s="1030"/>
    </row>
  </sheetData>
  <sheetProtection sheet="1" formatCells="0" formatColumns="0" formatRows="0" selectLockedCells="1"/>
  <mergeCells count="41">
    <mergeCell ref="N6:N7"/>
    <mergeCell ref="O6:P6"/>
    <mergeCell ref="BE2:BO4"/>
    <mergeCell ref="T5:BC5"/>
    <mergeCell ref="T6:T7"/>
    <mergeCell ref="AQ6:AV6"/>
    <mergeCell ref="AX6:BC6"/>
    <mergeCell ref="BE5:BI6"/>
    <mergeCell ref="BK5:BO6"/>
    <mergeCell ref="T4:BC4"/>
    <mergeCell ref="U6:U7"/>
    <mergeCell ref="V6:AA6"/>
    <mergeCell ref="AC6:AH6"/>
    <mergeCell ref="A47:B49"/>
    <mergeCell ref="C47:R49"/>
    <mergeCell ref="A5:R5"/>
    <mergeCell ref="H1:I1"/>
    <mergeCell ref="H2:I2"/>
    <mergeCell ref="A4:R4"/>
    <mergeCell ref="Q6:R6"/>
    <mergeCell ref="A6:A7"/>
    <mergeCell ref="B6:B7"/>
    <mergeCell ref="C6:C7"/>
    <mergeCell ref="D6:F6"/>
    <mergeCell ref="G6:I6"/>
    <mergeCell ref="J6:J7"/>
    <mergeCell ref="K6:K7"/>
    <mergeCell ref="L6:L7"/>
    <mergeCell ref="M6:M7"/>
    <mergeCell ref="U58:CJ59"/>
    <mergeCell ref="X61:Y61"/>
    <mergeCell ref="A51:B54"/>
    <mergeCell ref="C51:R53"/>
    <mergeCell ref="C54:R54"/>
    <mergeCell ref="BR5:BS5"/>
    <mergeCell ref="BT5:BY5"/>
    <mergeCell ref="BZ5:CE5"/>
    <mergeCell ref="CF5:CK5"/>
    <mergeCell ref="P44:P45"/>
    <mergeCell ref="R44:R45"/>
    <mergeCell ref="AJ6:AO6"/>
  </mergeCells>
  <dataValidations count="2">
    <dataValidation type="list" allowBlank="1" sqref="L8:L42">
      <formula1>CP$6:CP$10</formula1>
    </dataValidation>
    <dataValidation type="list" allowBlank="1" sqref="J8:J42">
      <formula1>CP$17:CP$20</formula1>
    </dataValidation>
  </dataValidations>
  <pageMargins left="0.7" right="0.7" top="0.75" bottom="0.75" header="0.3" footer="0.3"/>
  <pageSetup paperSize="9" scale="46" fitToHeight="0" orientation="landscape" r:id="rId1"/>
  <colBreaks count="4" manualBreakCount="4">
    <brk id="18" max="31" man="1"/>
    <brk id="55" max="31" man="1"/>
    <brk id="67" max="31" man="1"/>
    <brk id="90" max="31" man="1"/>
  </colBreaks>
  <ignoredErrors>
    <ignoredError sqref="O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W8:W42 AD8:AD42 AK8:AK42 AR8:AR42 AY8:AY42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R122"/>
  <sheetViews>
    <sheetView zoomScale="90" zoomScaleNormal="90" zoomScalePageLayoutView="60" workbookViewId="0">
      <selection activeCell="B8" sqref="B8"/>
    </sheetView>
  </sheetViews>
  <sheetFormatPr baseColWidth="10" defaultRowHeight="15"/>
  <cols>
    <col min="1" max="1" width="19.5703125" style="175" customWidth="1"/>
    <col min="2" max="2" width="12.5703125" style="1268" customWidth="1"/>
    <col min="3" max="3" width="40.7109375" style="1268" customWidth="1"/>
    <col min="4" max="4" width="10.42578125" style="175" customWidth="1"/>
    <col min="5" max="5" width="11" style="1268" customWidth="1"/>
    <col min="6" max="6" width="11.140625" style="1268" customWidth="1"/>
    <col min="7" max="7" width="8.42578125" style="1268" customWidth="1"/>
    <col min="8" max="8" width="10.140625" style="1268" customWidth="1"/>
    <col min="9" max="9" width="13.42578125" style="1268" customWidth="1"/>
    <col min="10" max="10" width="17.42578125" style="1268" customWidth="1"/>
    <col min="11" max="11" width="6.28515625" style="1268" customWidth="1"/>
    <col min="12" max="12" width="8.85546875" style="1268" customWidth="1"/>
    <col min="13" max="13" width="4.85546875" style="1268" customWidth="1"/>
    <col min="14" max="14" width="16.140625" style="1268" customWidth="1"/>
    <col min="15" max="15" width="9.28515625" style="175" customWidth="1"/>
    <col min="16" max="16" width="10.7109375" style="282" customWidth="1"/>
    <col min="17" max="17" width="8.7109375" style="1268" customWidth="1"/>
    <col min="18" max="18" width="9.140625" style="1268" customWidth="1"/>
    <col min="19" max="19" width="2.28515625" style="1268" customWidth="1"/>
    <col min="20" max="20" width="13.140625" style="1268" customWidth="1"/>
    <col min="21" max="21" width="9.42578125" style="1268" customWidth="1"/>
    <col min="22" max="22" width="12.5703125" style="1268" customWidth="1"/>
    <col min="23" max="23" width="6.140625" style="1268" customWidth="1"/>
    <col min="24" max="24" width="6.85546875" style="1268" customWidth="1"/>
    <col min="25" max="26" width="7.42578125" style="1268" customWidth="1"/>
    <col min="27" max="27" width="1.42578125" style="1268" customWidth="1"/>
    <col min="28" max="28" width="9.5703125" style="1268" customWidth="1"/>
    <col min="29" max="29" width="12.42578125" style="1268" customWidth="1"/>
    <col min="30" max="30" width="7.28515625" style="1268" customWidth="1"/>
    <col min="31" max="33" width="7" style="1268" customWidth="1"/>
    <col min="34" max="34" width="1.42578125" style="1268" customWidth="1"/>
    <col min="35" max="35" width="10" style="1268" customWidth="1"/>
    <col min="36" max="36" width="12.7109375" style="1268" customWidth="1"/>
    <col min="37" max="37" width="7.28515625" style="1268" customWidth="1"/>
    <col min="38" max="40" width="6.85546875" style="1268" customWidth="1"/>
    <col min="41" max="41" width="1.28515625" style="1268" customWidth="1"/>
    <col min="42" max="47" width="3.28515625" style="1268" customWidth="1"/>
    <col min="48" max="48" width="1.42578125" style="1268" customWidth="1"/>
    <col min="49" max="54" width="3" style="1268" customWidth="1"/>
    <col min="55" max="55" width="2.28515625" style="1293" customWidth="1"/>
    <col min="56" max="56" width="7.42578125" style="1268" customWidth="1"/>
    <col min="57" max="58" width="7.28515625" style="1268" customWidth="1"/>
    <col min="59" max="59" width="8.28515625" style="1268" customWidth="1"/>
    <col min="60" max="60" width="6.28515625" style="1268" customWidth="1"/>
    <col min="61" max="61" width="3.140625" style="1268" customWidth="1"/>
    <col min="62" max="62" width="7.28515625" style="1268" customWidth="1"/>
    <col min="63" max="64" width="6.5703125" style="1268" customWidth="1"/>
    <col min="65" max="65" width="7.7109375" style="1268" customWidth="1"/>
    <col min="66" max="67" width="7" style="1268" customWidth="1"/>
    <col min="68" max="68" width="2.28515625" style="1268" customWidth="1"/>
    <col min="69" max="69" width="19.5703125" style="1268" customWidth="1"/>
    <col min="70" max="70" width="7.7109375" style="1268" customWidth="1"/>
    <col min="71" max="71" width="19.42578125" style="1268" customWidth="1"/>
    <col min="72" max="72" width="14.85546875" style="1421" customWidth="1"/>
    <col min="73" max="73" width="7.85546875" style="1268" customWidth="1"/>
    <col min="74" max="74" width="8.7109375" style="1268" customWidth="1"/>
    <col min="75" max="76" width="8.28515625" style="1268" customWidth="1"/>
    <col min="77" max="77" width="19.42578125" style="1421" customWidth="1"/>
    <col min="78" max="78" width="14.85546875" style="1421" customWidth="1"/>
    <col min="79" max="79" width="8.28515625" style="1421" customWidth="1"/>
    <col min="80" max="80" width="7.42578125" style="1421" customWidth="1"/>
    <col min="81" max="81" width="8.28515625" style="1421" customWidth="1"/>
    <col min="82" max="82" width="8.7109375" style="1421" customWidth="1"/>
    <col min="83" max="83" width="15.85546875" style="1268" customWidth="1"/>
    <col min="84" max="84" width="11.140625" style="1268" customWidth="1"/>
    <col min="85" max="85" width="8.140625" style="1268" customWidth="1"/>
    <col min="86" max="86" width="6.85546875" style="1268" customWidth="1"/>
    <col min="87" max="88" width="8.28515625" style="1268" customWidth="1"/>
    <col min="89" max="89" width="31" style="1421" customWidth="1"/>
    <col min="90" max="90" width="9.28515625" style="1268" customWidth="1"/>
    <col min="91" max="91" width="29.5703125" style="1268" customWidth="1"/>
    <col min="92" max="16384" width="11.42578125" style="1268"/>
  </cols>
  <sheetData>
    <row r="1" spans="1:96" ht="15.75" customHeight="1">
      <c r="A1" s="2559" t="s">
        <v>1142</v>
      </c>
      <c r="B1" s="2560"/>
      <c r="C1" s="412" t="str">
        <f>'DüV-N-Ackerbau'!C1</f>
        <v>Karl vom Land</v>
      </c>
      <c r="D1" s="507"/>
      <c r="E1" s="412" t="str">
        <f>'DüV-N-Ackerbau'!F1</f>
        <v>Erntejahr</v>
      </c>
      <c r="F1" s="507"/>
      <c r="G1" s="1258"/>
      <c r="H1" s="2447" t="s">
        <v>34</v>
      </c>
      <c r="I1" s="2448"/>
      <c r="J1" s="1258"/>
      <c r="K1" s="1258"/>
      <c r="L1" s="1258"/>
      <c r="M1" s="1258"/>
      <c r="N1" s="1258"/>
      <c r="O1" s="2568" t="s">
        <v>1143</v>
      </c>
      <c r="P1" s="2568"/>
      <c r="Q1" s="1258"/>
      <c r="R1" s="1265"/>
      <c r="S1" s="1251"/>
      <c r="T1" s="2706" t="s">
        <v>1142</v>
      </c>
      <c r="U1" s="2707"/>
      <c r="V1" s="2701" t="s">
        <v>1182</v>
      </c>
      <c r="W1" s="2701"/>
      <c r="X1" s="2701"/>
      <c r="Y1" s="2701"/>
      <c r="Z1" s="2701"/>
      <c r="AA1" s="2701"/>
      <c r="AB1" s="2702"/>
      <c r="AC1" s="2702"/>
      <c r="AD1" s="2702"/>
      <c r="AE1" s="2702"/>
      <c r="AF1" s="2702"/>
      <c r="AG1" s="2702"/>
      <c r="AH1" s="2702"/>
      <c r="AI1" s="2703"/>
      <c r="AJ1" s="2703"/>
      <c r="AK1" s="2703"/>
      <c r="AL1" s="2703"/>
      <c r="AM1" s="2703"/>
      <c r="AN1" s="2703"/>
      <c r="AO1" s="2703"/>
      <c r="AP1" s="2703"/>
      <c r="AQ1" s="2703"/>
      <c r="AR1" s="2703"/>
      <c r="AS1" s="2703"/>
      <c r="AT1" s="2703"/>
      <c r="AU1" s="2703"/>
      <c r="AV1" s="2703"/>
      <c r="AW1" s="2703"/>
      <c r="AX1" s="2703"/>
      <c r="AY1" s="2703"/>
      <c r="AZ1" s="2703"/>
      <c r="BA1" s="2703"/>
      <c r="BB1" s="2704"/>
      <c r="BC1" s="1294"/>
      <c r="BD1" s="2541" t="s">
        <v>1311</v>
      </c>
      <c r="BE1" s="2542"/>
      <c r="BF1" s="2542"/>
      <c r="BG1" s="2542"/>
      <c r="BH1" s="2542"/>
      <c r="BI1" s="2542"/>
      <c r="BJ1" s="2542"/>
      <c r="BK1" s="2542"/>
      <c r="BL1" s="2542"/>
      <c r="BM1" s="2542"/>
      <c r="BN1" s="2543"/>
      <c r="BO1" s="1251"/>
      <c r="BP1" s="1251"/>
      <c r="BQ1" s="1251"/>
      <c r="BR1" s="1251"/>
      <c r="BS1" s="1251"/>
      <c r="BT1" s="1444"/>
      <c r="BU1" s="1251"/>
      <c r="BV1" s="1251"/>
      <c r="BW1" s="1251"/>
      <c r="BX1" s="1251"/>
      <c r="BY1" s="1444"/>
      <c r="BZ1" s="1444"/>
      <c r="CA1" s="1444"/>
      <c r="CB1" s="1444"/>
      <c r="CC1" s="1444"/>
      <c r="CD1" s="1444"/>
      <c r="CE1" s="1251"/>
      <c r="CF1" s="1251"/>
      <c r="CG1" s="1251"/>
      <c r="CH1" s="1251"/>
      <c r="CI1" s="1251"/>
    </row>
    <row r="2" spans="1:96" ht="28.5" customHeight="1">
      <c r="A2" s="2560"/>
      <c r="B2" s="2560"/>
      <c r="C2" s="412" t="str">
        <f>'DüV-N-Ackerbau'!C2</f>
        <v>Höfen 1</v>
      </c>
      <c r="D2" s="114"/>
      <c r="E2" s="412">
        <f>'DüV-N-Ackerbau'!G1</f>
        <v>2022</v>
      </c>
      <c r="F2" s="114"/>
      <c r="G2" s="131"/>
      <c r="H2" s="2451" t="s">
        <v>36</v>
      </c>
      <c r="I2" s="2452"/>
      <c r="J2" s="1251"/>
      <c r="K2" s="1251"/>
      <c r="L2" s="1251"/>
      <c r="M2" s="1251"/>
      <c r="O2" s="2568"/>
      <c r="P2" s="2568"/>
      <c r="Q2" s="1251"/>
      <c r="R2" s="1264"/>
      <c r="S2" s="1251"/>
      <c r="T2" s="2708"/>
      <c r="U2" s="2709"/>
      <c r="V2" s="2569"/>
      <c r="W2" s="2569"/>
      <c r="X2" s="2569"/>
      <c r="Y2" s="2569"/>
      <c r="Z2" s="2569"/>
      <c r="AA2" s="2569"/>
      <c r="AB2" s="2570"/>
      <c r="AC2" s="2570"/>
      <c r="AD2" s="2570"/>
      <c r="AE2" s="2570"/>
      <c r="AF2" s="2570"/>
      <c r="AG2" s="2570"/>
      <c r="AH2" s="2570"/>
      <c r="AI2" s="2571"/>
      <c r="AJ2" s="2571"/>
      <c r="AK2" s="2571"/>
      <c r="AL2" s="2571"/>
      <c r="AM2" s="2571"/>
      <c r="AN2" s="2571"/>
      <c r="AO2" s="2571"/>
      <c r="AP2" s="2571"/>
      <c r="AQ2" s="2571"/>
      <c r="AR2" s="2571"/>
      <c r="AS2" s="2571"/>
      <c r="AT2" s="2571"/>
      <c r="AU2" s="2571"/>
      <c r="AV2" s="2571"/>
      <c r="AW2" s="2571"/>
      <c r="AX2" s="2571"/>
      <c r="AY2" s="2571"/>
      <c r="AZ2" s="2571"/>
      <c r="BA2" s="2571"/>
      <c r="BB2" s="2705"/>
      <c r="BC2" s="1294"/>
      <c r="BD2" s="2485"/>
      <c r="BE2" s="2526"/>
      <c r="BF2" s="2526"/>
      <c r="BG2" s="2526"/>
      <c r="BH2" s="2526"/>
      <c r="BI2" s="2526"/>
      <c r="BJ2" s="2526"/>
      <c r="BK2" s="2526"/>
      <c r="BL2" s="2526"/>
      <c r="BM2" s="2526"/>
      <c r="BN2" s="2486"/>
      <c r="BO2" s="1251"/>
      <c r="BP2" s="1251"/>
      <c r="BQ2" s="1251"/>
      <c r="BR2" s="1251"/>
      <c r="BS2" s="1251"/>
      <c r="BT2" s="1444"/>
      <c r="BU2" s="1251"/>
      <c r="BV2" s="1251"/>
      <c r="BW2" s="1251"/>
      <c r="BX2" s="1251"/>
      <c r="BY2" s="1444"/>
      <c r="BZ2" s="1444"/>
      <c r="CA2" s="1444"/>
      <c r="CB2" s="1444"/>
      <c r="CC2" s="1444"/>
      <c r="CD2" s="1444"/>
      <c r="CE2" s="1251"/>
      <c r="CF2" s="1251"/>
      <c r="CG2" s="1251"/>
      <c r="CH2" s="1251"/>
      <c r="CI2" s="1251"/>
    </row>
    <row r="3" spans="1:96" ht="17.25" customHeight="1" thickBot="1">
      <c r="A3" s="2560"/>
      <c r="B3" s="2560"/>
      <c r="C3" s="412" t="str">
        <f>'DüV-N-Ackerbau'!C3</f>
        <v>12345 Auf dem Feld</v>
      </c>
      <c r="D3" s="114"/>
      <c r="E3" s="114"/>
      <c r="F3" s="114"/>
      <c r="G3" s="1251"/>
      <c r="H3" s="1251"/>
      <c r="I3" s="1251"/>
      <c r="J3" s="1251"/>
      <c r="K3" s="1251"/>
      <c r="L3" s="1251"/>
      <c r="M3" s="1251"/>
      <c r="N3" s="1251"/>
      <c r="O3" s="2568"/>
      <c r="P3" s="2568"/>
      <c r="Q3" s="1251"/>
      <c r="R3" s="1264"/>
      <c r="S3" s="1251"/>
      <c r="T3" s="2708"/>
      <c r="U3" s="2709"/>
      <c r="V3" s="2569"/>
      <c r="W3" s="2569"/>
      <c r="X3" s="2569"/>
      <c r="Y3" s="2569"/>
      <c r="Z3" s="2569"/>
      <c r="AA3" s="2569"/>
      <c r="AB3" s="2570"/>
      <c r="AC3" s="2570"/>
      <c r="AD3" s="2570"/>
      <c r="AE3" s="2570"/>
      <c r="AF3" s="2570"/>
      <c r="AG3" s="2570"/>
      <c r="AH3" s="2570"/>
      <c r="AI3" s="2571"/>
      <c r="AJ3" s="2571"/>
      <c r="AK3" s="2571"/>
      <c r="AL3" s="2571"/>
      <c r="AM3" s="2571"/>
      <c r="AN3" s="2571"/>
      <c r="AO3" s="2571"/>
      <c r="AP3" s="2571"/>
      <c r="AQ3" s="2571"/>
      <c r="AR3" s="2571"/>
      <c r="AS3" s="2571"/>
      <c r="AT3" s="2571"/>
      <c r="AU3" s="2571"/>
      <c r="AV3" s="2571"/>
      <c r="AW3" s="2571"/>
      <c r="AX3" s="2571"/>
      <c r="AY3" s="2571"/>
      <c r="AZ3" s="2571"/>
      <c r="BA3" s="2571"/>
      <c r="BB3" s="2705"/>
      <c r="BC3" s="1294"/>
      <c r="BD3" s="2485"/>
      <c r="BE3" s="2526"/>
      <c r="BF3" s="2526"/>
      <c r="BG3" s="2526"/>
      <c r="BH3" s="2526"/>
      <c r="BI3" s="2526"/>
      <c r="BJ3" s="2526"/>
      <c r="BK3" s="2526"/>
      <c r="BL3" s="2526"/>
      <c r="BM3" s="2526"/>
      <c r="BN3" s="2486"/>
      <c r="BO3" s="1251"/>
      <c r="BP3" s="1251"/>
      <c r="BQ3" s="1251"/>
      <c r="BR3" s="1251"/>
      <c r="BS3" s="1251"/>
      <c r="BT3" s="1444"/>
      <c r="BU3" s="1251"/>
      <c r="BV3" s="1251"/>
      <c r="BW3" s="1251"/>
      <c r="BX3" s="1251"/>
      <c r="BY3" s="1444"/>
      <c r="BZ3" s="1444"/>
      <c r="CA3" s="1444"/>
      <c r="CB3" s="1444"/>
      <c r="CC3" s="1444"/>
      <c r="CD3" s="1444"/>
      <c r="CE3" s="1251"/>
      <c r="CF3" s="1251"/>
      <c r="CG3" s="1251"/>
      <c r="CH3" s="1251"/>
      <c r="CI3" s="1251"/>
    </row>
    <row r="4" spans="1:96" ht="32.25" customHeight="1" thickBot="1">
      <c r="A4" s="2674" t="s">
        <v>1191</v>
      </c>
      <c r="B4" s="2675"/>
      <c r="C4" s="2675"/>
      <c r="D4" s="2675"/>
      <c r="E4" s="2675"/>
      <c r="F4" s="2675"/>
      <c r="G4" s="2675"/>
      <c r="H4" s="2675"/>
      <c r="I4" s="2675"/>
      <c r="J4" s="2675"/>
      <c r="K4" s="2675"/>
      <c r="L4" s="2675"/>
      <c r="M4" s="2675"/>
      <c r="N4" s="2675"/>
      <c r="O4" s="2675"/>
      <c r="P4" s="2675"/>
      <c r="Q4" s="2675"/>
      <c r="R4" s="2676"/>
      <c r="S4" s="1262"/>
      <c r="T4" s="2710" t="s">
        <v>1150</v>
      </c>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2490"/>
      <c r="BA4" s="2490"/>
      <c r="BB4" s="2711"/>
      <c r="BC4" s="1290"/>
      <c r="BD4" s="2487"/>
      <c r="BE4" s="2544"/>
      <c r="BF4" s="2544"/>
      <c r="BG4" s="2544"/>
      <c r="BH4" s="2544"/>
      <c r="BI4" s="2544"/>
      <c r="BJ4" s="2544"/>
      <c r="BK4" s="2544"/>
      <c r="BL4" s="2544"/>
      <c r="BM4" s="2544"/>
      <c r="BN4" s="2488"/>
      <c r="BO4" s="1251"/>
      <c r="BP4" s="1251"/>
      <c r="BQ4" s="1448"/>
      <c r="BR4" s="1448"/>
      <c r="BS4" s="1448"/>
      <c r="BT4" s="1448"/>
      <c r="BU4" s="1448"/>
      <c r="BV4" s="1448"/>
      <c r="BW4" s="1448"/>
      <c r="BX4" s="1448"/>
      <c r="BY4" s="1448"/>
      <c r="BZ4" s="1448"/>
      <c r="CA4" s="1448"/>
      <c r="CB4" s="1448"/>
      <c r="CC4" s="1448"/>
      <c r="CD4" s="1448"/>
      <c r="CE4" s="1448"/>
      <c r="CF4" s="1448"/>
      <c r="CG4" s="1448"/>
      <c r="CH4" s="1448"/>
      <c r="CI4" s="1448"/>
      <c r="CJ4" s="1501"/>
      <c r="CK4" s="1502"/>
      <c r="CL4" s="357"/>
      <c r="CM4" s="1503"/>
      <c r="CN4" s="1504" t="s">
        <v>5</v>
      </c>
      <c r="CO4" s="540"/>
      <c r="CP4" s="357"/>
      <c r="CQ4" s="357"/>
      <c r="CR4" s="357"/>
    </row>
    <row r="5" spans="1:96" s="1070" customFormat="1" ht="19.5" customHeight="1" thickBot="1">
      <c r="A5" s="2539" t="s">
        <v>1151</v>
      </c>
      <c r="B5" s="2672"/>
      <c r="C5" s="2672"/>
      <c r="D5" s="2672"/>
      <c r="E5" s="2672"/>
      <c r="F5" s="2672"/>
      <c r="G5" s="2672"/>
      <c r="H5" s="2672"/>
      <c r="I5" s="2672"/>
      <c r="J5" s="2672"/>
      <c r="K5" s="2672"/>
      <c r="L5" s="2672"/>
      <c r="M5" s="2672"/>
      <c r="N5" s="2672"/>
      <c r="O5" s="2672"/>
      <c r="P5" s="2672"/>
      <c r="Q5" s="2672"/>
      <c r="R5" s="2673"/>
      <c r="S5" s="981"/>
      <c r="T5" s="2694" t="s">
        <v>1018</v>
      </c>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695"/>
      <c r="BC5" s="467"/>
      <c r="BD5" s="2714" t="s">
        <v>1065</v>
      </c>
      <c r="BE5" s="2715"/>
      <c r="BF5" s="2715"/>
      <c r="BG5" s="2715"/>
      <c r="BH5" s="2715"/>
      <c r="BI5" s="1272"/>
      <c r="BJ5" s="2697" t="s">
        <v>1076</v>
      </c>
      <c r="BK5" s="2698"/>
      <c r="BL5" s="2698"/>
      <c r="BM5" s="2698"/>
      <c r="BN5" s="2698"/>
      <c r="BO5" s="1250"/>
      <c r="BP5" s="1250"/>
      <c r="BQ5" s="2658" t="s">
        <v>1028</v>
      </c>
      <c r="BR5" s="2659"/>
      <c r="BS5" s="2658" t="s">
        <v>1077</v>
      </c>
      <c r="BT5" s="2660"/>
      <c r="BU5" s="2661"/>
      <c r="BV5" s="2661"/>
      <c r="BW5" s="2661"/>
      <c r="BX5" s="2662"/>
      <c r="BY5" s="2658" t="s">
        <v>1078</v>
      </c>
      <c r="BZ5" s="2659"/>
      <c r="CA5" s="2659"/>
      <c r="CB5" s="2659"/>
      <c r="CC5" s="2659"/>
      <c r="CD5" s="2663"/>
      <c r="CE5" s="2658" t="s">
        <v>1079</v>
      </c>
      <c r="CF5" s="2659"/>
      <c r="CG5" s="2659"/>
      <c r="CH5" s="2659"/>
      <c r="CI5" s="2659"/>
      <c r="CJ5" s="2663"/>
      <c r="CK5" s="1505"/>
      <c r="CL5" s="357"/>
      <c r="CM5" s="1504" t="s">
        <v>79</v>
      </c>
      <c r="CN5" s="484"/>
      <c r="CO5" s="357"/>
      <c r="CP5" s="543"/>
      <c r="CQ5" s="543"/>
      <c r="CR5" s="543"/>
    </row>
    <row r="6" spans="1:96" ht="23.25" customHeight="1" thickBot="1">
      <c r="A6" s="2679" t="s">
        <v>1075</v>
      </c>
      <c r="B6" s="2553" t="s">
        <v>562</v>
      </c>
      <c r="C6" s="2690" t="s">
        <v>735</v>
      </c>
      <c r="D6" s="2683" t="s">
        <v>1166</v>
      </c>
      <c r="E6" s="2684"/>
      <c r="F6" s="2685"/>
      <c r="G6" s="2686" t="s">
        <v>296</v>
      </c>
      <c r="H6" s="2687"/>
      <c r="I6" s="2688"/>
      <c r="J6" s="2536" t="s">
        <v>244</v>
      </c>
      <c r="K6" s="2561" t="s">
        <v>163</v>
      </c>
      <c r="L6" s="2690" t="s">
        <v>601</v>
      </c>
      <c r="M6" s="2691" t="s">
        <v>163</v>
      </c>
      <c r="N6" s="2692" t="s">
        <v>237</v>
      </c>
      <c r="O6" s="2499" t="s">
        <v>1013</v>
      </c>
      <c r="P6" s="2693"/>
      <c r="Q6" s="2677" t="s">
        <v>1133</v>
      </c>
      <c r="R6" s="2678"/>
      <c r="S6" s="1256"/>
      <c r="T6" s="2712" t="s">
        <v>1134</v>
      </c>
      <c r="U6" s="2612" t="s">
        <v>1425</v>
      </c>
      <c r="V6" s="2504"/>
      <c r="W6" s="2504"/>
      <c r="X6" s="2504"/>
      <c r="Y6" s="2504"/>
      <c r="Z6" s="2504"/>
      <c r="AA6" s="525"/>
      <c r="AB6" s="2612" t="s">
        <v>1426</v>
      </c>
      <c r="AC6" s="2504"/>
      <c r="AD6" s="2504"/>
      <c r="AE6" s="2504"/>
      <c r="AF6" s="2504"/>
      <c r="AG6" s="2504"/>
      <c r="AH6" s="2099"/>
      <c r="AI6" s="2612" t="s">
        <v>1427</v>
      </c>
      <c r="AJ6" s="2504"/>
      <c r="AK6" s="2504"/>
      <c r="AL6" s="2504"/>
      <c r="AM6" s="2504"/>
      <c r="AN6" s="2504"/>
      <c r="AO6" s="131"/>
      <c r="AP6" s="2612" t="s">
        <v>1428</v>
      </c>
      <c r="AQ6" s="2504"/>
      <c r="AR6" s="2504"/>
      <c r="AS6" s="2504"/>
      <c r="AT6" s="2504"/>
      <c r="AU6" s="2504"/>
      <c r="AV6" s="864"/>
      <c r="AW6" s="2612" t="s">
        <v>1429</v>
      </c>
      <c r="AX6" s="2504"/>
      <c r="AY6" s="2504"/>
      <c r="AZ6" s="2504"/>
      <c r="BA6" s="2504"/>
      <c r="BB6" s="2504"/>
      <c r="BC6" s="2079"/>
      <c r="BD6" s="2514"/>
      <c r="BE6" s="2514"/>
      <c r="BF6" s="2514"/>
      <c r="BG6" s="2514"/>
      <c r="BH6" s="2514"/>
      <c r="BI6" s="1262"/>
      <c r="BJ6" s="2490"/>
      <c r="BK6" s="2490"/>
      <c r="BL6" s="2490"/>
      <c r="BM6" s="2490"/>
      <c r="BN6" s="2490"/>
      <c r="BO6" s="1250"/>
      <c r="BP6" s="1250"/>
      <c r="BQ6" s="1350"/>
      <c r="BR6" s="1350"/>
      <c r="BS6" s="1350"/>
      <c r="BT6" s="1350"/>
      <c r="BU6" s="1350"/>
      <c r="BV6" s="1350"/>
      <c r="BW6" s="1350"/>
      <c r="BX6" s="1350"/>
      <c r="BY6" s="1350"/>
      <c r="BZ6" s="1350"/>
      <c r="CA6" s="1350"/>
      <c r="CB6" s="1350"/>
      <c r="CC6" s="1350"/>
      <c r="CD6" s="1350"/>
      <c r="CE6" s="1350"/>
      <c r="CF6" s="1350"/>
      <c r="CG6" s="1350"/>
      <c r="CH6" s="1350"/>
      <c r="CI6" s="1350"/>
      <c r="CJ6" s="1350"/>
      <c r="CK6" s="1506"/>
      <c r="CL6" s="357"/>
      <c r="CM6" s="1503" t="s">
        <v>234</v>
      </c>
      <c r="CN6" s="484">
        <v>10</v>
      </c>
      <c r="CO6" s="357"/>
      <c r="CP6" s="357"/>
      <c r="CQ6" s="357"/>
      <c r="CR6" s="357"/>
    </row>
    <row r="7" spans="1:96" ht="65.25" customHeight="1" thickBot="1">
      <c r="A7" s="2680"/>
      <c r="B7" s="2554"/>
      <c r="C7" s="2535"/>
      <c r="D7" s="572" t="s">
        <v>294</v>
      </c>
      <c r="E7" s="511" t="s">
        <v>345</v>
      </c>
      <c r="F7" s="573" t="s">
        <v>346</v>
      </c>
      <c r="G7" s="560" t="s">
        <v>85</v>
      </c>
      <c r="H7" s="559" t="s">
        <v>301</v>
      </c>
      <c r="I7" s="576" t="s">
        <v>299</v>
      </c>
      <c r="J7" s="2689"/>
      <c r="K7" s="2440"/>
      <c r="L7" s="2535"/>
      <c r="M7" s="2530"/>
      <c r="N7" s="2513"/>
      <c r="O7" s="736" t="s">
        <v>322</v>
      </c>
      <c r="P7" s="658" t="s">
        <v>604</v>
      </c>
      <c r="Q7" s="644" t="s">
        <v>599</v>
      </c>
      <c r="R7" s="641" t="s">
        <v>604</v>
      </c>
      <c r="S7" s="980"/>
      <c r="T7" s="2713"/>
      <c r="U7" s="2092" t="s">
        <v>839</v>
      </c>
      <c r="V7" s="2090" t="s">
        <v>819</v>
      </c>
      <c r="W7" s="2095" t="s">
        <v>33</v>
      </c>
      <c r="X7" s="2091" t="s">
        <v>1062</v>
      </c>
      <c r="Y7" s="2095" t="s">
        <v>1063</v>
      </c>
      <c r="Z7" s="2091" t="s">
        <v>1064</v>
      </c>
      <c r="AA7" s="1421"/>
      <c r="AB7" s="2092" t="s">
        <v>839</v>
      </c>
      <c r="AC7" s="2090" t="s">
        <v>819</v>
      </c>
      <c r="AD7" s="2095" t="s">
        <v>33</v>
      </c>
      <c r="AE7" s="2091" t="s">
        <v>1062</v>
      </c>
      <c r="AF7" s="2095" t="s">
        <v>1063</v>
      </c>
      <c r="AG7" s="2091" t="s">
        <v>1064</v>
      </c>
      <c r="AH7" s="279"/>
      <c r="AI7" s="2092" t="s">
        <v>839</v>
      </c>
      <c r="AJ7" s="2090" t="s">
        <v>819</v>
      </c>
      <c r="AK7" s="2095" t="s">
        <v>33</v>
      </c>
      <c r="AL7" s="2091" t="s">
        <v>1062</v>
      </c>
      <c r="AM7" s="2095" t="s">
        <v>1063</v>
      </c>
      <c r="AN7" s="2091" t="s">
        <v>1064</v>
      </c>
      <c r="AO7" s="279"/>
      <c r="AP7" s="2092" t="s">
        <v>839</v>
      </c>
      <c r="AQ7" s="2090" t="s">
        <v>819</v>
      </c>
      <c r="AR7" s="2095" t="s">
        <v>33</v>
      </c>
      <c r="AS7" s="2091" t="s">
        <v>1062</v>
      </c>
      <c r="AT7" s="2095" t="s">
        <v>1063</v>
      </c>
      <c r="AU7" s="2091" t="s">
        <v>1064</v>
      </c>
      <c r="AV7" s="279"/>
      <c r="AW7" s="2092" t="s">
        <v>839</v>
      </c>
      <c r="AX7" s="2090" t="s">
        <v>819</v>
      </c>
      <c r="AY7" s="2095" t="s">
        <v>33</v>
      </c>
      <c r="AZ7" s="2091" t="s">
        <v>1062</v>
      </c>
      <c r="BA7" s="2095" t="s">
        <v>1063</v>
      </c>
      <c r="BB7" s="2091" t="s">
        <v>1064</v>
      </c>
      <c r="BC7" s="1874"/>
      <c r="BD7" s="1809" t="s">
        <v>1080</v>
      </c>
      <c r="BE7" s="1270" t="s">
        <v>1066</v>
      </c>
      <c r="BF7" s="1307" t="s">
        <v>1309</v>
      </c>
      <c r="BG7" s="906" t="s">
        <v>1241</v>
      </c>
      <c r="BH7" s="1270" t="s">
        <v>284</v>
      </c>
      <c r="BI7" s="1256"/>
      <c r="BJ7" s="1809" t="s">
        <v>1080</v>
      </c>
      <c r="BK7" s="1270" t="s">
        <v>1066</v>
      </c>
      <c r="BL7" s="1307" t="s">
        <v>1309</v>
      </c>
      <c r="BM7" s="906" t="s">
        <v>1241</v>
      </c>
      <c r="BN7" s="1270" t="s">
        <v>284</v>
      </c>
      <c r="BO7" s="1256"/>
      <c r="BP7" s="1256"/>
      <c r="BQ7" s="1518" t="s">
        <v>1074</v>
      </c>
      <c r="BR7" s="1507" t="s">
        <v>562</v>
      </c>
      <c r="BS7" s="1508" t="s">
        <v>1202</v>
      </c>
      <c r="BT7" s="550" t="s">
        <v>1025</v>
      </c>
      <c r="BU7" s="1509" t="s">
        <v>1024</v>
      </c>
      <c r="BV7" s="1509" t="s">
        <v>1023</v>
      </c>
      <c r="BW7" s="1509" t="s">
        <v>1027</v>
      </c>
      <c r="BX7" s="1510" t="s">
        <v>1026</v>
      </c>
      <c r="BY7" s="1508" t="s">
        <v>1202</v>
      </c>
      <c r="BZ7" s="550" t="s">
        <v>1025</v>
      </c>
      <c r="CA7" s="1509" t="s">
        <v>1024</v>
      </c>
      <c r="CB7" s="1509" t="s">
        <v>1023</v>
      </c>
      <c r="CC7" s="1509" t="s">
        <v>1027</v>
      </c>
      <c r="CD7" s="1510" t="s">
        <v>1026</v>
      </c>
      <c r="CE7" s="1508" t="s">
        <v>1202</v>
      </c>
      <c r="CF7" s="550" t="s">
        <v>1025</v>
      </c>
      <c r="CG7" s="1509" t="s">
        <v>1024</v>
      </c>
      <c r="CH7" s="1509" t="s">
        <v>1023</v>
      </c>
      <c r="CI7" s="1509" t="s">
        <v>1027</v>
      </c>
      <c r="CJ7" s="1510" t="s">
        <v>1026</v>
      </c>
      <c r="CK7" s="1511" t="s">
        <v>1188</v>
      </c>
      <c r="CL7" s="357"/>
      <c r="CM7" s="1503" t="s">
        <v>235</v>
      </c>
      <c r="CN7" s="484">
        <v>30</v>
      </c>
      <c r="CO7" s="357"/>
      <c r="CP7" s="357"/>
      <c r="CQ7" s="357"/>
      <c r="CR7" s="357"/>
    </row>
    <row r="8" spans="1:96" ht="23.25" customHeight="1">
      <c r="A8" s="513" t="s">
        <v>1137</v>
      </c>
      <c r="B8" s="1704">
        <v>0</v>
      </c>
      <c r="C8" s="611" t="s">
        <v>1216</v>
      </c>
      <c r="D8" s="574">
        <f>100-E8-F8</f>
        <v>100</v>
      </c>
      <c r="E8" s="1714">
        <v>0</v>
      </c>
      <c r="F8" s="1715">
        <v>0</v>
      </c>
      <c r="G8" s="1706">
        <v>0</v>
      </c>
      <c r="H8" s="1707">
        <v>0</v>
      </c>
      <c r="I8" s="577">
        <f>((G8*D8/100)+(G8*E8*0.5/100)+G8*F8*0.75/100)*H8/6.25</f>
        <v>0</v>
      </c>
      <c r="J8" s="2104" t="s">
        <v>90</v>
      </c>
      <c r="K8" s="579">
        <f t="shared" ref="K8:K42" si="0">VLOOKUP(J8,CM$17:CN$20,2,FALSE)</f>
        <v>0</v>
      </c>
      <c r="L8" s="651" t="s">
        <v>234</v>
      </c>
      <c r="M8" s="581">
        <f t="shared" ref="M8:M42" si="1">VLOOKUP(L8,CM$6:CN$10,2,FALSE)</f>
        <v>10</v>
      </c>
      <c r="N8" s="1711">
        <v>0</v>
      </c>
      <c r="O8" s="739">
        <f>IF(I8-M8-K8-N8&lt;0,0,I8-M8-K8-N8)</f>
        <v>0</v>
      </c>
      <c r="P8" s="737">
        <f t="shared" ref="P8:P42" si="2">IF(O8&lt;0,0,O8*B8)</f>
        <v>0</v>
      </c>
      <c r="Q8" s="655">
        <f>IF(H8=0,0,G8*(D8/100+E8*0.5/100+F8*0.75/100)*(0.3494+0.4695*LOG(H8)/6.25*H8/6.25))</f>
        <v>0</v>
      </c>
      <c r="R8" s="1034">
        <f>B8*Q8</f>
        <v>0</v>
      </c>
      <c r="S8" s="978"/>
      <c r="T8" s="2083" t="str">
        <f>$A8</f>
        <v>Weide 1</v>
      </c>
      <c r="U8" s="1329"/>
      <c r="V8" s="1330" t="s">
        <v>795</v>
      </c>
      <c r="W8" s="1424">
        <v>0</v>
      </c>
      <c r="X8" s="1033">
        <f>VLOOKUP(V8,Düngemittel!$B$6:$E$64,2,FALSE)*(VLOOKUP(V8,Düngemittel!$B$6:$E$64,3,FALSE))/100*W8</f>
        <v>0</v>
      </c>
      <c r="Y8" s="1033">
        <f>VLOOKUP(V8,Düngemittel!$B$6:$E$64,2,FALSE)*W8</f>
        <v>0</v>
      </c>
      <c r="Z8" s="1033">
        <f>VLOOKUP(V8,Düngemittel!$B$6:$E$64,4,FALSE)*W8</f>
        <v>0</v>
      </c>
      <c r="AA8" s="92"/>
      <c r="AB8" s="1329"/>
      <c r="AC8" s="1330" t="s">
        <v>795</v>
      </c>
      <c r="AD8" s="1424">
        <v>0</v>
      </c>
      <c r="AE8" s="1033">
        <f>VLOOKUP(AC8,Düngemittel!$B$6:$E$64,2,FALSE)*(VLOOKUP(AC8,Düngemittel!$B$6:$E$64,3,FALSE))/100*AD8</f>
        <v>0</v>
      </c>
      <c r="AF8" s="1033">
        <f>VLOOKUP(AC8,Düngemittel!$B$6:$E$64,2,FALSE)*AD8</f>
        <v>0</v>
      </c>
      <c r="AG8" s="1033">
        <f>VLOOKUP(AC8,Düngemittel!$B$6:$E$64,4,FALSE)*AD8</f>
        <v>0</v>
      </c>
      <c r="AH8" s="92"/>
      <c r="AI8" s="1329"/>
      <c r="AJ8" s="1330" t="s">
        <v>795</v>
      </c>
      <c r="AK8" s="1424">
        <v>0</v>
      </c>
      <c r="AL8" s="1033">
        <f>VLOOKUP(AJ8,Düngemittel!$B$6:$E$64,2,FALSE)*(VLOOKUP(AJ8,Düngemittel!$B$6:$E$64,3,FALSE))/100*AK8</f>
        <v>0</v>
      </c>
      <c r="AM8" s="1033">
        <f>VLOOKUP(AJ8,Düngemittel!$B$6:$E$64,2,FALSE)*AK8</f>
        <v>0</v>
      </c>
      <c r="AN8" s="1033">
        <f>VLOOKUP(AJ8,Düngemittel!$B$6:$E$64,4,FALSE)*AK8</f>
        <v>0</v>
      </c>
      <c r="AO8" s="92"/>
      <c r="AP8" s="1329"/>
      <c r="AQ8" s="1330" t="s">
        <v>795</v>
      </c>
      <c r="AR8" s="1424">
        <v>0</v>
      </c>
      <c r="AS8" s="1033">
        <f>VLOOKUP(AQ8,Düngemittel!$B$6:$E$64,2,FALSE)*(VLOOKUP(AQ8,Düngemittel!$B$6:$E$64,3,FALSE))/100*AR8</f>
        <v>0</v>
      </c>
      <c r="AT8" s="1033">
        <f>VLOOKUP(AQ8,Düngemittel!$B$6:$E$64,2,FALSE)*AR8</f>
        <v>0</v>
      </c>
      <c r="AU8" s="1033">
        <f>VLOOKUP(AQ8,Düngemittel!$B$6:$E$64,4,FALSE)*AR8</f>
        <v>0</v>
      </c>
      <c r="AV8" s="92"/>
      <c r="AW8" s="1329"/>
      <c r="AX8" s="1330" t="s">
        <v>795</v>
      </c>
      <c r="AY8" s="1424">
        <v>0</v>
      </c>
      <c r="AZ8" s="1033">
        <f>VLOOKUP(AX8,Düngemittel!$B$6:$E$64,2,FALSE)*(VLOOKUP(AX8,Düngemittel!$B$6:$E$64,3,FALSE))/100*AY8</f>
        <v>0</v>
      </c>
      <c r="BA8" s="1033">
        <f>VLOOKUP(AX8,Düngemittel!$B$6:$E$64,2,FALSE)*AY8</f>
        <v>0</v>
      </c>
      <c r="BB8" s="1033">
        <f>VLOOKUP(AX8,Düngemittel!$B$6:$E$64,4,FALSE)*AY8</f>
        <v>0</v>
      </c>
      <c r="BC8" s="863"/>
      <c r="BD8" s="1812">
        <f>IF(X8&lt;Y8,0,X8)+IF(AE8&lt;AF8,0,AE8)+IF(AL8&lt;AM8,0,AL8)+IF(AS8&lt;AT8,0,AS8)+IF(AZ8&lt;BA8,0,AZ8)</f>
        <v>0</v>
      </c>
      <c r="BE8" s="1273">
        <f>SUM(X8+AE8+AL8+AS8+AZ8)</f>
        <v>0</v>
      </c>
      <c r="BF8" s="1819">
        <f>SUM(Y8+AF8+AM8+AT8+BA8)</f>
        <v>0</v>
      </c>
      <c r="BG8" s="1151">
        <f>IF(X8&lt;Y8,Y8,0)+IF(AE8&lt;AF8,AF8,0)+IF(AL8&lt;AM8,AM8,0)+IF(AS8&lt;AT8,AT8,0)+IF(AZ8&lt;BA8,BA8,0)</f>
        <v>0</v>
      </c>
      <c r="BH8" s="1273">
        <f>SUM(Z8+AG8+AN8+AU8+BB8)</f>
        <v>0</v>
      </c>
      <c r="BI8" s="1152"/>
      <c r="BJ8" s="1812">
        <f>BD8*$B8</f>
        <v>0</v>
      </c>
      <c r="BK8" s="1282">
        <f t="shared" ref="BK8:BN8" si="3">BE8*$B8</f>
        <v>0</v>
      </c>
      <c r="BL8" s="1812">
        <f t="shared" si="3"/>
        <v>0</v>
      </c>
      <c r="BM8" s="1282">
        <f t="shared" si="3"/>
        <v>0</v>
      </c>
      <c r="BN8" s="1282">
        <f t="shared" si="3"/>
        <v>0</v>
      </c>
      <c r="BO8" s="1119"/>
      <c r="BP8" s="1119"/>
      <c r="BQ8" s="1512" t="str">
        <f>$A8</f>
        <v>Weide 1</v>
      </c>
      <c r="BR8" s="1513">
        <f>$B8</f>
        <v>0</v>
      </c>
      <c r="BS8" s="1500"/>
      <c r="BT8" s="1497"/>
      <c r="BU8" s="1498"/>
      <c r="BV8" s="1498"/>
      <c r="BW8" s="1498"/>
      <c r="BX8" s="1514">
        <f>SUM(BV8*BW8/24)</f>
        <v>0</v>
      </c>
      <c r="BY8" s="1500"/>
      <c r="BZ8" s="1497"/>
      <c r="CA8" s="1498"/>
      <c r="CB8" s="1498"/>
      <c r="CC8" s="1498"/>
      <c r="CD8" s="1514">
        <f>SUM(CB8*CC8/24)</f>
        <v>0</v>
      </c>
      <c r="CE8" s="1500"/>
      <c r="CF8" s="1497"/>
      <c r="CG8" s="1498"/>
      <c r="CH8" s="1498"/>
      <c r="CI8" s="1498"/>
      <c r="CJ8" s="1514">
        <f>SUM(CH8*CI8/24)</f>
        <v>0</v>
      </c>
      <c r="CK8" s="1433"/>
      <c r="CL8" s="357"/>
      <c r="CM8" s="1503" t="s">
        <v>236</v>
      </c>
      <c r="CN8" s="484">
        <v>50</v>
      </c>
      <c r="CO8" s="357"/>
      <c r="CP8" s="357"/>
      <c r="CQ8" s="357"/>
      <c r="CR8" s="357"/>
    </row>
    <row r="9" spans="1:96" ht="23.25" customHeight="1">
      <c r="A9" s="468" t="s">
        <v>1248</v>
      </c>
      <c r="B9" s="1705">
        <v>0</v>
      </c>
      <c r="C9" s="610"/>
      <c r="D9" s="575">
        <f t="shared" ref="D9:D42" si="4">100-E9-F9</f>
        <v>100</v>
      </c>
      <c r="E9" s="1437">
        <v>0</v>
      </c>
      <c r="F9" s="1716">
        <v>0</v>
      </c>
      <c r="G9" s="1596">
        <v>0</v>
      </c>
      <c r="H9" s="1708">
        <v>0</v>
      </c>
      <c r="I9" s="578">
        <f t="shared" ref="I9:I42" si="5">((G9*D9/100)+(G9*E9*0.5/100)+G9*F9*0.75/100)*H9/6.25</f>
        <v>0</v>
      </c>
      <c r="J9" s="650" t="s">
        <v>90</v>
      </c>
      <c r="K9" s="2103">
        <f t="shared" si="0"/>
        <v>0</v>
      </c>
      <c r="L9" s="652" t="s">
        <v>234</v>
      </c>
      <c r="M9" s="582">
        <f t="shared" si="1"/>
        <v>10</v>
      </c>
      <c r="N9" s="1712">
        <v>0</v>
      </c>
      <c r="O9" s="740">
        <f t="shared" ref="O9:O42" si="6">IF(I9-M9-K9-N9&lt;0,0,I9-M9-K9-N9)</f>
        <v>0</v>
      </c>
      <c r="P9" s="738">
        <f t="shared" si="2"/>
        <v>0</v>
      </c>
      <c r="Q9" s="657">
        <f t="shared" ref="Q9:Q42" si="7">IF(H9=0,0,G9*(D9/100+E9*0.5/100+F9*0.75/100)*(0.3494+0.4695*LOG(H9)/6.25*H9/6.25))</f>
        <v>0</v>
      </c>
      <c r="R9" s="659">
        <f t="shared" ref="R9:R42" si="8">B9*Q9</f>
        <v>0</v>
      </c>
      <c r="S9" s="978"/>
      <c r="T9" s="2083" t="str">
        <f>$A9</f>
        <v>Wiese 2</v>
      </c>
      <c r="U9" s="1329"/>
      <c r="V9" s="1330" t="s">
        <v>795</v>
      </c>
      <c r="W9" s="1424">
        <v>0</v>
      </c>
      <c r="X9" s="1033">
        <f>VLOOKUP(V9,Düngemittel!$B$6:$E$64,2,FALSE)*(VLOOKUP(V9,Düngemittel!$B$6:$E$64,3,FALSE))/100*W9</f>
        <v>0</v>
      </c>
      <c r="Y9" s="1033">
        <f>VLOOKUP(V9,Düngemittel!$B$6:$E$64,2,FALSE)*W9</f>
        <v>0</v>
      </c>
      <c r="Z9" s="1033">
        <f>VLOOKUP(V9,Düngemittel!$B$6:$E$64,4,FALSE)*W9</f>
        <v>0</v>
      </c>
      <c r="AA9" s="2089"/>
      <c r="AB9" s="1329"/>
      <c r="AC9" s="1330" t="s">
        <v>795</v>
      </c>
      <c r="AD9" s="1424">
        <v>0</v>
      </c>
      <c r="AE9" s="1033">
        <f>VLOOKUP(AC9,Düngemittel!$B$6:$E$64,2,FALSE)*(VLOOKUP(AC9,Düngemittel!$B$6:$E$64,3,FALSE))/100*AD9</f>
        <v>0</v>
      </c>
      <c r="AF9" s="1033">
        <f>VLOOKUP(AC9,Düngemittel!$B$6:$E$64,2,FALSE)*AD9</f>
        <v>0</v>
      </c>
      <c r="AG9" s="1033">
        <f>VLOOKUP(AC9,Düngemittel!$B$6:$E$64,4,FALSE)*AD9</f>
        <v>0</v>
      </c>
      <c r="AH9" s="2089"/>
      <c r="AI9" s="1329"/>
      <c r="AJ9" s="1330" t="s">
        <v>795</v>
      </c>
      <c r="AK9" s="1424">
        <v>0</v>
      </c>
      <c r="AL9" s="1033">
        <f>VLOOKUP(AJ9,Düngemittel!$B$6:$E$64,2,FALSE)*(VLOOKUP(AJ9,Düngemittel!$B$6:$E$64,3,FALSE))/100*AK9</f>
        <v>0</v>
      </c>
      <c r="AM9" s="1033">
        <f>VLOOKUP(AJ9,Düngemittel!$B$6:$E$64,2,FALSE)*AK9</f>
        <v>0</v>
      </c>
      <c r="AN9" s="1033">
        <f>VLOOKUP(AJ9,Düngemittel!$B$6:$E$64,4,FALSE)*AK9</f>
        <v>0</v>
      </c>
      <c r="AO9" s="2089"/>
      <c r="AP9" s="1329"/>
      <c r="AQ9" s="1330" t="s">
        <v>795</v>
      </c>
      <c r="AR9" s="1424">
        <v>0</v>
      </c>
      <c r="AS9" s="1033">
        <f>VLOOKUP(AQ9,Düngemittel!$B$6:$E$64,2,FALSE)*(VLOOKUP(AQ9,Düngemittel!$B$6:$E$64,3,FALSE))/100*AR9</f>
        <v>0</v>
      </c>
      <c r="AT9" s="1033">
        <f>VLOOKUP(AQ9,Düngemittel!$B$6:$E$64,2,FALSE)*AR9</f>
        <v>0</v>
      </c>
      <c r="AU9" s="1033">
        <f>VLOOKUP(AQ9,Düngemittel!$B$6:$E$64,4,FALSE)*AR9</f>
        <v>0</v>
      </c>
      <c r="AV9" s="2089"/>
      <c r="AW9" s="1329"/>
      <c r="AX9" s="1330" t="s">
        <v>795</v>
      </c>
      <c r="AY9" s="1424">
        <v>0</v>
      </c>
      <c r="AZ9" s="1033">
        <f>VLOOKUP(AX9,Düngemittel!$B$6:$E$64,2,FALSE)*(VLOOKUP(AX9,Düngemittel!$B$6:$E$64,3,FALSE))/100*AY9</f>
        <v>0</v>
      </c>
      <c r="BA9" s="1033">
        <f>VLOOKUP(AX9,Düngemittel!$B$6:$E$64,2,FALSE)*AY9</f>
        <v>0</v>
      </c>
      <c r="BB9" s="1033">
        <f>VLOOKUP(AX9,Düngemittel!$B$6:$E$64,4,FALSE)*AY9</f>
        <v>0</v>
      </c>
      <c r="BC9" s="863"/>
      <c r="BD9" s="1812">
        <f t="shared" ref="BD9:BD42" si="9">IF(X9&lt;Y9,0,X9)+IF(AE9&lt;AF9,0,AE9)+IF(AL9&lt;AM9,0,AL9)+IF(AS9&lt;AT9,0,AS9)+IF(AZ9&lt;BA9,0,AZ9)</f>
        <v>0</v>
      </c>
      <c r="BE9" s="1273">
        <f t="shared" ref="BE9:BE42" si="10">SUM(X9+AE9+AL9+AS9+AZ9)</f>
        <v>0</v>
      </c>
      <c r="BF9" s="1819">
        <f t="shared" ref="BF9:BF42" si="11">SUM(Y9+AF9+AM9+AT9+BA9)</f>
        <v>0</v>
      </c>
      <c r="BG9" s="1151">
        <f t="shared" ref="BG9:BG42" si="12">IF(X9&lt;Y9,Y9,0)+IF(AE9&lt;AF9,AF9,0)+IF(AL9&lt;AM9,AM9,0)+IF(AS9&lt;AT9,AT9,0)+IF(AZ9&lt;BA9,BA9,0)</f>
        <v>0</v>
      </c>
      <c r="BH9" s="1273">
        <f t="shared" ref="BH9:BH42" si="13">SUM(Z9+AG9+AN9+AU9+BB9)</f>
        <v>0</v>
      </c>
      <c r="BI9" s="1152"/>
      <c r="BJ9" s="1812">
        <f t="shared" ref="BJ9:BJ42" si="14">BD9*$B9</f>
        <v>0</v>
      </c>
      <c r="BK9" s="1282">
        <f t="shared" ref="BK9:BK42" si="15">BE9*$B9</f>
        <v>0</v>
      </c>
      <c r="BL9" s="1812">
        <f t="shared" ref="BL9:BL42" si="16">BF9*$B9</f>
        <v>0</v>
      </c>
      <c r="BM9" s="1282">
        <f t="shared" ref="BM9:BM42" si="17">BG9*$B9</f>
        <v>0</v>
      </c>
      <c r="BN9" s="1282">
        <f t="shared" ref="BN9:BN42" si="18">BH9*$B9</f>
        <v>0</v>
      </c>
      <c r="BO9" s="1119"/>
      <c r="BP9" s="1119"/>
      <c r="BQ9" s="1512" t="str">
        <f t="shared" ref="BQ9:BQ42" si="19">$A9</f>
        <v>Wiese 2</v>
      </c>
      <c r="BR9" s="1513">
        <f t="shared" ref="BR9:BR42" si="20">$B9</f>
        <v>0</v>
      </c>
      <c r="BS9" s="1438"/>
      <c r="BT9" s="1495"/>
      <c r="BU9" s="1437"/>
      <c r="BV9" s="1437"/>
      <c r="BW9" s="1437"/>
      <c r="BX9" s="1515">
        <f t="shared" ref="BX9:BX42" si="21">SUM(BV9*BW9/24)</f>
        <v>0</v>
      </c>
      <c r="BY9" s="1438"/>
      <c r="BZ9" s="1495"/>
      <c r="CA9" s="1437"/>
      <c r="CB9" s="1437"/>
      <c r="CC9" s="1437"/>
      <c r="CD9" s="1515">
        <f t="shared" ref="CD9:CD42" si="22">SUM(CB9*CC9/24)</f>
        <v>0</v>
      </c>
      <c r="CE9" s="1438"/>
      <c r="CF9" s="1495"/>
      <c r="CG9" s="1437"/>
      <c r="CH9" s="1437"/>
      <c r="CI9" s="1437"/>
      <c r="CJ9" s="1515">
        <f t="shared" ref="CJ9:CJ42" si="23">SUM(CH9*CI9/24)</f>
        <v>0</v>
      </c>
      <c r="CK9" s="1434"/>
      <c r="CL9" s="357"/>
      <c r="CM9" s="1503" t="s">
        <v>80</v>
      </c>
      <c r="CN9" s="484">
        <v>50</v>
      </c>
      <c r="CO9" s="357"/>
      <c r="CP9" s="357"/>
      <c r="CQ9" s="357"/>
      <c r="CR9" s="357"/>
    </row>
    <row r="10" spans="1:96" ht="23.25" customHeight="1">
      <c r="A10" s="468" t="s">
        <v>1139</v>
      </c>
      <c r="B10" s="1705">
        <v>0</v>
      </c>
      <c r="C10" s="610"/>
      <c r="D10" s="575">
        <f t="shared" si="4"/>
        <v>100</v>
      </c>
      <c r="E10" s="1437">
        <v>0</v>
      </c>
      <c r="F10" s="1716">
        <v>0</v>
      </c>
      <c r="G10" s="1596">
        <v>0</v>
      </c>
      <c r="H10" s="1708">
        <v>0</v>
      </c>
      <c r="I10" s="578">
        <f t="shared" si="5"/>
        <v>0</v>
      </c>
      <c r="J10" s="650" t="s">
        <v>90</v>
      </c>
      <c r="K10" s="2103">
        <f t="shared" si="0"/>
        <v>0</v>
      </c>
      <c r="L10" s="652" t="s">
        <v>234</v>
      </c>
      <c r="M10" s="582">
        <f t="shared" si="1"/>
        <v>10</v>
      </c>
      <c r="N10" s="1712">
        <v>0</v>
      </c>
      <c r="O10" s="740">
        <f t="shared" si="6"/>
        <v>0</v>
      </c>
      <c r="P10" s="738">
        <f t="shared" si="2"/>
        <v>0</v>
      </c>
      <c r="Q10" s="657">
        <f t="shared" si="7"/>
        <v>0</v>
      </c>
      <c r="R10" s="659">
        <f t="shared" si="8"/>
        <v>0</v>
      </c>
      <c r="S10" s="978"/>
      <c r="T10" s="2083" t="str">
        <f>$A10</f>
        <v>Mähweide 3</v>
      </c>
      <c r="U10" s="1329"/>
      <c r="V10" s="1330" t="s">
        <v>795</v>
      </c>
      <c r="W10" s="1424">
        <v>0</v>
      </c>
      <c r="X10" s="1033">
        <f>VLOOKUP(V10,Düngemittel!$B$6:$E$64,2,FALSE)*(VLOOKUP(V10,Düngemittel!$B$6:$E$64,3,FALSE))/100*W10</f>
        <v>0</v>
      </c>
      <c r="Y10" s="1033">
        <f>VLOOKUP(V10,Düngemittel!$B$6:$E$64,2,FALSE)*W10</f>
        <v>0</v>
      </c>
      <c r="Z10" s="1033">
        <f>VLOOKUP(V10,Düngemittel!$B$6:$E$64,4,FALSE)*W10</f>
        <v>0</v>
      </c>
      <c r="AA10" s="2089"/>
      <c r="AB10" s="1329"/>
      <c r="AC10" s="1330" t="s">
        <v>795</v>
      </c>
      <c r="AD10" s="1424">
        <v>0</v>
      </c>
      <c r="AE10" s="1033">
        <f>VLOOKUP(AC10,Düngemittel!$B$6:$E$64,2,FALSE)*(VLOOKUP(AC10,Düngemittel!$B$6:$E$64,3,FALSE))/100*AD10</f>
        <v>0</v>
      </c>
      <c r="AF10" s="1033">
        <f>VLOOKUP(AC10,Düngemittel!$B$6:$E$64,2,FALSE)*AD10</f>
        <v>0</v>
      </c>
      <c r="AG10" s="1033">
        <f>VLOOKUP(AC10,Düngemittel!$B$6:$E$64,4,FALSE)*AD10</f>
        <v>0</v>
      </c>
      <c r="AH10" s="2089"/>
      <c r="AI10" s="1329"/>
      <c r="AJ10" s="1330" t="s">
        <v>795</v>
      </c>
      <c r="AK10" s="1424">
        <v>0</v>
      </c>
      <c r="AL10" s="1033">
        <f>VLOOKUP(AJ10,Düngemittel!$B$6:$E$64,2,FALSE)*(VLOOKUP(AJ10,Düngemittel!$B$6:$E$64,3,FALSE))/100*AK10</f>
        <v>0</v>
      </c>
      <c r="AM10" s="1033">
        <f>VLOOKUP(AJ10,Düngemittel!$B$6:$E$64,2,FALSE)*AK10</f>
        <v>0</v>
      </c>
      <c r="AN10" s="1033">
        <f>VLOOKUP(AJ10,Düngemittel!$B$6:$E$64,4,FALSE)*AK10</f>
        <v>0</v>
      </c>
      <c r="AO10" s="2089"/>
      <c r="AP10" s="1329"/>
      <c r="AQ10" s="1330" t="s">
        <v>795</v>
      </c>
      <c r="AR10" s="1424">
        <v>0</v>
      </c>
      <c r="AS10" s="1033">
        <f>VLOOKUP(AQ10,Düngemittel!$B$6:$E$64,2,FALSE)*(VLOOKUP(AQ10,Düngemittel!$B$6:$E$64,3,FALSE))/100*AR10</f>
        <v>0</v>
      </c>
      <c r="AT10" s="1033">
        <f>VLOOKUP(AQ10,Düngemittel!$B$6:$E$64,2,FALSE)*AR10</f>
        <v>0</v>
      </c>
      <c r="AU10" s="1033">
        <f>VLOOKUP(AQ10,Düngemittel!$B$6:$E$64,4,FALSE)*AR10</f>
        <v>0</v>
      </c>
      <c r="AV10" s="2089"/>
      <c r="AW10" s="1329"/>
      <c r="AX10" s="1330" t="s">
        <v>795</v>
      </c>
      <c r="AY10" s="1424">
        <v>0</v>
      </c>
      <c r="AZ10" s="1033">
        <f>VLOOKUP(AX10,Düngemittel!$B$6:$E$64,2,FALSE)*(VLOOKUP(AX10,Düngemittel!$B$6:$E$64,3,FALSE))/100*AY10</f>
        <v>0</v>
      </c>
      <c r="BA10" s="1033">
        <f>VLOOKUP(AX10,Düngemittel!$B$6:$E$64,2,FALSE)*AY10</f>
        <v>0</v>
      </c>
      <c r="BB10" s="1033">
        <f>VLOOKUP(AX10,Düngemittel!$B$6:$E$64,4,FALSE)*AY10</f>
        <v>0</v>
      </c>
      <c r="BC10" s="863"/>
      <c r="BD10" s="1812">
        <f t="shared" si="9"/>
        <v>0</v>
      </c>
      <c r="BE10" s="1273">
        <f t="shared" si="10"/>
        <v>0</v>
      </c>
      <c r="BF10" s="1819">
        <f t="shared" si="11"/>
        <v>0</v>
      </c>
      <c r="BG10" s="1151">
        <f t="shared" si="12"/>
        <v>0</v>
      </c>
      <c r="BH10" s="1273">
        <f t="shared" si="13"/>
        <v>0</v>
      </c>
      <c r="BI10" s="1152"/>
      <c r="BJ10" s="1812">
        <f t="shared" si="14"/>
        <v>0</v>
      </c>
      <c r="BK10" s="1282">
        <f t="shared" si="15"/>
        <v>0</v>
      </c>
      <c r="BL10" s="1812">
        <f t="shared" si="16"/>
        <v>0</v>
      </c>
      <c r="BM10" s="1282">
        <f t="shared" si="17"/>
        <v>0</v>
      </c>
      <c r="BN10" s="1282">
        <f t="shared" si="18"/>
        <v>0</v>
      </c>
      <c r="BO10" s="1119"/>
      <c r="BP10" s="1119"/>
      <c r="BQ10" s="1512" t="str">
        <f t="shared" si="19"/>
        <v>Mähweide 3</v>
      </c>
      <c r="BR10" s="1513">
        <f t="shared" si="20"/>
        <v>0</v>
      </c>
      <c r="BS10" s="1438"/>
      <c r="BT10" s="1495"/>
      <c r="BU10" s="1437"/>
      <c r="BV10" s="1437"/>
      <c r="BW10" s="1437"/>
      <c r="BX10" s="1515">
        <f t="shared" si="21"/>
        <v>0</v>
      </c>
      <c r="BY10" s="1438"/>
      <c r="BZ10" s="1495"/>
      <c r="CA10" s="1437"/>
      <c r="CB10" s="1437"/>
      <c r="CC10" s="1437"/>
      <c r="CD10" s="1515">
        <f t="shared" si="22"/>
        <v>0</v>
      </c>
      <c r="CE10" s="1438"/>
      <c r="CF10" s="1495"/>
      <c r="CG10" s="1437"/>
      <c r="CH10" s="1437"/>
      <c r="CI10" s="1437"/>
      <c r="CJ10" s="1515">
        <f t="shared" si="23"/>
        <v>0</v>
      </c>
      <c r="CK10" s="1434"/>
      <c r="CL10" s="357"/>
      <c r="CM10" s="1503" t="s">
        <v>81</v>
      </c>
      <c r="CN10" s="484">
        <v>80</v>
      </c>
      <c r="CO10" s="357"/>
      <c r="CP10" s="357"/>
      <c r="CQ10" s="357"/>
      <c r="CR10" s="357"/>
    </row>
    <row r="11" spans="1:96" ht="23.25" customHeight="1">
      <c r="A11" s="468" t="s">
        <v>1136</v>
      </c>
      <c r="B11" s="1705">
        <v>0</v>
      </c>
      <c r="C11" s="610"/>
      <c r="D11" s="575">
        <f t="shared" si="4"/>
        <v>100</v>
      </c>
      <c r="E11" s="1437">
        <v>0</v>
      </c>
      <c r="F11" s="1716">
        <v>0</v>
      </c>
      <c r="G11" s="1596">
        <v>0</v>
      </c>
      <c r="H11" s="1708">
        <v>0</v>
      </c>
      <c r="I11" s="578">
        <f t="shared" si="5"/>
        <v>0</v>
      </c>
      <c r="J11" s="2105" t="s">
        <v>90</v>
      </c>
      <c r="K11" s="580">
        <f t="shared" si="0"/>
        <v>0</v>
      </c>
      <c r="L11" s="652" t="s">
        <v>234</v>
      </c>
      <c r="M11" s="582">
        <f t="shared" si="1"/>
        <v>10</v>
      </c>
      <c r="N11" s="1712">
        <v>0</v>
      </c>
      <c r="O11" s="740">
        <f t="shared" si="6"/>
        <v>0</v>
      </c>
      <c r="P11" s="738">
        <f t="shared" si="2"/>
        <v>0</v>
      </c>
      <c r="Q11" s="657">
        <f t="shared" si="7"/>
        <v>0</v>
      </c>
      <c r="R11" s="659">
        <f t="shared" si="8"/>
        <v>0</v>
      </c>
      <c r="S11" s="978"/>
      <c r="T11" s="2083" t="str">
        <f>$A11</f>
        <v>Wiese 4</v>
      </c>
      <c r="U11" s="1329"/>
      <c r="V11" s="1330" t="s">
        <v>795</v>
      </c>
      <c r="W11" s="1424">
        <v>0</v>
      </c>
      <c r="X11" s="1033">
        <f>VLOOKUP(V11,Düngemittel!$B$6:$E$64,2,FALSE)*(VLOOKUP(V11,Düngemittel!$B$6:$E$64,3,FALSE))/100*W11</f>
        <v>0</v>
      </c>
      <c r="Y11" s="1033">
        <f>VLOOKUP(V11,Düngemittel!$B$6:$E$64,2,FALSE)*W11</f>
        <v>0</v>
      </c>
      <c r="Z11" s="1033">
        <f>VLOOKUP(V11,Düngemittel!$B$6:$E$64,4,FALSE)*W11</f>
        <v>0</v>
      </c>
      <c r="AA11" s="2089"/>
      <c r="AB11" s="1329"/>
      <c r="AC11" s="1330" t="s">
        <v>795</v>
      </c>
      <c r="AD11" s="1424">
        <v>0</v>
      </c>
      <c r="AE11" s="1033">
        <f>VLOOKUP(AC11,Düngemittel!$B$6:$E$64,2,FALSE)*(VLOOKUP(AC11,Düngemittel!$B$6:$E$64,3,FALSE))/100*AD11</f>
        <v>0</v>
      </c>
      <c r="AF11" s="1033">
        <f>VLOOKUP(AC11,Düngemittel!$B$6:$E$64,2,FALSE)*AD11</f>
        <v>0</v>
      </c>
      <c r="AG11" s="1033">
        <f>VLOOKUP(AC11,Düngemittel!$B$6:$E$64,4,FALSE)*AD11</f>
        <v>0</v>
      </c>
      <c r="AH11" s="2089"/>
      <c r="AI11" s="1329"/>
      <c r="AJ11" s="1330" t="s">
        <v>795</v>
      </c>
      <c r="AK11" s="1424">
        <v>0</v>
      </c>
      <c r="AL11" s="1033">
        <f>VLOOKUP(AJ11,Düngemittel!$B$6:$E$64,2,FALSE)*(VLOOKUP(AJ11,Düngemittel!$B$6:$E$64,3,FALSE))/100*AK11</f>
        <v>0</v>
      </c>
      <c r="AM11" s="1033">
        <f>VLOOKUP(AJ11,Düngemittel!$B$6:$E$64,2,FALSE)*AK11</f>
        <v>0</v>
      </c>
      <c r="AN11" s="1033">
        <f>VLOOKUP(AJ11,Düngemittel!$B$6:$E$64,4,FALSE)*AK11</f>
        <v>0</v>
      </c>
      <c r="AO11" s="2089"/>
      <c r="AP11" s="1329"/>
      <c r="AQ11" s="1330" t="s">
        <v>795</v>
      </c>
      <c r="AR11" s="1424">
        <v>0</v>
      </c>
      <c r="AS11" s="1033">
        <f>VLOOKUP(AQ11,Düngemittel!$B$6:$E$64,2,FALSE)*(VLOOKUP(AQ11,Düngemittel!$B$6:$E$64,3,FALSE))/100*AR11</f>
        <v>0</v>
      </c>
      <c r="AT11" s="1033">
        <f>VLOOKUP(AQ11,Düngemittel!$B$6:$E$64,2,FALSE)*AR11</f>
        <v>0</v>
      </c>
      <c r="AU11" s="1033">
        <f>VLOOKUP(AQ11,Düngemittel!$B$6:$E$64,4,FALSE)*AR11</f>
        <v>0</v>
      </c>
      <c r="AV11" s="2089"/>
      <c r="AW11" s="1329"/>
      <c r="AX11" s="1330" t="s">
        <v>795</v>
      </c>
      <c r="AY11" s="1424">
        <v>0</v>
      </c>
      <c r="AZ11" s="1033">
        <f>VLOOKUP(AX11,Düngemittel!$B$6:$E$64,2,FALSE)*(VLOOKUP(AX11,Düngemittel!$B$6:$E$64,3,FALSE))/100*AY11</f>
        <v>0</v>
      </c>
      <c r="BA11" s="1033">
        <f>VLOOKUP(AX11,Düngemittel!$B$6:$E$64,2,FALSE)*AY11</f>
        <v>0</v>
      </c>
      <c r="BB11" s="1033">
        <f>VLOOKUP(AX11,Düngemittel!$B$6:$E$64,4,FALSE)*AY11</f>
        <v>0</v>
      </c>
      <c r="BC11" s="863"/>
      <c r="BD11" s="1812">
        <f t="shared" si="9"/>
        <v>0</v>
      </c>
      <c r="BE11" s="1273">
        <f t="shared" si="10"/>
        <v>0</v>
      </c>
      <c r="BF11" s="1819">
        <f t="shared" si="11"/>
        <v>0</v>
      </c>
      <c r="BG11" s="1151">
        <f t="shared" si="12"/>
        <v>0</v>
      </c>
      <c r="BH11" s="1273">
        <f t="shared" si="13"/>
        <v>0</v>
      </c>
      <c r="BI11" s="1152"/>
      <c r="BJ11" s="1812">
        <f t="shared" si="14"/>
        <v>0</v>
      </c>
      <c r="BK11" s="1282">
        <f t="shared" si="15"/>
        <v>0</v>
      </c>
      <c r="BL11" s="1812">
        <f t="shared" si="16"/>
        <v>0</v>
      </c>
      <c r="BM11" s="1282">
        <f t="shared" si="17"/>
        <v>0</v>
      </c>
      <c r="BN11" s="1282">
        <f t="shared" si="18"/>
        <v>0</v>
      </c>
      <c r="BO11" s="1119"/>
      <c r="BP11" s="1119"/>
      <c r="BQ11" s="1512" t="str">
        <f t="shared" si="19"/>
        <v>Wiese 4</v>
      </c>
      <c r="BR11" s="1513">
        <f t="shared" si="20"/>
        <v>0</v>
      </c>
      <c r="BS11" s="1438"/>
      <c r="BT11" s="1495"/>
      <c r="BU11" s="1437"/>
      <c r="BV11" s="1437"/>
      <c r="BW11" s="1437"/>
      <c r="BX11" s="1515">
        <f t="shared" si="21"/>
        <v>0</v>
      </c>
      <c r="BY11" s="1438"/>
      <c r="BZ11" s="1495"/>
      <c r="CA11" s="1437"/>
      <c r="CB11" s="1437"/>
      <c r="CC11" s="1437"/>
      <c r="CD11" s="1515">
        <f t="shared" si="22"/>
        <v>0</v>
      </c>
      <c r="CE11" s="1438"/>
      <c r="CF11" s="1495"/>
      <c r="CG11" s="1437"/>
      <c r="CH11" s="1437"/>
      <c r="CI11" s="1437"/>
      <c r="CJ11" s="1515">
        <f t="shared" si="23"/>
        <v>0</v>
      </c>
      <c r="CK11" s="1434"/>
      <c r="CL11" s="357"/>
      <c r="CM11" s="1516"/>
      <c r="CN11" s="347"/>
      <c r="CO11" s="357"/>
      <c r="CP11" s="357"/>
      <c r="CQ11" s="357"/>
      <c r="CR11" s="357"/>
    </row>
    <row r="12" spans="1:96" ht="23.25" customHeight="1">
      <c r="A12" s="468">
        <v>5</v>
      </c>
      <c r="B12" s="1705">
        <v>0</v>
      </c>
      <c r="C12" s="610"/>
      <c r="D12" s="575">
        <f t="shared" si="4"/>
        <v>100</v>
      </c>
      <c r="E12" s="1437">
        <v>0</v>
      </c>
      <c r="F12" s="1716">
        <v>0</v>
      </c>
      <c r="G12" s="1596">
        <v>0</v>
      </c>
      <c r="H12" s="1708">
        <v>0</v>
      </c>
      <c r="I12" s="578">
        <f t="shared" si="5"/>
        <v>0</v>
      </c>
      <c r="J12" s="650" t="s">
        <v>90</v>
      </c>
      <c r="K12" s="580">
        <f t="shared" si="0"/>
        <v>0</v>
      </c>
      <c r="L12" s="652" t="s">
        <v>234</v>
      </c>
      <c r="M12" s="582">
        <f t="shared" si="1"/>
        <v>10</v>
      </c>
      <c r="N12" s="1712">
        <v>0</v>
      </c>
      <c r="O12" s="740">
        <f t="shared" si="6"/>
        <v>0</v>
      </c>
      <c r="P12" s="738">
        <f t="shared" si="2"/>
        <v>0</v>
      </c>
      <c r="Q12" s="657">
        <f t="shared" si="7"/>
        <v>0</v>
      </c>
      <c r="R12" s="659">
        <f t="shared" si="8"/>
        <v>0</v>
      </c>
      <c r="S12" s="978"/>
      <c r="T12" s="2083">
        <f t="shared" ref="T12:T42" si="24">$A12</f>
        <v>5</v>
      </c>
      <c r="U12" s="1329"/>
      <c r="V12" s="1330" t="s">
        <v>795</v>
      </c>
      <c r="W12" s="1424">
        <v>0</v>
      </c>
      <c r="X12" s="1033">
        <f>VLOOKUP(V12,Düngemittel!$B$6:$E$64,2,FALSE)*(VLOOKUP(V12,Düngemittel!$B$6:$E$64,3,FALSE))/100*W12</f>
        <v>0</v>
      </c>
      <c r="Y12" s="1033">
        <f>VLOOKUP(V12,Düngemittel!$B$6:$E$64,2,FALSE)*W12</f>
        <v>0</v>
      </c>
      <c r="Z12" s="1033">
        <f>VLOOKUP(V12,Düngemittel!$B$6:$E$64,4,FALSE)*W12</f>
        <v>0</v>
      </c>
      <c r="AA12" s="2089"/>
      <c r="AB12" s="1329"/>
      <c r="AC12" s="1330" t="s">
        <v>795</v>
      </c>
      <c r="AD12" s="1424">
        <v>0</v>
      </c>
      <c r="AE12" s="1033">
        <f>VLOOKUP(AC12,Düngemittel!$B$6:$E$64,2,FALSE)*(VLOOKUP(AC12,Düngemittel!$B$6:$E$64,3,FALSE))/100*AD12</f>
        <v>0</v>
      </c>
      <c r="AF12" s="1033">
        <f>VLOOKUP(AC12,Düngemittel!$B$6:$E$64,2,FALSE)*AD12</f>
        <v>0</v>
      </c>
      <c r="AG12" s="1033">
        <f>VLOOKUP(AC12,Düngemittel!$B$6:$E$64,4,FALSE)*AD12</f>
        <v>0</v>
      </c>
      <c r="AH12" s="2089"/>
      <c r="AI12" s="1329"/>
      <c r="AJ12" s="1330" t="s">
        <v>795</v>
      </c>
      <c r="AK12" s="1424">
        <v>0</v>
      </c>
      <c r="AL12" s="1033">
        <f>VLOOKUP(AJ12,Düngemittel!$B$6:$E$64,2,FALSE)*(VLOOKUP(AJ12,Düngemittel!$B$6:$E$64,3,FALSE))/100*AK12</f>
        <v>0</v>
      </c>
      <c r="AM12" s="1033">
        <f>VLOOKUP(AJ12,Düngemittel!$B$6:$E$64,2,FALSE)*AK12</f>
        <v>0</v>
      </c>
      <c r="AN12" s="1033">
        <f>VLOOKUP(AJ12,Düngemittel!$B$6:$E$64,4,FALSE)*AK12</f>
        <v>0</v>
      </c>
      <c r="AO12" s="2089"/>
      <c r="AP12" s="1329"/>
      <c r="AQ12" s="1330" t="s">
        <v>795</v>
      </c>
      <c r="AR12" s="1424">
        <v>0</v>
      </c>
      <c r="AS12" s="1033">
        <f>VLOOKUP(AQ12,Düngemittel!$B$6:$E$64,2,FALSE)*(VLOOKUP(AQ12,Düngemittel!$B$6:$E$64,3,FALSE))/100*AR12</f>
        <v>0</v>
      </c>
      <c r="AT12" s="1033">
        <f>VLOOKUP(AQ12,Düngemittel!$B$6:$E$64,2,FALSE)*AR12</f>
        <v>0</v>
      </c>
      <c r="AU12" s="1033">
        <f>VLOOKUP(AQ12,Düngemittel!$B$6:$E$64,4,FALSE)*AR12</f>
        <v>0</v>
      </c>
      <c r="AV12" s="2089"/>
      <c r="AW12" s="1329"/>
      <c r="AX12" s="1330" t="s">
        <v>795</v>
      </c>
      <c r="AY12" s="1424">
        <v>0</v>
      </c>
      <c r="AZ12" s="1033">
        <f>VLOOKUP(AX12,Düngemittel!$B$6:$E$64,2,FALSE)*(VLOOKUP(AX12,Düngemittel!$B$6:$E$64,3,FALSE))/100*AY12</f>
        <v>0</v>
      </c>
      <c r="BA12" s="1033">
        <f>VLOOKUP(AX12,Düngemittel!$B$6:$E$64,2,FALSE)*AY12</f>
        <v>0</v>
      </c>
      <c r="BB12" s="1033">
        <f>VLOOKUP(AX12,Düngemittel!$B$6:$E$64,4,FALSE)*AY12</f>
        <v>0</v>
      </c>
      <c r="BC12" s="863"/>
      <c r="BD12" s="1812">
        <f t="shared" si="9"/>
        <v>0</v>
      </c>
      <c r="BE12" s="1273">
        <f t="shared" si="10"/>
        <v>0</v>
      </c>
      <c r="BF12" s="1819">
        <f t="shared" si="11"/>
        <v>0</v>
      </c>
      <c r="BG12" s="1151">
        <f t="shared" si="12"/>
        <v>0</v>
      </c>
      <c r="BH12" s="1273">
        <f t="shared" si="13"/>
        <v>0</v>
      </c>
      <c r="BI12" s="1152"/>
      <c r="BJ12" s="1812">
        <f t="shared" si="14"/>
        <v>0</v>
      </c>
      <c r="BK12" s="1282">
        <f t="shared" si="15"/>
        <v>0</v>
      </c>
      <c r="BL12" s="1812">
        <f t="shared" si="16"/>
        <v>0</v>
      </c>
      <c r="BM12" s="1282">
        <f t="shared" si="17"/>
        <v>0</v>
      </c>
      <c r="BN12" s="1282">
        <f t="shared" si="18"/>
        <v>0</v>
      </c>
      <c r="BO12" s="1119"/>
      <c r="BP12" s="1119"/>
      <c r="BQ12" s="1512">
        <f t="shared" si="19"/>
        <v>5</v>
      </c>
      <c r="BR12" s="1513">
        <f t="shared" si="20"/>
        <v>0</v>
      </c>
      <c r="BS12" s="1438"/>
      <c r="BT12" s="1495"/>
      <c r="BU12" s="1437"/>
      <c r="BV12" s="1437"/>
      <c r="BW12" s="1437"/>
      <c r="BX12" s="1515">
        <f t="shared" si="21"/>
        <v>0</v>
      </c>
      <c r="BY12" s="1438"/>
      <c r="BZ12" s="1495"/>
      <c r="CA12" s="1437"/>
      <c r="CB12" s="1437"/>
      <c r="CC12" s="1437"/>
      <c r="CD12" s="1515">
        <f t="shared" si="22"/>
        <v>0</v>
      </c>
      <c r="CE12" s="1438"/>
      <c r="CF12" s="1495"/>
      <c r="CG12" s="1437"/>
      <c r="CH12" s="1437"/>
      <c r="CI12" s="1437"/>
      <c r="CJ12" s="1515">
        <f t="shared" si="23"/>
        <v>0</v>
      </c>
      <c r="CK12" s="1434"/>
      <c r="CL12" s="357"/>
      <c r="CM12" s="357"/>
      <c r="CN12" s="357"/>
      <c r="CO12" s="357"/>
      <c r="CP12" s="357"/>
      <c r="CQ12" s="357"/>
      <c r="CR12" s="357"/>
    </row>
    <row r="13" spans="1:96" ht="23.25" customHeight="1">
      <c r="A13" s="468">
        <v>6</v>
      </c>
      <c r="B13" s="1705">
        <v>0</v>
      </c>
      <c r="C13" s="610"/>
      <c r="D13" s="575">
        <f t="shared" si="4"/>
        <v>100</v>
      </c>
      <c r="E13" s="1437">
        <v>0</v>
      </c>
      <c r="F13" s="1716">
        <v>0</v>
      </c>
      <c r="G13" s="1596">
        <v>0</v>
      </c>
      <c r="H13" s="1708">
        <v>0</v>
      </c>
      <c r="I13" s="578">
        <f t="shared" si="5"/>
        <v>0</v>
      </c>
      <c r="J13" s="650" t="s">
        <v>90</v>
      </c>
      <c r="K13" s="580">
        <f t="shared" si="0"/>
        <v>0</v>
      </c>
      <c r="L13" s="652" t="s">
        <v>234</v>
      </c>
      <c r="M13" s="582">
        <f t="shared" si="1"/>
        <v>10</v>
      </c>
      <c r="N13" s="1712">
        <v>0</v>
      </c>
      <c r="O13" s="740">
        <f t="shared" si="6"/>
        <v>0</v>
      </c>
      <c r="P13" s="738">
        <f t="shared" si="2"/>
        <v>0</v>
      </c>
      <c r="Q13" s="657">
        <f t="shared" si="7"/>
        <v>0</v>
      </c>
      <c r="R13" s="659">
        <f t="shared" si="8"/>
        <v>0</v>
      </c>
      <c r="S13" s="978"/>
      <c r="T13" s="2083">
        <f t="shared" si="24"/>
        <v>6</v>
      </c>
      <c r="U13" s="1329"/>
      <c r="V13" s="1330" t="s">
        <v>795</v>
      </c>
      <c r="W13" s="1424">
        <v>0</v>
      </c>
      <c r="X13" s="1033">
        <f>VLOOKUP(V13,Düngemittel!$B$6:$E$64,2,FALSE)*(VLOOKUP(V13,Düngemittel!$B$6:$E$64,3,FALSE))/100*W13</f>
        <v>0</v>
      </c>
      <c r="Y13" s="1033">
        <f>VLOOKUP(V13,Düngemittel!$B$6:$E$64,2,FALSE)*W13</f>
        <v>0</v>
      </c>
      <c r="Z13" s="1033">
        <f>VLOOKUP(V13,Düngemittel!$B$6:$E$64,4,FALSE)*W13</f>
        <v>0</v>
      </c>
      <c r="AA13" s="2089"/>
      <c r="AB13" s="1329"/>
      <c r="AC13" s="1330" t="s">
        <v>795</v>
      </c>
      <c r="AD13" s="1424">
        <v>0</v>
      </c>
      <c r="AE13" s="1033">
        <f>VLOOKUP(AC13,Düngemittel!$B$6:$E$64,2,FALSE)*(VLOOKUP(AC13,Düngemittel!$B$6:$E$64,3,FALSE))/100*AD13</f>
        <v>0</v>
      </c>
      <c r="AF13" s="1033">
        <f>VLOOKUP(AC13,Düngemittel!$B$6:$E$64,2,FALSE)*AD13</f>
        <v>0</v>
      </c>
      <c r="AG13" s="1033">
        <f>VLOOKUP(AC13,Düngemittel!$B$6:$E$64,4,FALSE)*AD13</f>
        <v>0</v>
      </c>
      <c r="AH13" s="2089"/>
      <c r="AI13" s="1329"/>
      <c r="AJ13" s="1330" t="s">
        <v>795</v>
      </c>
      <c r="AK13" s="1424">
        <v>0</v>
      </c>
      <c r="AL13" s="1033">
        <f>VLOOKUP(AJ13,Düngemittel!$B$6:$E$64,2,FALSE)*(VLOOKUP(AJ13,Düngemittel!$B$6:$E$64,3,FALSE))/100*AK13</f>
        <v>0</v>
      </c>
      <c r="AM13" s="1033">
        <f>VLOOKUP(AJ13,Düngemittel!$B$6:$E$64,2,FALSE)*AK13</f>
        <v>0</v>
      </c>
      <c r="AN13" s="1033">
        <f>VLOOKUP(AJ13,Düngemittel!$B$6:$E$64,4,FALSE)*AK13</f>
        <v>0</v>
      </c>
      <c r="AO13" s="2089"/>
      <c r="AP13" s="1329"/>
      <c r="AQ13" s="1330" t="s">
        <v>795</v>
      </c>
      <c r="AR13" s="1424">
        <v>0</v>
      </c>
      <c r="AS13" s="1033">
        <f>VLOOKUP(AQ13,Düngemittel!$B$6:$E$64,2,FALSE)*(VLOOKUP(AQ13,Düngemittel!$B$6:$E$64,3,FALSE))/100*AR13</f>
        <v>0</v>
      </c>
      <c r="AT13" s="1033">
        <f>VLOOKUP(AQ13,Düngemittel!$B$6:$E$64,2,FALSE)*AR13</f>
        <v>0</v>
      </c>
      <c r="AU13" s="1033">
        <f>VLOOKUP(AQ13,Düngemittel!$B$6:$E$64,4,FALSE)*AR13</f>
        <v>0</v>
      </c>
      <c r="AV13" s="2089"/>
      <c r="AW13" s="1329"/>
      <c r="AX13" s="1330" t="s">
        <v>795</v>
      </c>
      <c r="AY13" s="1424">
        <v>0</v>
      </c>
      <c r="AZ13" s="1033">
        <f>VLOOKUP(AX13,Düngemittel!$B$6:$E$64,2,FALSE)*(VLOOKUP(AX13,Düngemittel!$B$6:$E$64,3,FALSE))/100*AY13</f>
        <v>0</v>
      </c>
      <c r="BA13" s="1033">
        <f>VLOOKUP(AX13,Düngemittel!$B$6:$E$64,2,FALSE)*AY13</f>
        <v>0</v>
      </c>
      <c r="BB13" s="1033">
        <f>VLOOKUP(AX13,Düngemittel!$B$6:$E$64,4,FALSE)*AY13</f>
        <v>0</v>
      </c>
      <c r="BC13" s="863"/>
      <c r="BD13" s="1812">
        <f t="shared" si="9"/>
        <v>0</v>
      </c>
      <c r="BE13" s="1273">
        <f t="shared" si="10"/>
        <v>0</v>
      </c>
      <c r="BF13" s="1819">
        <f t="shared" si="11"/>
        <v>0</v>
      </c>
      <c r="BG13" s="1151">
        <f t="shared" si="12"/>
        <v>0</v>
      </c>
      <c r="BH13" s="1273">
        <f t="shared" si="13"/>
        <v>0</v>
      </c>
      <c r="BI13" s="1152"/>
      <c r="BJ13" s="1812">
        <f t="shared" si="14"/>
        <v>0</v>
      </c>
      <c r="BK13" s="1282">
        <f t="shared" si="15"/>
        <v>0</v>
      </c>
      <c r="BL13" s="1812">
        <f t="shared" si="16"/>
        <v>0</v>
      </c>
      <c r="BM13" s="1282">
        <f t="shared" si="17"/>
        <v>0</v>
      </c>
      <c r="BN13" s="1282">
        <f t="shared" si="18"/>
        <v>0</v>
      </c>
      <c r="BO13" s="1119"/>
      <c r="BP13" s="1119"/>
      <c r="BQ13" s="1512">
        <f t="shared" si="19"/>
        <v>6</v>
      </c>
      <c r="BR13" s="1513">
        <f t="shared" si="20"/>
        <v>0</v>
      </c>
      <c r="BS13" s="1438"/>
      <c r="BT13" s="1495"/>
      <c r="BU13" s="1437"/>
      <c r="BV13" s="1437"/>
      <c r="BW13" s="1437"/>
      <c r="BX13" s="1515">
        <f t="shared" si="21"/>
        <v>0</v>
      </c>
      <c r="BY13" s="1438"/>
      <c r="BZ13" s="1495"/>
      <c r="CA13" s="1437"/>
      <c r="CB13" s="1437"/>
      <c r="CC13" s="1437"/>
      <c r="CD13" s="1515">
        <f t="shared" si="22"/>
        <v>0</v>
      </c>
      <c r="CE13" s="1438"/>
      <c r="CF13" s="1495"/>
      <c r="CG13" s="1437"/>
      <c r="CH13" s="1437"/>
      <c r="CI13" s="1437"/>
      <c r="CJ13" s="1515">
        <f t="shared" si="23"/>
        <v>0</v>
      </c>
      <c r="CK13" s="1434"/>
      <c r="CL13" s="357"/>
      <c r="CM13" s="357"/>
      <c r="CN13" s="357"/>
      <c r="CO13" s="357"/>
      <c r="CP13" s="357"/>
      <c r="CQ13" s="357"/>
      <c r="CR13" s="357"/>
    </row>
    <row r="14" spans="1:96" ht="23.25" customHeight="1">
      <c r="A14" s="468">
        <v>7</v>
      </c>
      <c r="B14" s="1705">
        <v>0</v>
      </c>
      <c r="C14" s="610"/>
      <c r="D14" s="575">
        <f t="shared" si="4"/>
        <v>100</v>
      </c>
      <c r="E14" s="1437">
        <v>0</v>
      </c>
      <c r="F14" s="1716">
        <v>0</v>
      </c>
      <c r="G14" s="1596">
        <v>0</v>
      </c>
      <c r="H14" s="1708">
        <v>0</v>
      </c>
      <c r="I14" s="578">
        <f t="shared" si="5"/>
        <v>0</v>
      </c>
      <c r="J14" s="650" t="s">
        <v>90</v>
      </c>
      <c r="K14" s="580">
        <f t="shared" si="0"/>
        <v>0</v>
      </c>
      <c r="L14" s="652" t="s">
        <v>234</v>
      </c>
      <c r="M14" s="582">
        <f t="shared" si="1"/>
        <v>10</v>
      </c>
      <c r="N14" s="1712">
        <v>0</v>
      </c>
      <c r="O14" s="740">
        <f t="shared" si="6"/>
        <v>0</v>
      </c>
      <c r="P14" s="738">
        <f t="shared" si="2"/>
        <v>0</v>
      </c>
      <c r="Q14" s="657">
        <f t="shared" si="7"/>
        <v>0</v>
      </c>
      <c r="R14" s="659">
        <f t="shared" si="8"/>
        <v>0</v>
      </c>
      <c r="S14" s="978"/>
      <c r="T14" s="2083">
        <f t="shared" si="24"/>
        <v>7</v>
      </c>
      <c r="U14" s="1329"/>
      <c r="V14" s="1330" t="s">
        <v>795</v>
      </c>
      <c r="W14" s="1424">
        <v>0</v>
      </c>
      <c r="X14" s="1033">
        <f>VLOOKUP(V14,Düngemittel!$B$6:$E$64,2,FALSE)*(VLOOKUP(V14,Düngemittel!$B$6:$E$64,3,FALSE))/100*W14</f>
        <v>0</v>
      </c>
      <c r="Y14" s="1033">
        <f>VLOOKUP(V14,Düngemittel!$B$6:$E$64,2,FALSE)*W14</f>
        <v>0</v>
      </c>
      <c r="Z14" s="1033">
        <f>VLOOKUP(V14,Düngemittel!$B$6:$E$64,4,FALSE)*W14</f>
        <v>0</v>
      </c>
      <c r="AA14" s="2089"/>
      <c r="AB14" s="1329"/>
      <c r="AC14" s="1330" t="s">
        <v>795</v>
      </c>
      <c r="AD14" s="1424">
        <v>0</v>
      </c>
      <c r="AE14" s="1033">
        <f>VLOOKUP(AC14,Düngemittel!$B$6:$E$64,2,FALSE)*(VLOOKUP(AC14,Düngemittel!$B$6:$E$64,3,FALSE))/100*AD14</f>
        <v>0</v>
      </c>
      <c r="AF14" s="1033">
        <f>VLOOKUP(AC14,Düngemittel!$B$6:$E$64,2,FALSE)*AD14</f>
        <v>0</v>
      </c>
      <c r="AG14" s="1033">
        <f>VLOOKUP(AC14,Düngemittel!$B$6:$E$64,4,FALSE)*AD14</f>
        <v>0</v>
      </c>
      <c r="AH14" s="2089"/>
      <c r="AI14" s="1329"/>
      <c r="AJ14" s="1330" t="s">
        <v>795</v>
      </c>
      <c r="AK14" s="1424">
        <v>0</v>
      </c>
      <c r="AL14" s="1033">
        <f>VLOOKUP(AJ14,Düngemittel!$B$6:$E$64,2,FALSE)*(VLOOKUP(AJ14,Düngemittel!$B$6:$E$64,3,FALSE))/100*AK14</f>
        <v>0</v>
      </c>
      <c r="AM14" s="1033">
        <f>VLOOKUP(AJ14,Düngemittel!$B$6:$E$64,2,FALSE)*AK14</f>
        <v>0</v>
      </c>
      <c r="AN14" s="1033">
        <f>VLOOKUP(AJ14,Düngemittel!$B$6:$E$64,4,FALSE)*AK14</f>
        <v>0</v>
      </c>
      <c r="AO14" s="2089"/>
      <c r="AP14" s="1329"/>
      <c r="AQ14" s="1330" t="s">
        <v>795</v>
      </c>
      <c r="AR14" s="1424">
        <v>0</v>
      </c>
      <c r="AS14" s="1033">
        <f>VLOOKUP(AQ14,Düngemittel!$B$6:$E$64,2,FALSE)*(VLOOKUP(AQ14,Düngemittel!$B$6:$E$64,3,FALSE))/100*AR14</f>
        <v>0</v>
      </c>
      <c r="AT14" s="1033">
        <f>VLOOKUP(AQ14,Düngemittel!$B$6:$E$64,2,FALSE)*AR14</f>
        <v>0</v>
      </c>
      <c r="AU14" s="1033">
        <f>VLOOKUP(AQ14,Düngemittel!$B$6:$E$64,4,FALSE)*AR14</f>
        <v>0</v>
      </c>
      <c r="AV14" s="2089"/>
      <c r="AW14" s="1329"/>
      <c r="AX14" s="1330" t="s">
        <v>795</v>
      </c>
      <c r="AY14" s="1424">
        <v>0</v>
      </c>
      <c r="AZ14" s="1033">
        <f>VLOOKUP(AX14,Düngemittel!$B$6:$E$64,2,FALSE)*(VLOOKUP(AX14,Düngemittel!$B$6:$E$64,3,FALSE))/100*AY14</f>
        <v>0</v>
      </c>
      <c r="BA14" s="1033">
        <f>VLOOKUP(AX14,Düngemittel!$B$6:$E$64,2,FALSE)*AY14</f>
        <v>0</v>
      </c>
      <c r="BB14" s="1033">
        <f>VLOOKUP(AX14,Düngemittel!$B$6:$E$64,4,FALSE)*AY14</f>
        <v>0</v>
      </c>
      <c r="BC14" s="863"/>
      <c r="BD14" s="1812">
        <f t="shared" si="9"/>
        <v>0</v>
      </c>
      <c r="BE14" s="1273">
        <f t="shared" si="10"/>
        <v>0</v>
      </c>
      <c r="BF14" s="1819">
        <f t="shared" si="11"/>
        <v>0</v>
      </c>
      <c r="BG14" s="1151">
        <f t="shared" si="12"/>
        <v>0</v>
      </c>
      <c r="BH14" s="1273">
        <f t="shared" si="13"/>
        <v>0</v>
      </c>
      <c r="BI14" s="1152"/>
      <c r="BJ14" s="1812">
        <f t="shared" si="14"/>
        <v>0</v>
      </c>
      <c r="BK14" s="1282">
        <f t="shared" si="15"/>
        <v>0</v>
      </c>
      <c r="BL14" s="1812">
        <f t="shared" si="16"/>
        <v>0</v>
      </c>
      <c r="BM14" s="1282">
        <f t="shared" si="17"/>
        <v>0</v>
      </c>
      <c r="BN14" s="1282">
        <f t="shared" si="18"/>
        <v>0</v>
      </c>
      <c r="BO14" s="1119"/>
      <c r="BP14" s="1119"/>
      <c r="BQ14" s="1512">
        <f t="shared" si="19"/>
        <v>7</v>
      </c>
      <c r="BR14" s="1513">
        <f t="shared" si="20"/>
        <v>0</v>
      </c>
      <c r="BS14" s="1438"/>
      <c r="BT14" s="1495"/>
      <c r="BU14" s="1437"/>
      <c r="BV14" s="1437"/>
      <c r="BW14" s="1437"/>
      <c r="BX14" s="1515">
        <f t="shared" si="21"/>
        <v>0</v>
      </c>
      <c r="BY14" s="1438"/>
      <c r="BZ14" s="1495"/>
      <c r="CA14" s="1437"/>
      <c r="CB14" s="1437"/>
      <c r="CC14" s="1437"/>
      <c r="CD14" s="1515">
        <f t="shared" si="22"/>
        <v>0</v>
      </c>
      <c r="CE14" s="1438"/>
      <c r="CF14" s="1495"/>
      <c r="CG14" s="1437"/>
      <c r="CH14" s="1437"/>
      <c r="CI14" s="1437"/>
      <c r="CJ14" s="1515">
        <f t="shared" si="23"/>
        <v>0</v>
      </c>
      <c r="CK14" s="1434"/>
      <c r="CL14" s="357"/>
      <c r="CM14" s="357"/>
      <c r="CN14" s="357"/>
      <c r="CO14" s="357"/>
      <c r="CP14" s="357"/>
      <c r="CQ14" s="357"/>
      <c r="CR14" s="357"/>
    </row>
    <row r="15" spans="1:96" ht="23.25" customHeight="1">
      <c r="A15" s="468">
        <v>8</v>
      </c>
      <c r="B15" s="1705">
        <v>0</v>
      </c>
      <c r="C15" s="610"/>
      <c r="D15" s="575">
        <f t="shared" si="4"/>
        <v>100</v>
      </c>
      <c r="E15" s="1437">
        <v>0</v>
      </c>
      <c r="F15" s="1716">
        <v>0</v>
      </c>
      <c r="G15" s="1596">
        <v>0</v>
      </c>
      <c r="H15" s="1708">
        <v>0</v>
      </c>
      <c r="I15" s="578">
        <f t="shared" si="5"/>
        <v>0</v>
      </c>
      <c r="J15" s="650" t="s">
        <v>90</v>
      </c>
      <c r="K15" s="580">
        <f t="shared" si="0"/>
        <v>0</v>
      </c>
      <c r="L15" s="652" t="s">
        <v>234</v>
      </c>
      <c r="M15" s="582">
        <f t="shared" si="1"/>
        <v>10</v>
      </c>
      <c r="N15" s="1712">
        <v>0</v>
      </c>
      <c r="O15" s="740">
        <f t="shared" si="6"/>
        <v>0</v>
      </c>
      <c r="P15" s="738">
        <f t="shared" si="2"/>
        <v>0</v>
      </c>
      <c r="Q15" s="657">
        <f t="shared" si="7"/>
        <v>0</v>
      </c>
      <c r="R15" s="659">
        <f t="shared" si="8"/>
        <v>0</v>
      </c>
      <c r="S15" s="978"/>
      <c r="T15" s="2083">
        <f t="shared" si="24"/>
        <v>8</v>
      </c>
      <c r="U15" s="1329"/>
      <c r="V15" s="1330" t="s">
        <v>795</v>
      </c>
      <c r="W15" s="1424">
        <v>0</v>
      </c>
      <c r="X15" s="1033">
        <f>VLOOKUP(V15,Düngemittel!$B$6:$E$64,2,FALSE)*(VLOOKUP(V15,Düngemittel!$B$6:$E$64,3,FALSE))/100*W15</f>
        <v>0</v>
      </c>
      <c r="Y15" s="1033">
        <f>VLOOKUP(V15,Düngemittel!$B$6:$E$64,2,FALSE)*W15</f>
        <v>0</v>
      </c>
      <c r="Z15" s="1033">
        <f>VLOOKUP(V15,Düngemittel!$B$6:$E$64,4,FALSE)*W15</f>
        <v>0</v>
      </c>
      <c r="AA15" s="2089"/>
      <c r="AB15" s="1329"/>
      <c r="AC15" s="1330" t="s">
        <v>795</v>
      </c>
      <c r="AD15" s="1424">
        <v>0</v>
      </c>
      <c r="AE15" s="1033">
        <f>VLOOKUP(AC15,Düngemittel!$B$6:$E$64,2,FALSE)*(VLOOKUP(AC15,Düngemittel!$B$6:$E$64,3,FALSE))/100*AD15</f>
        <v>0</v>
      </c>
      <c r="AF15" s="1033">
        <f>VLOOKUP(AC15,Düngemittel!$B$6:$E$64,2,FALSE)*AD15</f>
        <v>0</v>
      </c>
      <c r="AG15" s="1033">
        <f>VLOOKUP(AC15,Düngemittel!$B$6:$E$64,4,FALSE)*AD15</f>
        <v>0</v>
      </c>
      <c r="AH15" s="2089"/>
      <c r="AI15" s="1329"/>
      <c r="AJ15" s="1330" t="s">
        <v>795</v>
      </c>
      <c r="AK15" s="1424">
        <v>0</v>
      </c>
      <c r="AL15" s="1033">
        <f>VLOOKUP(AJ15,Düngemittel!$B$6:$E$64,2,FALSE)*(VLOOKUP(AJ15,Düngemittel!$B$6:$E$64,3,FALSE))/100*AK15</f>
        <v>0</v>
      </c>
      <c r="AM15" s="1033">
        <f>VLOOKUP(AJ15,Düngemittel!$B$6:$E$64,2,FALSE)*AK15</f>
        <v>0</v>
      </c>
      <c r="AN15" s="1033">
        <f>VLOOKUP(AJ15,Düngemittel!$B$6:$E$64,4,FALSE)*AK15</f>
        <v>0</v>
      </c>
      <c r="AO15" s="2089"/>
      <c r="AP15" s="1329"/>
      <c r="AQ15" s="1330" t="s">
        <v>795</v>
      </c>
      <c r="AR15" s="1424">
        <v>0</v>
      </c>
      <c r="AS15" s="1033">
        <f>VLOOKUP(AQ15,Düngemittel!$B$6:$E$64,2,FALSE)*(VLOOKUP(AQ15,Düngemittel!$B$6:$E$64,3,FALSE))/100*AR15</f>
        <v>0</v>
      </c>
      <c r="AT15" s="1033">
        <f>VLOOKUP(AQ15,Düngemittel!$B$6:$E$64,2,FALSE)*AR15</f>
        <v>0</v>
      </c>
      <c r="AU15" s="1033">
        <f>VLOOKUP(AQ15,Düngemittel!$B$6:$E$64,4,FALSE)*AR15</f>
        <v>0</v>
      </c>
      <c r="AV15" s="2089"/>
      <c r="AW15" s="1329"/>
      <c r="AX15" s="1330" t="s">
        <v>795</v>
      </c>
      <c r="AY15" s="1424">
        <v>0</v>
      </c>
      <c r="AZ15" s="1033">
        <f>VLOOKUP(AX15,Düngemittel!$B$6:$E$64,2,FALSE)*(VLOOKUP(AX15,Düngemittel!$B$6:$E$64,3,FALSE))/100*AY15</f>
        <v>0</v>
      </c>
      <c r="BA15" s="1033">
        <f>VLOOKUP(AX15,Düngemittel!$B$6:$E$64,2,FALSE)*AY15</f>
        <v>0</v>
      </c>
      <c r="BB15" s="1033">
        <f>VLOOKUP(AX15,Düngemittel!$B$6:$E$64,4,FALSE)*AY15</f>
        <v>0</v>
      </c>
      <c r="BC15" s="863"/>
      <c r="BD15" s="1812">
        <f t="shared" si="9"/>
        <v>0</v>
      </c>
      <c r="BE15" s="1273">
        <f t="shared" si="10"/>
        <v>0</v>
      </c>
      <c r="BF15" s="1819">
        <f t="shared" si="11"/>
        <v>0</v>
      </c>
      <c r="BG15" s="1151">
        <f t="shared" si="12"/>
        <v>0</v>
      </c>
      <c r="BH15" s="1273">
        <f t="shared" si="13"/>
        <v>0</v>
      </c>
      <c r="BI15" s="1152"/>
      <c r="BJ15" s="1812">
        <f t="shared" si="14"/>
        <v>0</v>
      </c>
      <c r="BK15" s="1282">
        <f t="shared" si="15"/>
        <v>0</v>
      </c>
      <c r="BL15" s="1812">
        <f t="shared" si="16"/>
        <v>0</v>
      </c>
      <c r="BM15" s="1282">
        <f t="shared" si="17"/>
        <v>0</v>
      </c>
      <c r="BN15" s="1282">
        <f t="shared" si="18"/>
        <v>0</v>
      </c>
      <c r="BO15" s="1119"/>
      <c r="BP15" s="1119"/>
      <c r="BQ15" s="1512">
        <f t="shared" si="19"/>
        <v>8</v>
      </c>
      <c r="BR15" s="1513">
        <f t="shared" si="20"/>
        <v>0</v>
      </c>
      <c r="BS15" s="1438"/>
      <c r="BT15" s="1495"/>
      <c r="BU15" s="1437"/>
      <c r="BV15" s="1437"/>
      <c r="BW15" s="1437"/>
      <c r="BX15" s="1515">
        <f t="shared" si="21"/>
        <v>0</v>
      </c>
      <c r="BY15" s="1438"/>
      <c r="BZ15" s="1495"/>
      <c r="CA15" s="1437"/>
      <c r="CB15" s="1437"/>
      <c r="CC15" s="1437"/>
      <c r="CD15" s="1515">
        <f t="shared" si="22"/>
        <v>0</v>
      </c>
      <c r="CE15" s="1438"/>
      <c r="CF15" s="1495"/>
      <c r="CG15" s="1437"/>
      <c r="CH15" s="1437"/>
      <c r="CI15" s="1437"/>
      <c r="CJ15" s="1515">
        <f t="shared" si="23"/>
        <v>0</v>
      </c>
      <c r="CK15" s="1434"/>
      <c r="CL15" s="357"/>
      <c r="CM15" s="357"/>
      <c r="CN15" s="357"/>
      <c r="CO15" s="357"/>
      <c r="CP15" s="357"/>
      <c r="CQ15" s="357"/>
      <c r="CR15" s="357"/>
    </row>
    <row r="16" spans="1:96" ht="23.25" customHeight="1">
      <c r="A16" s="468">
        <v>9</v>
      </c>
      <c r="B16" s="1705">
        <v>0</v>
      </c>
      <c r="C16" s="610"/>
      <c r="D16" s="575">
        <f t="shared" si="4"/>
        <v>100</v>
      </c>
      <c r="E16" s="1437">
        <v>0</v>
      </c>
      <c r="F16" s="1716">
        <v>0</v>
      </c>
      <c r="G16" s="1596">
        <v>0</v>
      </c>
      <c r="H16" s="1708">
        <v>0</v>
      </c>
      <c r="I16" s="578">
        <f t="shared" si="5"/>
        <v>0</v>
      </c>
      <c r="J16" s="650" t="s">
        <v>90</v>
      </c>
      <c r="K16" s="580">
        <f t="shared" si="0"/>
        <v>0</v>
      </c>
      <c r="L16" s="652" t="s">
        <v>234</v>
      </c>
      <c r="M16" s="582">
        <f t="shared" si="1"/>
        <v>10</v>
      </c>
      <c r="N16" s="1712">
        <v>0</v>
      </c>
      <c r="O16" s="740">
        <f t="shared" si="6"/>
        <v>0</v>
      </c>
      <c r="P16" s="738">
        <f t="shared" si="2"/>
        <v>0</v>
      </c>
      <c r="Q16" s="657">
        <f t="shared" si="7"/>
        <v>0</v>
      </c>
      <c r="R16" s="659">
        <f t="shared" si="8"/>
        <v>0</v>
      </c>
      <c r="S16" s="978"/>
      <c r="T16" s="2083">
        <f t="shared" si="24"/>
        <v>9</v>
      </c>
      <c r="U16" s="1329"/>
      <c r="V16" s="1330" t="s">
        <v>795</v>
      </c>
      <c r="W16" s="1424">
        <v>0</v>
      </c>
      <c r="X16" s="1033">
        <f>VLOOKUP(V16,Düngemittel!$B$6:$E$64,2,FALSE)*(VLOOKUP(V16,Düngemittel!$B$6:$E$64,3,FALSE))/100*W16</f>
        <v>0</v>
      </c>
      <c r="Y16" s="1033">
        <f>VLOOKUP(V16,Düngemittel!$B$6:$E$64,2,FALSE)*W16</f>
        <v>0</v>
      </c>
      <c r="Z16" s="1033">
        <f>VLOOKUP(V16,Düngemittel!$B$6:$E$64,4,FALSE)*W16</f>
        <v>0</v>
      </c>
      <c r="AA16" s="2089"/>
      <c r="AB16" s="1329"/>
      <c r="AC16" s="1330" t="s">
        <v>795</v>
      </c>
      <c r="AD16" s="1424">
        <v>0</v>
      </c>
      <c r="AE16" s="1033">
        <f>VLOOKUP(AC16,Düngemittel!$B$6:$E$64,2,FALSE)*(VLOOKUP(AC16,Düngemittel!$B$6:$E$64,3,FALSE))/100*AD16</f>
        <v>0</v>
      </c>
      <c r="AF16" s="1033">
        <f>VLOOKUP(AC16,Düngemittel!$B$6:$E$64,2,FALSE)*AD16</f>
        <v>0</v>
      </c>
      <c r="AG16" s="1033">
        <f>VLOOKUP(AC16,Düngemittel!$B$6:$E$64,4,FALSE)*AD16</f>
        <v>0</v>
      </c>
      <c r="AH16" s="2089"/>
      <c r="AI16" s="1329"/>
      <c r="AJ16" s="1330" t="s">
        <v>795</v>
      </c>
      <c r="AK16" s="1424">
        <v>0</v>
      </c>
      <c r="AL16" s="1033">
        <f>VLOOKUP(AJ16,Düngemittel!$B$6:$E$64,2,FALSE)*(VLOOKUP(AJ16,Düngemittel!$B$6:$E$64,3,FALSE))/100*AK16</f>
        <v>0</v>
      </c>
      <c r="AM16" s="1033">
        <f>VLOOKUP(AJ16,Düngemittel!$B$6:$E$64,2,FALSE)*AK16</f>
        <v>0</v>
      </c>
      <c r="AN16" s="1033">
        <f>VLOOKUP(AJ16,Düngemittel!$B$6:$E$64,4,FALSE)*AK16</f>
        <v>0</v>
      </c>
      <c r="AO16" s="2089"/>
      <c r="AP16" s="1329"/>
      <c r="AQ16" s="1330" t="s">
        <v>795</v>
      </c>
      <c r="AR16" s="1424">
        <v>0</v>
      </c>
      <c r="AS16" s="1033">
        <f>VLOOKUP(AQ16,Düngemittel!$B$6:$E$64,2,FALSE)*(VLOOKUP(AQ16,Düngemittel!$B$6:$E$64,3,FALSE))/100*AR16</f>
        <v>0</v>
      </c>
      <c r="AT16" s="1033">
        <f>VLOOKUP(AQ16,Düngemittel!$B$6:$E$64,2,FALSE)*AR16</f>
        <v>0</v>
      </c>
      <c r="AU16" s="1033">
        <f>VLOOKUP(AQ16,Düngemittel!$B$6:$E$64,4,FALSE)*AR16</f>
        <v>0</v>
      </c>
      <c r="AV16" s="2089"/>
      <c r="AW16" s="1329"/>
      <c r="AX16" s="1330" t="s">
        <v>795</v>
      </c>
      <c r="AY16" s="1424">
        <v>0</v>
      </c>
      <c r="AZ16" s="1033">
        <f>VLOOKUP(AX16,Düngemittel!$B$6:$E$64,2,FALSE)*(VLOOKUP(AX16,Düngemittel!$B$6:$E$64,3,FALSE))/100*AY16</f>
        <v>0</v>
      </c>
      <c r="BA16" s="1033">
        <f>VLOOKUP(AX16,Düngemittel!$B$6:$E$64,2,FALSE)*AY16</f>
        <v>0</v>
      </c>
      <c r="BB16" s="1033">
        <f>VLOOKUP(AX16,Düngemittel!$B$6:$E$64,4,FALSE)*AY16</f>
        <v>0</v>
      </c>
      <c r="BC16" s="863"/>
      <c r="BD16" s="1812">
        <f t="shared" si="9"/>
        <v>0</v>
      </c>
      <c r="BE16" s="1273">
        <f t="shared" si="10"/>
        <v>0</v>
      </c>
      <c r="BF16" s="1819">
        <f t="shared" si="11"/>
        <v>0</v>
      </c>
      <c r="BG16" s="1151">
        <f t="shared" si="12"/>
        <v>0</v>
      </c>
      <c r="BH16" s="1273">
        <f t="shared" si="13"/>
        <v>0</v>
      </c>
      <c r="BI16" s="1152"/>
      <c r="BJ16" s="1812">
        <f t="shared" si="14"/>
        <v>0</v>
      </c>
      <c r="BK16" s="1282">
        <f t="shared" si="15"/>
        <v>0</v>
      </c>
      <c r="BL16" s="1812">
        <f t="shared" si="16"/>
        <v>0</v>
      </c>
      <c r="BM16" s="1282">
        <f t="shared" si="17"/>
        <v>0</v>
      </c>
      <c r="BN16" s="1282">
        <f t="shared" si="18"/>
        <v>0</v>
      </c>
      <c r="BO16" s="1119"/>
      <c r="BP16" s="1119"/>
      <c r="BQ16" s="1512">
        <f t="shared" si="19"/>
        <v>9</v>
      </c>
      <c r="BR16" s="1513">
        <f t="shared" si="20"/>
        <v>0</v>
      </c>
      <c r="BS16" s="1438"/>
      <c r="BT16" s="1495"/>
      <c r="BU16" s="1437"/>
      <c r="BV16" s="1437"/>
      <c r="BW16" s="1437"/>
      <c r="BX16" s="1515">
        <f t="shared" si="21"/>
        <v>0</v>
      </c>
      <c r="BY16" s="1438"/>
      <c r="BZ16" s="1495"/>
      <c r="CA16" s="1437"/>
      <c r="CB16" s="1437"/>
      <c r="CC16" s="1437"/>
      <c r="CD16" s="1515">
        <f t="shared" si="22"/>
        <v>0</v>
      </c>
      <c r="CE16" s="1438"/>
      <c r="CF16" s="1495"/>
      <c r="CG16" s="1437"/>
      <c r="CH16" s="1437"/>
      <c r="CI16" s="1437"/>
      <c r="CJ16" s="1515">
        <f t="shared" si="23"/>
        <v>0</v>
      </c>
      <c r="CK16" s="1435"/>
      <c r="CL16" s="485"/>
      <c r="CM16" s="1504" t="s">
        <v>84</v>
      </c>
      <c r="CN16" s="484"/>
      <c r="CO16" s="357"/>
      <c r="CP16" s="357"/>
      <c r="CQ16" s="357"/>
      <c r="CR16" s="357"/>
    </row>
    <row r="17" spans="1:96" ht="23.25" customHeight="1">
      <c r="A17" s="468">
        <v>10</v>
      </c>
      <c r="B17" s="1705">
        <v>0</v>
      </c>
      <c r="C17" s="610"/>
      <c r="D17" s="575">
        <f t="shared" si="4"/>
        <v>100</v>
      </c>
      <c r="E17" s="1437">
        <v>0</v>
      </c>
      <c r="F17" s="1716">
        <v>0</v>
      </c>
      <c r="G17" s="1596">
        <v>0</v>
      </c>
      <c r="H17" s="1708">
        <v>0</v>
      </c>
      <c r="I17" s="578">
        <f t="shared" si="5"/>
        <v>0</v>
      </c>
      <c r="J17" s="650" t="s">
        <v>90</v>
      </c>
      <c r="K17" s="580">
        <f t="shared" si="0"/>
        <v>0</v>
      </c>
      <c r="L17" s="652" t="s">
        <v>234</v>
      </c>
      <c r="M17" s="582">
        <f t="shared" si="1"/>
        <v>10</v>
      </c>
      <c r="N17" s="1712">
        <v>0</v>
      </c>
      <c r="O17" s="740">
        <f t="shared" si="6"/>
        <v>0</v>
      </c>
      <c r="P17" s="738">
        <f t="shared" si="2"/>
        <v>0</v>
      </c>
      <c r="Q17" s="657">
        <f t="shared" si="7"/>
        <v>0</v>
      </c>
      <c r="R17" s="659">
        <f t="shared" si="8"/>
        <v>0</v>
      </c>
      <c r="S17" s="978"/>
      <c r="T17" s="2083">
        <f t="shared" si="24"/>
        <v>10</v>
      </c>
      <c r="U17" s="1329"/>
      <c r="V17" s="1330" t="s">
        <v>795</v>
      </c>
      <c r="W17" s="1424">
        <v>0</v>
      </c>
      <c r="X17" s="1033">
        <f>VLOOKUP(V17,Düngemittel!$B$6:$E$64,2,FALSE)*(VLOOKUP(V17,Düngemittel!$B$6:$E$64,3,FALSE))/100*W17</f>
        <v>0</v>
      </c>
      <c r="Y17" s="1033">
        <f>VLOOKUP(V17,Düngemittel!$B$6:$E$64,2,FALSE)*W17</f>
        <v>0</v>
      </c>
      <c r="Z17" s="1033">
        <f>VLOOKUP(V17,Düngemittel!$B$6:$E$64,4,FALSE)*W17</f>
        <v>0</v>
      </c>
      <c r="AA17" s="2089"/>
      <c r="AB17" s="1329"/>
      <c r="AC17" s="1330" t="s">
        <v>795</v>
      </c>
      <c r="AD17" s="1424">
        <v>0</v>
      </c>
      <c r="AE17" s="1033">
        <f>VLOOKUP(AC17,Düngemittel!$B$6:$E$64,2,FALSE)*(VLOOKUP(AC17,Düngemittel!$B$6:$E$64,3,FALSE))/100*AD17</f>
        <v>0</v>
      </c>
      <c r="AF17" s="1033">
        <f>VLOOKUP(AC17,Düngemittel!$B$6:$E$64,2,FALSE)*AD17</f>
        <v>0</v>
      </c>
      <c r="AG17" s="1033">
        <f>VLOOKUP(AC17,Düngemittel!$B$6:$E$64,4,FALSE)*AD17</f>
        <v>0</v>
      </c>
      <c r="AH17" s="2089"/>
      <c r="AI17" s="1329"/>
      <c r="AJ17" s="1330" t="s">
        <v>795</v>
      </c>
      <c r="AK17" s="1424">
        <v>0</v>
      </c>
      <c r="AL17" s="1033">
        <f>VLOOKUP(AJ17,Düngemittel!$B$6:$E$64,2,FALSE)*(VLOOKUP(AJ17,Düngemittel!$B$6:$E$64,3,FALSE))/100*AK17</f>
        <v>0</v>
      </c>
      <c r="AM17" s="1033">
        <f>VLOOKUP(AJ17,Düngemittel!$B$6:$E$64,2,FALSE)*AK17</f>
        <v>0</v>
      </c>
      <c r="AN17" s="1033">
        <f>VLOOKUP(AJ17,Düngemittel!$B$6:$E$64,4,FALSE)*AK17</f>
        <v>0</v>
      </c>
      <c r="AO17" s="2089"/>
      <c r="AP17" s="1329"/>
      <c r="AQ17" s="1330" t="s">
        <v>795</v>
      </c>
      <c r="AR17" s="1424">
        <v>0</v>
      </c>
      <c r="AS17" s="1033">
        <f>VLOOKUP(AQ17,Düngemittel!$B$6:$E$64,2,FALSE)*(VLOOKUP(AQ17,Düngemittel!$B$6:$E$64,3,FALSE))/100*AR17</f>
        <v>0</v>
      </c>
      <c r="AT17" s="1033">
        <f>VLOOKUP(AQ17,Düngemittel!$B$6:$E$64,2,FALSE)*AR17</f>
        <v>0</v>
      </c>
      <c r="AU17" s="1033">
        <f>VLOOKUP(AQ17,Düngemittel!$B$6:$E$64,4,FALSE)*AR17</f>
        <v>0</v>
      </c>
      <c r="AV17" s="2089"/>
      <c r="AW17" s="1329"/>
      <c r="AX17" s="1330" t="s">
        <v>795</v>
      </c>
      <c r="AY17" s="1424">
        <v>0</v>
      </c>
      <c r="AZ17" s="1033">
        <f>VLOOKUP(AX17,Düngemittel!$B$6:$E$64,2,FALSE)*(VLOOKUP(AX17,Düngemittel!$B$6:$E$64,3,FALSE))/100*AY17</f>
        <v>0</v>
      </c>
      <c r="BA17" s="1033">
        <f>VLOOKUP(AX17,Düngemittel!$B$6:$E$64,2,FALSE)*AY17</f>
        <v>0</v>
      </c>
      <c r="BB17" s="1033">
        <f>VLOOKUP(AX17,Düngemittel!$B$6:$E$64,4,FALSE)*AY17</f>
        <v>0</v>
      </c>
      <c r="BC17" s="863"/>
      <c r="BD17" s="1812">
        <f t="shared" si="9"/>
        <v>0</v>
      </c>
      <c r="BE17" s="1273">
        <f t="shared" si="10"/>
        <v>0</v>
      </c>
      <c r="BF17" s="1819">
        <f t="shared" si="11"/>
        <v>0</v>
      </c>
      <c r="BG17" s="1151">
        <f t="shared" si="12"/>
        <v>0</v>
      </c>
      <c r="BH17" s="1273">
        <f t="shared" si="13"/>
        <v>0</v>
      </c>
      <c r="BI17" s="1152"/>
      <c r="BJ17" s="1812">
        <f t="shared" si="14"/>
        <v>0</v>
      </c>
      <c r="BK17" s="1282">
        <f t="shared" si="15"/>
        <v>0</v>
      </c>
      <c r="BL17" s="1812">
        <f t="shared" si="16"/>
        <v>0</v>
      </c>
      <c r="BM17" s="1282">
        <f t="shared" si="17"/>
        <v>0</v>
      </c>
      <c r="BN17" s="1282">
        <f t="shared" si="18"/>
        <v>0</v>
      </c>
      <c r="BO17" s="1119"/>
      <c r="BP17" s="1119"/>
      <c r="BQ17" s="1512">
        <f t="shared" si="19"/>
        <v>10</v>
      </c>
      <c r="BR17" s="1513">
        <f t="shared" si="20"/>
        <v>0</v>
      </c>
      <c r="BS17" s="1438"/>
      <c r="BT17" s="1495"/>
      <c r="BU17" s="1437"/>
      <c r="BV17" s="1437"/>
      <c r="BW17" s="1437"/>
      <c r="BX17" s="1515">
        <f t="shared" si="21"/>
        <v>0</v>
      </c>
      <c r="BY17" s="1438"/>
      <c r="BZ17" s="1495"/>
      <c r="CA17" s="1437"/>
      <c r="CB17" s="1437"/>
      <c r="CC17" s="1437"/>
      <c r="CD17" s="1515">
        <f t="shared" si="22"/>
        <v>0</v>
      </c>
      <c r="CE17" s="1438"/>
      <c r="CF17" s="1495"/>
      <c r="CG17" s="1437"/>
      <c r="CH17" s="1437"/>
      <c r="CI17" s="1437"/>
      <c r="CJ17" s="1515">
        <f t="shared" si="23"/>
        <v>0</v>
      </c>
      <c r="CK17" s="1435"/>
      <c r="CL17" s="485"/>
      <c r="CM17" s="1503" t="s">
        <v>90</v>
      </c>
      <c r="CN17" s="484">
        <v>0</v>
      </c>
      <c r="CO17" s="357"/>
      <c r="CP17" s="357"/>
      <c r="CQ17" s="357"/>
      <c r="CR17" s="357"/>
    </row>
    <row r="18" spans="1:96" ht="23.25" customHeight="1">
      <c r="A18" s="468">
        <v>11</v>
      </c>
      <c r="B18" s="1705">
        <v>0</v>
      </c>
      <c r="C18" s="610"/>
      <c r="D18" s="575">
        <f t="shared" si="4"/>
        <v>100</v>
      </c>
      <c r="E18" s="1437">
        <v>0</v>
      </c>
      <c r="F18" s="1716">
        <v>0</v>
      </c>
      <c r="G18" s="1596">
        <v>0</v>
      </c>
      <c r="H18" s="1708">
        <v>0</v>
      </c>
      <c r="I18" s="578">
        <f t="shared" si="5"/>
        <v>0</v>
      </c>
      <c r="J18" s="650" t="s">
        <v>90</v>
      </c>
      <c r="K18" s="580">
        <f t="shared" si="0"/>
        <v>0</v>
      </c>
      <c r="L18" s="652" t="s">
        <v>234</v>
      </c>
      <c r="M18" s="582">
        <f t="shared" si="1"/>
        <v>10</v>
      </c>
      <c r="N18" s="1712">
        <v>0</v>
      </c>
      <c r="O18" s="740">
        <f t="shared" si="6"/>
        <v>0</v>
      </c>
      <c r="P18" s="738">
        <f t="shared" si="2"/>
        <v>0</v>
      </c>
      <c r="Q18" s="657">
        <f t="shared" si="7"/>
        <v>0</v>
      </c>
      <c r="R18" s="659">
        <f t="shared" si="8"/>
        <v>0</v>
      </c>
      <c r="S18" s="978"/>
      <c r="T18" s="2083">
        <f t="shared" si="24"/>
        <v>11</v>
      </c>
      <c r="U18" s="1329"/>
      <c r="V18" s="1330" t="s">
        <v>795</v>
      </c>
      <c r="W18" s="1424">
        <v>0</v>
      </c>
      <c r="X18" s="1033">
        <f>VLOOKUP(V18,Düngemittel!$B$6:$E$64,2,FALSE)*(VLOOKUP(V18,Düngemittel!$B$6:$E$64,3,FALSE))/100*W18</f>
        <v>0</v>
      </c>
      <c r="Y18" s="1033">
        <f>VLOOKUP(V18,Düngemittel!$B$6:$E$64,2,FALSE)*W18</f>
        <v>0</v>
      </c>
      <c r="Z18" s="1033">
        <f>VLOOKUP(V18,Düngemittel!$B$6:$E$64,4,FALSE)*W18</f>
        <v>0</v>
      </c>
      <c r="AA18" s="2089"/>
      <c r="AB18" s="1329"/>
      <c r="AC18" s="1330" t="s">
        <v>795</v>
      </c>
      <c r="AD18" s="1424">
        <v>0</v>
      </c>
      <c r="AE18" s="1033">
        <f>VLOOKUP(AC18,Düngemittel!$B$6:$E$64,2,FALSE)*(VLOOKUP(AC18,Düngemittel!$B$6:$E$64,3,FALSE))/100*AD18</f>
        <v>0</v>
      </c>
      <c r="AF18" s="1033">
        <f>VLOOKUP(AC18,Düngemittel!$B$6:$E$64,2,FALSE)*AD18</f>
        <v>0</v>
      </c>
      <c r="AG18" s="1033">
        <f>VLOOKUP(AC18,Düngemittel!$B$6:$E$64,4,FALSE)*AD18</f>
        <v>0</v>
      </c>
      <c r="AH18" s="2089"/>
      <c r="AI18" s="1329"/>
      <c r="AJ18" s="1330" t="s">
        <v>795</v>
      </c>
      <c r="AK18" s="1424">
        <v>0</v>
      </c>
      <c r="AL18" s="1033">
        <f>VLOOKUP(AJ18,Düngemittel!$B$6:$E$64,2,FALSE)*(VLOOKUP(AJ18,Düngemittel!$B$6:$E$64,3,FALSE))/100*AK18</f>
        <v>0</v>
      </c>
      <c r="AM18" s="1033">
        <f>VLOOKUP(AJ18,Düngemittel!$B$6:$E$64,2,FALSE)*AK18</f>
        <v>0</v>
      </c>
      <c r="AN18" s="1033">
        <f>VLOOKUP(AJ18,Düngemittel!$B$6:$E$64,4,FALSE)*AK18</f>
        <v>0</v>
      </c>
      <c r="AO18" s="2089"/>
      <c r="AP18" s="1329"/>
      <c r="AQ18" s="1330" t="s">
        <v>795</v>
      </c>
      <c r="AR18" s="1424">
        <v>0</v>
      </c>
      <c r="AS18" s="1033">
        <f>VLOOKUP(AQ18,Düngemittel!$B$6:$E$64,2,FALSE)*(VLOOKUP(AQ18,Düngemittel!$B$6:$E$64,3,FALSE))/100*AR18</f>
        <v>0</v>
      </c>
      <c r="AT18" s="1033">
        <f>VLOOKUP(AQ18,Düngemittel!$B$6:$E$64,2,FALSE)*AR18</f>
        <v>0</v>
      </c>
      <c r="AU18" s="1033">
        <f>VLOOKUP(AQ18,Düngemittel!$B$6:$E$64,4,FALSE)*AR18</f>
        <v>0</v>
      </c>
      <c r="AV18" s="2089"/>
      <c r="AW18" s="1329"/>
      <c r="AX18" s="1330" t="s">
        <v>795</v>
      </c>
      <c r="AY18" s="1424">
        <v>0</v>
      </c>
      <c r="AZ18" s="1033">
        <f>VLOOKUP(AX18,Düngemittel!$B$6:$E$64,2,FALSE)*(VLOOKUP(AX18,Düngemittel!$B$6:$E$64,3,FALSE))/100*AY18</f>
        <v>0</v>
      </c>
      <c r="BA18" s="1033">
        <f>VLOOKUP(AX18,Düngemittel!$B$6:$E$64,2,FALSE)*AY18</f>
        <v>0</v>
      </c>
      <c r="BB18" s="1033">
        <f>VLOOKUP(AX18,Düngemittel!$B$6:$E$64,4,FALSE)*AY18</f>
        <v>0</v>
      </c>
      <c r="BC18" s="863"/>
      <c r="BD18" s="1812">
        <f t="shared" si="9"/>
        <v>0</v>
      </c>
      <c r="BE18" s="1273">
        <f t="shared" si="10"/>
        <v>0</v>
      </c>
      <c r="BF18" s="1819">
        <f t="shared" si="11"/>
        <v>0</v>
      </c>
      <c r="BG18" s="1151">
        <f t="shared" si="12"/>
        <v>0</v>
      </c>
      <c r="BH18" s="1273">
        <f t="shared" si="13"/>
        <v>0</v>
      </c>
      <c r="BI18" s="1152"/>
      <c r="BJ18" s="1812">
        <f t="shared" si="14"/>
        <v>0</v>
      </c>
      <c r="BK18" s="1282">
        <f t="shared" si="15"/>
        <v>0</v>
      </c>
      <c r="BL18" s="1812">
        <f t="shared" si="16"/>
        <v>0</v>
      </c>
      <c r="BM18" s="1282">
        <f t="shared" si="17"/>
        <v>0</v>
      </c>
      <c r="BN18" s="1282">
        <f t="shared" si="18"/>
        <v>0</v>
      </c>
      <c r="BO18" s="1119"/>
      <c r="BP18" s="1119"/>
      <c r="BQ18" s="1512">
        <f t="shared" si="19"/>
        <v>11</v>
      </c>
      <c r="BR18" s="1513">
        <f t="shared" si="20"/>
        <v>0</v>
      </c>
      <c r="BS18" s="1438"/>
      <c r="BT18" s="1495"/>
      <c r="BU18" s="1437"/>
      <c r="BV18" s="1437"/>
      <c r="BW18" s="1437"/>
      <c r="BX18" s="1515">
        <f t="shared" si="21"/>
        <v>0</v>
      </c>
      <c r="BY18" s="1438"/>
      <c r="BZ18" s="1495"/>
      <c r="CA18" s="1437"/>
      <c r="CB18" s="1437"/>
      <c r="CC18" s="1437"/>
      <c r="CD18" s="1515">
        <f t="shared" si="22"/>
        <v>0</v>
      </c>
      <c r="CE18" s="1438"/>
      <c r="CF18" s="1495"/>
      <c r="CG18" s="1437"/>
      <c r="CH18" s="1437"/>
      <c r="CI18" s="1437"/>
      <c r="CJ18" s="1515">
        <f t="shared" si="23"/>
        <v>0</v>
      </c>
      <c r="CK18" s="1435"/>
      <c r="CL18" s="485"/>
      <c r="CM18" s="1503" t="s">
        <v>88</v>
      </c>
      <c r="CN18" s="484">
        <v>20</v>
      </c>
      <c r="CO18" s="357"/>
      <c r="CP18" s="357"/>
      <c r="CQ18" s="357"/>
      <c r="CR18" s="357"/>
    </row>
    <row r="19" spans="1:96" ht="23.25" customHeight="1">
      <c r="A19" s="468">
        <v>12</v>
      </c>
      <c r="B19" s="1705">
        <v>0</v>
      </c>
      <c r="C19" s="610"/>
      <c r="D19" s="575">
        <f t="shared" si="4"/>
        <v>100</v>
      </c>
      <c r="E19" s="1437">
        <v>0</v>
      </c>
      <c r="F19" s="1716">
        <v>0</v>
      </c>
      <c r="G19" s="1596">
        <v>0</v>
      </c>
      <c r="H19" s="1708">
        <v>0</v>
      </c>
      <c r="I19" s="578">
        <f t="shared" si="5"/>
        <v>0</v>
      </c>
      <c r="J19" s="650" t="s">
        <v>90</v>
      </c>
      <c r="K19" s="580">
        <f t="shared" si="0"/>
        <v>0</v>
      </c>
      <c r="L19" s="652" t="s">
        <v>234</v>
      </c>
      <c r="M19" s="582">
        <f t="shared" si="1"/>
        <v>10</v>
      </c>
      <c r="N19" s="1712">
        <v>0</v>
      </c>
      <c r="O19" s="740">
        <f t="shared" si="6"/>
        <v>0</v>
      </c>
      <c r="P19" s="738">
        <f t="shared" si="2"/>
        <v>0</v>
      </c>
      <c r="Q19" s="657">
        <f t="shared" si="7"/>
        <v>0</v>
      </c>
      <c r="R19" s="659">
        <f t="shared" si="8"/>
        <v>0</v>
      </c>
      <c r="S19" s="978"/>
      <c r="T19" s="2083">
        <f t="shared" si="24"/>
        <v>12</v>
      </c>
      <c r="U19" s="1329"/>
      <c r="V19" s="1330" t="s">
        <v>795</v>
      </c>
      <c r="W19" s="1424">
        <v>0</v>
      </c>
      <c r="X19" s="1033">
        <f>VLOOKUP(V19,Düngemittel!$B$6:$E$64,2,FALSE)*(VLOOKUP(V19,Düngemittel!$B$6:$E$64,3,FALSE))/100*W19</f>
        <v>0</v>
      </c>
      <c r="Y19" s="1033">
        <f>VLOOKUP(V19,Düngemittel!$B$6:$E$64,2,FALSE)*W19</f>
        <v>0</v>
      </c>
      <c r="Z19" s="1033">
        <f>VLOOKUP(V19,Düngemittel!$B$6:$E$64,4,FALSE)*W19</f>
        <v>0</v>
      </c>
      <c r="AA19" s="2089"/>
      <c r="AB19" s="1329"/>
      <c r="AC19" s="1330" t="s">
        <v>795</v>
      </c>
      <c r="AD19" s="1424">
        <v>0</v>
      </c>
      <c r="AE19" s="1033">
        <f>VLOOKUP(AC19,Düngemittel!$B$6:$E$64,2,FALSE)*(VLOOKUP(AC19,Düngemittel!$B$6:$E$64,3,FALSE))/100*AD19</f>
        <v>0</v>
      </c>
      <c r="AF19" s="1033">
        <f>VLOOKUP(AC19,Düngemittel!$B$6:$E$64,2,FALSE)*AD19</f>
        <v>0</v>
      </c>
      <c r="AG19" s="1033">
        <f>VLOOKUP(AC19,Düngemittel!$B$6:$E$64,4,FALSE)*AD19</f>
        <v>0</v>
      </c>
      <c r="AH19" s="2089"/>
      <c r="AI19" s="1329"/>
      <c r="AJ19" s="1330" t="s">
        <v>795</v>
      </c>
      <c r="AK19" s="1424">
        <v>0</v>
      </c>
      <c r="AL19" s="1033">
        <f>VLOOKUP(AJ19,Düngemittel!$B$6:$E$64,2,FALSE)*(VLOOKUP(AJ19,Düngemittel!$B$6:$E$64,3,FALSE))/100*AK19</f>
        <v>0</v>
      </c>
      <c r="AM19" s="1033">
        <f>VLOOKUP(AJ19,Düngemittel!$B$6:$E$64,2,FALSE)*AK19</f>
        <v>0</v>
      </c>
      <c r="AN19" s="1033">
        <f>VLOOKUP(AJ19,Düngemittel!$B$6:$E$64,4,FALSE)*AK19</f>
        <v>0</v>
      </c>
      <c r="AO19" s="2089"/>
      <c r="AP19" s="1329"/>
      <c r="AQ19" s="1330" t="s">
        <v>795</v>
      </c>
      <c r="AR19" s="1424">
        <v>0</v>
      </c>
      <c r="AS19" s="1033">
        <f>VLOOKUP(AQ19,Düngemittel!$B$6:$E$64,2,FALSE)*(VLOOKUP(AQ19,Düngemittel!$B$6:$E$64,3,FALSE))/100*AR19</f>
        <v>0</v>
      </c>
      <c r="AT19" s="1033">
        <f>VLOOKUP(AQ19,Düngemittel!$B$6:$E$64,2,FALSE)*AR19</f>
        <v>0</v>
      </c>
      <c r="AU19" s="1033">
        <f>VLOOKUP(AQ19,Düngemittel!$B$6:$E$64,4,FALSE)*AR19</f>
        <v>0</v>
      </c>
      <c r="AV19" s="2089"/>
      <c r="AW19" s="1329"/>
      <c r="AX19" s="1330" t="s">
        <v>795</v>
      </c>
      <c r="AY19" s="1424">
        <v>0</v>
      </c>
      <c r="AZ19" s="1033">
        <f>VLOOKUP(AX19,Düngemittel!$B$6:$E$64,2,FALSE)*(VLOOKUP(AX19,Düngemittel!$B$6:$E$64,3,FALSE))/100*AY19</f>
        <v>0</v>
      </c>
      <c r="BA19" s="1033">
        <f>VLOOKUP(AX19,Düngemittel!$B$6:$E$64,2,FALSE)*AY19</f>
        <v>0</v>
      </c>
      <c r="BB19" s="1033">
        <f>VLOOKUP(AX19,Düngemittel!$B$6:$E$64,4,FALSE)*AY19</f>
        <v>0</v>
      </c>
      <c r="BC19" s="863"/>
      <c r="BD19" s="1812">
        <f t="shared" si="9"/>
        <v>0</v>
      </c>
      <c r="BE19" s="1273">
        <f t="shared" si="10"/>
        <v>0</v>
      </c>
      <c r="BF19" s="1819">
        <f t="shared" si="11"/>
        <v>0</v>
      </c>
      <c r="BG19" s="1151">
        <f t="shared" si="12"/>
        <v>0</v>
      </c>
      <c r="BH19" s="1273">
        <f t="shared" si="13"/>
        <v>0</v>
      </c>
      <c r="BI19" s="1152"/>
      <c r="BJ19" s="1812">
        <f t="shared" si="14"/>
        <v>0</v>
      </c>
      <c r="BK19" s="1282">
        <f t="shared" si="15"/>
        <v>0</v>
      </c>
      <c r="BL19" s="1812">
        <f t="shared" si="16"/>
        <v>0</v>
      </c>
      <c r="BM19" s="1282">
        <f t="shared" si="17"/>
        <v>0</v>
      </c>
      <c r="BN19" s="1282">
        <f t="shared" si="18"/>
        <v>0</v>
      </c>
      <c r="BO19" s="1119"/>
      <c r="BP19" s="1119"/>
      <c r="BQ19" s="1512">
        <f t="shared" si="19"/>
        <v>12</v>
      </c>
      <c r="BR19" s="1513">
        <f t="shared" si="20"/>
        <v>0</v>
      </c>
      <c r="BS19" s="1438"/>
      <c r="BT19" s="1495"/>
      <c r="BU19" s="1437"/>
      <c r="BV19" s="1437"/>
      <c r="BW19" s="1437"/>
      <c r="BX19" s="1515">
        <f t="shared" si="21"/>
        <v>0</v>
      </c>
      <c r="BY19" s="1438"/>
      <c r="BZ19" s="1495"/>
      <c r="CA19" s="1437"/>
      <c r="CB19" s="1437"/>
      <c r="CC19" s="1437"/>
      <c r="CD19" s="1515">
        <f t="shared" si="22"/>
        <v>0</v>
      </c>
      <c r="CE19" s="1438"/>
      <c r="CF19" s="1495"/>
      <c r="CG19" s="1437"/>
      <c r="CH19" s="1437"/>
      <c r="CI19" s="1437"/>
      <c r="CJ19" s="1515">
        <f t="shared" si="23"/>
        <v>0</v>
      </c>
      <c r="CK19" s="1435"/>
      <c r="CL19" s="485"/>
      <c r="CM19" s="1503" t="s">
        <v>89</v>
      </c>
      <c r="CN19" s="484">
        <v>40</v>
      </c>
      <c r="CO19" s="357"/>
      <c r="CP19" s="357"/>
      <c r="CQ19" s="357"/>
      <c r="CR19" s="357"/>
    </row>
    <row r="20" spans="1:96" ht="23.25" customHeight="1">
      <c r="A20" s="468">
        <v>13</v>
      </c>
      <c r="B20" s="1705">
        <v>0</v>
      </c>
      <c r="C20" s="610"/>
      <c r="D20" s="575">
        <f t="shared" si="4"/>
        <v>100</v>
      </c>
      <c r="E20" s="1437">
        <v>0</v>
      </c>
      <c r="F20" s="1716">
        <v>0</v>
      </c>
      <c r="G20" s="1596">
        <v>0</v>
      </c>
      <c r="H20" s="1708">
        <v>0</v>
      </c>
      <c r="I20" s="578">
        <f t="shared" si="5"/>
        <v>0</v>
      </c>
      <c r="J20" s="650" t="s">
        <v>90</v>
      </c>
      <c r="K20" s="580">
        <f t="shared" si="0"/>
        <v>0</v>
      </c>
      <c r="L20" s="652" t="s">
        <v>234</v>
      </c>
      <c r="M20" s="582">
        <f t="shared" si="1"/>
        <v>10</v>
      </c>
      <c r="N20" s="1712">
        <v>0</v>
      </c>
      <c r="O20" s="740">
        <f t="shared" si="6"/>
        <v>0</v>
      </c>
      <c r="P20" s="738">
        <f t="shared" si="2"/>
        <v>0</v>
      </c>
      <c r="Q20" s="657">
        <f t="shared" si="7"/>
        <v>0</v>
      </c>
      <c r="R20" s="659">
        <f t="shared" si="8"/>
        <v>0</v>
      </c>
      <c r="S20" s="978"/>
      <c r="T20" s="2083">
        <f t="shared" si="24"/>
        <v>13</v>
      </c>
      <c r="U20" s="1329"/>
      <c r="V20" s="1330" t="s">
        <v>795</v>
      </c>
      <c r="W20" s="1424">
        <v>0</v>
      </c>
      <c r="X20" s="1033">
        <f>VLOOKUP(V20,Düngemittel!$B$6:$E$64,2,FALSE)*(VLOOKUP(V20,Düngemittel!$B$6:$E$64,3,FALSE))/100*W20</f>
        <v>0</v>
      </c>
      <c r="Y20" s="1033">
        <f>VLOOKUP(V20,Düngemittel!$B$6:$E$64,2,FALSE)*W20</f>
        <v>0</v>
      </c>
      <c r="Z20" s="1033">
        <f>VLOOKUP(V20,Düngemittel!$B$6:$E$64,4,FALSE)*W20</f>
        <v>0</v>
      </c>
      <c r="AA20" s="2089"/>
      <c r="AB20" s="1329"/>
      <c r="AC20" s="1330" t="s">
        <v>795</v>
      </c>
      <c r="AD20" s="1424">
        <v>0</v>
      </c>
      <c r="AE20" s="1033">
        <f>VLOOKUP(AC20,Düngemittel!$B$6:$E$64,2,FALSE)*(VLOOKUP(AC20,Düngemittel!$B$6:$E$64,3,FALSE))/100*AD20</f>
        <v>0</v>
      </c>
      <c r="AF20" s="1033">
        <f>VLOOKUP(AC20,Düngemittel!$B$6:$E$64,2,FALSE)*AD20</f>
        <v>0</v>
      </c>
      <c r="AG20" s="1033">
        <f>VLOOKUP(AC20,Düngemittel!$B$6:$E$64,4,FALSE)*AD20</f>
        <v>0</v>
      </c>
      <c r="AH20" s="2089"/>
      <c r="AI20" s="1329"/>
      <c r="AJ20" s="1330" t="s">
        <v>795</v>
      </c>
      <c r="AK20" s="1424">
        <v>0</v>
      </c>
      <c r="AL20" s="1033">
        <f>VLOOKUP(AJ20,Düngemittel!$B$6:$E$64,2,FALSE)*(VLOOKUP(AJ20,Düngemittel!$B$6:$E$64,3,FALSE))/100*AK20</f>
        <v>0</v>
      </c>
      <c r="AM20" s="1033">
        <f>VLOOKUP(AJ20,Düngemittel!$B$6:$E$64,2,FALSE)*AK20</f>
        <v>0</v>
      </c>
      <c r="AN20" s="1033">
        <f>VLOOKUP(AJ20,Düngemittel!$B$6:$E$64,4,FALSE)*AK20</f>
        <v>0</v>
      </c>
      <c r="AO20" s="2089"/>
      <c r="AP20" s="1329"/>
      <c r="AQ20" s="1330" t="s">
        <v>795</v>
      </c>
      <c r="AR20" s="1424">
        <v>0</v>
      </c>
      <c r="AS20" s="1033">
        <f>VLOOKUP(AQ20,Düngemittel!$B$6:$E$64,2,FALSE)*(VLOOKUP(AQ20,Düngemittel!$B$6:$E$64,3,FALSE))/100*AR20</f>
        <v>0</v>
      </c>
      <c r="AT20" s="1033">
        <f>VLOOKUP(AQ20,Düngemittel!$B$6:$E$64,2,FALSE)*AR20</f>
        <v>0</v>
      </c>
      <c r="AU20" s="1033">
        <f>VLOOKUP(AQ20,Düngemittel!$B$6:$E$64,4,FALSE)*AR20</f>
        <v>0</v>
      </c>
      <c r="AV20" s="2089"/>
      <c r="AW20" s="1329"/>
      <c r="AX20" s="1330" t="s">
        <v>795</v>
      </c>
      <c r="AY20" s="1424">
        <v>0</v>
      </c>
      <c r="AZ20" s="1033">
        <f>VLOOKUP(AX20,Düngemittel!$B$6:$E$64,2,FALSE)*(VLOOKUP(AX20,Düngemittel!$B$6:$E$64,3,FALSE))/100*AY20</f>
        <v>0</v>
      </c>
      <c r="BA20" s="1033">
        <f>VLOOKUP(AX20,Düngemittel!$B$6:$E$64,2,FALSE)*AY20</f>
        <v>0</v>
      </c>
      <c r="BB20" s="1033">
        <f>VLOOKUP(AX20,Düngemittel!$B$6:$E$64,4,FALSE)*AY20</f>
        <v>0</v>
      </c>
      <c r="BC20" s="863"/>
      <c r="BD20" s="1812">
        <f t="shared" si="9"/>
        <v>0</v>
      </c>
      <c r="BE20" s="1273">
        <f t="shared" si="10"/>
        <v>0</v>
      </c>
      <c r="BF20" s="1819">
        <f t="shared" si="11"/>
        <v>0</v>
      </c>
      <c r="BG20" s="1151">
        <f t="shared" si="12"/>
        <v>0</v>
      </c>
      <c r="BH20" s="1273">
        <f t="shared" si="13"/>
        <v>0</v>
      </c>
      <c r="BI20" s="1152"/>
      <c r="BJ20" s="1812">
        <f t="shared" si="14"/>
        <v>0</v>
      </c>
      <c r="BK20" s="1282">
        <f t="shared" si="15"/>
        <v>0</v>
      </c>
      <c r="BL20" s="1812">
        <f t="shared" si="16"/>
        <v>0</v>
      </c>
      <c r="BM20" s="1282">
        <f t="shared" si="17"/>
        <v>0</v>
      </c>
      <c r="BN20" s="1282">
        <f t="shared" si="18"/>
        <v>0</v>
      </c>
      <c r="BO20" s="1119"/>
      <c r="BP20" s="1119"/>
      <c r="BQ20" s="1512">
        <f t="shared" si="19"/>
        <v>13</v>
      </c>
      <c r="BR20" s="1513">
        <f t="shared" si="20"/>
        <v>0</v>
      </c>
      <c r="BS20" s="1438"/>
      <c r="BT20" s="1495"/>
      <c r="BU20" s="1437"/>
      <c r="BV20" s="1437"/>
      <c r="BW20" s="1437"/>
      <c r="BX20" s="1515">
        <f t="shared" si="21"/>
        <v>0</v>
      </c>
      <c r="BY20" s="1438"/>
      <c r="BZ20" s="1495"/>
      <c r="CA20" s="1437"/>
      <c r="CB20" s="1437"/>
      <c r="CC20" s="1437"/>
      <c r="CD20" s="1515">
        <f t="shared" si="22"/>
        <v>0</v>
      </c>
      <c r="CE20" s="1438"/>
      <c r="CF20" s="1495"/>
      <c r="CG20" s="1437"/>
      <c r="CH20" s="1437"/>
      <c r="CI20" s="1437"/>
      <c r="CJ20" s="1515">
        <f t="shared" si="23"/>
        <v>0</v>
      </c>
      <c r="CK20" s="1435"/>
      <c r="CL20" s="485"/>
      <c r="CM20" s="1503" t="s">
        <v>227</v>
      </c>
      <c r="CN20" s="484">
        <v>60</v>
      </c>
      <c r="CO20" s="357"/>
      <c r="CP20" s="357"/>
      <c r="CQ20" s="357"/>
      <c r="CR20" s="357"/>
    </row>
    <row r="21" spans="1:96" ht="23.25" customHeight="1">
      <c r="A21" s="468">
        <v>14</v>
      </c>
      <c r="B21" s="1705">
        <v>0</v>
      </c>
      <c r="C21" s="610"/>
      <c r="D21" s="575">
        <f t="shared" si="4"/>
        <v>100</v>
      </c>
      <c r="E21" s="1437">
        <v>0</v>
      </c>
      <c r="F21" s="1716">
        <v>0</v>
      </c>
      <c r="G21" s="1596">
        <v>0</v>
      </c>
      <c r="H21" s="1708">
        <v>0</v>
      </c>
      <c r="I21" s="578">
        <f t="shared" si="5"/>
        <v>0</v>
      </c>
      <c r="J21" s="650" t="s">
        <v>90</v>
      </c>
      <c r="K21" s="580">
        <f t="shared" si="0"/>
        <v>0</v>
      </c>
      <c r="L21" s="652" t="s">
        <v>234</v>
      </c>
      <c r="M21" s="582">
        <f t="shared" si="1"/>
        <v>10</v>
      </c>
      <c r="N21" s="1712">
        <v>0</v>
      </c>
      <c r="O21" s="740">
        <f t="shared" si="6"/>
        <v>0</v>
      </c>
      <c r="P21" s="738">
        <f t="shared" si="2"/>
        <v>0</v>
      </c>
      <c r="Q21" s="657">
        <f t="shared" si="7"/>
        <v>0</v>
      </c>
      <c r="R21" s="659">
        <f t="shared" si="8"/>
        <v>0</v>
      </c>
      <c r="S21" s="978"/>
      <c r="T21" s="2083">
        <f t="shared" si="24"/>
        <v>14</v>
      </c>
      <c r="U21" s="1329"/>
      <c r="V21" s="1330" t="s">
        <v>795</v>
      </c>
      <c r="W21" s="1424">
        <v>0</v>
      </c>
      <c r="X21" s="1033">
        <f>VLOOKUP(V21,Düngemittel!$B$6:$E$64,2,FALSE)*(VLOOKUP(V21,Düngemittel!$B$6:$E$64,3,FALSE))/100*W21</f>
        <v>0</v>
      </c>
      <c r="Y21" s="1033">
        <f>VLOOKUP(V21,Düngemittel!$B$6:$E$64,2,FALSE)*W21</f>
        <v>0</v>
      </c>
      <c r="Z21" s="1033">
        <f>VLOOKUP(V21,Düngemittel!$B$6:$E$64,4,FALSE)*W21</f>
        <v>0</v>
      </c>
      <c r="AA21" s="2089"/>
      <c r="AB21" s="1329"/>
      <c r="AC21" s="1330" t="s">
        <v>795</v>
      </c>
      <c r="AD21" s="1424">
        <v>0</v>
      </c>
      <c r="AE21" s="1033">
        <f>VLOOKUP(AC21,Düngemittel!$B$6:$E$64,2,FALSE)*(VLOOKUP(AC21,Düngemittel!$B$6:$E$64,3,FALSE))/100*AD21</f>
        <v>0</v>
      </c>
      <c r="AF21" s="1033">
        <f>VLOOKUP(AC21,Düngemittel!$B$6:$E$64,2,FALSE)*AD21</f>
        <v>0</v>
      </c>
      <c r="AG21" s="1033">
        <f>VLOOKUP(AC21,Düngemittel!$B$6:$E$64,4,FALSE)*AD21</f>
        <v>0</v>
      </c>
      <c r="AH21" s="2089"/>
      <c r="AI21" s="1329"/>
      <c r="AJ21" s="1330" t="s">
        <v>795</v>
      </c>
      <c r="AK21" s="1424">
        <v>0</v>
      </c>
      <c r="AL21" s="1033">
        <f>VLOOKUP(AJ21,Düngemittel!$B$6:$E$64,2,FALSE)*(VLOOKUP(AJ21,Düngemittel!$B$6:$E$64,3,FALSE))/100*AK21</f>
        <v>0</v>
      </c>
      <c r="AM21" s="1033">
        <f>VLOOKUP(AJ21,Düngemittel!$B$6:$E$64,2,FALSE)*AK21</f>
        <v>0</v>
      </c>
      <c r="AN21" s="1033">
        <f>VLOOKUP(AJ21,Düngemittel!$B$6:$E$64,4,FALSE)*AK21</f>
        <v>0</v>
      </c>
      <c r="AO21" s="2089"/>
      <c r="AP21" s="1329"/>
      <c r="AQ21" s="1330" t="s">
        <v>795</v>
      </c>
      <c r="AR21" s="1424">
        <v>0</v>
      </c>
      <c r="AS21" s="1033">
        <f>VLOOKUP(AQ21,Düngemittel!$B$6:$E$64,2,FALSE)*(VLOOKUP(AQ21,Düngemittel!$B$6:$E$64,3,FALSE))/100*AR21</f>
        <v>0</v>
      </c>
      <c r="AT21" s="1033">
        <f>VLOOKUP(AQ21,Düngemittel!$B$6:$E$64,2,FALSE)*AR21</f>
        <v>0</v>
      </c>
      <c r="AU21" s="1033">
        <f>VLOOKUP(AQ21,Düngemittel!$B$6:$E$64,4,FALSE)*AR21</f>
        <v>0</v>
      </c>
      <c r="AV21" s="2089"/>
      <c r="AW21" s="1329"/>
      <c r="AX21" s="1330" t="s">
        <v>795</v>
      </c>
      <c r="AY21" s="1424">
        <v>0</v>
      </c>
      <c r="AZ21" s="1033">
        <f>VLOOKUP(AX21,Düngemittel!$B$6:$E$64,2,FALSE)*(VLOOKUP(AX21,Düngemittel!$B$6:$E$64,3,FALSE))/100*AY21</f>
        <v>0</v>
      </c>
      <c r="BA21" s="1033">
        <f>VLOOKUP(AX21,Düngemittel!$B$6:$E$64,2,FALSE)*AY21</f>
        <v>0</v>
      </c>
      <c r="BB21" s="1033">
        <f>VLOOKUP(AX21,Düngemittel!$B$6:$E$64,4,FALSE)*AY21</f>
        <v>0</v>
      </c>
      <c r="BC21" s="863"/>
      <c r="BD21" s="1812">
        <f t="shared" si="9"/>
        <v>0</v>
      </c>
      <c r="BE21" s="1273">
        <f t="shared" si="10"/>
        <v>0</v>
      </c>
      <c r="BF21" s="1819">
        <f t="shared" si="11"/>
        <v>0</v>
      </c>
      <c r="BG21" s="1151">
        <f t="shared" si="12"/>
        <v>0</v>
      </c>
      <c r="BH21" s="1273">
        <f t="shared" si="13"/>
        <v>0</v>
      </c>
      <c r="BI21" s="1152"/>
      <c r="BJ21" s="1812">
        <f t="shared" si="14"/>
        <v>0</v>
      </c>
      <c r="BK21" s="1282">
        <f t="shared" si="15"/>
        <v>0</v>
      </c>
      <c r="BL21" s="1812">
        <f t="shared" si="16"/>
        <v>0</v>
      </c>
      <c r="BM21" s="1282">
        <f t="shared" si="17"/>
        <v>0</v>
      </c>
      <c r="BN21" s="1282">
        <f t="shared" si="18"/>
        <v>0</v>
      </c>
      <c r="BO21" s="1119"/>
      <c r="BP21" s="1119"/>
      <c r="BQ21" s="1512">
        <f t="shared" si="19"/>
        <v>14</v>
      </c>
      <c r="BR21" s="1513">
        <f t="shared" si="20"/>
        <v>0</v>
      </c>
      <c r="BS21" s="1438"/>
      <c r="BT21" s="1495"/>
      <c r="BU21" s="1437"/>
      <c r="BV21" s="1437"/>
      <c r="BW21" s="1437"/>
      <c r="BX21" s="1515">
        <f t="shared" si="21"/>
        <v>0</v>
      </c>
      <c r="BY21" s="1438"/>
      <c r="BZ21" s="1495"/>
      <c r="CA21" s="1437"/>
      <c r="CB21" s="1437"/>
      <c r="CC21" s="1437"/>
      <c r="CD21" s="1515">
        <f t="shared" si="22"/>
        <v>0</v>
      </c>
      <c r="CE21" s="1438"/>
      <c r="CF21" s="1495"/>
      <c r="CG21" s="1437"/>
      <c r="CH21" s="1437"/>
      <c r="CI21" s="1437"/>
      <c r="CJ21" s="1515">
        <f t="shared" si="23"/>
        <v>0</v>
      </c>
      <c r="CK21" s="1435"/>
      <c r="CL21" s="485"/>
      <c r="CM21" s="357"/>
      <c r="CN21" s="357"/>
      <c r="CO21" s="357"/>
      <c r="CP21" s="357"/>
      <c r="CQ21" s="357"/>
      <c r="CR21" s="357"/>
    </row>
    <row r="22" spans="1:96" ht="23.25" customHeight="1">
      <c r="A22" s="468">
        <v>15</v>
      </c>
      <c r="B22" s="1705">
        <v>0</v>
      </c>
      <c r="C22" s="614"/>
      <c r="D22" s="575">
        <f t="shared" si="4"/>
        <v>100</v>
      </c>
      <c r="E22" s="1437">
        <v>0</v>
      </c>
      <c r="F22" s="1716">
        <v>0</v>
      </c>
      <c r="G22" s="1596">
        <v>0</v>
      </c>
      <c r="H22" s="1708">
        <v>0</v>
      </c>
      <c r="I22" s="578">
        <f t="shared" si="5"/>
        <v>0</v>
      </c>
      <c r="J22" s="650" t="s">
        <v>90</v>
      </c>
      <c r="K22" s="580">
        <f t="shared" si="0"/>
        <v>0</v>
      </c>
      <c r="L22" s="652" t="s">
        <v>234</v>
      </c>
      <c r="M22" s="582">
        <f t="shared" si="1"/>
        <v>10</v>
      </c>
      <c r="N22" s="1712">
        <v>0</v>
      </c>
      <c r="O22" s="740">
        <f t="shared" si="6"/>
        <v>0</v>
      </c>
      <c r="P22" s="738">
        <f t="shared" si="2"/>
        <v>0</v>
      </c>
      <c r="Q22" s="657">
        <f t="shared" si="7"/>
        <v>0</v>
      </c>
      <c r="R22" s="659">
        <f t="shared" si="8"/>
        <v>0</v>
      </c>
      <c r="S22" s="978"/>
      <c r="T22" s="2083">
        <f t="shared" si="24"/>
        <v>15</v>
      </c>
      <c r="U22" s="1329"/>
      <c r="V22" s="1330" t="s">
        <v>795</v>
      </c>
      <c r="W22" s="1424">
        <v>0</v>
      </c>
      <c r="X22" s="1033">
        <f>VLOOKUP(V22,Düngemittel!$B$6:$E$64,2,FALSE)*(VLOOKUP(V22,Düngemittel!$B$6:$E$64,3,FALSE))/100*W22</f>
        <v>0</v>
      </c>
      <c r="Y22" s="1033">
        <f>VLOOKUP(V22,Düngemittel!$B$6:$E$64,2,FALSE)*W22</f>
        <v>0</v>
      </c>
      <c r="Z22" s="1033">
        <f>VLOOKUP(V22,Düngemittel!$B$6:$E$64,4,FALSE)*W22</f>
        <v>0</v>
      </c>
      <c r="AA22" s="2089"/>
      <c r="AB22" s="1329"/>
      <c r="AC22" s="1330" t="s">
        <v>795</v>
      </c>
      <c r="AD22" s="1424">
        <v>0</v>
      </c>
      <c r="AE22" s="1033">
        <f>VLOOKUP(AC22,Düngemittel!$B$6:$E$64,2,FALSE)*(VLOOKUP(AC22,Düngemittel!$B$6:$E$64,3,FALSE))/100*AD22</f>
        <v>0</v>
      </c>
      <c r="AF22" s="1033">
        <f>VLOOKUP(AC22,Düngemittel!$B$6:$E$64,2,FALSE)*AD22</f>
        <v>0</v>
      </c>
      <c r="AG22" s="1033">
        <f>VLOOKUP(AC22,Düngemittel!$B$6:$E$64,4,FALSE)*AD22</f>
        <v>0</v>
      </c>
      <c r="AH22" s="2089"/>
      <c r="AI22" s="1329"/>
      <c r="AJ22" s="1330" t="s">
        <v>795</v>
      </c>
      <c r="AK22" s="1424">
        <v>0</v>
      </c>
      <c r="AL22" s="1033">
        <f>VLOOKUP(AJ22,Düngemittel!$B$6:$E$64,2,FALSE)*(VLOOKUP(AJ22,Düngemittel!$B$6:$E$64,3,FALSE))/100*AK22</f>
        <v>0</v>
      </c>
      <c r="AM22" s="1033">
        <f>VLOOKUP(AJ22,Düngemittel!$B$6:$E$64,2,FALSE)*AK22</f>
        <v>0</v>
      </c>
      <c r="AN22" s="1033">
        <f>VLOOKUP(AJ22,Düngemittel!$B$6:$E$64,4,FALSE)*AK22</f>
        <v>0</v>
      </c>
      <c r="AO22" s="2089"/>
      <c r="AP22" s="1329"/>
      <c r="AQ22" s="1330" t="s">
        <v>795</v>
      </c>
      <c r="AR22" s="1424">
        <v>0</v>
      </c>
      <c r="AS22" s="1033">
        <f>VLOOKUP(AQ22,Düngemittel!$B$6:$E$64,2,FALSE)*(VLOOKUP(AQ22,Düngemittel!$B$6:$E$64,3,FALSE))/100*AR22</f>
        <v>0</v>
      </c>
      <c r="AT22" s="1033">
        <f>VLOOKUP(AQ22,Düngemittel!$B$6:$E$64,2,FALSE)*AR22</f>
        <v>0</v>
      </c>
      <c r="AU22" s="1033">
        <f>VLOOKUP(AQ22,Düngemittel!$B$6:$E$64,4,FALSE)*AR22</f>
        <v>0</v>
      </c>
      <c r="AV22" s="2089"/>
      <c r="AW22" s="1329"/>
      <c r="AX22" s="1330" t="s">
        <v>795</v>
      </c>
      <c r="AY22" s="1424">
        <v>0</v>
      </c>
      <c r="AZ22" s="1033">
        <f>VLOOKUP(AX22,Düngemittel!$B$6:$E$64,2,FALSE)*(VLOOKUP(AX22,Düngemittel!$B$6:$E$64,3,FALSE))/100*AY22</f>
        <v>0</v>
      </c>
      <c r="BA22" s="1033">
        <f>VLOOKUP(AX22,Düngemittel!$B$6:$E$64,2,FALSE)*AY22</f>
        <v>0</v>
      </c>
      <c r="BB22" s="1033">
        <f>VLOOKUP(AX22,Düngemittel!$B$6:$E$64,4,FALSE)*AY22</f>
        <v>0</v>
      </c>
      <c r="BC22" s="863"/>
      <c r="BD22" s="1812">
        <f t="shared" si="9"/>
        <v>0</v>
      </c>
      <c r="BE22" s="1273">
        <f t="shared" si="10"/>
        <v>0</v>
      </c>
      <c r="BF22" s="1819">
        <f t="shared" si="11"/>
        <v>0</v>
      </c>
      <c r="BG22" s="1151">
        <f t="shared" si="12"/>
        <v>0</v>
      </c>
      <c r="BH22" s="1273">
        <f t="shared" si="13"/>
        <v>0</v>
      </c>
      <c r="BI22" s="1152"/>
      <c r="BJ22" s="1812">
        <f t="shared" si="14"/>
        <v>0</v>
      </c>
      <c r="BK22" s="1282">
        <f t="shared" si="15"/>
        <v>0</v>
      </c>
      <c r="BL22" s="1812">
        <f t="shared" si="16"/>
        <v>0</v>
      </c>
      <c r="BM22" s="1282">
        <f t="shared" si="17"/>
        <v>0</v>
      </c>
      <c r="BN22" s="1282">
        <f t="shared" si="18"/>
        <v>0</v>
      </c>
      <c r="BO22" s="1119"/>
      <c r="BP22" s="1119"/>
      <c r="BQ22" s="1512">
        <f t="shared" si="19"/>
        <v>15</v>
      </c>
      <c r="BR22" s="1513">
        <f t="shared" si="20"/>
        <v>0</v>
      </c>
      <c r="BS22" s="1438"/>
      <c r="BT22" s="1495"/>
      <c r="BU22" s="1437"/>
      <c r="BV22" s="1437"/>
      <c r="BW22" s="1437"/>
      <c r="BX22" s="1515">
        <f t="shared" si="21"/>
        <v>0</v>
      </c>
      <c r="BY22" s="1438"/>
      <c r="BZ22" s="1495"/>
      <c r="CA22" s="1437"/>
      <c r="CB22" s="1437"/>
      <c r="CC22" s="1437"/>
      <c r="CD22" s="1515">
        <f t="shared" si="22"/>
        <v>0</v>
      </c>
      <c r="CE22" s="1438"/>
      <c r="CF22" s="1495"/>
      <c r="CG22" s="1437"/>
      <c r="CH22" s="1437"/>
      <c r="CI22" s="1437"/>
      <c r="CJ22" s="1515">
        <f t="shared" si="23"/>
        <v>0</v>
      </c>
      <c r="CK22" s="1434"/>
      <c r="CL22" s="357"/>
      <c r="CM22" s="357"/>
      <c r="CN22" s="357"/>
      <c r="CO22" s="357"/>
      <c r="CP22" s="357"/>
      <c r="CQ22" s="357"/>
      <c r="CR22" s="357"/>
    </row>
    <row r="23" spans="1:96" ht="23.25" customHeight="1">
      <c r="A23" s="468">
        <v>16</v>
      </c>
      <c r="B23" s="1705">
        <v>0</v>
      </c>
      <c r="C23" s="610"/>
      <c r="D23" s="575">
        <f t="shared" si="4"/>
        <v>100</v>
      </c>
      <c r="E23" s="1437">
        <v>0</v>
      </c>
      <c r="F23" s="1716">
        <v>0</v>
      </c>
      <c r="G23" s="1596">
        <v>0</v>
      </c>
      <c r="H23" s="1708">
        <v>0</v>
      </c>
      <c r="I23" s="578">
        <f t="shared" si="5"/>
        <v>0</v>
      </c>
      <c r="J23" s="650" t="s">
        <v>90</v>
      </c>
      <c r="K23" s="580">
        <f t="shared" si="0"/>
        <v>0</v>
      </c>
      <c r="L23" s="652" t="s">
        <v>234</v>
      </c>
      <c r="M23" s="582">
        <f t="shared" si="1"/>
        <v>10</v>
      </c>
      <c r="N23" s="1712">
        <v>0</v>
      </c>
      <c r="O23" s="740">
        <f t="shared" si="6"/>
        <v>0</v>
      </c>
      <c r="P23" s="738">
        <f t="shared" si="2"/>
        <v>0</v>
      </c>
      <c r="Q23" s="657">
        <f t="shared" si="7"/>
        <v>0</v>
      </c>
      <c r="R23" s="659">
        <f t="shared" si="8"/>
        <v>0</v>
      </c>
      <c r="S23" s="978"/>
      <c r="T23" s="2083">
        <f t="shared" si="24"/>
        <v>16</v>
      </c>
      <c r="U23" s="1329"/>
      <c r="V23" s="1330" t="s">
        <v>795</v>
      </c>
      <c r="W23" s="1424">
        <v>0</v>
      </c>
      <c r="X23" s="1033">
        <f>VLOOKUP(V23,Düngemittel!$B$6:$E$64,2,FALSE)*(VLOOKUP(V23,Düngemittel!$B$6:$E$64,3,FALSE))/100*W23</f>
        <v>0</v>
      </c>
      <c r="Y23" s="1033">
        <f>VLOOKUP(V23,Düngemittel!$B$6:$E$64,2,FALSE)*W23</f>
        <v>0</v>
      </c>
      <c r="Z23" s="1033">
        <f>VLOOKUP(V23,Düngemittel!$B$6:$E$64,4,FALSE)*W23</f>
        <v>0</v>
      </c>
      <c r="AA23" s="2089"/>
      <c r="AB23" s="1329"/>
      <c r="AC23" s="1330" t="s">
        <v>795</v>
      </c>
      <c r="AD23" s="1424">
        <v>0</v>
      </c>
      <c r="AE23" s="1033">
        <f>VLOOKUP(AC23,Düngemittel!$B$6:$E$64,2,FALSE)*(VLOOKUP(AC23,Düngemittel!$B$6:$E$64,3,FALSE))/100*AD23</f>
        <v>0</v>
      </c>
      <c r="AF23" s="1033">
        <f>VLOOKUP(AC23,Düngemittel!$B$6:$E$64,2,FALSE)*AD23</f>
        <v>0</v>
      </c>
      <c r="AG23" s="1033">
        <f>VLOOKUP(AC23,Düngemittel!$B$6:$E$64,4,FALSE)*AD23</f>
        <v>0</v>
      </c>
      <c r="AH23" s="2089"/>
      <c r="AI23" s="1329"/>
      <c r="AJ23" s="1330" t="s">
        <v>795</v>
      </c>
      <c r="AK23" s="1424">
        <v>0</v>
      </c>
      <c r="AL23" s="1033">
        <f>VLOOKUP(AJ23,Düngemittel!$B$6:$E$64,2,FALSE)*(VLOOKUP(AJ23,Düngemittel!$B$6:$E$64,3,FALSE))/100*AK23</f>
        <v>0</v>
      </c>
      <c r="AM23" s="1033">
        <f>VLOOKUP(AJ23,Düngemittel!$B$6:$E$64,2,FALSE)*AK23</f>
        <v>0</v>
      </c>
      <c r="AN23" s="1033">
        <f>VLOOKUP(AJ23,Düngemittel!$B$6:$E$64,4,FALSE)*AK23</f>
        <v>0</v>
      </c>
      <c r="AO23" s="2089"/>
      <c r="AP23" s="1329"/>
      <c r="AQ23" s="1330" t="s">
        <v>795</v>
      </c>
      <c r="AR23" s="1424">
        <v>0</v>
      </c>
      <c r="AS23" s="1033">
        <f>VLOOKUP(AQ23,Düngemittel!$B$6:$E$64,2,FALSE)*(VLOOKUP(AQ23,Düngemittel!$B$6:$E$64,3,FALSE))/100*AR23</f>
        <v>0</v>
      </c>
      <c r="AT23" s="1033">
        <f>VLOOKUP(AQ23,Düngemittel!$B$6:$E$64,2,FALSE)*AR23</f>
        <v>0</v>
      </c>
      <c r="AU23" s="1033">
        <f>VLOOKUP(AQ23,Düngemittel!$B$6:$E$64,4,FALSE)*AR23</f>
        <v>0</v>
      </c>
      <c r="AV23" s="2089"/>
      <c r="AW23" s="1329"/>
      <c r="AX23" s="1330" t="s">
        <v>795</v>
      </c>
      <c r="AY23" s="1424">
        <v>0</v>
      </c>
      <c r="AZ23" s="1033">
        <f>VLOOKUP(AX23,Düngemittel!$B$6:$E$64,2,FALSE)*(VLOOKUP(AX23,Düngemittel!$B$6:$E$64,3,FALSE))/100*AY23</f>
        <v>0</v>
      </c>
      <c r="BA23" s="1033">
        <f>VLOOKUP(AX23,Düngemittel!$B$6:$E$64,2,FALSE)*AY23</f>
        <v>0</v>
      </c>
      <c r="BB23" s="1033">
        <f>VLOOKUP(AX23,Düngemittel!$B$6:$E$64,4,FALSE)*AY23</f>
        <v>0</v>
      </c>
      <c r="BC23" s="863"/>
      <c r="BD23" s="1812">
        <f t="shared" si="9"/>
        <v>0</v>
      </c>
      <c r="BE23" s="1273">
        <f t="shared" si="10"/>
        <v>0</v>
      </c>
      <c r="BF23" s="1819">
        <f t="shared" si="11"/>
        <v>0</v>
      </c>
      <c r="BG23" s="1151">
        <f t="shared" si="12"/>
        <v>0</v>
      </c>
      <c r="BH23" s="1273">
        <f t="shared" si="13"/>
        <v>0</v>
      </c>
      <c r="BI23" s="1152"/>
      <c r="BJ23" s="1812">
        <f t="shared" si="14"/>
        <v>0</v>
      </c>
      <c r="BK23" s="1282">
        <f t="shared" si="15"/>
        <v>0</v>
      </c>
      <c r="BL23" s="1812">
        <f t="shared" si="16"/>
        <v>0</v>
      </c>
      <c r="BM23" s="1282">
        <f t="shared" si="17"/>
        <v>0</v>
      </c>
      <c r="BN23" s="1282">
        <f t="shared" si="18"/>
        <v>0</v>
      </c>
      <c r="BO23" s="1119"/>
      <c r="BP23" s="1119"/>
      <c r="BQ23" s="1512">
        <f t="shared" si="19"/>
        <v>16</v>
      </c>
      <c r="BR23" s="1513">
        <f t="shared" si="20"/>
        <v>0</v>
      </c>
      <c r="BS23" s="1438"/>
      <c r="BT23" s="1495"/>
      <c r="BU23" s="1437"/>
      <c r="BV23" s="1437"/>
      <c r="BW23" s="1437"/>
      <c r="BX23" s="1515">
        <f t="shared" si="21"/>
        <v>0</v>
      </c>
      <c r="BY23" s="1438"/>
      <c r="BZ23" s="1495"/>
      <c r="CA23" s="1437"/>
      <c r="CB23" s="1437"/>
      <c r="CC23" s="1437"/>
      <c r="CD23" s="1515">
        <f t="shared" si="22"/>
        <v>0</v>
      </c>
      <c r="CE23" s="1438"/>
      <c r="CF23" s="1495"/>
      <c r="CG23" s="1437"/>
      <c r="CH23" s="1437"/>
      <c r="CI23" s="1437"/>
      <c r="CJ23" s="1515">
        <f t="shared" si="23"/>
        <v>0</v>
      </c>
      <c r="CK23" s="1434"/>
      <c r="CL23" s="357"/>
      <c r="CM23" s="357"/>
      <c r="CN23" s="357"/>
      <c r="CO23" s="357"/>
      <c r="CP23" s="357"/>
      <c r="CQ23" s="357"/>
      <c r="CR23" s="357"/>
    </row>
    <row r="24" spans="1:96" ht="23.25" customHeight="1">
      <c r="A24" s="468">
        <v>17</v>
      </c>
      <c r="B24" s="1705">
        <v>0</v>
      </c>
      <c r="C24" s="610"/>
      <c r="D24" s="575">
        <f t="shared" si="4"/>
        <v>100</v>
      </c>
      <c r="E24" s="1437">
        <v>0</v>
      </c>
      <c r="F24" s="1716">
        <v>0</v>
      </c>
      <c r="G24" s="1596">
        <v>0</v>
      </c>
      <c r="H24" s="1708">
        <v>0</v>
      </c>
      <c r="I24" s="578">
        <f t="shared" si="5"/>
        <v>0</v>
      </c>
      <c r="J24" s="650" t="s">
        <v>90</v>
      </c>
      <c r="K24" s="580">
        <f t="shared" si="0"/>
        <v>0</v>
      </c>
      <c r="L24" s="652" t="s">
        <v>234</v>
      </c>
      <c r="M24" s="582">
        <f t="shared" si="1"/>
        <v>10</v>
      </c>
      <c r="N24" s="1712">
        <v>0</v>
      </c>
      <c r="O24" s="740">
        <f t="shared" si="6"/>
        <v>0</v>
      </c>
      <c r="P24" s="738">
        <f t="shared" si="2"/>
        <v>0</v>
      </c>
      <c r="Q24" s="657">
        <f t="shared" si="7"/>
        <v>0</v>
      </c>
      <c r="R24" s="659">
        <f t="shared" si="8"/>
        <v>0</v>
      </c>
      <c r="S24" s="978"/>
      <c r="T24" s="2083">
        <f t="shared" si="24"/>
        <v>17</v>
      </c>
      <c r="U24" s="1329"/>
      <c r="V24" s="1330" t="s">
        <v>795</v>
      </c>
      <c r="W24" s="1424">
        <v>0</v>
      </c>
      <c r="X24" s="1033">
        <f>VLOOKUP(V24,Düngemittel!$B$6:$E$64,2,FALSE)*(VLOOKUP(V24,Düngemittel!$B$6:$E$64,3,FALSE))/100*W24</f>
        <v>0</v>
      </c>
      <c r="Y24" s="1033">
        <f>VLOOKUP(V24,Düngemittel!$B$6:$E$64,2,FALSE)*W24</f>
        <v>0</v>
      </c>
      <c r="Z24" s="1033">
        <f>VLOOKUP(V24,Düngemittel!$B$6:$E$64,4,FALSE)*W24</f>
        <v>0</v>
      </c>
      <c r="AA24" s="2089"/>
      <c r="AB24" s="1329"/>
      <c r="AC24" s="1330" t="s">
        <v>795</v>
      </c>
      <c r="AD24" s="1424">
        <v>0</v>
      </c>
      <c r="AE24" s="1033">
        <f>VLOOKUP(AC24,Düngemittel!$B$6:$E$64,2,FALSE)*(VLOOKUP(AC24,Düngemittel!$B$6:$E$64,3,FALSE))/100*AD24</f>
        <v>0</v>
      </c>
      <c r="AF24" s="1033">
        <f>VLOOKUP(AC24,Düngemittel!$B$6:$E$64,2,FALSE)*AD24</f>
        <v>0</v>
      </c>
      <c r="AG24" s="1033">
        <f>VLOOKUP(AC24,Düngemittel!$B$6:$E$64,4,FALSE)*AD24</f>
        <v>0</v>
      </c>
      <c r="AH24" s="2089"/>
      <c r="AI24" s="1329"/>
      <c r="AJ24" s="1330" t="s">
        <v>795</v>
      </c>
      <c r="AK24" s="1424">
        <v>0</v>
      </c>
      <c r="AL24" s="1033">
        <f>VLOOKUP(AJ24,Düngemittel!$B$6:$E$64,2,FALSE)*(VLOOKUP(AJ24,Düngemittel!$B$6:$E$64,3,FALSE))/100*AK24</f>
        <v>0</v>
      </c>
      <c r="AM24" s="1033">
        <f>VLOOKUP(AJ24,Düngemittel!$B$6:$E$64,2,FALSE)*AK24</f>
        <v>0</v>
      </c>
      <c r="AN24" s="1033">
        <f>VLOOKUP(AJ24,Düngemittel!$B$6:$E$64,4,FALSE)*AK24</f>
        <v>0</v>
      </c>
      <c r="AO24" s="2089"/>
      <c r="AP24" s="1329"/>
      <c r="AQ24" s="1330" t="s">
        <v>795</v>
      </c>
      <c r="AR24" s="1424">
        <v>0</v>
      </c>
      <c r="AS24" s="1033">
        <f>VLOOKUP(AQ24,Düngemittel!$B$6:$E$64,2,FALSE)*(VLOOKUP(AQ24,Düngemittel!$B$6:$E$64,3,FALSE))/100*AR24</f>
        <v>0</v>
      </c>
      <c r="AT24" s="1033">
        <f>VLOOKUP(AQ24,Düngemittel!$B$6:$E$64,2,FALSE)*AR24</f>
        <v>0</v>
      </c>
      <c r="AU24" s="1033">
        <f>VLOOKUP(AQ24,Düngemittel!$B$6:$E$64,4,FALSE)*AR24</f>
        <v>0</v>
      </c>
      <c r="AV24" s="2089"/>
      <c r="AW24" s="1329"/>
      <c r="AX24" s="1330" t="s">
        <v>795</v>
      </c>
      <c r="AY24" s="1424">
        <v>0</v>
      </c>
      <c r="AZ24" s="1033">
        <f>VLOOKUP(AX24,Düngemittel!$B$6:$E$64,2,FALSE)*(VLOOKUP(AX24,Düngemittel!$B$6:$E$64,3,FALSE))/100*AY24</f>
        <v>0</v>
      </c>
      <c r="BA24" s="1033">
        <f>VLOOKUP(AX24,Düngemittel!$B$6:$E$64,2,FALSE)*AY24</f>
        <v>0</v>
      </c>
      <c r="BB24" s="1033">
        <f>VLOOKUP(AX24,Düngemittel!$B$6:$E$64,4,FALSE)*AY24</f>
        <v>0</v>
      </c>
      <c r="BC24" s="863"/>
      <c r="BD24" s="1812">
        <f t="shared" si="9"/>
        <v>0</v>
      </c>
      <c r="BE24" s="1273">
        <f t="shared" si="10"/>
        <v>0</v>
      </c>
      <c r="BF24" s="1819">
        <f t="shared" si="11"/>
        <v>0</v>
      </c>
      <c r="BG24" s="1151">
        <f t="shared" si="12"/>
        <v>0</v>
      </c>
      <c r="BH24" s="1273">
        <f t="shared" si="13"/>
        <v>0</v>
      </c>
      <c r="BI24" s="1152"/>
      <c r="BJ24" s="1812">
        <f t="shared" si="14"/>
        <v>0</v>
      </c>
      <c r="BK24" s="1282">
        <f t="shared" si="15"/>
        <v>0</v>
      </c>
      <c r="BL24" s="1812">
        <f t="shared" si="16"/>
        <v>0</v>
      </c>
      <c r="BM24" s="1282">
        <f t="shared" si="17"/>
        <v>0</v>
      </c>
      <c r="BN24" s="1282">
        <f t="shared" si="18"/>
        <v>0</v>
      </c>
      <c r="BO24" s="1119"/>
      <c r="BP24" s="1119"/>
      <c r="BQ24" s="1512">
        <f t="shared" si="19"/>
        <v>17</v>
      </c>
      <c r="BR24" s="1513">
        <f t="shared" si="20"/>
        <v>0</v>
      </c>
      <c r="BS24" s="1438"/>
      <c r="BT24" s="1495"/>
      <c r="BU24" s="1437"/>
      <c r="BV24" s="1437"/>
      <c r="BW24" s="1437"/>
      <c r="BX24" s="1515">
        <f t="shared" si="21"/>
        <v>0</v>
      </c>
      <c r="BY24" s="1438"/>
      <c r="BZ24" s="1495"/>
      <c r="CA24" s="1437"/>
      <c r="CB24" s="1437"/>
      <c r="CC24" s="1437"/>
      <c r="CD24" s="1515">
        <f t="shared" si="22"/>
        <v>0</v>
      </c>
      <c r="CE24" s="1438"/>
      <c r="CF24" s="1495"/>
      <c r="CG24" s="1437"/>
      <c r="CH24" s="1437"/>
      <c r="CI24" s="1437"/>
      <c r="CJ24" s="1515">
        <f t="shared" si="23"/>
        <v>0</v>
      </c>
      <c r="CK24" s="1434"/>
      <c r="CL24" s="357"/>
      <c r="CM24" s="357"/>
      <c r="CN24" s="357"/>
      <c r="CO24" s="357"/>
      <c r="CP24" s="357"/>
      <c r="CQ24" s="357"/>
      <c r="CR24" s="357"/>
    </row>
    <row r="25" spans="1:96" ht="23.25" customHeight="1">
      <c r="A25" s="468">
        <v>18</v>
      </c>
      <c r="B25" s="1705">
        <v>0</v>
      </c>
      <c r="C25" s="610"/>
      <c r="D25" s="575">
        <f t="shared" si="4"/>
        <v>100</v>
      </c>
      <c r="E25" s="1437">
        <v>0</v>
      </c>
      <c r="F25" s="1716">
        <v>0</v>
      </c>
      <c r="G25" s="1596">
        <v>0</v>
      </c>
      <c r="H25" s="1708">
        <v>0</v>
      </c>
      <c r="I25" s="578">
        <f t="shared" si="5"/>
        <v>0</v>
      </c>
      <c r="J25" s="650" t="s">
        <v>90</v>
      </c>
      <c r="K25" s="580">
        <f t="shared" si="0"/>
        <v>0</v>
      </c>
      <c r="L25" s="652" t="s">
        <v>234</v>
      </c>
      <c r="M25" s="582">
        <f t="shared" si="1"/>
        <v>10</v>
      </c>
      <c r="N25" s="1712">
        <v>0</v>
      </c>
      <c r="O25" s="740">
        <f t="shared" si="6"/>
        <v>0</v>
      </c>
      <c r="P25" s="738">
        <f t="shared" si="2"/>
        <v>0</v>
      </c>
      <c r="Q25" s="657">
        <f t="shared" si="7"/>
        <v>0</v>
      </c>
      <c r="R25" s="659">
        <f t="shared" si="8"/>
        <v>0</v>
      </c>
      <c r="S25" s="978"/>
      <c r="T25" s="2083">
        <f t="shared" si="24"/>
        <v>18</v>
      </c>
      <c r="U25" s="1329"/>
      <c r="V25" s="1330" t="s">
        <v>795</v>
      </c>
      <c r="W25" s="1424">
        <v>0</v>
      </c>
      <c r="X25" s="1033">
        <f>VLOOKUP(V25,Düngemittel!$B$6:$E$64,2,FALSE)*(VLOOKUP(V25,Düngemittel!$B$6:$E$64,3,FALSE))/100*W25</f>
        <v>0</v>
      </c>
      <c r="Y25" s="1033">
        <f>VLOOKUP(V25,Düngemittel!$B$6:$E$64,2,FALSE)*W25</f>
        <v>0</v>
      </c>
      <c r="Z25" s="1033">
        <f>VLOOKUP(V25,Düngemittel!$B$6:$E$64,4,FALSE)*W25</f>
        <v>0</v>
      </c>
      <c r="AA25" s="2089"/>
      <c r="AB25" s="1329"/>
      <c r="AC25" s="1330" t="s">
        <v>795</v>
      </c>
      <c r="AD25" s="1424">
        <v>0</v>
      </c>
      <c r="AE25" s="1033">
        <f>VLOOKUP(AC25,Düngemittel!$B$6:$E$64,2,FALSE)*(VLOOKUP(AC25,Düngemittel!$B$6:$E$64,3,FALSE))/100*AD25</f>
        <v>0</v>
      </c>
      <c r="AF25" s="1033">
        <f>VLOOKUP(AC25,Düngemittel!$B$6:$E$64,2,FALSE)*AD25</f>
        <v>0</v>
      </c>
      <c r="AG25" s="1033">
        <f>VLOOKUP(AC25,Düngemittel!$B$6:$E$64,4,FALSE)*AD25</f>
        <v>0</v>
      </c>
      <c r="AH25" s="2089"/>
      <c r="AI25" s="1329"/>
      <c r="AJ25" s="1330" t="s">
        <v>795</v>
      </c>
      <c r="AK25" s="1424">
        <v>0</v>
      </c>
      <c r="AL25" s="1033">
        <f>VLOOKUP(AJ25,Düngemittel!$B$6:$E$64,2,FALSE)*(VLOOKUP(AJ25,Düngemittel!$B$6:$E$64,3,FALSE))/100*AK25</f>
        <v>0</v>
      </c>
      <c r="AM25" s="1033">
        <f>VLOOKUP(AJ25,Düngemittel!$B$6:$E$64,2,FALSE)*AK25</f>
        <v>0</v>
      </c>
      <c r="AN25" s="1033">
        <f>VLOOKUP(AJ25,Düngemittel!$B$6:$E$64,4,FALSE)*AK25</f>
        <v>0</v>
      </c>
      <c r="AO25" s="2089"/>
      <c r="AP25" s="1329"/>
      <c r="AQ25" s="1330" t="s">
        <v>795</v>
      </c>
      <c r="AR25" s="1424">
        <v>0</v>
      </c>
      <c r="AS25" s="1033">
        <f>VLOOKUP(AQ25,Düngemittel!$B$6:$E$64,2,FALSE)*(VLOOKUP(AQ25,Düngemittel!$B$6:$E$64,3,FALSE))/100*AR25</f>
        <v>0</v>
      </c>
      <c r="AT25" s="1033">
        <f>VLOOKUP(AQ25,Düngemittel!$B$6:$E$64,2,FALSE)*AR25</f>
        <v>0</v>
      </c>
      <c r="AU25" s="1033">
        <f>VLOOKUP(AQ25,Düngemittel!$B$6:$E$64,4,FALSE)*AR25</f>
        <v>0</v>
      </c>
      <c r="AV25" s="2089"/>
      <c r="AW25" s="1329"/>
      <c r="AX25" s="1330" t="s">
        <v>795</v>
      </c>
      <c r="AY25" s="1424">
        <v>0</v>
      </c>
      <c r="AZ25" s="1033">
        <f>VLOOKUP(AX25,Düngemittel!$B$6:$E$64,2,FALSE)*(VLOOKUP(AX25,Düngemittel!$B$6:$E$64,3,FALSE))/100*AY25</f>
        <v>0</v>
      </c>
      <c r="BA25" s="1033">
        <f>VLOOKUP(AX25,Düngemittel!$B$6:$E$64,2,FALSE)*AY25</f>
        <v>0</v>
      </c>
      <c r="BB25" s="1033">
        <f>VLOOKUP(AX25,Düngemittel!$B$6:$E$64,4,FALSE)*AY25</f>
        <v>0</v>
      </c>
      <c r="BC25" s="863"/>
      <c r="BD25" s="1812">
        <f t="shared" si="9"/>
        <v>0</v>
      </c>
      <c r="BE25" s="1273">
        <f t="shared" si="10"/>
        <v>0</v>
      </c>
      <c r="BF25" s="1819">
        <f t="shared" si="11"/>
        <v>0</v>
      </c>
      <c r="BG25" s="1151">
        <f t="shared" si="12"/>
        <v>0</v>
      </c>
      <c r="BH25" s="1273">
        <f t="shared" si="13"/>
        <v>0</v>
      </c>
      <c r="BI25" s="1152"/>
      <c r="BJ25" s="1812">
        <f t="shared" si="14"/>
        <v>0</v>
      </c>
      <c r="BK25" s="1282">
        <f t="shared" si="15"/>
        <v>0</v>
      </c>
      <c r="BL25" s="1812">
        <f t="shared" si="16"/>
        <v>0</v>
      </c>
      <c r="BM25" s="1282">
        <f t="shared" si="17"/>
        <v>0</v>
      </c>
      <c r="BN25" s="1282">
        <f t="shared" si="18"/>
        <v>0</v>
      </c>
      <c r="BO25" s="1119"/>
      <c r="BP25" s="1119"/>
      <c r="BQ25" s="1512">
        <f t="shared" si="19"/>
        <v>18</v>
      </c>
      <c r="BR25" s="1513">
        <f t="shared" si="20"/>
        <v>0</v>
      </c>
      <c r="BS25" s="1438"/>
      <c r="BT25" s="1495"/>
      <c r="BU25" s="1437"/>
      <c r="BV25" s="1437"/>
      <c r="BW25" s="1437"/>
      <c r="BX25" s="1515">
        <f t="shared" si="21"/>
        <v>0</v>
      </c>
      <c r="BY25" s="1438"/>
      <c r="BZ25" s="1495"/>
      <c r="CA25" s="1437"/>
      <c r="CB25" s="1437"/>
      <c r="CC25" s="1437"/>
      <c r="CD25" s="1515">
        <f t="shared" si="22"/>
        <v>0</v>
      </c>
      <c r="CE25" s="1438"/>
      <c r="CF25" s="1495"/>
      <c r="CG25" s="1437"/>
      <c r="CH25" s="1437"/>
      <c r="CI25" s="1437"/>
      <c r="CJ25" s="1515">
        <f t="shared" si="23"/>
        <v>0</v>
      </c>
      <c r="CK25" s="1434"/>
      <c r="CL25" s="357"/>
      <c r="CM25" s="357"/>
      <c r="CN25" s="357"/>
      <c r="CO25" s="357"/>
      <c r="CP25" s="357"/>
      <c r="CQ25" s="357"/>
      <c r="CR25" s="357"/>
    </row>
    <row r="26" spans="1:96" ht="23.25" customHeight="1">
      <c r="A26" s="468">
        <v>19</v>
      </c>
      <c r="B26" s="1705">
        <v>0</v>
      </c>
      <c r="C26" s="610"/>
      <c r="D26" s="575">
        <f t="shared" si="4"/>
        <v>100</v>
      </c>
      <c r="E26" s="1437">
        <v>0</v>
      </c>
      <c r="F26" s="1716">
        <v>0</v>
      </c>
      <c r="G26" s="1596">
        <v>0</v>
      </c>
      <c r="H26" s="1708">
        <v>0</v>
      </c>
      <c r="I26" s="578">
        <f t="shared" si="5"/>
        <v>0</v>
      </c>
      <c r="J26" s="650" t="s">
        <v>90</v>
      </c>
      <c r="K26" s="580">
        <f t="shared" si="0"/>
        <v>0</v>
      </c>
      <c r="L26" s="652" t="s">
        <v>234</v>
      </c>
      <c r="M26" s="582">
        <f t="shared" si="1"/>
        <v>10</v>
      </c>
      <c r="N26" s="1712">
        <v>0</v>
      </c>
      <c r="O26" s="740">
        <f t="shared" si="6"/>
        <v>0</v>
      </c>
      <c r="P26" s="738">
        <f t="shared" si="2"/>
        <v>0</v>
      </c>
      <c r="Q26" s="657">
        <f t="shared" si="7"/>
        <v>0</v>
      </c>
      <c r="R26" s="659">
        <f t="shared" si="8"/>
        <v>0</v>
      </c>
      <c r="S26" s="978"/>
      <c r="T26" s="2083">
        <f t="shared" si="24"/>
        <v>19</v>
      </c>
      <c r="U26" s="1329"/>
      <c r="V26" s="1330" t="s">
        <v>795</v>
      </c>
      <c r="W26" s="1424">
        <v>0</v>
      </c>
      <c r="X26" s="1033">
        <f>VLOOKUP(V26,Düngemittel!$B$6:$E$64,2,FALSE)*(VLOOKUP(V26,Düngemittel!$B$6:$E$64,3,FALSE))/100*W26</f>
        <v>0</v>
      </c>
      <c r="Y26" s="1033">
        <f>VLOOKUP(V26,Düngemittel!$B$6:$E$64,2,FALSE)*W26</f>
        <v>0</v>
      </c>
      <c r="Z26" s="1033">
        <f>VLOOKUP(V26,Düngemittel!$B$6:$E$64,4,FALSE)*W26</f>
        <v>0</v>
      </c>
      <c r="AA26" s="2089"/>
      <c r="AB26" s="1329"/>
      <c r="AC26" s="1330" t="s">
        <v>795</v>
      </c>
      <c r="AD26" s="1424">
        <v>0</v>
      </c>
      <c r="AE26" s="1033">
        <f>VLOOKUP(AC26,Düngemittel!$B$6:$E$64,2,FALSE)*(VLOOKUP(AC26,Düngemittel!$B$6:$E$64,3,FALSE))/100*AD26</f>
        <v>0</v>
      </c>
      <c r="AF26" s="1033">
        <f>VLOOKUP(AC26,Düngemittel!$B$6:$E$64,2,FALSE)*AD26</f>
        <v>0</v>
      </c>
      <c r="AG26" s="1033">
        <f>VLOOKUP(AC26,Düngemittel!$B$6:$E$64,4,FALSE)*AD26</f>
        <v>0</v>
      </c>
      <c r="AH26" s="2089"/>
      <c r="AI26" s="1329"/>
      <c r="AJ26" s="1330" t="s">
        <v>795</v>
      </c>
      <c r="AK26" s="1424">
        <v>0</v>
      </c>
      <c r="AL26" s="1033">
        <f>VLOOKUP(AJ26,Düngemittel!$B$6:$E$64,2,FALSE)*(VLOOKUP(AJ26,Düngemittel!$B$6:$E$64,3,FALSE))/100*AK26</f>
        <v>0</v>
      </c>
      <c r="AM26" s="1033">
        <f>VLOOKUP(AJ26,Düngemittel!$B$6:$E$64,2,FALSE)*AK26</f>
        <v>0</v>
      </c>
      <c r="AN26" s="1033">
        <f>VLOOKUP(AJ26,Düngemittel!$B$6:$E$64,4,FALSE)*AK26</f>
        <v>0</v>
      </c>
      <c r="AO26" s="2089"/>
      <c r="AP26" s="1329"/>
      <c r="AQ26" s="1330" t="s">
        <v>795</v>
      </c>
      <c r="AR26" s="1424">
        <v>0</v>
      </c>
      <c r="AS26" s="1033">
        <f>VLOOKUP(AQ26,Düngemittel!$B$6:$E$64,2,FALSE)*(VLOOKUP(AQ26,Düngemittel!$B$6:$E$64,3,FALSE))/100*AR26</f>
        <v>0</v>
      </c>
      <c r="AT26" s="1033">
        <f>VLOOKUP(AQ26,Düngemittel!$B$6:$E$64,2,FALSE)*AR26</f>
        <v>0</v>
      </c>
      <c r="AU26" s="1033">
        <f>VLOOKUP(AQ26,Düngemittel!$B$6:$E$64,4,FALSE)*AR26</f>
        <v>0</v>
      </c>
      <c r="AV26" s="2089"/>
      <c r="AW26" s="1329"/>
      <c r="AX26" s="1330" t="s">
        <v>795</v>
      </c>
      <c r="AY26" s="1424">
        <v>0</v>
      </c>
      <c r="AZ26" s="1033">
        <f>VLOOKUP(AX26,Düngemittel!$B$6:$E$64,2,FALSE)*(VLOOKUP(AX26,Düngemittel!$B$6:$E$64,3,FALSE))/100*AY26</f>
        <v>0</v>
      </c>
      <c r="BA26" s="1033">
        <f>VLOOKUP(AX26,Düngemittel!$B$6:$E$64,2,FALSE)*AY26</f>
        <v>0</v>
      </c>
      <c r="BB26" s="1033">
        <f>VLOOKUP(AX26,Düngemittel!$B$6:$E$64,4,FALSE)*AY26</f>
        <v>0</v>
      </c>
      <c r="BC26" s="863"/>
      <c r="BD26" s="1812">
        <f t="shared" si="9"/>
        <v>0</v>
      </c>
      <c r="BE26" s="1273">
        <f t="shared" si="10"/>
        <v>0</v>
      </c>
      <c r="BF26" s="1819">
        <f t="shared" si="11"/>
        <v>0</v>
      </c>
      <c r="BG26" s="1151">
        <f t="shared" si="12"/>
        <v>0</v>
      </c>
      <c r="BH26" s="1273">
        <f t="shared" si="13"/>
        <v>0</v>
      </c>
      <c r="BI26" s="1152"/>
      <c r="BJ26" s="1812">
        <f t="shared" si="14"/>
        <v>0</v>
      </c>
      <c r="BK26" s="1282">
        <f t="shared" si="15"/>
        <v>0</v>
      </c>
      <c r="BL26" s="1812">
        <f t="shared" si="16"/>
        <v>0</v>
      </c>
      <c r="BM26" s="1282">
        <f t="shared" si="17"/>
        <v>0</v>
      </c>
      <c r="BN26" s="1282">
        <f t="shared" si="18"/>
        <v>0</v>
      </c>
      <c r="BO26" s="1119"/>
      <c r="BP26" s="1119"/>
      <c r="BQ26" s="1512">
        <f t="shared" si="19"/>
        <v>19</v>
      </c>
      <c r="BR26" s="1513">
        <f t="shared" si="20"/>
        <v>0</v>
      </c>
      <c r="BS26" s="1438"/>
      <c r="BT26" s="1495"/>
      <c r="BU26" s="1437"/>
      <c r="BV26" s="1437"/>
      <c r="BW26" s="1437"/>
      <c r="BX26" s="1515">
        <f t="shared" si="21"/>
        <v>0</v>
      </c>
      <c r="BY26" s="1438"/>
      <c r="BZ26" s="1495"/>
      <c r="CA26" s="1437"/>
      <c r="CB26" s="1437"/>
      <c r="CC26" s="1437"/>
      <c r="CD26" s="1515">
        <f t="shared" si="22"/>
        <v>0</v>
      </c>
      <c r="CE26" s="1438"/>
      <c r="CF26" s="1495"/>
      <c r="CG26" s="1437"/>
      <c r="CH26" s="1437"/>
      <c r="CI26" s="1437"/>
      <c r="CJ26" s="1515">
        <f t="shared" si="23"/>
        <v>0</v>
      </c>
      <c r="CK26" s="1434"/>
      <c r="CL26" s="357"/>
      <c r="CM26" s="357"/>
      <c r="CN26" s="357"/>
      <c r="CO26" s="357"/>
      <c r="CP26" s="357"/>
      <c r="CQ26" s="357"/>
      <c r="CR26" s="357"/>
    </row>
    <row r="27" spans="1:96" ht="23.25" customHeight="1">
      <c r="A27" s="468">
        <v>20</v>
      </c>
      <c r="B27" s="1705">
        <v>0</v>
      </c>
      <c r="C27" s="610"/>
      <c r="D27" s="575">
        <f t="shared" si="4"/>
        <v>100</v>
      </c>
      <c r="E27" s="1437">
        <v>0</v>
      </c>
      <c r="F27" s="1716">
        <v>0</v>
      </c>
      <c r="G27" s="1596">
        <v>0</v>
      </c>
      <c r="H27" s="1708">
        <v>0</v>
      </c>
      <c r="I27" s="578">
        <f t="shared" si="5"/>
        <v>0</v>
      </c>
      <c r="J27" s="650" t="s">
        <v>90</v>
      </c>
      <c r="K27" s="580">
        <f t="shared" si="0"/>
        <v>0</v>
      </c>
      <c r="L27" s="652" t="s">
        <v>234</v>
      </c>
      <c r="M27" s="582">
        <f t="shared" si="1"/>
        <v>10</v>
      </c>
      <c r="N27" s="1712">
        <v>0</v>
      </c>
      <c r="O27" s="740">
        <f t="shared" si="6"/>
        <v>0</v>
      </c>
      <c r="P27" s="738">
        <f t="shared" si="2"/>
        <v>0</v>
      </c>
      <c r="Q27" s="657">
        <f t="shared" si="7"/>
        <v>0</v>
      </c>
      <c r="R27" s="659">
        <f t="shared" si="8"/>
        <v>0</v>
      </c>
      <c r="S27" s="978"/>
      <c r="T27" s="2083">
        <f t="shared" si="24"/>
        <v>20</v>
      </c>
      <c r="U27" s="1329"/>
      <c r="V27" s="1330" t="s">
        <v>795</v>
      </c>
      <c r="W27" s="1424">
        <v>0</v>
      </c>
      <c r="X27" s="1033">
        <f>VLOOKUP(V27,Düngemittel!$B$6:$E$64,2,FALSE)*(VLOOKUP(V27,Düngemittel!$B$6:$E$64,3,FALSE))/100*W27</f>
        <v>0</v>
      </c>
      <c r="Y27" s="1033">
        <f>VLOOKUP(V27,Düngemittel!$B$6:$E$64,2,FALSE)*W27</f>
        <v>0</v>
      </c>
      <c r="Z27" s="1033">
        <f>VLOOKUP(V27,Düngemittel!$B$6:$E$64,4,FALSE)*W27</f>
        <v>0</v>
      </c>
      <c r="AA27" s="2089"/>
      <c r="AB27" s="1329"/>
      <c r="AC27" s="1330" t="s">
        <v>795</v>
      </c>
      <c r="AD27" s="1424">
        <v>0</v>
      </c>
      <c r="AE27" s="1033">
        <f>VLOOKUP(AC27,Düngemittel!$B$6:$E$64,2,FALSE)*(VLOOKUP(AC27,Düngemittel!$B$6:$E$64,3,FALSE))/100*AD27</f>
        <v>0</v>
      </c>
      <c r="AF27" s="1033">
        <f>VLOOKUP(AC27,Düngemittel!$B$6:$E$64,2,FALSE)*AD27</f>
        <v>0</v>
      </c>
      <c r="AG27" s="1033">
        <f>VLOOKUP(AC27,Düngemittel!$B$6:$E$64,4,FALSE)*AD27</f>
        <v>0</v>
      </c>
      <c r="AH27" s="2089"/>
      <c r="AI27" s="1329"/>
      <c r="AJ27" s="1330" t="s">
        <v>795</v>
      </c>
      <c r="AK27" s="1424">
        <v>0</v>
      </c>
      <c r="AL27" s="1033">
        <f>VLOOKUP(AJ27,Düngemittel!$B$6:$E$64,2,FALSE)*(VLOOKUP(AJ27,Düngemittel!$B$6:$E$64,3,FALSE))/100*AK27</f>
        <v>0</v>
      </c>
      <c r="AM27" s="1033">
        <f>VLOOKUP(AJ27,Düngemittel!$B$6:$E$64,2,FALSE)*AK27</f>
        <v>0</v>
      </c>
      <c r="AN27" s="1033">
        <f>VLOOKUP(AJ27,Düngemittel!$B$6:$E$64,4,FALSE)*AK27</f>
        <v>0</v>
      </c>
      <c r="AO27" s="2089"/>
      <c r="AP27" s="1329"/>
      <c r="AQ27" s="1330" t="s">
        <v>795</v>
      </c>
      <c r="AR27" s="1424">
        <v>0</v>
      </c>
      <c r="AS27" s="1033">
        <f>VLOOKUP(AQ27,Düngemittel!$B$6:$E$64,2,FALSE)*(VLOOKUP(AQ27,Düngemittel!$B$6:$E$64,3,FALSE))/100*AR27</f>
        <v>0</v>
      </c>
      <c r="AT27" s="1033">
        <f>VLOOKUP(AQ27,Düngemittel!$B$6:$E$64,2,FALSE)*AR27</f>
        <v>0</v>
      </c>
      <c r="AU27" s="1033">
        <f>VLOOKUP(AQ27,Düngemittel!$B$6:$E$64,4,FALSE)*AR27</f>
        <v>0</v>
      </c>
      <c r="AV27" s="2089"/>
      <c r="AW27" s="1329"/>
      <c r="AX27" s="1330" t="s">
        <v>795</v>
      </c>
      <c r="AY27" s="1424">
        <v>0</v>
      </c>
      <c r="AZ27" s="1033">
        <f>VLOOKUP(AX27,Düngemittel!$B$6:$E$64,2,FALSE)*(VLOOKUP(AX27,Düngemittel!$B$6:$E$64,3,FALSE))/100*AY27</f>
        <v>0</v>
      </c>
      <c r="BA27" s="1033">
        <f>VLOOKUP(AX27,Düngemittel!$B$6:$E$64,2,FALSE)*AY27</f>
        <v>0</v>
      </c>
      <c r="BB27" s="1033">
        <f>VLOOKUP(AX27,Düngemittel!$B$6:$E$64,4,FALSE)*AY27</f>
        <v>0</v>
      </c>
      <c r="BC27" s="863"/>
      <c r="BD27" s="1812">
        <f t="shared" si="9"/>
        <v>0</v>
      </c>
      <c r="BE27" s="1273">
        <f t="shared" si="10"/>
        <v>0</v>
      </c>
      <c r="BF27" s="1819">
        <f t="shared" si="11"/>
        <v>0</v>
      </c>
      <c r="BG27" s="1151">
        <f t="shared" si="12"/>
        <v>0</v>
      </c>
      <c r="BH27" s="1273">
        <f t="shared" si="13"/>
        <v>0</v>
      </c>
      <c r="BI27" s="1152"/>
      <c r="BJ27" s="1812">
        <f t="shared" si="14"/>
        <v>0</v>
      </c>
      <c r="BK27" s="1282">
        <f t="shared" si="15"/>
        <v>0</v>
      </c>
      <c r="BL27" s="1812">
        <f t="shared" si="16"/>
        <v>0</v>
      </c>
      <c r="BM27" s="1282">
        <f t="shared" si="17"/>
        <v>0</v>
      </c>
      <c r="BN27" s="1282">
        <f t="shared" si="18"/>
        <v>0</v>
      </c>
      <c r="BO27" s="1119"/>
      <c r="BP27" s="1119"/>
      <c r="BQ27" s="1512">
        <f t="shared" si="19"/>
        <v>20</v>
      </c>
      <c r="BR27" s="1513">
        <f t="shared" si="20"/>
        <v>0</v>
      </c>
      <c r="BS27" s="1438"/>
      <c r="BT27" s="1495"/>
      <c r="BU27" s="1437"/>
      <c r="BV27" s="1437"/>
      <c r="BW27" s="1437"/>
      <c r="BX27" s="1515">
        <f t="shared" si="21"/>
        <v>0</v>
      </c>
      <c r="BY27" s="1438"/>
      <c r="BZ27" s="1495"/>
      <c r="CA27" s="1437"/>
      <c r="CB27" s="1437"/>
      <c r="CC27" s="1437"/>
      <c r="CD27" s="1515">
        <f t="shared" si="22"/>
        <v>0</v>
      </c>
      <c r="CE27" s="1438"/>
      <c r="CF27" s="1495"/>
      <c r="CG27" s="1437"/>
      <c r="CH27" s="1437"/>
      <c r="CI27" s="1437"/>
      <c r="CJ27" s="1515">
        <f t="shared" si="23"/>
        <v>0</v>
      </c>
      <c r="CK27" s="1434"/>
      <c r="CL27" s="357"/>
      <c r="CM27" s="357"/>
      <c r="CN27" s="357"/>
      <c r="CO27" s="357"/>
      <c r="CP27" s="357"/>
      <c r="CQ27" s="357"/>
      <c r="CR27" s="357"/>
    </row>
    <row r="28" spans="1:96" ht="23.25" customHeight="1">
      <c r="A28" s="468">
        <v>21</v>
      </c>
      <c r="B28" s="1705">
        <v>0</v>
      </c>
      <c r="C28" s="610"/>
      <c r="D28" s="575">
        <f t="shared" si="4"/>
        <v>100</v>
      </c>
      <c r="E28" s="1437">
        <v>0</v>
      </c>
      <c r="F28" s="1716">
        <v>0</v>
      </c>
      <c r="G28" s="1596">
        <v>0</v>
      </c>
      <c r="H28" s="1708">
        <v>0</v>
      </c>
      <c r="I28" s="578">
        <f t="shared" si="5"/>
        <v>0</v>
      </c>
      <c r="J28" s="650" t="s">
        <v>90</v>
      </c>
      <c r="K28" s="580">
        <f t="shared" si="0"/>
        <v>0</v>
      </c>
      <c r="L28" s="652" t="s">
        <v>234</v>
      </c>
      <c r="M28" s="582">
        <f t="shared" si="1"/>
        <v>10</v>
      </c>
      <c r="N28" s="1712">
        <v>0</v>
      </c>
      <c r="O28" s="740">
        <f t="shared" si="6"/>
        <v>0</v>
      </c>
      <c r="P28" s="738">
        <f t="shared" si="2"/>
        <v>0</v>
      </c>
      <c r="Q28" s="657">
        <f t="shared" si="7"/>
        <v>0</v>
      </c>
      <c r="R28" s="659">
        <f t="shared" si="8"/>
        <v>0</v>
      </c>
      <c r="S28" s="978"/>
      <c r="T28" s="2083">
        <f t="shared" si="24"/>
        <v>21</v>
      </c>
      <c r="U28" s="1329"/>
      <c r="V28" s="1330" t="s">
        <v>795</v>
      </c>
      <c r="W28" s="1424">
        <v>0</v>
      </c>
      <c r="X28" s="1033">
        <f>VLOOKUP(V28,Düngemittel!$B$6:$E$64,2,FALSE)*(VLOOKUP(V28,Düngemittel!$B$6:$E$64,3,FALSE))/100*W28</f>
        <v>0</v>
      </c>
      <c r="Y28" s="1033">
        <f>VLOOKUP(V28,Düngemittel!$B$6:$E$64,2,FALSE)*W28</f>
        <v>0</v>
      </c>
      <c r="Z28" s="1033">
        <f>VLOOKUP(V28,Düngemittel!$B$6:$E$64,4,FALSE)*W28</f>
        <v>0</v>
      </c>
      <c r="AA28" s="142"/>
      <c r="AB28" s="1329"/>
      <c r="AC28" s="1330" t="s">
        <v>795</v>
      </c>
      <c r="AD28" s="1424">
        <v>0</v>
      </c>
      <c r="AE28" s="1033">
        <f>VLOOKUP(AC28,Düngemittel!$B$6:$E$64,2,FALSE)*(VLOOKUP(AC28,Düngemittel!$B$6:$E$64,3,FALSE))/100*AD28</f>
        <v>0</v>
      </c>
      <c r="AF28" s="1033">
        <f>VLOOKUP(AC28,Düngemittel!$B$6:$E$64,2,FALSE)*AD28</f>
        <v>0</v>
      </c>
      <c r="AG28" s="1033">
        <f>VLOOKUP(AC28,Düngemittel!$B$6:$E$64,4,FALSE)*AD28</f>
        <v>0</v>
      </c>
      <c r="AH28" s="142"/>
      <c r="AI28" s="1329"/>
      <c r="AJ28" s="1330" t="s">
        <v>795</v>
      </c>
      <c r="AK28" s="1424">
        <v>0</v>
      </c>
      <c r="AL28" s="1033">
        <f>VLOOKUP(AJ28,Düngemittel!$B$6:$E$64,2,FALSE)*(VLOOKUP(AJ28,Düngemittel!$B$6:$E$64,3,FALSE))/100*AK28</f>
        <v>0</v>
      </c>
      <c r="AM28" s="1033">
        <f>VLOOKUP(AJ28,Düngemittel!$B$6:$E$64,2,FALSE)*AK28</f>
        <v>0</v>
      </c>
      <c r="AN28" s="1033">
        <f>VLOOKUP(AJ28,Düngemittel!$B$6:$E$64,4,FALSE)*AK28</f>
        <v>0</v>
      </c>
      <c r="AO28" s="142"/>
      <c r="AP28" s="1329"/>
      <c r="AQ28" s="1330" t="s">
        <v>795</v>
      </c>
      <c r="AR28" s="1424">
        <v>0</v>
      </c>
      <c r="AS28" s="1033">
        <f>VLOOKUP(AQ28,Düngemittel!$B$6:$E$64,2,FALSE)*(VLOOKUP(AQ28,Düngemittel!$B$6:$E$64,3,FALSE))/100*AR28</f>
        <v>0</v>
      </c>
      <c r="AT28" s="1033">
        <f>VLOOKUP(AQ28,Düngemittel!$B$6:$E$64,2,FALSE)*AR28</f>
        <v>0</v>
      </c>
      <c r="AU28" s="1033">
        <f>VLOOKUP(AQ28,Düngemittel!$B$6:$E$64,4,FALSE)*AR28</f>
        <v>0</v>
      </c>
      <c r="AV28" s="142"/>
      <c r="AW28" s="1329"/>
      <c r="AX28" s="1330" t="s">
        <v>795</v>
      </c>
      <c r="AY28" s="1424">
        <v>0</v>
      </c>
      <c r="AZ28" s="1033">
        <f>VLOOKUP(AX28,Düngemittel!$B$6:$E$64,2,FALSE)*(VLOOKUP(AX28,Düngemittel!$B$6:$E$64,3,FALSE))/100*AY28</f>
        <v>0</v>
      </c>
      <c r="BA28" s="1033">
        <f>VLOOKUP(AX28,Düngemittel!$B$6:$E$64,2,FALSE)*AY28</f>
        <v>0</v>
      </c>
      <c r="BB28" s="1033">
        <f>VLOOKUP(AX28,Düngemittel!$B$6:$E$64,4,FALSE)*AY28</f>
        <v>0</v>
      </c>
      <c r="BC28" s="863"/>
      <c r="BD28" s="1812">
        <f t="shared" si="9"/>
        <v>0</v>
      </c>
      <c r="BE28" s="1273">
        <f t="shared" si="10"/>
        <v>0</v>
      </c>
      <c r="BF28" s="1819">
        <f t="shared" si="11"/>
        <v>0</v>
      </c>
      <c r="BG28" s="1151">
        <f t="shared" si="12"/>
        <v>0</v>
      </c>
      <c r="BH28" s="1273">
        <f t="shared" si="13"/>
        <v>0</v>
      </c>
      <c r="BI28" s="1152"/>
      <c r="BJ28" s="1812">
        <f t="shared" si="14"/>
        <v>0</v>
      </c>
      <c r="BK28" s="1282">
        <f t="shared" si="15"/>
        <v>0</v>
      </c>
      <c r="BL28" s="1812">
        <f t="shared" si="16"/>
        <v>0</v>
      </c>
      <c r="BM28" s="1282">
        <f t="shared" si="17"/>
        <v>0</v>
      </c>
      <c r="BN28" s="1282">
        <f t="shared" si="18"/>
        <v>0</v>
      </c>
      <c r="BO28" s="1119"/>
      <c r="BP28" s="1119"/>
      <c r="BQ28" s="1512">
        <f t="shared" si="19"/>
        <v>21</v>
      </c>
      <c r="BR28" s="1513">
        <f t="shared" si="20"/>
        <v>0</v>
      </c>
      <c r="BS28" s="1438"/>
      <c r="BT28" s="1495"/>
      <c r="BU28" s="1437"/>
      <c r="BV28" s="1437"/>
      <c r="BW28" s="1437"/>
      <c r="BX28" s="1515">
        <f t="shared" si="21"/>
        <v>0</v>
      </c>
      <c r="BY28" s="1438"/>
      <c r="BZ28" s="1495"/>
      <c r="CA28" s="1437"/>
      <c r="CB28" s="1437"/>
      <c r="CC28" s="1437"/>
      <c r="CD28" s="1515">
        <f t="shared" si="22"/>
        <v>0</v>
      </c>
      <c r="CE28" s="1438"/>
      <c r="CF28" s="1495"/>
      <c r="CG28" s="1437"/>
      <c r="CH28" s="1437"/>
      <c r="CI28" s="1437"/>
      <c r="CJ28" s="1515">
        <f t="shared" si="23"/>
        <v>0</v>
      </c>
      <c r="CK28" s="1434"/>
      <c r="CL28" s="357"/>
      <c r="CM28" s="357"/>
      <c r="CN28" s="357"/>
      <c r="CO28" s="357"/>
      <c r="CP28" s="357"/>
      <c r="CQ28" s="357"/>
      <c r="CR28" s="357"/>
    </row>
    <row r="29" spans="1:96" s="111" customFormat="1" ht="23.25" customHeight="1">
      <c r="A29" s="468">
        <v>22</v>
      </c>
      <c r="B29" s="1705">
        <v>0</v>
      </c>
      <c r="C29" s="614"/>
      <c r="D29" s="575">
        <f t="shared" si="4"/>
        <v>100</v>
      </c>
      <c r="E29" s="1437">
        <v>0</v>
      </c>
      <c r="F29" s="1716">
        <v>0</v>
      </c>
      <c r="G29" s="1596">
        <v>0</v>
      </c>
      <c r="H29" s="1708">
        <v>0</v>
      </c>
      <c r="I29" s="578">
        <f t="shared" si="5"/>
        <v>0</v>
      </c>
      <c r="J29" s="650" t="s">
        <v>90</v>
      </c>
      <c r="K29" s="580">
        <f t="shared" si="0"/>
        <v>0</v>
      </c>
      <c r="L29" s="652" t="s">
        <v>234</v>
      </c>
      <c r="M29" s="582">
        <f t="shared" si="1"/>
        <v>10</v>
      </c>
      <c r="N29" s="1712">
        <v>0</v>
      </c>
      <c r="O29" s="740">
        <f t="shared" si="6"/>
        <v>0</v>
      </c>
      <c r="P29" s="738">
        <f t="shared" si="2"/>
        <v>0</v>
      </c>
      <c r="Q29" s="657">
        <f t="shared" si="7"/>
        <v>0</v>
      </c>
      <c r="R29" s="659">
        <f t="shared" si="8"/>
        <v>0</v>
      </c>
      <c r="S29" s="978"/>
      <c r="T29" s="2083">
        <f t="shared" si="24"/>
        <v>22</v>
      </c>
      <c r="U29" s="1329"/>
      <c r="V29" s="1330" t="s">
        <v>795</v>
      </c>
      <c r="W29" s="1424">
        <v>0</v>
      </c>
      <c r="X29" s="1033">
        <f>VLOOKUP(V29,Düngemittel!$B$6:$E$64,2,FALSE)*(VLOOKUP(V29,Düngemittel!$B$6:$E$64,3,FALSE))/100*W29</f>
        <v>0</v>
      </c>
      <c r="Y29" s="1033">
        <f>VLOOKUP(V29,Düngemittel!$B$6:$E$64,2,FALSE)*W29</f>
        <v>0</v>
      </c>
      <c r="Z29" s="1033">
        <f>VLOOKUP(V29,Düngemittel!$B$6:$E$64,4,FALSE)*W29</f>
        <v>0</v>
      </c>
      <c r="AA29" s="2089"/>
      <c r="AB29" s="1329"/>
      <c r="AC29" s="1330" t="s">
        <v>795</v>
      </c>
      <c r="AD29" s="1424">
        <v>0</v>
      </c>
      <c r="AE29" s="1033">
        <f>VLOOKUP(AC29,Düngemittel!$B$6:$E$64,2,FALSE)*(VLOOKUP(AC29,Düngemittel!$B$6:$E$64,3,FALSE))/100*AD29</f>
        <v>0</v>
      </c>
      <c r="AF29" s="1033">
        <f>VLOOKUP(AC29,Düngemittel!$B$6:$E$64,2,FALSE)*AD29</f>
        <v>0</v>
      </c>
      <c r="AG29" s="1033">
        <f>VLOOKUP(AC29,Düngemittel!$B$6:$E$64,4,FALSE)*AD29</f>
        <v>0</v>
      </c>
      <c r="AH29" s="2089"/>
      <c r="AI29" s="1329"/>
      <c r="AJ29" s="1330" t="s">
        <v>795</v>
      </c>
      <c r="AK29" s="1424">
        <v>0</v>
      </c>
      <c r="AL29" s="1033">
        <f>VLOOKUP(AJ29,Düngemittel!$B$6:$E$64,2,FALSE)*(VLOOKUP(AJ29,Düngemittel!$B$6:$E$64,3,FALSE))/100*AK29</f>
        <v>0</v>
      </c>
      <c r="AM29" s="1033">
        <f>VLOOKUP(AJ29,Düngemittel!$B$6:$E$64,2,FALSE)*AK29</f>
        <v>0</v>
      </c>
      <c r="AN29" s="1033">
        <f>VLOOKUP(AJ29,Düngemittel!$B$6:$E$64,4,FALSE)*AK29</f>
        <v>0</v>
      </c>
      <c r="AO29" s="2089"/>
      <c r="AP29" s="1329"/>
      <c r="AQ29" s="1330" t="s">
        <v>795</v>
      </c>
      <c r="AR29" s="1424">
        <v>0</v>
      </c>
      <c r="AS29" s="1033">
        <f>VLOOKUP(AQ29,Düngemittel!$B$6:$E$64,2,FALSE)*(VLOOKUP(AQ29,Düngemittel!$B$6:$E$64,3,FALSE))/100*AR29</f>
        <v>0</v>
      </c>
      <c r="AT29" s="1033">
        <f>VLOOKUP(AQ29,Düngemittel!$B$6:$E$64,2,FALSE)*AR29</f>
        <v>0</v>
      </c>
      <c r="AU29" s="1033">
        <f>VLOOKUP(AQ29,Düngemittel!$B$6:$E$64,4,FALSE)*AR29</f>
        <v>0</v>
      </c>
      <c r="AV29" s="2089"/>
      <c r="AW29" s="1329"/>
      <c r="AX29" s="1330" t="s">
        <v>795</v>
      </c>
      <c r="AY29" s="1424">
        <v>0</v>
      </c>
      <c r="AZ29" s="1033">
        <f>VLOOKUP(AX29,Düngemittel!$B$6:$E$64,2,FALSE)*(VLOOKUP(AX29,Düngemittel!$B$6:$E$64,3,FALSE))/100*AY29</f>
        <v>0</v>
      </c>
      <c r="BA29" s="1033">
        <f>VLOOKUP(AX29,Düngemittel!$B$6:$E$64,2,FALSE)*AY29</f>
        <v>0</v>
      </c>
      <c r="BB29" s="1033">
        <f>VLOOKUP(AX29,Düngemittel!$B$6:$E$64,4,FALSE)*AY29</f>
        <v>0</v>
      </c>
      <c r="BC29" s="863"/>
      <c r="BD29" s="1812">
        <f t="shared" si="9"/>
        <v>0</v>
      </c>
      <c r="BE29" s="1273">
        <f t="shared" si="10"/>
        <v>0</v>
      </c>
      <c r="BF29" s="1819">
        <f t="shared" si="11"/>
        <v>0</v>
      </c>
      <c r="BG29" s="1151">
        <f t="shared" si="12"/>
        <v>0</v>
      </c>
      <c r="BH29" s="1273">
        <f t="shared" si="13"/>
        <v>0</v>
      </c>
      <c r="BI29" s="1152"/>
      <c r="BJ29" s="1812">
        <f t="shared" si="14"/>
        <v>0</v>
      </c>
      <c r="BK29" s="1282">
        <f t="shared" si="15"/>
        <v>0</v>
      </c>
      <c r="BL29" s="1812">
        <f t="shared" si="16"/>
        <v>0</v>
      </c>
      <c r="BM29" s="1282">
        <f t="shared" si="17"/>
        <v>0</v>
      </c>
      <c r="BN29" s="1282">
        <f t="shared" si="18"/>
        <v>0</v>
      </c>
      <c r="BO29" s="1119"/>
      <c r="BP29" s="1119"/>
      <c r="BQ29" s="1512">
        <f t="shared" si="19"/>
        <v>22</v>
      </c>
      <c r="BR29" s="1513">
        <f t="shared" si="20"/>
        <v>0</v>
      </c>
      <c r="BS29" s="1438"/>
      <c r="BT29" s="1495"/>
      <c r="BU29" s="1437"/>
      <c r="BV29" s="1437"/>
      <c r="BW29" s="1437"/>
      <c r="BX29" s="1515">
        <f t="shared" si="21"/>
        <v>0</v>
      </c>
      <c r="BY29" s="1438"/>
      <c r="BZ29" s="1495"/>
      <c r="CA29" s="1437"/>
      <c r="CB29" s="1437"/>
      <c r="CC29" s="1437"/>
      <c r="CD29" s="1515">
        <f t="shared" si="22"/>
        <v>0</v>
      </c>
      <c r="CE29" s="1438"/>
      <c r="CF29" s="1495"/>
      <c r="CG29" s="1437"/>
      <c r="CH29" s="1437"/>
      <c r="CI29" s="1437"/>
      <c r="CJ29" s="1515">
        <f t="shared" si="23"/>
        <v>0</v>
      </c>
      <c r="CK29" s="1434"/>
      <c r="CL29" s="357"/>
      <c r="CM29" s="357"/>
      <c r="CN29" s="357"/>
      <c r="CO29" s="357"/>
      <c r="CP29" s="540"/>
      <c r="CQ29" s="540"/>
      <c r="CR29" s="540"/>
    </row>
    <row r="30" spans="1:96" s="111" customFormat="1" ht="23.25" customHeight="1">
      <c r="A30" s="468">
        <v>23</v>
      </c>
      <c r="B30" s="1705">
        <v>0</v>
      </c>
      <c r="C30" s="614"/>
      <c r="D30" s="575">
        <f t="shared" ref="D30:D40" si="25">100-E30-F30</f>
        <v>100</v>
      </c>
      <c r="E30" s="1437">
        <v>0</v>
      </c>
      <c r="F30" s="1716">
        <v>0</v>
      </c>
      <c r="G30" s="2329">
        <v>0</v>
      </c>
      <c r="H30" s="1708">
        <v>0</v>
      </c>
      <c r="I30" s="578">
        <f t="shared" ref="I30:I40" si="26">((G30*D30/100)+(G30*E30*0.5/100)+G30*F30*0.75/100)*H30/6.25</f>
        <v>0</v>
      </c>
      <c r="J30" s="650" t="s">
        <v>90</v>
      </c>
      <c r="K30" s="580">
        <f t="shared" ref="K30:K40" si="27">VLOOKUP(J30,CM$17:CN$20,2,FALSE)</f>
        <v>0</v>
      </c>
      <c r="L30" s="652" t="s">
        <v>234</v>
      </c>
      <c r="M30" s="582">
        <f t="shared" ref="M30:M40" si="28">VLOOKUP(L30,CM$6:CN$10,2,FALSE)</f>
        <v>10</v>
      </c>
      <c r="N30" s="1712">
        <v>0</v>
      </c>
      <c r="O30" s="740">
        <f t="shared" ref="O30:O40" si="29">IF(I30-M30-K30-N30&lt;0,0,I30-M30-K30-N30)</f>
        <v>0</v>
      </c>
      <c r="P30" s="738">
        <f t="shared" ref="P30:P40" si="30">IF(O30&lt;0,0,O30*B30)</f>
        <v>0</v>
      </c>
      <c r="Q30" s="657">
        <f t="shared" ref="Q30:Q40" si="31">IF(H30=0,0,G30*(D30/100+E30*0.5/100+F30*0.75/100)*(0.3494+0.4695*LOG(H30)/6.25*H30/6.25))</f>
        <v>0</v>
      </c>
      <c r="R30" s="659">
        <f t="shared" ref="R30:R40" si="32">B30*Q30</f>
        <v>0</v>
      </c>
      <c r="S30" s="978"/>
      <c r="T30" s="2083">
        <f t="shared" si="24"/>
        <v>23</v>
      </c>
      <c r="U30" s="1329"/>
      <c r="V30" s="1330" t="s">
        <v>795</v>
      </c>
      <c r="W30" s="1424">
        <v>0</v>
      </c>
      <c r="X30" s="1033">
        <f>VLOOKUP(V30,Düngemittel!$B$6:$E$64,2,FALSE)*(VLOOKUP(V30,Düngemittel!$B$6:$E$64,3,FALSE))/100*W30</f>
        <v>0</v>
      </c>
      <c r="Y30" s="1033">
        <f>VLOOKUP(V30,Düngemittel!$B$6:$E$64,2,FALSE)*W30</f>
        <v>0</v>
      </c>
      <c r="Z30" s="1033">
        <f>VLOOKUP(V30,Düngemittel!$B$6:$E$64,4,FALSE)*W30</f>
        <v>0</v>
      </c>
      <c r="AA30" s="2324"/>
      <c r="AB30" s="1329"/>
      <c r="AC30" s="1330" t="s">
        <v>795</v>
      </c>
      <c r="AD30" s="1424">
        <v>0</v>
      </c>
      <c r="AE30" s="1033">
        <f>VLOOKUP(AC30,Düngemittel!$B$6:$E$64,2,FALSE)*(VLOOKUP(AC30,Düngemittel!$B$6:$E$64,3,FALSE))/100*AD30</f>
        <v>0</v>
      </c>
      <c r="AF30" s="1033">
        <f>VLOOKUP(AC30,Düngemittel!$B$6:$E$64,2,FALSE)*AD30</f>
        <v>0</v>
      </c>
      <c r="AG30" s="1033">
        <f>VLOOKUP(AC30,Düngemittel!$B$6:$E$64,4,FALSE)*AD30</f>
        <v>0</v>
      </c>
      <c r="AH30" s="2324"/>
      <c r="AI30" s="1329"/>
      <c r="AJ30" s="1330" t="s">
        <v>795</v>
      </c>
      <c r="AK30" s="1424">
        <v>0</v>
      </c>
      <c r="AL30" s="1033">
        <f>VLOOKUP(AJ30,Düngemittel!$B$6:$E$64,2,FALSE)*(VLOOKUP(AJ30,Düngemittel!$B$6:$E$64,3,FALSE))/100*AK30</f>
        <v>0</v>
      </c>
      <c r="AM30" s="1033">
        <f>VLOOKUP(AJ30,Düngemittel!$B$6:$E$64,2,FALSE)*AK30</f>
        <v>0</v>
      </c>
      <c r="AN30" s="1033">
        <f>VLOOKUP(AJ30,Düngemittel!$B$6:$E$64,4,FALSE)*AK30</f>
        <v>0</v>
      </c>
      <c r="AO30" s="2324"/>
      <c r="AP30" s="1329"/>
      <c r="AQ30" s="1330" t="s">
        <v>795</v>
      </c>
      <c r="AR30" s="1424">
        <v>0</v>
      </c>
      <c r="AS30" s="1033">
        <f>VLOOKUP(AQ30,Düngemittel!$B$6:$E$64,2,FALSE)*(VLOOKUP(AQ30,Düngemittel!$B$6:$E$64,3,FALSE))/100*AR30</f>
        <v>0</v>
      </c>
      <c r="AT30" s="1033">
        <f>VLOOKUP(AQ30,Düngemittel!$B$6:$E$64,2,FALSE)*AR30</f>
        <v>0</v>
      </c>
      <c r="AU30" s="1033">
        <f>VLOOKUP(AQ30,Düngemittel!$B$6:$E$64,4,FALSE)*AR30</f>
        <v>0</v>
      </c>
      <c r="AV30" s="2324"/>
      <c r="AW30" s="1329"/>
      <c r="AX30" s="1330" t="s">
        <v>795</v>
      </c>
      <c r="AY30" s="1424">
        <v>0</v>
      </c>
      <c r="AZ30" s="1033">
        <f>VLOOKUP(AX30,Düngemittel!$B$6:$E$64,2,FALSE)*(VLOOKUP(AX30,Düngemittel!$B$6:$E$64,3,FALSE))/100*AY30</f>
        <v>0</v>
      </c>
      <c r="BA30" s="1033">
        <f>VLOOKUP(AX30,Düngemittel!$B$6:$E$64,2,FALSE)*AY30</f>
        <v>0</v>
      </c>
      <c r="BB30" s="1033">
        <f>VLOOKUP(AX30,Düngemittel!$B$6:$E$64,4,FALSE)*AY30</f>
        <v>0</v>
      </c>
      <c r="BC30" s="863"/>
      <c r="BD30" s="1812">
        <f t="shared" si="9"/>
        <v>0</v>
      </c>
      <c r="BE30" s="2326">
        <f t="shared" si="10"/>
        <v>0</v>
      </c>
      <c r="BF30" s="1819">
        <f t="shared" si="11"/>
        <v>0</v>
      </c>
      <c r="BG30" s="1151">
        <f t="shared" si="12"/>
        <v>0</v>
      </c>
      <c r="BH30" s="2326">
        <f t="shared" si="13"/>
        <v>0</v>
      </c>
      <c r="BI30" s="1152"/>
      <c r="BJ30" s="1812">
        <f t="shared" ref="BJ30:BJ40" si="33">BD30*$B30</f>
        <v>0</v>
      </c>
      <c r="BK30" s="1282">
        <f t="shared" ref="BK30:BK40" si="34">BE30*$B30</f>
        <v>0</v>
      </c>
      <c r="BL30" s="1812">
        <f t="shared" ref="BL30:BL40" si="35">BF30*$B30</f>
        <v>0</v>
      </c>
      <c r="BM30" s="1282">
        <f t="shared" ref="BM30:BM40" si="36">BG30*$B30</f>
        <v>0</v>
      </c>
      <c r="BN30" s="1282">
        <f t="shared" ref="BN30:BN40" si="37">BH30*$B30</f>
        <v>0</v>
      </c>
      <c r="BO30" s="1119"/>
      <c r="BP30" s="1119"/>
      <c r="BQ30" s="1512">
        <f t="shared" si="19"/>
        <v>23</v>
      </c>
      <c r="BR30" s="1513">
        <f t="shared" si="20"/>
        <v>0</v>
      </c>
      <c r="BS30" s="1438"/>
      <c r="BT30" s="1495"/>
      <c r="BU30" s="1437"/>
      <c r="BV30" s="1437"/>
      <c r="BW30" s="1437"/>
      <c r="BX30" s="1515">
        <f t="shared" ref="BX30:BX40" si="38">SUM(BV30*BW30/24)</f>
        <v>0</v>
      </c>
      <c r="BY30" s="1438"/>
      <c r="BZ30" s="1495"/>
      <c r="CA30" s="1437"/>
      <c r="CB30" s="1437"/>
      <c r="CC30" s="1437"/>
      <c r="CD30" s="1515">
        <f t="shared" ref="CD30:CD40" si="39">SUM(CB30*CC30/24)</f>
        <v>0</v>
      </c>
      <c r="CE30" s="1438"/>
      <c r="CF30" s="1495"/>
      <c r="CG30" s="1437"/>
      <c r="CH30" s="1437"/>
      <c r="CI30" s="1437"/>
      <c r="CJ30" s="1515">
        <f t="shared" ref="CJ30:CJ40" si="40">SUM(CH30*CI30/24)</f>
        <v>0</v>
      </c>
      <c r="CK30" s="1434"/>
      <c r="CL30" s="357"/>
      <c r="CM30" s="357"/>
      <c r="CN30" s="357"/>
      <c r="CO30" s="357"/>
      <c r="CP30" s="540"/>
      <c r="CQ30" s="540"/>
      <c r="CR30" s="540"/>
    </row>
    <row r="31" spans="1:96" s="111" customFormat="1" ht="23.25" customHeight="1">
      <c r="A31" s="468">
        <v>24</v>
      </c>
      <c r="B31" s="1705">
        <v>0</v>
      </c>
      <c r="C31" s="614"/>
      <c r="D31" s="575">
        <f t="shared" si="25"/>
        <v>100</v>
      </c>
      <c r="E31" s="1437">
        <v>0</v>
      </c>
      <c r="F31" s="1716">
        <v>0</v>
      </c>
      <c r="G31" s="2329">
        <v>0</v>
      </c>
      <c r="H31" s="1708">
        <v>0</v>
      </c>
      <c r="I31" s="578">
        <f t="shared" si="26"/>
        <v>0</v>
      </c>
      <c r="J31" s="650" t="s">
        <v>90</v>
      </c>
      <c r="K31" s="580">
        <f t="shared" si="27"/>
        <v>0</v>
      </c>
      <c r="L31" s="652" t="s">
        <v>234</v>
      </c>
      <c r="M31" s="582">
        <f t="shared" si="28"/>
        <v>10</v>
      </c>
      <c r="N31" s="1712">
        <v>0</v>
      </c>
      <c r="O31" s="740">
        <f t="shared" si="29"/>
        <v>0</v>
      </c>
      <c r="P31" s="738">
        <f t="shared" si="30"/>
        <v>0</v>
      </c>
      <c r="Q31" s="657">
        <f t="shared" si="31"/>
        <v>0</v>
      </c>
      <c r="R31" s="659">
        <f t="shared" si="32"/>
        <v>0</v>
      </c>
      <c r="S31" s="978"/>
      <c r="T31" s="2083">
        <f t="shared" si="24"/>
        <v>24</v>
      </c>
      <c r="U31" s="1329"/>
      <c r="V31" s="1330" t="s">
        <v>795</v>
      </c>
      <c r="W31" s="1424">
        <v>0</v>
      </c>
      <c r="X31" s="1033">
        <f>VLOOKUP(V31,Düngemittel!$B$6:$E$64,2,FALSE)*(VLOOKUP(V31,Düngemittel!$B$6:$E$64,3,FALSE))/100*W31</f>
        <v>0</v>
      </c>
      <c r="Y31" s="1033">
        <f>VLOOKUP(V31,Düngemittel!$B$6:$E$64,2,FALSE)*W31</f>
        <v>0</v>
      </c>
      <c r="Z31" s="1033">
        <f>VLOOKUP(V31,Düngemittel!$B$6:$E$64,4,FALSE)*W31</f>
        <v>0</v>
      </c>
      <c r="AA31" s="2324"/>
      <c r="AB31" s="1329"/>
      <c r="AC31" s="1330" t="s">
        <v>795</v>
      </c>
      <c r="AD31" s="1424">
        <v>0</v>
      </c>
      <c r="AE31" s="1033">
        <f>VLOOKUP(AC31,Düngemittel!$B$6:$E$64,2,FALSE)*(VLOOKUP(AC31,Düngemittel!$B$6:$E$64,3,FALSE))/100*AD31</f>
        <v>0</v>
      </c>
      <c r="AF31" s="1033">
        <f>VLOOKUP(AC31,Düngemittel!$B$6:$E$64,2,FALSE)*AD31</f>
        <v>0</v>
      </c>
      <c r="AG31" s="1033">
        <f>VLOOKUP(AC31,Düngemittel!$B$6:$E$64,4,FALSE)*AD31</f>
        <v>0</v>
      </c>
      <c r="AH31" s="2324"/>
      <c r="AI31" s="1329"/>
      <c r="AJ31" s="1330" t="s">
        <v>795</v>
      </c>
      <c r="AK31" s="1424">
        <v>0</v>
      </c>
      <c r="AL31" s="1033">
        <f>VLOOKUP(AJ31,Düngemittel!$B$6:$E$64,2,FALSE)*(VLOOKUP(AJ31,Düngemittel!$B$6:$E$64,3,FALSE))/100*AK31</f>
        <v>0</v>
      </c>
      <c r="AM31" s="1033">
        <f>VLOOKUP(AJ31,Düngemittel!$B$6:$E$64,2,FALSE)*AK31</f>
        <v>0</v>
      </c>
      <c r="AN31" s="1033">
        <f>VLOOKUP(AJ31,Düngemittel!$B$6:$E$64,4,FALSE)*AK31</f>
        <v>0</v>
      </c>
      <c r="AO31" s="2324"/>
      <c r="AP31" s="1329"/>
      <c r="AQ31" s="1330" t="s">
        <v>795</v>
      </c>
      <c r="AR31" s="1424">
        <v>0</v>
      </c>
      <c r="AS31" s="1033">
        <f>VLOOKUP(AQ31,Düngemittel!$B$6:$E$64,2,FALSE)*(VLOOKUP(AQ31,Düngemittel!$B$6:$E$64,3,FALSE))/100*AR31</f>
        <v>0</v>
      </c>
      <c r="AT31" s="1033">
        <f>VLOOKUP(AQ31,Düngemittel!$B$6:$E$64,2,FALSE)*AR31</f>
        <v>0</v>
      </c>
      <c r="AU31" s="1033">
        <f>VLOOKUP(AQ31,Düngemittel!$B$6:$E$64,4,FALSE)*AR31</f>
        <v>0</v>
      </c>
      <c r="AV31" s="2324"/>
      <c r="AW31" s="1329"/>
      <c r="AX31" s="1330" t="s">
        <v>795</v>
      </c>
      <c r="AY31" s="1424">
        <v>0</v>
      </c>
      <c r="AZ31" s="1033">
        <f>VLOOKUP(AX31,Düngemittel!$B$6:$E$64,2,FALSE)*(VLOOKUP(AX31,Düngemittel!$B$6:$E$64,3,FALSE))/100*AY31</f>
        <v>0</v>
      </c>
      <c r="BA31" s="1033">
        <f>VLOOKUP(AX31,Düngemittel!$B$6:$E$64,2,FALSE)*AY31</f>
        <v>0</v>
      </c>
      <c r="BB31" s="1033">
        <f>VLOOKUP(AX31,Düngemittel!$B$6:$E$64,4,FALSE)*AY31</f>
        <v>0</v>
      </c>
      <c r="BC31" s="863"/>
      <c r="BD31" s="1812">
        <f t="shared" si="9"/>
        <v>0</v>
      </c>
      <c r="BE31" s="2326">
        <f t="shared" si="10"/>
        <v>0</v>
      </c>
      <c r="BF31" s="1819">
        <f t="shared" si="11"/>
        <v>0</v>
      </c>
      <c r="BG31" s="1151">
        <f t="shared" si="12"/>
        <v>0</v>
      </c>
      <c r="BH31" s="2326">
        <f t="shared" si="13"/>
        <v>0</v>
      </c>
      <c r="BI31" s="1152"/>
      <c r="BJ31" s="1812">
        <f t="shared" si="33"/>
        <v>0</v>
      </c>
      <c r="BK31" s="1282">
        <f t="shared" si="34"/>
        <v>0</v>
      </c>
      <c r="BL31" s="1812">
        <f t="shared" si="35"/>
        <v>0</v>
      </c>
      <c r="BM31" s="1282">
        <f t="shared" si="36"/>
        <v>0</v>
      </c>
      <c r="BN31" s="1282">
        <f t="shared" si="37"/>
        <v>0</v>
      </c>
      <c r="BO31" s="1119"/>
      <c r="BP31" s="1119"/>
      <c r="BQ31" s="1512">
        <f t="shared" si="19"/>
        <v>24</v>
      </c>
      <c r="BR31" s="1513">
        <f t="shared" si="20"/>
        <v>0</v>
      </c>
      <c r="BS31" s="1438"/>
      <c r="BT31" s="1495"/>
      <c r="BU31" s="1437"/>
      <c r="BV31" s="1437"/>
      <c r="BW31" s="1437"/>
      <c r="BX31" s="1515">
        <f t="shared" si="38"/>
        <v>0</v>
      </c>
      <c r="BY31" s="1438"/>
      <c r="BZ31" s="1495"/>
      <c r="CA31" s="1437"/>
      <c r="CB31" s="1437"/>
      <c r="CC31" s="1437"/>
      <c r="CD31" s="1515">
        <f t="shared" si="39"/>
        <v>0</v>
      </c>
      <c r="CE31" s="1438"/>
      <c r="CF31" s="1495"/>
      <c r="CG31" s="1437"/>
      <c r="CH31" s="1437"/>
      <c r="CI31" s="1437"/>
      <c r="CJ31" s="1515">
        <f t="shared" si="40"/>
        <v>0</v>
      </c>
      <c r="CK31" s="1434"/>
      <c r="CL31" s="357"/>
      <c r="CM31" s="357"/>
      <c r="CN31" s="357"/>
      <c r="CO31" s="357"/>
      <c r="CP31" s="540"/>
      <c r="CQ31" s="540"/>
      <c r="CR31" s="540"/>
    </row>
    <row r="32" spans="1:96" s="111" customFormat="1" ht="23.25" customHeight="1">
      <c r="A32" s="468">
        <v>25</v>
      </c>
      <c r="B32" s="1705">
        <v>0</v>
      </c>
      <c r="C32" s="614"/>
      <c r="D32" s="575">
        <f t="shared" si="25"/>
        <v>100</v>
      </c>
      <c r="E32" s="1437">
        <v>0</v>
      </c>
      <c r="F32" s="1716">
        <v>0</v>
      </c>
      <c r="G32" s="2329">
        <v>0</v>
      </c>
      <c r="H32" s="1708">
        <v>0</v>
      </c>
      <c r="I32" s="578">
        <f t="shared" si="26"/>
        <v>0</v>
      </c>
      <c r="J32" s="650" t="s">
        <v>90</v>
      </c>
      <c r="K32" s="580">
        <f t="shared" si="27"/>
        <v>0</v>
      </c>
      <c r="L32" s="652" t="s">
        <v>234</v>
      </c>
      <c r="M32" s="582">
        <f t="shared" si="28"/>
        <v>10</v>
      </c>
      <c r="N32" s="1712">
        <v>0</v>
      </c>
      <c r="O32" s="740">
        <f t="shared" si="29"/>
        <v>0</v>
      </c>
      <c r="P32" s="738">
        <f t="shared" si="30"/>
        <v>0</v>
      </c>
      <c r="Q32" s="657">
        <f t="shared" si="31"/>
        <v>0</v>
      </c>
      <c r="R32" s="659">
        <f t="shared" si="32"/>
        <v>0</v>
      </c>
      <c r="S32" s="978"/>
      <c r="T32" s="2083">
        <f t="shared" si="24"/>
        <v>25</v>
      </c>
      <c r="U32" s="1329"/>
      <c r="V32" s="1330" t="s">
        <v>795</v>
      </c>
      <c r="W32" s="1424">
        <v>0</v>
      </c>
      <c r="X32" s="1033">
        <f>VLOOKUP(V32,Düngemittel!$B$6:$E$64,2,FALSE)*(VLOOKUP(V32,Düngemittel!$B$6:$E$64,3,FALSE))/100*W32</f>
        <v>0</v>
      </c>
      <c r="Y32" s="1033">
        <f>VLOOKUP(V32,Düngemittel!$B$6:$E$64,2,FALSE)*W32</f>
        <v>0</v>
      </c>
      <c r="Z32" s="1033">
        <f>VLOOKUP(V32,Düngemittel!$B$6:$E$64,4,FALSE)*W32</f>
        <v>0</v>
      </c>
      <c r="AA32" s="2324"/>
      <c r="AB32" s="1329"/>
      <c r="AC32" s="1330" t="s">
        <v>795</v>
      </c>
      <c r="AD32" s="1424">
        <v>0</v>
      </c>
      <c r="AE32" s="1033">
        <f>VLOOKUP(AC32,Düngemittel!$B$6:$E$64,2,FALSE)*(VLOOKUP(AC32,Düngemittel!$B$6:$E$64,3,FALSE))/100*AD32</f>
        <v>0</v>
      </c>
      <c r="AF32" s="1033">
        <f>VLOOKUP(AC32,Düngemittel!$B$6:$E$64,2,FALSE)*AD32</f>
        <v>0</v>
      </c>
      <c r="AG32" s="1033">
        <f>VLOOKUP(AC32,Düngemittel!$B$6:$E$64,4,FALSE)*AD32</f>
        <v>0</v>
      </c>
      <c r="AH32" s="2324"/>
      <c r="AI32" s="1329"/>
      <c r="AJ32" s="1330" t="s">
        <v>795</v>
      </c>
      <c r="AK32" s="1424">
        <v>0</v>
      </c>
      <c r="AL32" s="1033">
        <f>VLOOKUP(AJ32,Düngemittel!$B$6:$E$64,2,FALSE)*(VLOOKUP(AJ32,Düngemittel!$B$6:$E$64,3,FALSE))/100*AK32</f>
        <v>0</v>
      </c>
      <c r="AM32" s="1033">
        <f>VLOOKUP(AJ32,Düngemittel!$B$6:$E$64,2,FALSE)*AK32</f>
        <v>0</v>
      </c>
      <c r="AN32" s="1033">
        <f>VLOOKUP(AJ32,Düngemittel!$B$6:$E$64,4,FALSE)*AK32</f>
        <v>0</v>
      </c>
      <c r="AO32" s="2324"/>
      <c r="AP32" s="1329"/>
      <c r="AQ32" s="1330" t="s">
        <v>795</v>
      </c>
      <c r="AR32" s="1424">
        <v>0</v>
      </c>
      <c r="AS32" s="1033">
        <f>VLOOKUP(AQ32,Düngemittel!$B$6:$E$64,2,FALSE)*(VLOOKUP(AQ32,Düngemittel!$B$6:$E$64,3,FALSE))/100*AR32</f>
        <v>0</v>
      </c>
      <c r="AT32" s="1033">
        <f>VLOOKUP(AQ32,Düngemittel!$B$6:$E$64,2,FALSE)*AR32</f>
        <v>0</v>
      </c>
      <c r="AU32" s="1033">
        <f>VLOOKUP(AQ32,Düngemittel!$B$6:$E$64,4,FALSE)*AR32</f>
        <v>0</v>
      </c>
      <c r="AV32" s="2324"/>
      <c r="AW32" s="1329"/>
      <c r="AX32" s="1330" t="s">
        <v>795</v>
      </c>
      <c r="AY32" s="1424">
        <v>0</v>
      </c>
      <c r="AZ32" s="1033">
        <f>VLOOKUP(AX32,Düngemittel!$B$6:$E$64,2,FALSE)*(VLOOKUP(AX32,Düngemittel!$B$6:$E$64,3,FALSE))/100*AY32</f>
        <v>0</v>
      </c>
      <c r="BA32" s="1033">
        <f>VLOOKUP(AX32,Düngemittel!$B$6:$E$64,2,FALSE)*AY32</f>
        <v>0</v>
      </c>
      <c r="BB32" s="1033">
        <f>VLOOKUP(AX32,Düngemittel!$B$6:$E$64,4,FALSE)*AY32</f>
        <v>0</v>
      </c>
      <c r="BC32" s="863"/>
      <c r="BD32" s="1812">
        <f t="shared" si="9"/>
        <v>0</v>
      </c>
      <c r="BE32" s="2326">
        <f t="shared" si="10"/>
        <v>0</v>
      </c>
      <c r="BF32" s="1819">
        <f t="shared" si="11"/>
        <v>0</v>
      </c>
      <c r="BG32" s="1151">
        <f t="shared" si="12"/>
        <v>0</v>
      </c>
      <c r="BH32" s="2326">
        <f t="shared" si="13"/>
        <v>0</v>
      </c>
      <c r="BI32" s="1152"/>
      <c r="BJ32" s="1812">
        <f t="shared" si="33"/>
        <v>0</v>
      </c>
      <c r="BK32" s="1282">
        <f t="shared" si="34"/>
        <v>0</v>
      </c>
      <c r="BL32" s="1812">
        <f t="shared" si="35"/>
        <v>0</v>
      </c>
      <c r="BM32" s="1282">
        <f t="shared" si="36"/>
        <v>0</v>
      </c>
      <c r="BN32" s="1282">
        <f t="shared" si="37"/>
        <v>0</v>
      </c>
      <c r="BO32" s="1119"/>
      <c r="BP32" s="1119"/>
      <c r="BQ32" s="1512">
        <f t="shared" si="19"/>
        <v>25</v>
      </c>
      <c r="BR32" s="1513">
        <f t="shared" si="20"/>
        <v>0</v>
      </c>
      <c r="BS32" s="1438"/>
      <c r="BT32" s="1495"/>
      <c r="BU32" s="1437"/>
      <c r="BV32" s="1437"/>
      <c r="BW32" s="1437"/>
      <c r="BX32" s="1515">
        <f t="shared" si="38"/>
        <v>0</v>
      </c>
      <c r="BY32" s="1438"/>
      <c r="BZ32" s="1495"/>
      <c r="CA32" s="1437"/>
      <c r="CB32" s="1437"/>
      <c r="CC32" s="1437"/>
      <c r="CD32" s="1515">
        <f t="shared" si="39"/>
        <v>0</v>
      </c>
      <c r="CE32" s="1438"/>
      <c r="CF32" s="1495"/>
      <c r="CG32" s="1437"/>
      <c r="CH32" s="1437"/>
      <c r="CI32" s="1437"/>
      <c r="CJ32" s="1515">
        <f t="shared" si="40"/>
        <v>0</v>
      </c>
      <c r="CK32" s="1434"/>
      <c r="CL32" s="357"/>
      <c r="CM32" s="357"/>
      <c r="CN32" s="357"/>
      <c r="CO32" s="357"/>
      <c r="CP32" s="540"/>
      <c r="CQ32" s="540"/>
      <c r="CR32" s="540"/>
    </row>
    <row r="33" spans="1:96" s="111" customFormat="1" ht="23.25" customHeight="1">
      <c r="A33" s="468">
        <v>26</v>
      </c>
      <c r="B33" s="1705">
        <v>0</v>
      </c>
      <c r="C33" s="614"/>
      <c r="D33" s="575">
        <f t="shared" si="25"/>
        <v>100</v>
      </c>
      <c r="E33" s="1437">
        <v>0</v>
      </c>
      <c r="F33" s="1716">
        <v>0</v>
      </c>
      <c r="G33" s="2329">
        <v>0</v>
      </c>
      <c r="H33" s="1708">
        <v>0</v>
      </c>
      <c r="I33" s="578">
        <f t="shared" si="26"/>
        <v>0</v>
      </c>
      <c r="J33" s="650" t="s">
        <v>90</v>
      </c>
      <c r="K33" s="580">
        <f t="shared" si="27"/>
        <v>0</v>
      </c>
      <c r="L33" s="652" t="s">
        <v>234</v>
      </c>
      <c r="M33" s="582">
        <f t="shared" si="28"/>
        <v>10</v>
      </c>
      <c r="N33" s="1712">
        <v>0</v>
      </c>
      <c r="O33" s="740">
        <f t="shared" si="29"/>
        <v>0</v>
      </c>
      <c r="P33" s="738">
        <f t="shared" si="30"/>
        <v>0</v>
      </c>
      <c r="Q33" s="657">
        <f t="shared" si="31"/>
        <v>0</v>
      </c>
      <c r="R33" s="659">
        <f t="shared" si="32"/>
        <v>0</v>
      </c>
      <c r="S33" s="978"/>
      <c r="T33" s="2083">
        <f t="shared" si="24"/>
        <v>26</v>
      </c>
      <c r="U33" s="1329"/>
      <c r="V33" s="1330" t="s">
        <v>795</v>
      </c>
      <c r="W33" s="1424">
        <v>0</v>
      </c>
      <c r="X33" s="1033">
        <f>VLOOKUP(V33,Düngemittel!$B$6:$E$64,2,FALSE)*(VLOOKUP(V33,Düngemittel!$B$6:$E$64,3,FALSE))/100*W33</f>
        <v>0</v>
      </c>
      <c r="Y33" s="1033">
        <f>VLOOKUP(V33,Düngemittel!$B$6:$E$64,2,FALSE)*W33</f>
        <v>0</v>
      </c>
      <c r="Z33" s="1033">
        <f>VLOOKUP(V33,Düngemittel!$B$6:$E$64,4,FALSE)*W33</f>
        <v>0</v>
      </c>
      <c r="AA33" s="2324"/>
      <c r="AB33" s="1329"/>
      <c r="AC33" s="1330" t="s">
        <v>795</v>
      </c>
      <c r="AD33" s="1424">
        <v>0</v>
      </c>
      <c r="AE33" s="1033">
        <f>VLOOKUP(AC33,Düngemittel!$B$6:$E$64,2,FALSE)*(VLOOKUP(AC33,Düngemittel!$B$6:$E$64,3,FALSE))/100*AD33</f>
        <v>0</v>
      </c>
      <c r="AF33" s="1033">
        <f>VLOOKUP(AC33,Düngemittel!$B$6:$E$64,2,FALSE)*AD33</f>
        <v>0</v>
      </c>
      <c r="AG33" s="1033">
        <f>VLOOKUP(AC33,Düngemittel!$B$6:$E$64,4,FALSE)*AD33</f>
        <v>0</v>
      </c>
      <c r="AH33" s="2324"/>
      <c r="AI33" s="1329"/>
      <c r="AJ33" s="1330" t="s">
        <v>795</v>
      </c>
      <c r="AK33" s="1424">
        <v>0</v>
      </c>
      <c r="AL33" s="1033">
        <f>VLOOKUP(AJ33,Düngemittel!$B$6:$E$64,2,FALSE)*(VLOOKUP(AJ33,Düngemittel!$B$6:$E$64,3,FALSE))/100*AK33</f>
        <v>0</v>
      </c>
      <c r="AM33" s="1033">
        <f>VLOOKUP(AJ33,Düngemittel!$B$6:$E$64,2,FALSE)*AK33</f>
        <v>0</v>
      </c>
      <c r="AN33" s="1033">
        <f>VLOOKUP(AJ33,Düngemittel!$B$6:$E$64,4,FALSE)*AK33</f>
        <v>0</v>
      </c>
      <c r="AO33" s="2324"/>
      <c r="AP33" s="1329"/>
      <c r="AQ33" s="1330" t="s">
        <v>795</v>
      </c>
      <c r="AR33" s="1424">
        <v>0</v>
      </c>
      <c r="AS33" s="1033">
        <f>VLOOKUP(AQ33,Düngemittel!$B$6:$E$64,2,FALSE)*(VLOOKUP(AQ33,Düngemittel!$B$6:$E$64,3,FALSE))/100*AR33</f>
        <v>0</v>
      </c>
      <c r="AT33" s="1033">
        <f>VLOOKUP(AQ33,Düngemittel!$B$6:$E$64,2,FALSE)*AR33</f>
        <v>0</v>
      </c>
      <c r="AU33" s="1033">
        <f>VLOOKUP(AQ33,Düngemittel!$B$6:$E$64,4,FALSE)*AR33</f>
        <v>0</v>
      </c>
      <c r="AV33" s="2324"/>
      <c r="AW33" s="1329"/>
      <c r="AX33" s="1330" t="s">
        <v>795</v>
      </c>
      <c r="AY33" s="1424">
        <v>0</v>
      </c>
      <c r="AZ33" s="1033">
        <f>VLOOKUP(AX33,Düngemittel!$B$6:$E$64,2,FALSE)*(VLOOKUP(AX33,Düngemittel!$B$6:$E$64,3,FALSE))/100*AY33</f>
        <v>0</v>
      </c>
      <c r="BA33" s="1033">
        <f>VLOOKUP(AX33,Düngemittel!$B$6:$E$64,2,FALSE)*AY33</f>
        <v>0</v>
      </c>
      <c r="BB33" s="1033">
        <f>VLOOKUP(AX33,Düngemittel!$B$6:$E$64,4,FALSE)*AY33</f>
        <v>0</v>
      </c>
      <c r="BC33" s="863"/>
      <c r="BD33" s="1812">
        <f t="shared" si="9"/>
        <v>0</v>
      </c>
      <c r="BE33" s="2326">
        <f t="shared" si="10"/>
        <v>0</v>
      </c>
      <c r="BF33" s="1819">
        <f t="shared" si="11"/>
        <v>0</v>
      </c>
      <c r="BG33" s="1151">
        <f t="shared" si="12"/>
        <v>0</v>
      </c>
      <c r="BH33" s="2326">
        <f t="shared" si="13"/>
        <v>0</v>
      </c>
      <c r="BI33" s="1152"/>
      <c r="BJ33" s="1812">
        <f t="shared" si="33"/>
        <v>0</v>
      </c>
      <c r="BK33" s="1282">
        <f t="shared" si="34"/>
        <v>0</v>
      </c>
      <c r="BL33" s="1812">
        <f t="shared" si="35"/>
        <v>0</v>
      </c>
      <c r="BM33" s="1282">
        <f t="shared" si="36"/>
        <v>0</v>
      </c>
      <c r="BN33" s="1282">
        <f t="shared" si="37"/>
        <v>0</v>
      </c>
      <c r="BO33" s="1119"/>
      <c r="BP33" s="1119"/>
      <c r="BQ33" s="1512">
        <f t="shared" si="19"/>
        <v>26</v>
      </c>
      <c r="BR33" s="1513">
        <f t="shared" si="20"/>
        <v>0</v>
      </c>
      <c r="BS33" s="1438"/>
      <c r="BT33" s="1495"/>
      <c r="BU33" s="1437"/>
      <c r="BV33" s="1437"/>
      <c r="BW33" s="1437"/>
      <c r="BX33" s="1515">
        <f t="shared" si="38"/>
        <v>0</v>
      </c>
      <c r="BY33" s="1438"/>
      <c r="BZ33" s="1495"/>
      <c r="CA33" s="1437"/>
      <c r="CB33" s="1437"/>
      <c r="CC33" s="1437"/>
      <c r="CD33" s="1515">
        <f t="shared" si="39"/>
        <v>0</v>
      </c>
      <c r="CE33" s="1438"/>
      <c r="CF33" s="1495"/>
      <c r="CG33" s="1437"/>
      <c r="CH33" s="1437"/>
      <c r="CI33" s="1437"/>
      <c r="CJ33" s="1515">
        <f t="shared" si="40"/>
        <v>0</v>
      </c>
      <c r="CK33" s="1434"/>
      <c r="CL33" s="357"/>
      <c r="CM33" s="357"/>
      <c r="CN33" s="357"/>
      <c r="CO33" s="357"/>
      <c r="CP33" s="540"/>
      <c r="CQ33" s="540"/>
      <c r="CR33" s="540"/>
    </row>
    <row r="34" spans="1:96" s="111" customFormat="1" ht="23.25" customHeight="1">
      <c r="A34" s="468">
        <v>27</v>
      </c>
      <c r="B34" s="1705">
        <v>0</v>
      </c>
      <c r="C34" s="614"/>
      <c r="D34" s="575">
        <f t="shared" si="25"/>
        <v>100</v>
      </c>
      <c r="E34" s="1437">
        <v>0</v>
      </c>
      <c r="F34" s="1716">
        <v>0</v>
      </c>
      <c r="G34" s="2329">
        <v>0</v>
      </c>
      <c r="H34" s="1708">
        <v>0</v>
      </c>
      <c r="I34" s="578">
        <f t="shared" si="26"/>
        <v>0</v>
      </c>
      <c r="J34" s="650" t="s">
        <v>90</v>
      </c>
      <c r="K34" s="580">
        <f t="shared" si="27"/>
        <v>0</v>
      </c>
      <c r="L34" s="652" t="s">
        <v>234</v>
      </c>
      <c r="M34" s="582">
        <f t="shared" si="28"/>
        <v>10</v>
      </c>
      <c r="N34" s="1712">
        <v>0</v>
      </c>
      <c r="O34" s="740">
        <f t="shared" si="29"/>
        <v>0</v>
      </c>
      <c r="P34" s="738">
        <f t="shared" si="30"/>
        <v>0</v>
      </c>
      <c r="Q34" s="657">
        <f t="shared" si="31"/>
        <v>0</v>
      </c>
      <c r="R34" s="659">
        <f t="shared" si="32"/>
        <v>0</v>
      </c>
      <c r="S34" s="978"/>
      <c r="T34" s="2083">
        <f t="shared" si="24"/>
        <v>27</v>
      </c>
      <c r="U34" s="1329"/>
      <c r="V34" s="1330" t="s">
        <v>795</v>
      </c>
      <c r="W34" s="1424">
        <v>0</v>
      </c>
      <c r="X34" s="1033">
        <f>VLOOKUP(V34,Düngemittel!$B$6:$E$64,2,FALSE)*(VLOOKUP(V34,Düngemittel!$B$6:$E$64,3,FALSE))/100*W34</f>
        <v>0</v>
      </c>
      <c r="Y34" s="1033">
        <f>VLOOKUP(V34,Düngemittel!$B$6:$E$64,2,FALSE)*W34</f>
        <v>0</v>
      </c>
      <c r="Z34" s="1033">
        <f>VLOOKUP(V34,Düngemittel!$B$6:$E$64,4,FALSE)*W34</f>
        <v>0</v>
      </c>
      <c r="AA34" s="2324"/>
      <c r="AB34" s="1329"/>
      <c r="AC34" s="1330" t="s">
        <v>795</v>
      </c>
      <c r="AD34" s="1424">
        <v>0</v>
      </c>
      <c r="AE34" s="1033">
        <f>VLOOKUP(AC34,Düngemittel!$B$6:$E$64,2,FALSE)*(VLOOKUP(AC34,Düngemittel!$B$6:$E$64,3,FALSE))/100*AD34</f>
        <v>0</v>
      </c>
      <c r="AF34" s="1033">
        <f>VLOOKUP(AC34,Düngemittel!$B$6:$E$64,2,FALSE)*AD34</f>
        <v>0</v>
      </c>
      <c r="AG34" s="1033">
        <f>VLOOKUP(AC34,Düngemittel!$B$6:$E$64,4,FALSE)*AD34</f>
        <v>0</v>
      </c>
      <c r="AH34" s="2324"/>
      <c r="AI34" s="1329"/>
      <c r="AJ34" s="1330" t="s">
        <v>795</v>
      </c>
      <c r="AK34" s="1424">
        <v>0</v>
      </c>
      <c r="AL34" s="1033">
        <f>VLOOKUP(AJ34,Düngemittel!$B$6:$E$64,2,FALSE)*(VLOOKUP(AJ34,Düngemittel!$B$6:$E$64,3,FALSE))/100*AK34</f>
        <v>0</v>
      </c>
      <c r="AM34" s="1033">
        <f>VLOOKUP(AJ34,Düngemittel!$B$6:$E$64,2,FALSE)*AK34</f>
        <v>0</v>
      </c>
      <c r="AN34" s="1033">
        <f>VLOOKUP(AJ34,Düngemittel!$B$6:$E$64,4,FALSE)*AK34</f>
        <v>0</v>
      </c>
      <c r="AO34" s="2324"/>
      <c r="AP34" s="1329"/>
      <c r="AQ34" s="1330" t="s">
        <v>795</v>
      </c>
      <c r="AR34" s="1424">
        <v>0</v>
      </c>
      <c r="AS34" s="1033">
        <f>VLOOKUP(AQ34,Düngemittel!$B$6:$E$64,2,FALSE)*(VLOOKUP(AQ34,Düngemittel!$B$6:$E$64,3,FALSE))/100*AR34</f>
        <v>0</v>
      </c>
      <c r="AT34" s="1033">
        <f>VLOOKUP(AQ34,Düngemittel!$B$6:$E$64,2,FALSE)*AR34</f>
        <v>0</v>
      </c>
      <c r="AU34" s="1033">
        <f>VLOOKUP(AQ34,Düngemittel!$B$6:$E$64,4,FALSE)*AR34</f>
        <v>0</v>
      </c>
      <c r="AV34" s="2324"/>
      <c r="AW34" s="1329"/>
      <c r="AX34" s="1330" t="s">
        <v>795</v>
      </c>
      <c r="AY34" s="1424">
        <v>0</v>
      </c>
      <c r="AZ34" s="1033">
        <f>VLOOKUP(AX34,Düngemittel!$B$6:$E$64,2,FALSE)*(VLOOKUP(AX34,Düngemittel!$B$6:$E$64,3,FALSE))/100*AY34</f>
        <v>0</v>
      </c>
      <c r="BA34" s="1033">
        <f>VLOOKUP(AX34,Düngemittel!$B$6:$E$64,2,FALSE)*AY34</f>
        <v>0</v>
      </c>
      <c r="BB34" s="1033">
        <f>VLOOKUP(AX34,Düngemittel!$B$6:$E$64,4,FALSE)*AY34</f>
        <v>0</v>
      </c>
      <c r="BC34" s="863"/>
      <c r="BD34" s="1812">
        <f t="shared" si="9"/>
        <v>0</v>
      </c>
      <c r="BE34" s="2326">
        <f t="shared" si="10"/>
        <v>0</v>
      </c>
      <c r="BF34" s="1819">
        <f t="shared" si="11"/>
        <v>0</v>
      </c>
      <c r="BG34" s="1151">
        <f t="shared" si="12"/>
        <v>0</v>
      </c>
      <c r="BH34" s="2326">
        <f t="shared" si="13"/>
        <v>0</v>
      </c>
      <c r="BI34" s="1152"/>
      <c r="BJ34" s="1812">
        <f t="shared" si="33"/>
        <v>0</v>
      </c>
      <c r="BK34" s="1282">
        <f t="shared" si="34"/>
        <v>0</v>
      </c>
      <c r="BL34" s="1812">
        <f t="shared" si="35"/>
        <v>0</v>
      </c>
      <c r="BM34" s="1282">
        <f t="shared" si="36"/>
        <v>0</v>
      </c>
      <c r="BN34" s="1282">
        <f t="shared" si="37"/>
        <v>0</v>
      </c>
      <c r="BO34" s="1119"/>
      <c r="BP34" s="1119"/>
      <c r="BQ34" s="1512">
        <f t="shared" si="19"/>
        <v>27</v>
      </c>
      <c r="BR34" s="1513">
        <f t="shared" si="20"/>
        <v>0</v>
      </c>
      <c r="BS34" s="1438"/>
      <c r="BT34" s="1495"/>
      <c r="BU34" s="1437"/>
      <c r="BV34" s="1437"/>
      <c r="BW34" s="1437"/>
      <c r="BX34" s="1515">
        <f t="shared" si="38"/>
        <v>0</v>
      </c>
      <c r="BY34" s="1438"/>
      <c r="BZ34" s="1495"/>
      <c r="CA34" s="1437"/>
      <c r="CB34" s="1437"/>
      <c r="CC34" s="1437"/>
      <c r="CD34" s="1515">
        <f t="shared" si="39"/>
        <v>0</v>
      </c>
      <c r="CE34" s="1438"/>
      <c r="CF34" s="1495"/>
      <c r="CG34" s="1437"/>
      <c r="CH34" s="1437"/>
      <c r="CI34" s="1437"/>
      <c r="CJ34" s="1515">
        <f t="shared" si="40"/>
        <v>0</v>
      </c>
      <c r="CK34" s="1434"/>
      <c r="CL34" s="357"/>
      <c r="CM34" s="357"/>
      <c r="CN34" s="357"/>
      <c r="CO34" s="357"/>
      <c r="CP34" s="540"/>
      <c r="CQ34" s="540"/>
      <c r="CR34" s="540"/>
    </row>
    <row r="35" spans="1:96" s="111" customFormat="1" ht="23.25" customHeight="1">
      <c r="A35" s="468">
        <v>28</v>
      </c>
      <c r="B35" s="1705">
        <v>0</v>
      </c>
      <c r="C35" s="614"/>
      <c r="D35" s="575">
        <f t="shared" si="25"/>
        <v>100</v>
      </c>
      <c r="E35" s="1437">
        <v>0</v>
      </c>
      <c r="F35" s="1716">
        <v>0</v>
      </c>
      <c r="G35" s="2329">
        <v>0</v>
      </c>
      <c r="H35" s="1708">
        <v>0</v>
      </c>
      <c r="I35" s="578">
        <f t="shared" si="26"/>
        <v>0</v>
      </c>
      <c r="J35" s="650" t="s">
        <v>90</v>
      </c>
      <c r="K35" s="580">
        <f t="shared" si="27"/>
        <v>0</v>
      </c>
      <c r="L35" s="652" t="s">
        <v>234</v>
      </c>
      <c r="M35" s="582">
        <f t="shared" si="28"/>
        <v>10</v>
      </c>
      <c r="N35" s="1712">
        <v>0</v>
      </c>
      <c r="O35" s="740">
        <f t="shared" si="29"/>
        <v>0</v>
      </c>
      <c r="P35" s="738">
        <f t="shared" si="30"/>
        <v>0</v>
      </c>
      <c r="Q35" s="657">
        <f t="shared" si="31"/>
        <v>0</v>
      </c>
      <c r="R35" s="659">
        <f t="shared" si="32"/>
        <v>0</v>
      </c>
      <c r="S35" s="978"/>
      <c r="T35" s="2083">
        <f t="shared" si="24"/>
        <v>28</v>
      </c>
      <c r="U35" s="1329"/>
      <c r="V35" s="1330" t="s">
        <v>795</v>
      </c>
      <c r="W35" s="1424">
        <v>0</v>
      </c>
      <c r="X35" s="1033">
        <f>VLOOKUP(V35,Düngemittel!$B$6:$E$64,2,FALSE)*(VLOOKUP(V35,Düngemittel!$B$6:$E$64,3,FALSE))/100*W35</f>
        <v>0</v>
      </c>
      <c r="Y35" s="1033">
        <f>VLOOKUP(V35,Düngemittel!$B$6:$E$64,2,FALSE)*W35</f>
        <v>0</v>
      </c>
      <c r="Z35" s="1033">
        <f>VLOOKUP(V35,Düngemittel!$B$6:$E$64,4,FALSE)*W35</f>
        <v>0</v>
      </c>
      <c r="AA35" s="2324"/>
      <c r="AB35" s="1329"/>
      <c r="AC35" s="1330" t="s">
        <v>795</v>
      </c>
      <c r="AD35" s="1424">
        <v>0</v>
      </c>
      <c r="AE35" s="1033">
        <f>VLOOKUP(AC35,Düngemittel!$B$6:$E$64,2,FALSE)*(VLOOKUP(AC35,Düngemittel!$B$6:$E$64,3,FALSE))/100*AD35</f>
        <v>0</v>
      </c>
      <c r="AF35" s="1033">
        <f>VLOOKUP(AC35,Düngemittel!$B$6:$E$64,2,FALSE)*AD35</f>
        <v>0</v>
      </c>
      <c r="AG35" s="1033">
        <f>VLOOKUP(AC35,Düngemittel!$B$6:$E$64,4,FALSE)*AD35</f>
        <v>0</v>
      </c>
      <c r="AH35" s="2324"/>
      <c r="AI35" s="1329"/>
      <c r="AJ35" s="1330" t="s">
        <v>795</v>
      </c>
      <c r="AK35" s="1424">
        <v>0</v>
      </c>
      <c r="AL35" s="1033">
        <f>VLOOKUP(AJ35,Düngemittel!$B$6:$E$64,2,FALSE)*(VLOOKUP(AJ35,Düngemittel!$B$6:$E$64,3,FALSE))/100*AK35</f>
        <v>0</v>
      </c>
      <c r="AM35" s="1033">
        <f>VLOOKUP(AJ35,Düngemittel!$B$6:$E$64,2,FALSE)*AK35</f>
        <v>0</v>
      </c>
      <c r="AN35" s="1033">
        <f>VLOOKUP(AJ35,Düngemittel!$B$6:$E$64,4,FALSE)*AK35</f>
        <v>0</v>
      </c>
      <c r="AO35" s="2324"/>
      <c r="AP35" s="1329"/>
      <c r="AQ35" s="1330" t="s">
        <v>795</v>
      </c>
      <c r="AR35" s="1424">
        <v>0</v>
      </c>
      <c r="AS35" s="1033">
        <f>VLOOKUP(AQ35,Düngemittel!$B$6:$E$64,2,FALSE)*(VLOOKUP(AQ35,Düngemittel!$B$6:$E$64,3,FALSE))/100*AR35</f>
        <v>0</v>
      </c>
      <c r="AT35" s="1033">
        <f>VLOOKUP(AQ35,Düngemittel!$B$6:$E$64,2,FALSE)*AR35</f>
        <v>0</v>
      </c>
      <c r="AU35" s="1033">
        <f>VLOOKUP(AQ35,Düngemittel!$B$6:$E$64,4,FALSE)*AR35</f>
        <v>0</v>
      </c>
      <c r="AV35" s="2324"/>
      <c r="AW35" s="1329"/>
      <c r="AX35" s="1330" t="s">
        <v>795</v>
      </c>
      <c r="AY35" s="1424">
        <v>0</v>
      </c>
      <c r="AZ35" s="1033">
        <f>VLOOKUP(AX35,Düngemittel!$B$6:$E$64,2,FALSE)*(VLOOKUP(AX35,Düngemittel!$B$6:$E$64,3,FALSE))/100*AY35</f>
        <v>0</v>
      </c>
      <c r="BA35" s="1033">
        <f>VLOOKUP(AX35,Düngemittel!$B$6:$E$64,2,FALSE)*AY35</f>
        <v>0</v>
      </c>
      <c r="BB35" s="1033">
        <f>VLOOKUP(AX35,Düngemittel!$B$6:$E$64,4,FALSE)*AY35</f>
        <v>0</v>
      </c>
      <c r="BC35" s="863"/>
      <c r="BD35" s="1812">
        <f t="shared" si="9"/>
        <v>0</v>
      </c>
      <c r="BE35" s="2326">
        <f t="shared" si="10"/>
        <v>0</v>
      </c>
      <c r="BF35" s="1819">
        <f t="shared" si="11"/>
        <v>0</v>
      </c>
      <c r="BG35" s="1151">
        <f t="shared" si="12"/>
        <v>0</v>
      </c>
      <c r="BH35" s="2326">
        <f t="shared" si="13"/>
        <v>0</v>
      </c>
      <c r="BI35" s="1152"/>
      <c r="BJ35" s="1812">
        <f t="shared" si="33"/>
        <v>0</v>
      </c>
      <c r="BK35" s="1282">
        <f t="shared" si="34"/>
        <v>0</v>
      </c>
      <c r="BL35" s="1812">
        <f t="shared" si="35"/>
        <v>0</v>
      </c>
      <c r="BM35" s="1282">
        <f t="shared" si="36"/>
        <v>0</v>
      </c>
      <c r="BN35" s="1282">
        <f t="shared" si="37"/>
        <v>0</v>
      </c>
      <c r="BO35" s="1119"/>
      <c r="BP35" s="1119"/>
      <c r="BQ35" s="1512">
        <f t="shared" si="19"/>
        <v>28</v>
      </c>
      <c r="BR35" s="1513">
        <f t="shared" si="20"/>
        <v>0</v>
      </c>
      <c r="BS35" s="1438"/>
      <c r="BT35" s="1495"/>
      <c r="BU35" s="1437"/>
      <c r="BV35" s="1437"/>
      <c r="BW35" s="1437"/>
      <c r="BX35" s="1515">
        <f t="shared" si="38"/>
        <v>0</v>
      </c>
      <c r="BY35" s="1438"/>
      <c r="BZ35" s="1495"/>
      <c r="CA35" s="1437"/>
      <c r="CB35" s="1437"/>
      <c r="CC35" s="1437"/>
      <c r="CD35" s="1515">
        <f t="shared" si="39"/>
        <v>0</v>
      </c>
      <c r="CE35" s="1438"/>
      <c r="CF35" s="1495"/>
      <c r="CG35" s="1437"/>
      <c r="CH35" s="1437"/>
      <c r="CI35" s="1437"/>
      <c r="CJ35" s="1515">
        <f t="shared" si="40"/>
        <v>0</v>
      </c>
      <c r="CK35" s="1434"/>
      <c r="CL35" s="357"/>
      <c r="CM35" s="357"/>
      <c r="CN35" s="357"/>
      <c r="CO35" s="357"/>
      <c r="CP35" s="540"/>
      <c r="CQ35" s="540"/>
      <c r="CR35" s="540"/>
    </row>
    <row r="36" spans="1:96" s="111" customFormat="1" ht="23.25" customHeight="1">
      <c r="A36" s="468">
        <v>29</v>
      </c>
      <c r="B36" s="1705">
        <v>0</v>
      </c>
      <c r="C36" s="614"/>
      <c r="D36" s="575">
        <f t="shared" si="25"/>
        <v>100</v>
      </c>
      <c r="E36" s="1437">
        <v>0</v>
      </c>
      <c r="F36" s="1716">
        <v>0</v>
      </c>
      <c r="G36" s="2329">
        <v>0</v>
      </c>
      <c r="H36" s="1708">
        <v>0</v>
      </c>
      <c r="I36" s="578">
        <f t="shared" si="26"/>
        <v>0</v>
      </c>
      <c r="J36" s="650" t="s">
        <v>90</v>
      </c>
      <c r="K36" s="580">
        <f t="shared" si="27"/>
        <v>0</v>
      </c>
      <c r="L36" s="652" t="s">
        <v>234</v>
      </c>
      <c r="M36" s="582">
        <f t="shared" si="28"/>
        <v>10</v>
      </c>
      <c r="N36" s="1712">
        <v>0</v>
      </c>
      <c r="O36" s="740">
        <f t="shared" si="29"/>
        <v>0</v>
      </c>
      <c r="P36" s="738">
        <f t="shared" si="30"/>
        <v>0</v>
      </c>
      <c r="Q36" s="657">
        <f t="shared" si="31"/>
        <v>0</v>
      </c>
      <c r="R36" s="659">
        <f t="shared" si="32"/>
        <v>0</v>
      </c>
      <c r="S36" s="978"/>
      <c r="T36" s="2083">
        <f t="shared" si="24"/>
        <v>29</v>
      </c>
      <c r="U36" s="1329"/>
      <c r="V36" s="1330" t="s">
        <v>795</v>
      </c>
      <c r="W36" s="1424">
        <v>0</v>
      </c>
      <c r="X36" s="1033">
        <f>VLOOKUP(V36,Düngemittel!$B$6:$E$64,2,FALSE)*(VLOOKUP(V36,Düngemittel!$B$6:$E$64,3,FALSE))/100*W36</f>
        <v>0</v>
      </c>
      <c r="Y36" s="1033">
        <f>VLOOKUP(V36,Düngemittel!$B$6:$E$64,2,FALSE)*W36</f>
        <v>0</v>
      </c>
      <c r="Z36" s="1033">
        <f>VLOOKUP(V36,Düngemittel!$B$6:$E$64,4,FALSE)*W36</f>
        <v>0</v>
      </c>
      <c r="AA36" s="2324"/>
      <c r="AB36" s="1329"/>
      <c r="AC36" s="1330" t="s">
        <v>795</v>
      </c>
      <c r="AD36" s="1424">
        <v>0</v>
      </c>
      <c r="AE36" s="1033">
        <f>VLOOKUP(AC36,Düngemittel!$B$6:$E$64,2,FALSE)*(VLOOKUP(AC36,Düngemittel!$B$6:$E$64,3,FALSE))/100*AD36</f>
        <v>0</v>
      </c>
      <c r="AF36" s="1033">
        <f>VLOOKUP(AC36,Düngemittel!$B$6:$E$64,2,FALSE)*AD36</f>
        <v>0</v>
      </c>
      <c r="AG36" s="1033">
        <f>VLOOKUP(AC36,Düngemittel!$B$6:$E$64,4,FALSE)*AD36</f>
        <v>0</v>
      </c>
      <c r="AH36" s="2324"/>
      <c r="AI36" s="1329"/>
      <c r="AJ36" s="1330" t="s">
        <v>795</v>
      </c>
      <c r="AK36" s="1424">
        <v>0</v>
      </c>
      <c r="AL36" s="1033">
        <f>VLOOKUP(AJ36,Düngemittel!$B$6:$E$64,2,FALSE)*(VLOOKUP(AJ36,Düngemittel!$B$6:$E$64,3,FALSE))/100*AK36</f>
        <v>0</v>
      </c>
      <c r="AM36" s="1033">
        <f>VLOOKUP(AJ36,Düngemittel!$B$6:$E$64,2,FALSE)*AK36</f>
        <v>0</v>
      </c>
      <c r="AN36" s="1033">
        <f>VLOOKUP(AJ36,Düngemittel!$B$6:$E$64,4,FALSE)*AK36</f>
        <v>0</v>
      </c>
      <c r="AO36" s="2324"/>
      <c r="AP36" s="1329"/>
      <c r="AQ36" s="1330" t="s">
        <v>795</v>
      </c>
      <c r="AR36" s="1424">
        <v>0</v>
      </c>
      <c r="AS36" s="1033">
        <f>VLOOKUP(AQ36,Düngemittel!$B$6:$E$64,2,FALSE)*(VLOOKUP(AQ36,Düngemittel!$B$6:$E$64,3,FALSE))/100*AR36</f>
        <v>0</v>
      </c>
      <c r="AT36" s="1033">
        <f>VLOOKUP(AQ36,Düngemittel!$B$6:$E$64,2,FALSE)*AR36</f>
        <v>0</v>
      </c>
      <c r="AU36" s="1033">
        <f>VLOOKUP(AQ36,Düngemittel!$B$6:$E$64,4,FALSE)*AR36</f>
        <v>0</v>
      </c>
      <c r="AV36" s="2324"/>
      <c r="AW36" s="1329"/>
      <c r="AX36" s="1330" t="s">
        <v>795</v>
      </c>
      <c r="AY36" s="1424">
        <v>0</v>
      </c>
      <c r="AZ36" s="1033">
        <f>VLOOKUP(AX36,Düngemittel!$B$6:$E$64,2,FALSE)*(VLOOKUP(AX36,Düngemittel!$B$6:$E$64,3,FALSE))/100*AY36</f>
        <v>0</v>
      </c>
      <c r="BA36" s="1033">
        <f>VLOOKUP(AX36,Düngemittel!$B$6:$E$64,2,FALSE)*AY36</f>
        <v>0</v>
      </c>
      <c r="BB36" s="1033">
        <f>VLOOKUP(AX36,Düngemittel!$B$6:$E$64,4,FALSE)*AY36</f>
        <v>0</v>
      </c>
      <c r="BC36" s="863"/>
      <c r="BD36" s="1812">
        <f t="shared" si="9"/>
        <v>0</v>
      </c>
      <c r="BE36" s="2326">
        <f t="shared" si="10"/>
        <v>0</v>
      </c>
      <c r="BF36" s="1819">
        <f t="shared" si="11"/>
        <v>0</v>
      </c>
      <c r="BG36" s="1151">
        <f t="shared" si="12"/>
        <v>0</v>
      </c>
      <c r="BH36" s="2326">
        <f t="shared" si="13"/>
        <v>0</v>
      </c>
      <c r="BI36" s="1152"/>
      <c r="BJ36" s="1812">
        <f t="shared" si="33"/>
        <v>0</v>
      </c>
      <c r="BK36" s="1282">
        <f t="shared" si="34"/>
        <v>0</v>
      </c>
      <c r="BL36" s="1812">
        <f t="shared" si="35"/>
        <v>0</v>
      </c>
      <c r="BM36" s="1282">
        <f t="shared" si="36"/>
        <v>0</v>
      </c>
      <c r="BN36" s="1282">
        <f t="shared" si="37"/>
        <v>0</v>
      </c>
      <c r="BO36" s="1119"/>
      <c r="BP36" s="1119"/>
      <c r="BQ36" s="1512">
        <f t="shared" si="19"/>
        <v>29</v>
      </c>
      <c r="BR36" s="1513">
        <f t="shared" si="20"/>
        <v>0</v>
      </c>
      <c r="BS36" s="1438"/>
      <c r="BT36" s="1495"/>
      <c r="BU36" s="1437"/>
      <c r="BV36" s="1437"/>
      <c r="BW36" s="1437"/>
      <c r="BX36" s="1515">
        <f t="shared" si="38"/>
        <v>0</v>
      </c>
      <c r="BY36" s="1438"/>
      <c r="BZ36" s="1495"/>
      <c r="CA36" s="1437"/>
      <c r="CB36" s="1437"/>
      <c r="CC36" s="1437"/>
      <c r="CD36" s="1515">
        <f t="shared" si="39"/>
        <v>0</v>
      </c>
      <c r="CE36" s="1438"/>
      <c r="CF36" s="1495"/>
      <c r="CG36" s="1437"/>
      <c r="CH36" s="1437"/>
      <c r="CI36" s="1437"/>
      <c r="CJ36" s="1515">
        <f t="shared" si="40"/>
        <v>0</v>
      </c>
      <c r="CK36" s="1434"/>
      <c r="CL36" s="357"/>
      <c r="CM36" s="357"/>
      <c r="CN36" s="357"/>
      <c r="CO36" s="357"/>
      <c r="CP36" s="540"/>
      <c r="CQ36" s="540"/>
      <c r="CR36" s="540"/>
    </row>
    <row r="37" spans="1:96" s="111" customFormat="1" ht="23.25" customHeight="1">
      <c r="A37" s="468">
        <v>30</v>
      </c>
      <c r="B37" s="1705">
        <v>0</v>
      </c>
      <c r="C37" s="614"/>
      <c r="D37" s="575">
        <f t="shared" si="25"/>
        <v>100</v>
      </c>
      <c r="E37" s="1437">
        <v>0</v>
      </c>
      <c r="F37" s="1716">
        <v>0</v>
      </c>
      <c r="G37" s="2329">
        <v>0</v>
      </c>
      <c r="H37" s="1708">
        <v>0</v>
      </c>
      <c r="I37" s="578">
        <f t="shared" si="26"/>
        <v>0</v>
      </c>
      <c r="J37" s="650" t="s">
        <v>90</v>
      </c>
      <c r="K37" s="580">
        <f t="shared" si="27"/>
        <v>0</v>
      </c>
      <c r="L37" s="652" t="s">
        <v>234</v>
      </c>
      <c r="M37" s="582">
        <f t="shared" si="28"/>
        <v>10</v>
      </c>
      <c r="N37" s="1712">
        <v>0</v>
      </c>
      <c r="O37" s="740">
        <f t="shared" si="29"/>
        <v>0</v>
      </c>
      <c r="P37" s="738">
        <f t="shared" si="30"/>
        <v>0</v>
      </c>
      <c r="Q37" s="657">
        <f t="shared" si="31"/>
        <v>0</v>
      </c>
      <c r="R37" s="659">
        <f t="shared" si="32"/>
        <v>0</v>
      </c>
      <c r="S37" s="978"/>
      <c r="T37" s="2083">
        <f t="shared" si="24"/>
        <v>30</v>
      </c>
      <c r="U37" s="1329"/>
      <c r="V37" s="1330" t="s">
        <v>795</v>
      </c>
      <c r="W37" s="1424">
        <v>0</v>
      </c>
      <c r="X37" s="1033">
        <f>VLOOKUP(V37,Düngemittel!$B$6:$E$64,2,FALSE)*(VLOOKUP(V37,Düngemittel!$B$6:$E$64,3,FALSE))/100*W37</f>
        <v>0</v>
      </c>
      <c r="Y37" s="1033">
        <f>VLOOKUP(V37,Düngemittel!$B$6:$E$64,2,FALSE)*W37</f>
        <v>0</v>
      </c>
      <c r="Z37" s="1033">
        <f>VLOOKUP(V37,Düngemittel!$B$6:$E$64,4,FALSE)*W37</f>
        <v>0</v>
      </c>
      <c r="AA37" s="2324"/>
      <c r="AB37" s="1329"/>
      <c r="AC37" s="1330" t="s">
        <v>795</v>
      </c>
      <c r="AD37" s="1424">
        <v>0</v>
      </c>
      <c r="AE37" s="1033">
        <f>VLOOKUP(AC37,Düngemittel!$B$6:$E$64,2,FALSE)*(VLOOKUP(AC37,Düngemittel!$B$6:$E$64,3,FALSE))/100*AD37</f>
        <v>0</v>
      </c>
      <c r="AF37" s="1033">
        <f>VLOOKUP(AC37,Düngemittel!$B$6:$E$64,2,FALSE)*AD37</f>
        <v>0</v>
      </c>
      <c r="AG37" s="1033">
        <f>VLOOKUP(AC37,Düngemittel!$B$6:$E$64,4,FALSE)*AD37</f>
        <v>0</v>
      </c>
      <c r="AH37" s="2324"/>
      <c r="AI37" s="1329"/>
      <c r="AJ37" s="1330" t="s">
        <v>795</v>
      </c>
      <c r="AK37" s="1424">
        <v>0</v>
      </c>
      <c r="AL37" s="1033">
        <f>VLOOKUP(AJ37,Düngemittel!$B$6:$E$64,2,FALSE)*(VLOOKUP(AJ37,Düngemittel!$B$6:$E$64,3,FALSE))/100*AK37</f>
        <v>0</v>
      </c>
      <c r="AM37" s="1033">
        <f>VLOOKUP(AJ37,Düngemittel!$B$6:$E$64,2,FALSE)*AK37</f>
        <v>0</v>
      </c>
      <c r="AN37" s="1033">
        <f>VLOOKUP(AJ37,Düngemittel!$B$6:$E$64,4,FALSE)*AK37</f>
        <v>0</v>
      </c>
      <c r="AO37" s="2324"/>
      <c r="AP37" s="1329"/>
      <c r="AQ37" s="1330" t="s">
        <v>795</v>
      </c>
      <c r="AR37" s="1424">
        <v>0</v>
      </c>
      <c r="AS37" s="1033">
        <f>VLOOKUP(AQ37,Düngemittel!$B$6:$E$64,2,FALSE)*(VLOOKUP(AQ37,Düngemittel!$B$6:$E$64,3,FALSE))/100*AR37</f>
        <v>0</v>
      </c>
      <c r="AT37" s="1033">
        <f>VLOOKUP(AQ37,Düngemittel!$B$6:$E$64,2,FALSE)*AR37</f>
        <v>0</v>
      </c>
      <c r="AU37" s="1033">
        <f>VLOOKUP(AQ37,Düngemittel!$B$6:$E$64,4,FALSE)*AR37</f>
        <v>0</v>
      </c>
      <c r="AV37" s="2324"/>
      <c r="AW37" s="1329"/>
      <c r="AX37" s="1330" t="s">
        <v>795</v>
      </c>
      <c r="AY37" s="1424">
        <v>0</v>
      </c>
      <c r="AZ37" s="1033">
        <f>VLOOKUP(AX37,Düngemittel!$B$6:$E$64,2,FALSE)*(VLOOKUP(AX37,Düngemittel!$B$6:$E$64,3,FALSE))/100*AY37</f>
        <v>0</v>
      </c>
      <c r="BA37" s="1033">
        <f>VLOOKUP(AX37,Düngemittel!$B$6:$E$64,2,FALSE)*AY37</f>
        <v>0</v>
      </c>
      <c r="BB37" s="1033">
        <f>VLOOKUP(AX37,Düngemittel!$B$6:$E$64,4,FALSE)*AY37</f>
        <v>0</v>
      </c>
      <c r="BC37" s="863"/>
      <c r="BD37" s="1812">
        <f t="shared" si="9"/>
        <v>0</v>
      </c>
      <c r="BE37" s="2326">
        <f t="shared" si="10"/>
        <v>0</v>
      </c>
      <c r="BF37" s="1819">
        <f t="shared" si="11"/>
        <v>0</v>
      </c>
      <c r="BG37" s="1151">
        <f t="shared" si="12"/>
        <v>0</v>
      </c>
      <c r="BH37" s="2326">
        <f t="shared" si="13"/>
        <v>0</v>
      </c>
      <c r="BI37" s="1152"/>
      <c r="BJ37" s="1812">
        <f t="shared" si="33"/>
        <v>0</v>
      </c>
      <c r="BK37" s="1282">
        <f t="shared" si="34"/>
        <v>0</v>
      </c>
      <c r="BL37" s="1812">
        <f t="shared" si="35"/>
        <v>0</v>
      </c>
      <c r="BM37" s="1282">
        <f t="shared" si="36"/>
        <v>0</v>
      </c>
      <c r="BN37" s="1282">
        <f t="shared" si="37"/>
        <v>0</v>
      </c>
      <c r="BO37" s="1119"/>
      <c r="BP37" s="1119"/>
      <c r="BQ37" s="1512">
        <f t="shared" si="19"/>
        <v>30</v>
      </c>
      <c r="BR37" s="1513">
        <f t="shared" si="20"/>
        <v>0</v>
      </c>
      <c r="BS37" s="1438"/>
      <c r="BT37" s="1495"/>
      <c r="BU37" s="1437"/>
      <c r="BV37" s="1437"/>
      <c r="BW37" s="1437"/>
      <c r="BX37" s="1515">
        <f t="shared" si="38"/>
        <v>0</v>
      </c>
      <c r="BY37" s="1438"/>
      <c r="BZ37" s="1495"/>
      <c r="CA37" s="1437"/>
      <c r="CB37" s="1437"/>
      <c r="CC37" s="1437"/>
      <c r="CD37" s="1515">
        <f t="shared" si="39"/>
        <v>0</v>
      </c>
      <c r="CE37" s="1438"/>
      <c r="CF37" s="1495"/>
      <c r="CG37" s="1437"/>
      <c r="CH37" s="1437"/>
      <c r="CI37" s="1437"/>
      <c r="CJ37" s="1515">
        <f t="shared" si="40"/>
        <v>0</v>
      </c>
      <c r="CK37" s="1434"/>
      <c r="CL37" s="357"/>
      <c r="CM37" s="357"/>
      <c r="CN37" s="357"/>
      <c r="CO37" s="357"/>
      <c r="CP37" s="540"/>
      <c r="CQ37" s="540"/>
      <c r="CR37" s="540"/>
    </row>
    <row r="38" spans="1:96" s="111" customFormat="1" ht="23.25" customHeight="1">
      <c r="A38" s="468">
        <v>31</v>
      </c>
      <c r="B38" s="1705">
        <v>0</v>
      </c>
      <c r="C38" s="614"/>
      <c r="D38" s="575">
        <f t="shared" si="25"/>
        <v>100</v>
      </c>
      <c r="E38" s="1437">
        <v>0</v>
      </c>
      <c r="F38" s="1716">
        <v>0</v>
      </c>
      <c r="G38" s="2329">
        <v>0</v>
      </c>
      <c r="H38" s="1708">
        <v>0</v>
      </c>
      <c r="I38" s="578">
        <f t="shared" si="26"/>
        <v>0</v>
      </c>
      <c r="J38" s="650" t="s">
        <v>90</v>
      </c>
      <c r="K38" s="580">
        <f t="shared" si="27"/>
        <v>0</v>
      </c>
      <c r="L38" s="652" t="s">
        <v>234</v>
      </c>
      <c r="M38" s="582">
        <f t="shared" si="28"/>
        <v>10</v>
      </c>
      <c r="N38" s="1712">
        <v>0</v>
      </c>
      <c r="O38" s="740">
        <f t="shared" si="29"/>
        <v>0</v>
      </c>
      <c r="P38" s="738">
        <f t="shared" si="30"/>
        <v>0</v>
      </c>
      <c r="Q38" s="657">
        <f t="shared" si="31"/>
        <v>0</v>
      </c>
      <c r="R38" s="659">
        <f t="shared" si="32"/>
        <v>0</v>
      </c>
      <c r="S38" s="978"/>
      <c r="T38" s="2083">
        <f t="shared" si="24"/>
        <v>31</v>
      </c>
      <c r="U38" s="1329"/>
      <c r="V38" s="1330" t="s">
        <v>795</v>
      </c>
      <c r="W38" s="1424">
        <v>0</v>
      </c>
      <c r="X38" s="1033">
        <f>VLOOKUP(V38,Düngemittel!$B$6:$E$64,2,FALSE)*(VLOOKUP(V38,Düngemittel!$B$6:$E$64,3,FALSE))/100*W38</f>
        <v>0</v>
      </c>
      <c r="Y38" s="1033">
        <f>VLOOKUP(V38,Düngemittel!$B$6:$E$64,2,FALSE)*W38</f>
        <v>0</v>
      </c>
      <c r="Z38" s="1033">
        <f>VLOOKUP(V38,Düngemittel!$B$6:$E$64,4,FALSE)*W38</f>
        <v>0</v>
      </c>
      <c r="AA38" s="2324"/>
      <c r="AB38" s="1329"/>
      <c r="AC38" s="1330" t="s">
        <v>795</v>
      </c>
      <c r="AD38" s="1424">
        <v>0</v>
      </c>
      <c r="AE38" s="1033">
        <f>VLOOKUP(AC38,Düngemittel!$B$6:$E$64,2,FALSE)*(VLOOKUP(AC38,Düngemittel!$B$6:$E$64,3,FALSE))/100*AD38</f>
        <v>0</v>
      </c>
      <c r="AF38" s="1033">
        <f>VLOOKUP(AC38,Düngemittel!$B$6:$E$64,2,FALSE)*AD38</f>
        <v>0</v>
      </c>
      <c r="AG38" s="1033">
        <f>VLOOKUP(AC38,Düngemittel!$B$6:$E$64,4,FALSE)*AD38</f>
        <v>0</v>
      </c>
      <c r="AH38" s="2324"/>
      <c r="AI38" s="1329"/>
      <c r="AJ38" s="1330" t="s">
        <v>795</v>
      </c>
      <c r="AK38" s="1424">
        <v>0</v>
      </c>
      <c r="AL38" s="1033">
        <f>VLOOKUP(AJ38,Düngemittel!$B$6:$E$64,2,FALSE)*(VLOOKUP(AJ38,Düngemittel!$B$6:$E$64,3,FALSE))/100*AK38</f>
        <v>0</v>
      </c>
      <c r="AM38" s="1033">
        <f>VLOOKUP(AJ38,Düngemittel!$B$6:$E$64,2,FALSE)*AK38</f>
        <v>0</v>
      </c>
      <c r="AN38" s="1033">
        <f>VLOOKUP(AJ38,Düngemittel!$B$6:$E$64,4,FALSE)*AK38</f>
        <v>0</v>
      </c>
      <c r="AO38" s="2324"/>
      <c r="AP38" s="1329"/>
      <c r="AQ38" s="1330" t="s">
        <v>795</v>
      </c>
      <c r="AR38" s="1424">
        <v>0</v>
      </c>
      <c r="AS38" s="1033">
        <f>VLOOKUP(AQ38,Düngemittel!$B$6:$E$64,2,FALSE)*(VLOOKUP(AQ38,Düngemittel!$B$6:$E$64,3,FALSE))/100*AR38</f>
        <v>0</v>
      </c>
      <c r="AT38" s="1033">
        <f>VLOOKUP(AQ38,Düngemittel!$B$6:$E$64,2,FALSE)*AR38</f>
        <v>0</v>
      </c>
      <c r="AU38" s="1033">
        <f>VLOOKUP(AQ38,Düngemittel!$B$6:$E$64,4,FALSE)*AR38</f>
        <v>0</v>
      </c>
      <c r="AV38" s="2324"/>
      <c r="AW38" s="1329"/>
      <c r="AX38" s="1330" t="s">
        <v>795</v>
      </c>
      <c r="AY38" s="1424">
        <v>0</v>
      </c>
      <c r="AZ38" s="1033">
        <f>VLOOKUP(AX38,Düngemittel!$B$6:$E$64,2,FALSE)*(VLOOKUP(AX38,Düngemittel!$B$6:$E$64,3,FALSE))/100*AY38</f>
        <v>0</v>
      </c>
      <c r="BA38" s="1033">
        <f>VLOOKUP(AX38,Düngemittel!$B$6:$E$64,2,FALSE)*AY38</f>
        <v>0</v>
      </c>
      <c r="BB38" s="1033">
        <f>VLOOKUP(AX38,Düngemittel!$B$6:$E$64,4,FALSE)*AY38</f>
        <v>0</v>
      </c>
      <c r="BC38" s="863"/>
      <c r="BD38" s="1812">
        <f t="shared" si="9"/>
        <v>0</v>
      </c>
      <c r="BE38" s="2326">
        <f t="shared" si="10"/>
        <v>0</v>
      </c>
      <c r="BF38" s="1819">
        <f t="shared" si="11"/>
        <v>0</v>
      </c>
      <c r="BG38" s="1151">
        <f t="shared" si="12"/>
        <v>0</v>
      </c>
      <c r="BH38" s="2326">
        <f t="shared" si="13"/>
        <v>0</v>
      </c>
      <c r="BI38" s="1152"/>
      <c r="BJ38" s="1812">
        <f t="shared" si="33"/>
        <v>0</v>
      </c>
      <c r="BK38" s="1282">
        <f t="shared" si="34"/>
        <v>0</v>
      </c>
      <c r="BL38" s="1812">
        <f t="shared" si="35"/>
        <v>0</v>
      </c>
      <c r="BM38" s="1282">
        <f t="shared" si="36"/>
        <v>0</v>
      </c>
      <c r="BN38" s="1282">
        <f t="shared" si="37"/>
        <v>0</v>
      </c>
      <c r="BO38" s="1119"/>
      <c r="BP38" s="1119"/>
      <c r="BQ38" s="1512">
        <f t="shared" si="19"/>
        <v>31</v>
      </c>
      <c r="BR38" s="1513">
        <f t="shared" si="20"/>
        <v>0</v>
      </c>
      <c r="BS38" s="1438"/>
      <c r="BT38" s="1495"/>
      <c r="BU38" s="1437"/>
      <c r="BV38" s="1437"/>
      <c r="BW38" s="1437"/>
      <c r="BX38" s="1515">
        <f t="shared" si="38"/>
        <v>0</v>
      </c>
      <c r="BY38" s="1438"/>
      <c r="BZ38" s="1495"/>
      <c r="CA38" s="1437"/>
      <c r="CB38" s="1437"/>
      <c r="CC38" s="1437"/>
      <c r="CD38" s="1515">
        <f t="shared" si="39"/>
        <v>0</v>
      </c>
      <c r="CE38" s="1438"/>
      <c r="CF38" s="1495"/>
      <c r="CG38" s="1437"/>
      <c r="CH38" s="1437"/>
      <c r="CI38" s="1437"/>
      <c r="CJ38" s="1515">
        <f t="shared" si="40"/>
        <v>0</v>
      </c>
      <c r="CK38" s="1434"/>
      <c r="CL38" s="357"/>
      <c r="CM38" s="357"/>
      <c r="CN38" s="357"/>
      <c r="CO38" s="357"/>
      <c r="CP38" s="540"/>
      <c r="CQ38" s="540"/>
      <c r="CR38" s="540"/>
    </row>
    <row r="39" spans="1:96" s="111" customFormat="1" ht="23.25" customHeight="1">
      <c r="A39" s="468">
        <v>32</v>
      </c>
      <c r="B39" s="1705">
        <v>0</v>
      </c>
      <c r="C39" s="614"/>
      <c r="D39" s="575">
        <f t="shared" si="25"/>
        <v>100</v>
      </c>
      <c r="E39" s="1437">
        <v>0</v>
      </c>
      <c r="F39" s="1716">
        <v>0</v>
      </c>
      <c r="G39" s="2329">
        <v>0</v>
      </c>
      <c r="H39" s="1708">
        <v>0</v>
      </c>
      <c r="I39" s="578">
        <f t="shared" si="26"/>
        <v>0</v>
      </c>
      <c r="J39" s="650" t="s">
        <v>90</v>
      </c>
      <c r="K39" s="580">
        <f t="shared" si="27"/>
        <v>0</v>
      </c>
      <c r="L39" s="652" t="s">
        <v>234</v>
      </c>
      <c r="M39" s="582">
        <f t="shared" si="28"/>
        <v>10</v>
      </c>
      <c r="N39" s="1712">
        <v>0</v>
      </c>
      <c r="O39" s="740">
        <f t="shared" si="29"/>
        <v>0</v>
      </c>
      <c r="P39" s="738">
        <f t="shared" si="30"/>
        <v>0</v>
      </c>
      <c r="Q39" s="657">
        <f t="shared" si="31"/>
        <v>0</v>
      </c>
      <c r="R39" s="659">
        <f t="shared" si="32"/>
        <v>0</v>
      </c>
      <c r="S39" s="978"/>
      <c r="T39" s="2083">
        <f t="shared" si="24"/>
        <v>32</v>
      </c>
      <c r="U39" s="1329"/>
      <c r="V39" s="1330" t="s">
        <v>795</v>
      </c>
      <c r="W39" s="1424">
        <v>0</v>
      </c>
      <c r="X39" s="1033">
        <f>VLOOKUP(V39,Düngemittel!$B$6:$E$64,2,FALSE)*(VLOOKUP(V39,Düngemittel!$B$6:$E$64,3,FALSE))/100*W39</f>
        <v>0</v>
      </c>
      <c r="Y39" s="1033">
        <f>VLOOKUP(V39,Düngemittel!$B$6:$E$64,2,FALSE)*W39</f>
        <v>0</v>
      </c>
      <c r="Z39" s="1033">
        <f>VLOOKUP(V39,Düngemittel!$B$6:$E$64,4,FALSE)*W39</f>
        <v>0</v>
      </c>
      <c r="AA39" s="2324"/>
      <c r="AB39" s="1329"/>
      <c r="AC39" s="1330" t="s">
        <v>795</v>
      </c>
      <c r="AD39" s="1424">
        <v>0</v>
      </c>
      <c r="AE39" s="1033">
        <f>VLOOKUP(AC39,Düngemittel!$B$6:$E$64,2,FALSE)*(VLOOKUP(AC39,Düngemittel!$B$6:$E$64,3,FALSE))/100*AD39</f>
        <v>0</v>
      </c>
      <c r="AF39" s="1033">
        <f>VLOOKUP(AC39,Düngemittel!$B$6:$E$64,2,FALSE)*AD39</f>
        <v>0</v>
      </c>
      <c r="AG39" s="1033">
        <f>VLOOKUP(AC39,Düngemittel!$B$6:$E$64,4,FALSE)*AD39</f>
        <v>0</v>
      </c>
      <c r="AH39" s="2324"/>
      <c r="AI39" s="1329"/>
      <c r="AJ39" s="1330" t="s">
        <v>795</v>
      </c>
      <c r="AK39" s="1424">
        <v>0</v>
      </c>
      <c r="AL39" s="1033">
        <f>VLOOKUP(AJ39,Düngemittel!$B$6:$E$64,2,FALSE)*(VLOOKUP(AJ39,Düngemittel!$B$6:$E$64,3,FALSE))/100*AK39</f>
        <v>0</v>
      </c>
      <c r="AM39" s="1033">
        <f>VLOOKUP(AJ39,Düngemittel!$B$6:$E$64,2,FALSE)*AK39</f>
        <v>0</v>
      </c>
      <c r="AN39" s="1033">
        <f>VLOOKUP(AJ39,Düngemittel!$B$6:$E$64,4,FALSE)*AK39</f>
        <v>0</v>
      </c>
      <c r="AO39" s="2324"/>
      <c r="AP39" s="1329"/>
      <c r="AQ39" s="1330" t="s">
        <v>795</v>
      </c>
      <c r="AR39" s="1424">
        <v>0</v>
      </c>
      <c r="AS39" s="1033">
        <f>VLOOKUP(AQ39,Düngemittel!$B$6:$E$64,2,FALSE)*(VLOOKUP(AQ39,Düngemittel!$B$6:$E$64,3,FALSE))/100*AR39</f>
        <v>0</v>
      </c>
      <c r="AT39" s="1033">
        <f>VLOOKUP(AQ39,Düngemittel!$B$6:$E$64,2,FALSE)*AR39</f>
        <v>0</v>
      </c>
      <c r="AU39" s="1033">
        <f>VLOOKUP(AQ39,Düngemittel!$B$6:$E$64,4,FALSE)*AR39</f>
        <v>0</v>
      </c>
      <c r="AV39" s="2324"/>
      <c r="AW39" s="1329"/>
      <c r="AX39" s="1330" t="s">
        <v>795</v>
      </c>
      <c r="AY39" s="1424">
        <v>0</v>
      </c>
      <c r="AZ39" s="1033">
        <f>VLOOKUP(AX39,Düngemittel!$B$6:$E$64,2,FALSE)*(VLOOKUP(AX39,Düngemittel!$B$6:$E$64,3,FALSE))/100*AY39</f>
        <v>0</v>
      </c>
      <c r="BA39" s="1033">
        <f>VLOOKUP(AX39,Düngemittel!$B$6:$E$64,2,FALSE)*AY39</f>
        <v>0</v>
      </c>
      <c r="BB39" s="1033">
        <f>VLOOKUP(AX39,Düngemittel!$B$6:$E$64,4,FALSE)*AY39</f>
        <v>0</v>
      </c>
      <c r="BC39" s="863"/>
      <c r="BD39" s="1812">
        <f t="shared" si="9"/>
        <v>0</v>
      </c>
      <c r="BE39" s="2326">
        <f t="shared" si="10"/>
        <v>0</v>
      </c>
      <c r="BF39" s="1819">
        <f t="shared" si="11"/>
        <v>0</v>
      </c>
      <c r="BG39" s="1151">
        <f t="shared" si="12"/>
        <v>0</v>
      </c>
      <c r="BH39" s="2326">
        <f t="shared" si="13"/>
        <v>0</v>
      </c>
      <c r="BI39" s="1152"/>
      <c r="BJ39" s="1812">
        <f t="shared" si="33"/>
        <v>0</v>
      </c>
      <c r="BK39" s="1282">
        <f t="shared" si="34"/>
        <v>0</v>
      </c>
      <c r="BL39" s="1812">
        <f t="shared" si="35"/>
        <v>0</v>
      </c>
      <c r="BM39" s="1282">
        <f t="shared" si="36"/>
        <v>0</v>
      </c>
      <c r="BN39" s="1282">
        <f t="shared" si="37"/>
        <v>0</v>
      </c>
      <c r="BO39" s="1119"/>
      <c r="BP39" s="1119"/>
      <c r="BQ39" s="1512">
        <f t="shared" si="19"/>
        <v>32</v>
      </c>
      <c r="BR39" s="1513">
        <f t="shared" si="20"/>
        <v>0</v>
      </c>
      <c r="BS39" s="1438"/>
      <c r="BT39" s="1495"/>
      <c r="BU39" s="1437"/>
      <c r="BV39" s="1437"/>
      <c r="BW39" s="1437"/>
      <c r="BX39" s="1515">
        <f t="shared" si="38"/>
        <v>0</v>
      </c>
      <c r="BY39" s="1438"/>
      <c r="BZ39" s="1495"/>
      <c r="CA39" s="1437"/>
      <c r="CB39" s="1437"/>
      <c r="CC39" s="1437"/>
      <c r="CD39" s="1515">
        <f t="shared" si="39"/>
        <v>0</v>
      </c>
      <c r="CE39" s="1438"/>
      <c r="CF39" s="1495"/>
      <c r="CG39" s="1437"/>
      <c r="CH39" s="1437"/>
      <c r="CI39" s="1437"/>
      <c r="CJ39" s="1515">
        <f t="shared" si="40"/>
        <v>0</v>
      </c>
      <c r="CK39" s="1434"/>
      <c r="CL39" s="357"/>
      <c r="CM39" s="357"/>
      <c r="CN39" s="357"/>
      <c r="CO39" s="357"/>
      <c r="CP39" s="540"/>
      <c r="CQ39" s="540"/>
      <c r="CR39" s="540"/>
    </row>
    <row r="40" spans="1:96" s="111" customFormat="1" ht="23.25" customHeight="1">
      <c r="A40" s="468">
        <v>33</v>
      </c>
      <c r="B40" s="1705">
        <v>0</v>
      </c>
      <c r="C40" s="614"/>
      <c r="D40" s="575">
        <f t="shared" si="25"/>
        <v>100</v>
      </c>
      <c r="E40" s="1437">
        <v>0</v>
      </c>
      <c r="F40" s="1716">
        <v>0</v>
      </c>
      <c r="G40" s="2329">
        <v>0</v>
      </c>
      <c r="H40" s="1708">
        <v>0</v>
      </c>
      <c r="I40" s="578">
        <f t="shared" si="26"/>
        <v>0</v>
      </c>
      <c r="J40" s="650" t="s">
        <v>90</v>
      </c>
      <c r="K40" s="580">
        <f t="shared" si="27"/>
        <v>0</v>
      </c>
      <c r="L40" s="652" t="s">
        <v>234</v>
      </c>
      <c r="M40" s="582">
        <f t="shared" si="28"/>
        <v>10</v>
      </c>
      <c r="N40" s="1712">
        <v>0</v>
      </c>
      <c r="O40" s="740">
        <f t="shared" si="29"/>
        <v>0</v>
      </c>
      <c r="P40" s="738">
        <f t="shared" si="30"/>
        <v>0</v>
      </c>
      <c r="Q40" s="657">
        <f t="shared" si="31"/>
        <v>0</v>
      </c>
      <c r="R40" s="659">
        <f t="shared" si="32"/>
        <v>0</v>
      </c>
      <c r="S40" s="978"/>
      <c r="T40" s="2083">
        <f t="shared" si="24"/>
        <v>33</v>
      </c>
      <c r="U40" s="1329"/>
      <c r="V40" s="1330" t="s">
        <v>795</v>
      </c>
      <c r="W40" s="1424">
        <v>0</v>
      </c>
      <c r="X40" s="1033">
        <f>VLOOKUP(V40,Düngemittel!$B$6:$E$64,2,FALSE)*(VLOOKUP(V40,Düngemittel!$B$6:$E$64,3,FALSE))/100*W40</f>
        <v>0</v>
      </c>
      <c r="Y40" s="1033">
        <f>VLOOKUP(V40,Düngemittel!$B$6:$E$64,2,FALSE)*W40</f>
        <v>0</v>
      </c>
      <c r="Z40" s="1033">
        <f>VLOOKUP(V40,Düngemittel!$B$6:$E$64,4,FALSE)*W40</f>
        <v>0</v>
      </c>
      <c r="AA40" s="2324"/>
      <c r="AB40" s="1329"/>
      <c r="AC40" s="1330" t="s">
        <v>795</v>
      </c>
      <c r="AD40" s="1424">
        <v>0</v>
      </c>
      <c r="AE40" s="1033">
        <f>VLOOKUP(AC40,Düngemittel!$B$6:$E$64,2,FALSE)*(VLOOKUP(AC40,Düngemittel!$B$6:$E$64,3,FALSE))/100*AD40</f>
        <v>0</v>
      </c>
      <c r="AF40" s="1033">
        <f>VLOOKUP(AC40,Düngemittel!$B$6:$E$64,2,FALSE)*AD40</f>
        <v>0</v>
      </c>
      <c r="AG40" s="1033">
        <f>VLOOKUP(AC40,Düngemittel!$B$6:$E$64,4,FALSE)*AD40</f>
        <v>0</v>
      </c>
      <c r="AH40" s="2324"/>
      <c r="AI40" s="1329"/>
      <c r="AJ40" s="1330" t="s">
        <v>795</v>
      </c>
      <c r="AK40" s="1424">
        <v>0</v>
      </c>
      <c r="AL40" s="1033">
        <f>VLOOKUP(AJ40,Düngemittel!$B$6:$E$64,2,FALSE)*(VLOOKUP(AJ40,Düngemittel!$B$6:$E$64,3,FALSE))/100*AK40</f>
        <v>0</v>
      </c>
      <c r="AM40" s="1033">
        <f>VLOOKUP(AJ40,Düngemittel!$B$6:$E$64,2,FALSE)*AK40</f>
        <v>0</v>
      </c>
      <c r="AN40" s="1033">
        <f>VLOOKUP(AJ40,Düngemittel!$B$6:$E$64,4,FALSE)*AK40</f>
        <v>0</v>
      </c>
      <c r="AO40" s="2324"/>
      <c r="AP40" s="1329"/>
      <c r="AQ40" s="1330" t="s">
        <v>795</v>
      </c>
      <c r="AR40" s="1424">
        <v>0</v>
      </c>
      <c r="AS40" s="1033">
        <f>VLOOKUP(AQ40,Düngemittel!$B$6:$E$64,2,FALSE)*(VLOOKUP(AQ40,Düngemittel!$B$6:$E$64,3,FALSE))/100*AR40</f>
        <v>0</v>
      </c>
      <c r="AT40" s="1033">
        <f>VLOOKUP(AQ40,Düngemittel!$B$6:$E$64,2,FALSE)*AR40</f>
        <v>0</v>
      </c>
      <c r="AU40" s="1033">
        <f>VLOOKUP(AQ40,Düngemittel!$B$6:$E$64,4,FALSE)*AR40</f>
        <v>0</v>
      </c>
      <c r="AV40" s="2324"/>
      <c r="AW40" s="1329"/>
      <c r="AX40" s="1330" t="s">
        <v>795</v>
      </c>
      <c r="AY40" s="1424">
        <v>0</v>
      </c>
      <c r="AZ40" s="1033">
        <f>VLOOKUP(AX40,Düngemittel!$B$6:$E$64,2,FALSE)*(VLOOKUP(AX40,Düngemittel!$B$6:$E$64,3,FALSE))/100*AY40</f>
        <v>0</v>
      </c>
      <c r="BA40" s="1033">
        <f>VLOOKUP(AX40,Düngemittel!$B$6:$E$64,2,FALSE)*AY40</f>
        <v>0</v>
      </c>
      <c r="BB40" s="1033">
        <f>VLOOKUP(AX40,Düngemittel!$B$6:$E$64,4,FALSE)*AY40</f>
        <v>0</v>
      </c>
      <c r="BC40" s="863"/>
      <c r="BD40" s="1812">
        <f t="shared" si="9"/>
        <v>0</v>
      </c>
      <c r="BE40" s="2326">
        <f t="shared" si="10"/>
        <v>0</v>
      </c>
      <c r="BF40" s="1819">
        <f t="shared" si="11"/>
        <v>0</v>
      </c>
      <c r="BG40" s="1151">
        <f t="shared" si="12"/>
        <v>0</v>
      </c>
      <c r="BH40" s="2326">
        <f t="shared" si="13"/>
        <v>0</v>
      </c>
      <c r="BI40" s="1152"/>
      <c r="BJ40" s="1812">
        <f t="shared" si="33"/>
        <v>0</v>
      </c>
      <c r="BK40" s="1282">
        <f t="shared" si="34"/>
        <v>0</v>
      </c>
      <c r="BL40" s="1812">
        <f t="shared" si="35"/>
        <v>0</v>
      </c>
      <c r="BM40" s="1282">
        <f t="shared" si="36"/>
        <v>0</v>
      </c>
      <c r="BN40" s="1282">
        <f t="shared" si="37"/>
        <v>0</v>
      </c>
      <c r="BO40" s="1119"/>
      <c r="BP40" s="1119"/>
      <c r="BQ40" s="1512">
        <f t="shared" si="19"/>
        <v>33</v>
      </c>
      <c r="BR40" s="1513">
        <f t="shared" si="20"/>
        <v>0</v>
      </c>
      <c r="BS40" s="1438"/>
      <c r="BT40" s="1495"/>
      <c r="BU40" s="1437"/>
      <c r="BV40" s="1437"/>
      <c r="BW40" s="1437"/>
      <c r="BX40" s="1515">
        <f t="shared" si="38"/>
        <v>0</v>
      </c>
      <c r="BY40" s="1438"/>
      <c r="BZ40" s="1495"/>
      <c r="CA40" s="1437"/>
      <c r="CB40" s="1437"/>
      <c r="CC40" s="1437"/>
      <c r="CD40" s="1515">
        <f t="shared" si="39"/>
        <v>0</v>
      </c>
      <c r="CE40" s="1438"/>
      <c r="CF40" s="1495"/>
      <c r="CG40" s="1437"/>
      <c r="CH40" s="1437"/>
      <c r="CI40" s="1437"/>
      <c r="CJ40" s="1515">
        <f t="shared" si="40"/>
        <v>0</v>
      </c>
      <c r="CK40" s="1434"/>
      <c r="CL40" s="357"/>
      <c r="CM40" s="357"/>
      <c r="CN40" s="357"/>
      <c r="CO40" s="357"/>
      <c r="CP40" s="540"/>
      <c r="CQ40" s="540"/>
      <c r="CR40" s="540"/>
    </row>
    <row r="41" spans="1:96" ht="23.25" customHeight="1">
      <c r="A41" s="468">
        <v>34</v>
      </c>
      <c r="B41" s="1705">
        <v>0</v>
      </c>
      <c r="C41" s="610"/>
      <c r="D41" s="575">
        <f t="shared" si="4"/>
        <v>100</v>
      </c>
      <c r="E41" s="1437">
        <v>0</v>
      </c>
      <c r="F41" s="1716">
        <v>0</v>
      </c>
      <c r="G41" s="1596">
        <v>0</v>
      </c>
      <c r="H41" s="1708">
        <v>0</v>
      </c>
      <c r="I41" s="578">
        <f t="shared" si="5"/>
        <v>0</v>
      </c>
      <c r="J41" s="650" t="s">
        <v>90</v>
      </c>
      <c r="K41" s="580">
        <f t="shared" si="0"/>
        <v>0</v>
      </c>
      <c r="L41" s="652" t="s">
        <v>234</v>
      </c>
      <c r="M41" s="582">
        <f t="shared" si="1"/>
        <v>10</v>
      </c>
      <c r="N41" s="1712">
        <v>0</v>
      </c>
      <c r="O41" s="740">
        <f t="shared" si="6"/>
        <v>0</v>
      </c>
      <c r="P41" s="738">
        <f t="shared" si="2"/>
        <v>0</v>
      </c>
      <c r="Q41" s="657">
        <f t="shared" si="7"/>
        <v>0</v>
      </c>
      <c r="R41" s="659">
        <f t="shared" si="8"/>
        <v>0</v>
      </c>
      <c r="S41" s="978"/>
      <c r="T41" s="2083">
        <f t="shared" si="24"/>
        <v>34</v>
      </c>
      <c r="U41" s="1329"/>
      <c r="V41" s="1330" t="s">
        <v>795</v>
      </c>
      <c r="W41" s="1424">
        <v>0</v>
      </c>
      <c r="X41" s="1033">
        <f>VLOOKUP(V41,Düngemittel!$B$6:$E$64,2,FALSE)*(VLOOKUP(V41,Düngemittel!$B$6:$E$64,3,FALSE))/100*W41</f>
        <v>0</v>
      </c>
      <c r="Y41" s="1033">
        <f>VLOOKUP(V41,Düngemittel!$B$6:$E$64,2,FALSE)*W41</f>
        <v>0</v>
      </c>
      <c r="Z41" s="1033">
        <f>VLOOKUP(V41,Düngemittel!$B$6:$E$64,4,FALSE)*W41</f>
        <v>0</v>
      </c>
      <c r="AA41" s="2089"/>
      <c r="AB41" s="1329"/>
      <c r="AC41" s="1330" t="s">
        <v>795</v>
      </c>
      <c r="AD41" s="1424">
        <v>0</v>
      </c>
      <c r="AE41" s="1033">
        <f>VLOOKUP(AC41,Düngemittel!$B$6:$E$64,2,FALSE)*(VLOOKUP(AC41,Düngemittel!$B$6:$E$64,3,FALSE))/100*AD41</f>
        <v>0</v>
      </c>
      <c r="AF41" s="1033">
        <f>VLOOKUP(AC41,Düngemittel!$B$6:$E$64,2,FALSE)*AD41</f>
        <v>0</v>
      </c>
      <c r="AG41" s="1033">
        <f>VLOOKUP(AC41,Düngemittel!$B$6:$E$64,4,FALSE)*AD41</f>
        <v>0</v>
      </c>
      <c r="AH41" s="2089"/>
      <c r="AI41" s="1329"/>
      <c r="AJ41" s="1330" t="s">
        <v>795</v>
      </c>
      <c r="AK41" s="1424">
        <v>0</v>
      </c>
      <c r="AL41" s="1033">
        <f>VLOOKUP(AJ41,Düngemittel!$B$6:$E$64,2,FALSE)*(VLOOKUP(AJ41,Düngemittel!$B$6:$E$64,3,FALSE))/100*AK41</f>
        <v>0</v>
      </c>
      <c r="AM41" s="1033">
        <f>VLOOKUP(AJ41,Düngemittel!$B$6:$E$64,2,FALSE)*AK41</f>
        <v>0</v>
      </c>
      <c r="AN41" s="1033">
        <f>VLOOKUP(AJ41,Düngemittel!$B$6:$E$64,4,FALSE)*AK41</f>
        <v>0</v>
      </c>
      <c r="AO41" s="2089"/>
      <c r="AP41" s="1329"/>
      <c r="AQ41" s="1330" t="s">
        <v>795</v>
      </c>
      <c r="AR41" s="1424">
        <v>0</v>
      </c>
      <c r="AS41" s="1033">
        <f>VLOOKUP(AQ41,Düngemittel!$B$6:$E$64,2,FALSE)*(VLOOKUP(AQ41,Düngemittel!$B$6:$E$64,3,FALSE))/100*AR41</f>
        <v>0</v>
      </c>
      <c r="AT41" s="1033">
        <f>VLOOKUP(AQ41,Düngemittel!$B$6:$E$64,2,FALSE)*AR41</f>
        <v>0</v>
      </c>
      <c r="AU41" s="1033">
        <f>VLOOKUP(AQ41,Düngemittel!$B$6:$E$64,4,FALSE)*AR41</f>
        <v>0</v>
      </c>
      <c r="AV41" s="2089"/>
      <c r="AW41" s="1329"/>
      <c r="AX41" s="1330" t="s">
        <v>795</v>
      </c>
      <c r="AY41" s="1424">
        <v>0</v>
      </c>
      <c r="AZ41" s="1033">
        <f>VLOOKUP(AX41,Düngemittel!$B$6:$E$64,2,FALSE)*(VLOOKUP(AX41,Düngemittel!$B$6:$E$64,3,FALSE))/100*AY41</f>
        <v>0</v>
      </c>
      <c r="BA41" s="1033">
        <f>VLOOKUP(AX41,Düngemittel!$B$6:$E$64,2,FALSE)*AY41</f>
        <v>0</v>
      </c>
      <c r="BB41" s="1033">
        <f>VLOOKUP(AX41,Düngemittel!$B$6:$E$64,4,FALSE)*AY41</f>
        <v>0</v>
      </c>
      <c r="BC41" s="863"/>
      <c r="BD41" s="1812">
        <f t="shared" si="9"/>
        <v>0</v>
      </c>
      <c r="BE41" s="1273">
        <f t="shared" si="10"/>
        <v>0</v>
      </c>
      <c r="BF41" s="1819">
        <f t="shared" si="11"/>
        <v>0</v>
      </c>
      <c r="BG41" s="1151">
        <f t="shared" si="12"/>
        <v>0</v>
      </c>
      <c r="BH41" s="1273">
        <f t="shared" si="13"/>
        <v>0</v>
      </c>
      <c r="BI41" s="1152"/>
      <c r="BJ41" s="1812">
        <f t="shared" si="14"/>
        <v>0</v>
      </c>
      <c r="BK41" s="1282">
        <f t="shared" si="15"/>
        <v>0</v>
      </c>
      <c r="BL41" s="1812">
        <f t="shared" si="16"/>
        <v>0</v>
      </c>
      <c r="BM41" s="1282">
        <f t="shared" si="17"/>
        <v>0</v>
      </c>
      <c r="BN41" s="1282">
        <f t="shared" si="18"/>
        <v>0</v>
      </c>
      <c r="BO41" s="1119"/>
      <c r="BP41" s="1119"/>
      <c r="BQ41" s="1512">
        <f t="shared" si="19"/>
        <v>34</v>
      </c>
      <c r="BR41" s="1513">
        <f t="shared" si="20"/>
        <v>0</v>
      </c>
      <c r="BS41" s="1438"/>
      <c r="BT41" s="1495"/>
      <c r="BU41" s="1437"/>
      <c r="BV41" s="1437"/>
      <c r="BW41" s="1437"/>
      <c r="BX41" s="1515">
        <f t="shared" si="21"/>
        <v>0</v>
      </c>
      <c r="BY41" s="1438"/>
      <c r="BZ41" s="1495"/>
      <c r="CA41" s="1437"/>
      <c r="CB41" s="1437"/>
      <c r="CC41" s="1437"/>
      <c r="CD41" s="1515">
        <f t="shared" si="22"/>
        <v>0</v>
      </c>
      <c r="CE41" s="1438"/>
      <c r="CF41" s="1495"/>
      <c r="CG41" s="1437"/>
      <c r="CH41" s="1437"/>
      <c r="CI41" s="1437"/>
      <c r="CJ41" s="1515">
        <f t="shared" si="23"/>
        <v>0</v>
      </c>
      <c r="CK41" s="1434"/>
      <c r="CL41" s="357"/>
      <c r="CM41" s="357"/>
      <c r="CN41" s="357"/>
      <c r="CO41" s="357"/>
      <c r="CP41" s="357"/>
      <c r="CQ41" s="357"/>
      <c r="CR41" s="357"/>
    </row>
    <row r="42" spans="1:96" s="111" customFormat="1" ht="23.25" customHeight="1" thickBot="1">
      <c r="A42" s="468">
        <v>35</v>
      </c>
      <c r="B42" s="1705">
        <v>0</v>
      </c>
      <c r="C42" s="610"/>
      <c r="D42" s="575">
        <f t="shared" si="4"/>
        <v>100</v>
      </c>
      <c r="E42" s="1437">
        <v>0</v>
      </c>
      <c r="F42" s="1716">
        <v>0</v>
      </c>
      <c r="G42" s="1596">
        <v>0</v>
      </c>
      <c r="H42" s="1708">
        <v>0</v>
      </c>
      <c r="I42" s="578">
        <f t="shared" si="5"/>
        <v>0</v>
      </c>
      <c r="J42" s="1464" t="s">
        <v>90</v>
      </c>
      <c r="K42" s="1465">
        <f t="shared" si="0"/>
        <v>0</v>
      </c>
      <c r="L42" s="652" t="s">
        <v>234</v>
      </c>
      <c r="M42" s="582">
        <f t="shared" si="1"/>
        <v>10</v>
      </c>
      <c r="N42" s="1713">
        <v>0</v>
      </c>
      <c r="O42" s="740">
        <f t="shared" si="6"/>
        <v>0</v>
      </c>
      <c r="P42" s="738">
        <f t="shared" si="2"/>
        <v>0</v>
      </c>
      <c r="Q42" s="1470">
        <f t="shared" si="7"/>
        <v>0</v>
      </c>
      <c r="R42" s="659">
        <f t="shared" si="8"/>
        <v>0</v>
      </c>
      <c r="S42" s="978"/>
      <c r="T42" s="1476">
        <f t="shared" si="24"/>
        <v>35</v>
      </c>
      <c r="U42" s="1329"/>
      <c r="V42" s="1330" t="s">
        <v>795</v>
      </c>
      <c r="W42" s="1424">
        <v>0</v>
      </c>
      <c r="X42" s="1033">
        <f>VLOOKUP(V42,Düngemittel!$B$6:$E$64,2,FALSE)*(VLOOKUP(V42,Düngemittel!$B$6:$E$64,3,FALSE))/100*W42</f>
        <v>0</v>
      </c>
      <c r="Y42" s="1033">
        <f>VLOOKUP(V42,Düngemittel!$B$6:$E$64,2,FALSE)*W42</f>
        <v>0</v>
      </c>
      <c r="Z42" s="1033">
        <f>VLOOKUP(V42,Düngemittel!$B$6:$E$64,4,FALSE)*W42</f>
        <v>0</v>
      </c>
      <c r="AA42" s="2089"/>
      <c r="AB42" s="1329"/>
      <c r="AC42" s="1330" t="s">
        <v>795</v>
      </c>
      <c r="AD42" s="1424">
        <v>0</v>
      </c>
      <c r="AE42" s="1033">
        <f>VLOOKUP(AC42,Düngemittel!$B$6:$E$64,2,FALSE)*(VLOOKUP(AC42,Düngemittel!$B$6:$E$64,3,FALSE))/100*AD42</f>
        <v>0</v>
      </c>
      <c r="AF42" s="1033">
        <f>VLOOKUP(AC42,Düngemittel!$B$6:$E$64,2,FALSE)*AD42</f>
        <v>0</v>
      </c>
      <c r="AG42" s="1033">
        <f>VLOOKUP(AC42,Düngemittel!$B$6:$E$64,4,FALSE)*AD42</f>
        <v>0</v>
      </c>
      <c r="AH42" s="2089"/>
      <c r="AI42" s="1329"/>
      <c r="AJ42" s="1330" t="s">
        <v>795</v>
      </c>
      <c r="AK42" s="1424">
        <v>0</v>
      </c>
      <c r="AL42" s="1033">
        <f>VLOOKUP(AJ42,Düngemittel!$B$6:$E$64,2,FALSE)*(VLOOKUP(AJ42,Düngemittel!$B$6:$E$64,3,FALSE))/100*AK42</f>
        <v>0</v>
      </c>
      <c r="AM42" s="1033">
        <f>VLOOKUP(AJ42,Düngemittel!$B$6:$E$64,2,FALSE)*AK42</f>
        <v>0</v>
      </c>
      <c r="AN42" s="1033">
        <f>VLOOKUP(AJ42,Düngemittel!$B$6:$E$64,4,FALSE)*AK42</f>
        <v>0</v>
      </c>
      <c r="AO42" s="2089"/>
      <c r="AP42" s="1329"/>
      <c r="AQ42" s="1330" t="s">
        <v>795</v>
      </c>
      <c r="AR42" s="1424">
        <v>0</v>
      </c>
      <c r="AS42" s="1033">
        <f>VLOOKUP(AQ42,Düngemittel!$B$6:$E$64,2,FALSE)*(VLOOKUP(AQ42,Düngemittel!$B$6:$E$64,3,FALSE))/100*AR42</f>
        <v>0</v>
      </c>
      <c r="AT42" s="1033">
        <f>VLOOKUP(AQ42,Düngemittel!$B$6:$E$64,2,FALSE)*AR42</f>
        <v>0</v>
      </c>
      <c r="AU42" s="1033">
        <f>VLOOKUP(AQ42,Düngemittel!$B$6:$E$64,4,FALSE)*AR42</f>
        <v>0</v>
      </c>
      <c r="AV42" s="2089"/>
      <c r="AW42" s="1329"/>
      <c r="AX42" s="1330" t="s">
        <v>795</v>
      </c>
      <c r="AY42" s="1424">
        <v>0</v>
      </c>
      <c r="AZ42" s="1033">
        <f>VLOOKUP(AX42,Düngemittel!$B$6:$E$64,2,FALSE)*(VLOOKUP(AX42,Düngemittel!$B$6:$E$64,3,FALSE))/100*AY42</f>
        <v>0</v>
      </c>
      <c r="BA42" s="1033">
        <f>VLOOKUP(AX42,Düngemittel!$B$6:$E$64,2,FALSE)*AY42</f>
        <v>0</v>
      </c>
      <c r="BB42" s="1033">
        <f>VLOOKUP(AX42,Düngemittel!$B$6:$E$64,4,FALSE)*AY42</f>
        <v>0</v>
      </c>
      <c r="BC42" s="863"/>
      <c r="BD42" s="1812">
        <f t="shared" si="9"/>
        <v>0</v>
      </c>
      <c r="BE42" s="1273">
        <f t="shared" si="10"/>
        <v>0</v>
      </c>
      <c r="BF42" s="1819">
        <f t="shared" si="11"/>
        <v>0</v>
      </c>
      <c r="BG42" s="1151">
        <f t="shared" si="12"/>
        <v>0</v>
      </c>
      <c r="BH42" s="1273">
        <f t="shared" si="13"/>
        <v>0</v>
      </c>
      <c r="BI42" s="1152"/>
      <c r="BJ42" s="1812">
        <f t="shared" si="14"/>
        <v>0</v>
      </c>
      <c r="BK42" s="1282">
        <f t="shared" si="15"/>
        <v>0</v>
      </c>
      <c r="BL42" s="1812">
        <f t="shared" si="16"/>
        <v>0</v>
      </c>
      <c r="BM42" s="1282">
        <f t="shared" si="17"/>
        <v>0</v>
      </c>
      <c r="BN42" s="1282">
        <f t="shared" si="18"/>
        <v>0</v>
      </c>
      <c r="BO42" s="1119"/>
      <c r="BP42" s="1119"/>
      <c r="BQ42" s="1512">
        <f t="shared" si="19"/>
        <v>35</v>
      </c>
      <c r="BR42" s="1513">
        <f t="shared" si="20"/>
        <v>0</v>
      </c>
      <c r="BS42" s="1439"/>
      <c r="BT42" s="1496"/>
      <c r="BU42" s="1440"/>
      <c r="BV42" s="1440"/>
      <c r="BW42" s="1440"/>
      <c r="BX42" s="1517">
        <f t="shared" si="21"/>
        <v>0</v>
      </c>
      <c r="BY42" s="1439"/>
      <c r="BZ42" s="1496"/>
      <c r="CA42" s="1440"/>
      <c r="CB42" s="1440"/>
      <c r="CC42" s="1440"/>
      <c r="CD42" s="1517">
        <f t="shared" si="22"/>
        <v>0</v>
      </c>
      <c r="CE42" s="1439"/>
      <c r="CF42" s="1496"/>
      <c r="CG42" s="1440"/>
      <c r="CH42" s="1440"/>
      <c r="CI42" s="1440"/>
      <c r="CJ42" s="1517">
        <f t="shared" si="23"/>
        <v>0</v>
      </c>
      <c r="CK42" s="1436"/>
      <c r="CL42" s="357"/>
      <c r="CM42" s="357"/>
      <c r="CN42" s="357"/>
      <c r="CO42" s="357"/>
      <c r="CP42" s="540"/>
      <c r="CQ42" s="540"/>
      <c r="CR42" s="540"/>
    </row>
    <row r="43" spans="1:96" ht="25.5" customHeight="1" thickBot="1">
      <c r="A43" s="518" t="s">
        <v>286</v>
      </c>
      <c r="B43" s="1130">
        <f>SUM(B8:B42)</f>
        <v>0</v>
      </c>
      <c r="C43" s="1199" t="s">
        <v>1102</v>
      </c>
      <c r="D43" s="1200"/>
      <c r="E43" s="1201"/>
      <c r="F43" s="1201"/>
      <c r="G43" s="1202"/>
      <c r="H43" s="1203"/>
      <c r="I43" s="1203"/>
      <c r="J43" s="1203"/>
      <c r="K43" s="1203"/>
      <c r="L43" s="1203"/>
      <c r="M43" s="1275"/>
      <c r="N43" s="1275"/>
      <c r="O43" s="1204" t="s">
        <v>1021</v>
      </c>
      <c r="P43" s="514">
        <f>SUM(P8:P42)</f>
        <v>0</v>
      </c>
      <c r="Q43" s="654"/>
      <c r="R43" s="514">
        <f>SUM(R8:R42)</f>
        <v>0</v>
      </c>
      <c r="S43" s="636"/>
      <c r="T43" s="636"/>
      <c r="U43" s="636"/>
      <c r="V43" s="636"/>
      <c r="W43" s="636"/>
      <c r="X43" s="636"/>
      <c r="Y43" s="636"/>
      <c r="Z43" s="636"/>
      <c r="AA43" s="636"/>
      <c r="AB43" s="636"/>
      <c r="AC43" s="636"/>
      <c r="AD43" s="636"/>
      <c r="AE43" s="636"/>
      <c r="AF43" s="636"/>
      <c r="BD43" s="1818"/>
      <c r="BE43" s="1091"/>
      <c r="BF43" s="1820"/>
      <c r="BG43" s="492"/>
      <c r="BH43" s="1091"/>
      <c r="BI43" s="316"/>
      <c r="BJ43" s="1814">
        <f>SUM(BJ8:BJ42)</f>
        <v>0</v>
      </c>
      <c r="BK43" s="1452">
        <f>SUM(BK8:BK42)</f>
        <v>0</v>
      </c>
      <c r="BL43" s="1814">
        <f>SUM(BL8:BL42)</f>
        <v>0</v>
      </c>
      <c r="BM43" s="1452">
        <f>SUM(BM8:BM42)</f>
        <v>0</v>
      </c>
      <c r="BN43" s="1452">
        <f>SUM(BN8:BN42)</f>
        <v>0</v>
      </c>
      <c r="BO43" s="1143" t="s">
        <v>1081</v>
      </c>
      <c r="BP43" s="95"/>
      <c r="BQ43" s="1397"/>
      <c r="BR43" s="1397"/>
      <c r="BS43" s="1397"/>
      <c r="BT43" s="1397"/>
      <c r="BU43" s="1397"/>
      <c r="BV43" s="1397"/>
      <c r="BW43" s="1397"/>
      <c r="BX43" s="1397"/>
      <c r="BY43" s="1397"/>
      <c r="BZ43" s="1397"/>
      <c r="CA43" s="1397"/>
      <c r="CB43" s="1397"/>
      <c r="CC43" s="1397"/>
      <c r="CD43" s="1397"/>
      <c r="CE43" s="1406"/>
      <c r="CF43" s="1406"/>
      <c r="CG43" s="1406"/>
      <c r="CH43" s="1406"/>
      <c r="CI43" s="1406"/>
      <c r="CJ43" s="357"/>
      <c r="CK43" s="1390"/>
      <c r="CL43" s="357"/>
      <c r="CM43" s="357"/>
      <c r="CN43" s="357"/>
      <c r="CO43" s="357"/>
      <c r="CP43" s="357"/>
      <c r="CQ43" s="357"/>
      <c r="CR43" s="357"/>
    </row>
    <row r="44" spans="1:96" ht="16.5" customHeight="1">
      <c r="A44" s="315"/>
      <c r="B44" s="1420"/>
      <c r="C44" s="1419"/>
      <c r="D44" s="1196"/>
      <c r="E44" s="1196"/>
      <c r="F44" s="1196"/>
      <c r="G44" s="1269"/>
      <c r="H44" s="1269"/>
      <c r="I44" s="1269"/>
      <c r="J44" s="1269"/>
      <c r="K44" s="1269"/>
      <c r="L44" s="1269"/>
      <c r="M44" s="1251"/>
      <c r="N44" s="1251"/>
      <c r="O44" s="216"/>
      <c r="P44" s="2493" t="s">
        <v>1100</v>
      </c>
      <c r="Q44" s="1251"/>
      <c r="R44" s="2493" t="s">
        <v>1101</v>
      </c>
      <c r="S44" s="636"/>
      <c r="T44" s="636"/>
      <c r="U44" s="636"/>
      <c r="V44" s="636"/>
      <c r="W44" s="636"/>
      <c r="X44" s="636"/>
      <c r="Y44" s="636"/>
      <c r="Z44" s="636"/>
      <c r="AA44" s="636"/>
      <c r="AB44" s="636"/>
      <c r="AC44" s="636"/>
      <c r="AD44" s="636"/>
      <c r="AE44" s="636"/>
      <c r="AF44" s="636"/>
      <c r="AG44" s="488"/>
      <c r="AH44" s="488"/>
      <c r="AI44" s="488"/>
      <c r="AJ44" s="488"/>
      <c r="AK44" s="488"/>
      <c r="AL44" s="488"/>
      <c r="AM44" s="488"/>
      <c r="AN44" s="488"/>
      <c r="AO44" s="488"/>
      <c r="AP44" s="488"/>
      <c r="AQ44" s="488"/>
      <c r="AR44" s="488"/>
      <c r="AS44" s="488"/>
      <c r="AT44" s="488"/>
      <c r="AU44" s="488"/>
      <c r="AV44" s="488"/>
      <c r="AW44" s="488"/>
      <c r="AX44" s="488"/>
      <c r="AY44" s="488"/>
      <c r="AZ44" s="488"/>
      <c r="BA44" s="488"/>
      <c r="BB44" s="488"/>
      <c r="BD44" s="1814" t="e">
        <f>BJ44</f>
        <v>#DIV/0!</v>
      </c>
      <c r="BE44" s="622" t="e">
        <f t="shared" ref="BE44:BH44" si="41">BK44</f>
        <v>#DIV/0!</v>
      </c>
      <c r="BF44" s="1814" t="e">
        <f t="shared" si="41"/>
        <v>#DIV/0!</v>
      </c>
      <c r="BG44" s="1138" t="e">
        <f t="shared" si="41"/>
        <v>#DIV/0!</v>
      </c>
      <c r="BH44" s="622" t="e">
        <f t="shared" si="41"/>
        <v>#DIV/0!</v>
      </c>
      <c r="BI44" s="316"/>
      <c r="BJ44" s="1814" t="e">
        <f>BJ43/$B43</f>
        <v>#DIV/0!</v>
      </c>
      <c r="BK44" s="1277" t="e">
        <f>BK43/$B43</f>
        <v>#DIV/0!</v>
      </c>
      <c r="BL44" s="1814" t="e">
        <f>BL43/$B43</f>
        <v>#DIV/0!</v>
      </c>
      <c r="BM44" s="1138" t="e">
        <f>BM43/$B43</f>
        <v>#DIV/0!</v>
      </c>
      <c r="BN44" s="1277" t="e">
        <f>BN43/$B43</f>
        <v>#DIV/0!</v>
      </c>
      <c r="BO44" s="1143" t="s">
        <v>1060</v>
      </c>
      <c r="BP44" s="95"/>
      <c r="BQ44" s="1397"/>
      <c r="BR44" s="1397"/>
      <c r="BS44" s="1397"/>
      <c r="BT44" s="1397"/>
      <c r="BU44" s="1397"/>
      <c r="BV44" s="1397"/>
      <c r="BW44" s="1397"/>
      <c r="BX44" s="1397"/>
      <c r="BY44" s="1397"/>
      <c r="BZ44" s="1397"/>
      <c r="CA44" s="1397"/>
      <c r="CB44" s="1397"/>
      <c r="CC44" s="1397"/>
      <c r="CD44" s="1397"/>
      <c r="CE44" s="1406"/>
      <c r="CF44" s="1406"/>
      <c r="CG44" s="1406"/>
      <c r="CH44" s="1406"/>
      <c r="CI44" s="1406"/>
      <c r="CJ44" s="357"/>
      <c r="CK44" s="1398"/>
      <c r="CL44" s="357"/>
      <c r="CM44" s="357"/>
      <c r="CN44" s="357"/>
      <c r="CO44" s="357"/>
      <c r="CP44" s="357"/>
      <c r="CQ44" s="357"/>
      <c r="CR44" s="357"/>
    </row>
    <row r="45" spans="1:96" ht="60" customHeight="1" thickBot="1">
      <c r="A45" s="1256"/>
      <c r="B45" s="1419"/>
      <c r="C45" s="1419"/>
      <c r="D45" s="1196"/>
      <c r="E45" s="1196"/>
      <c r="F45" s="1196"/>
      <c r="G45" s="1269"/>
      <c r="H45" s="1269"/>
      <c r="I45" s="1269"/>
      <c r="J45" s="1269"/>
      <c r="K45" s="1269"/>
      <c r="L45" s="1269"/>
      <c r="M45" s="1251"/>
      <c r="N45" s="1251"/>
      <c r="O45" s="316"/>
      <c r="P45" s="2494"/>
      <c r="Q45" s="1251"/>
      <c r="R45" s="2494"/>
      <c r="S45" s="983"/>
      <c r="T45" s="983"/>
      <c r="U45" s="983"/>
      <c r="V45" s="983"/>
      <c r="W45" s="983"/>
      <c r="X45" s="983"/>
      <c r="Y45" s="983"/>
      <c r="Z45" s="983"/>
      <c r="AA45" s="983"/>
      <c r="AB45" s="983"/>
      <c r="AC45" s="983"/>
      <c r="AD45" s="983"/>
      <c r="AE45" s="983"/>
      <c r="AF45" s="983"/>
      <c r="AG45" s="488"/>
      <c r="AH45" s="488"/>
      <c r="AI45" s="488"/>
      <c r="AJ45" s="488"/>
      <c r="AK45" s="488"/>
      <c r="AL45" s="488"/>
      <c r="AM45" s="488"/>
      <c r="AN45" s="488"/>
      <c r="AO45" s="488"/>
      <c r="AP45" s="488"/>
      <c r="AQ45" s="488"/>
      <c r="AR45" s="488"/>
      <c r="AS45" s="488"/>
      <c r="AT45" s="488"/>
      <c r="AU45" s="488"/>
      <c r="AV45" s="488"/>
      <c r="AW45" s="488"/>
      <c r="AX45" s="488"/>
      <c r="AY45" s="488"/>
      <c r="AZ45" s="488"/>
      <c r="BA45" s="488"/>
      <c r="BB45" s="488"/>
      <c r="BC45" s="488"/>
      <c r="BD45" s="1809" t="s">
        <v>1080</v>
      </c>
      <c r="BE45" s="1270" t="s">
        <v>1066</v>
      </c>
      <c r="BF45" s="1307" t="s">
        <v>1309</v>
      </c>
      <c r="BG45" s="906" t="s">
        <v>1241</v>
      </c>
      <c r="BH45" s="1270" t="s">
        <v>284</v>
      </c>
      <c r="BI45" s="1256"/>
      <c r="BJ45" s="1809" t="s">
        <v>1080</v>
      </c>
      <c r="BK45" s="1270" t="s">
        <v>1066</v>
      </c>
      <c r="BL45" s="1307" t="s">
        <v>1309</v>
      </c>
      <c r="BM45" s="906" t="s">
        <v>1241</v>
      </c>
      <c r="BN45" s="1270" t="s">
        <v>284</v>
      </c>
      <c r="BO45" s="488"/>
      <c r="BP45" s="488"/>
      <c r="BQ45" s="557"/>
      <c r="BR45" s="557"/>
      <c r="BS45" s="557"/>
      <c r="BT45" s="557"/>
      <c r="BU45" s="557"/>
      <c r="BV45" s="557"/>
      <c r="BW45" s="557"/>
      <c r="BX45" s="557"/>
      <c r="BY45" s="557"/>
      <c r="BZ45" s="557"/>
      <c r="CA45" s="557"/>
      <c r="CB45" s="557"/>
      <c r="CC45" s="557"/>
      <c r="CD45" s="557"/>
      <c r="CE45" s="1406"/>
      <c r="CF45" s="1406"/>
      <c r="CG45" s="1406"/>
      <c r="CH45" s="1406"/>
      <c r="CI45" s="1406"/>
      <c r="CJ45" s="357"/>
      <c r="CK45" s="1398"/>
      <c r="CL45" s="357"/>
      <c r="CM45" s="357"/>
      <c r="CN45" s="357"/>
      <c r="CO45" s="357"/>
      <c r="CP45" s="357"/>
      <c r="CQ45" s="357"/>
      <c r="CR45" s="357"/>
    </row>
    <row r="46" spans="1:96" ht="16.5" customHeight="1">
      <c r="B46" s="175"/>
      <c r="D46" s="1268"/>
      <c r="E46" s="175"/>
      <c r="J46" s="185"/>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251"/>
      <c r="AV46" s="1251"/>
      <c r="AW46" s="1251"/>
      <c r="AX46" s="1251"/>
      <c r="AY46" s="1251"/>
      <c r="AZ46" s="1251"/>
      <c r="BA46" s="1251"/>
      <c r="BB46" s="1251"/>
      <c r="BC46" s="1291"/>
      <c r="BD46" s="1251"/>
      <c r="BE46" s="1251"/>
      <c r="BF46" s="1251"/>
      <c r="BG46" s="1251"/>
      <c r="BH46" s="1251"/>
      <c r="BI46" s="1251"/>
      <c r="BJ46" s="1251"/>
      <c r="BK46" s="1251"/>
      <c r="BL46" s="1251"/>
      <c r="BM46" s="1251"/>
      <c r="BN46" s="1251"/>
      <c r="BO46" s="1251"/>
      <c r="BP46" s="1251"/>
      <c r="BQ46" s="1448"/>
      <c r="BR46" s="1448"/>
      <c r="BS46" s="1448"/>
      <c r="BT46" s="1448"/>
      <c r="BU46" s="1448"/>
      <c r="BV46" s="1448"/>
      <c r="BW46" s="1448"/>
      <c r="BX46" s="1448"/>
      <c r="BY46" s="1448"/>
      <c r="BZ46" s="1448"/>
      <c r="CA46" s="1448"/>
      <c r="CB46" s="1448"/>
      <c r="CC46" s="1448"/>
      <c r="CD46" s="1448"/>
      <c r="CE46" s="1406"/>
      <c r="CF46" s="1406"/>
      <c r="CG46" s="1406"/>
      <c r="CH46" s="1406"/>
      <c r="CI46" s="1406"/>
      <c r="CJ46" s="357"/>
      <c r="CK46" s="1390"/>
      <c r="CL46" s="357"/>
      <c r="CM46" s="357"/>
      <c r="CN46" s="357"/>
      <c r="CO46" s="357"/>
      <c r="CP46" s="357"/>
      <c r="CQ46" s="357"/>
      <c r="CR46" s="357"/>
    </row>
    <row r="47" spans="1:96" ht="38.25" customHeight="1">
      <c r="A47" s="2664" t="s">
        <v>1068</v>
      </c>
      <c r="B47" s="2665"/>
      <c r="C47" s="2667" t="s">
        <v>1072</v>
      </c>
      <c r="D47" s="2668"/>
      <c r="E47" s="2668"/>
      <c r="F47" s="2668"/>
      <c r="G47" s="2668"/>
      <c r="H47" s="2668"/>
      <c r="I47" s="2668"/>
      <c r="J47" s="2668"/>
      <c r="K47" s="2668"/>
      <c r="L47" s="2668"/>
      <c r="M47" s="2542"/>
      <c r="N47" s="2542"/>
      <c r="O47" s="2542"/>
      <c r="P47" s="2542"/>
      <c r="Q47" s="2470"/>
      <c r="R47" s="2471"/>
      <c r="S47" s="1266"/>
      <c r="T47" s="1266"/>
      <c r="U47" s="1266"/>
      <c r="V47" s="1266"/>
      <c r="W47" s="1266"/>
      <c r="X47" s="1266"/>
      <c r="Y47" s="1266"/>
      <c r="Z47" s="1266"/>
      <c r="AA47" s="1266"/>
      <c r="AB47" s="1266"/>
      <c r="AC47" s="1266"/>
      <c r="AD47" s="1266"/>
      <c r="AE47" s="1266"/>
      <c r="AF47" s="1266"/>
      <c r="AG47" s="1251"/>
      <c r="AH47" s="1251"/>
      <c r="AI47" s="1251"/>
      <c r="AJ47" s="1251"/>
      <c r="AK47" s="1251"/>
      <c r="AL47" s="1251"/>
      <c r="AM47" s="1251"/>
      <c r="AN47" s="1251"/>
      <c r="AO47" s="1251"/>
      <c r="AP47" s="1251"/>
      <c r="AQ47" s="1251"/>
      <c r="AR47" s="1251"/>
      <c r="AS47" s="1251"/>
      <c r="AT47" s="1251"/>
      <c r="AU47" s="1251"/>
      <c r="AV47" s="1251"/>
      <c r="AW47" s="1251"/>
      <c r="AX47" s="1251"/>
      <c r="AY47" s="1251"/>
      <c r="AZ47" s="1251"/>
      <c r="BA47" s="1251"/>
      <c r="BB47" s="1251"/>
      <c r="BC47" s="1291"/>
      <c r="BD47" s="1251"/>
      <c r="BE47" s="1251"/>
      <c r="BF47" s="1251"/>
      <c r="BG47" s="1251"/>
      <c r="BH47" s="1251"/>
      <c r="BI47" s="1251"/>
      <c r="BJ47" s="1251"/>
      <c r="BK47" s="1251"/>
      <c r="BL47" s="1251"/>
      <c r="BM47" s="1251"/>
      <c r="BN47" s="1251"/>
      <c r="BO47" s="1251"/>
      <c r="BP47" s="1251"/>
      <c r="BQ47" s="1448"/>
      <c r="BR47" s="1448"/>
      <c r="BS47" s="1448"/>
      <c r="BT47" s="1448"/>
      <c r="BU47" s="1448"/>
      <c r="BV47" s="1448"/>
      <c r="BW47" s="1448"/>
      <c r="BX47" s="1448"/>
      <c r="BY47" s="1448"/>
      <c r="BZ47" s="1448"/>
      <c r="CA47" s="1448"/>
      <c r="CB47" s="1448"/>
      <c r="CC47" s="1448"/>
      <c r="CD47" s="1448"/>
      <c r="CE47" s="1406"/>
      <c r="CF47" s="1406"/>
      <c r="CG47" s="1406"/>
      <c r="CH47" s="1406"/>
      <c r="CI47" s="1406"/>
      <c r="CJ47" s="357"/>
      <c r="CK47" s="1390"/>
      <c r="CL47" s="357"/>
      <c r="CM47" s="357"/>
      <c r="CN47" s="357"/>
      <c r="CO47" s="357"/>
      <c r="CP47" s="357"/>
      <c r="CQ47" s="357"/>
      <c r="CR47" s="357"/>
    </row>
    <row r="48" spans="1:96" ht="28.5" customHeight="1">
      <c r="A48" s="2665"/>
      <c r="B48" s="2665"/>
      <c r="C48" s="2669"/>
      <c r="D48" s="2670"/>
      <c r="E48" s="2670"/>
      <c r="F48" s="2670"/>
      <c r="G48" s="2670"/>
      <c r="H48" s="2670"/>
      <c r="I48" s="2670"/>
      <c r="J48" s="2670"/>
      <c r="K48" s="2670"/>
      <c r="L48" s="2670"/>
      <c r="M48" s="2526"/>
      <c r="N48" s="2526"/>
      <c r="O48" s="2526"/>
      <c r="P48" s="2526"/>
      <c r="Q48" s="2452"/>
      <c r="R48" s="2475"/>
      <c r="S48" s="1266"/>
      <c r="T48" s="1266"/>
      <c r="U48" s="1266"/>
      <c r="V48" s="1266"/>
      <c r="W48" s="1266"/>
      <c r="X48" s="1266"/>
      <c r="Y48" s="1266"/>
      <c r="Z48" s="1266"/>
      <c r="AA48" s="1266"/>
      <c r="AB48" s="1266"/>
      <c r="AC48" s="1266"/>
      <c r="AD48" s="1266"/>
      <c r="AE48" s="1266"/>
      <c r="AF48" s="1266"/>
      <c r="AG48" s="1251"/>
      <c r="AH48" s="1251"/>
      <c r="AI48" s="1251"/>
      <c r="AJ48" s="1251"/>
      <c r="AK48" s="1251"/>
      <c r="AL48" s="1251"/>
      <c r="AM48" s="1251"/>
      <c r="AN48" s="1251"/>
      <c r="AO48" s="1251"/>
      <c r="AP48" s="1251"/>
      <c r="AQ48" s="1251"/>
      <c r="AR48" s="1251"/>
      <c r="AS48" s="1251"/>
      <c r="AT48" s="1251"/>
      <c r="AU48" s="1251"/>
      <c r="AV48" s="1251"/>
      <c r="AW48" s="1251"/>
      <c r="AX48" s="1251"/>
      <c r="AY48" s="1251"/>
      <c r="AZ48" s="1251"/>
      <c r="BA48" s="1251"/>
      <c r="BB48" s="1251"/>
      <c r="BC48" s="1291"/>
      <c r="BD48" s="1251"/>
      <c r="BE48" s="1251"/>
      <c r="BF48" s="1251"/>
      <c r="BG48" s="1251"/>
      <c r="BH48" s="1251"/>
      <c r="BI48" s="1251"/>
      <c r="BJ48" s="1251"/>
      <c r="BK48" s="1251"/>
      <c r="BL48" s="1251"/>
      <c r="BM48" s="1251"/>
      <c r="BN48" s="1251"/>
      <c r="BO48" s="1251"/>
      <c r="BP48" s="1251"/>
      <c r="BQ48" s="1448"/>
      <c r="BR48" s="1448"/>
      <c r="BS48" s="1448"/>
      <c r="BT48" s="1448"/>
      <c r="BU48" s="1448"/>
      <c r="BV48" s="1448"/>
      <c r="BW48" s="1448"/>
      <c r="BX48" s="1448"/>
      <c r="BY48" s="1448"/>
      <c r="BZ48" s="1448"/>
      <c r="CA48" s="1448"/>
      <c r="CB48" s="1448"/>
      <c r="CC48" s="1448"/>
      <c r="CD48" s="1448"/>
      <c r="CE48" s="1406"/>
      <c r="CF48" s="1406"/>
      <c r="CG48" s="1406"/>
      <c r="CH48" s="1406"/>
      <c r="CI48" s="1406"/>
      <c r="CJ48" s="357"/>
      <c r="CK48" s="1390"/>
      <c r="CL48" s="357"/>
      <c r="CM48" s="357"/>
      <c r="CN48" s="357"/>
      <c r="CO48" s="357"/>
      <c r="CP48" s="357"/>
      <c r="CQ48" s="357"/>
      <c r="CR48" s="357"/>
    </row>
    <row r="49" spans="1:96" ht="24.75" customHeight="1">
      <c r="A49" s="2666"/>
      <c r="B49" s="2666"/>
      <c r="C49" s="2671"/>
      <c r="D49" s="2479"/>
      <c r="E49" s="2479"/>
      <c r="F49" s="2479"/>
      <c r="G49" s="2479"/>
      <c r="H49" s="2479"/>
      <c r="I49" s="2479"/>
      <c r="J49" s="2479"/>
      <c r="K49" s="2479"/>
      <c r="L49" s="2479"/>
      <c r="M49" s="2479"/>
      <c r="N49" s="2479"/>
      <c r="O49" s="2479"/>
      <c r="P49" s="2479"/>
      <c r="Q49" s="2479"/>
      <c r="R49" s="2480"/>
      <c r="S49" s="1266"/>
      <c r="T49" s="1266"/>
      <c r="U49" s="1266"/>
      <c r="V49" s="1266"/>
      <c r="W49" s="1266"/>
      <c r="X49" s="1266"/>
      <c r="Y49" s="1266"/>
      <c r="Z49" s="1266"/>
      <c r="AA49" s="1266"/>
      <c r="AB49" s="1266"/>
      <c r="AC49" s="1266"/>
      <c r="AD49" s="1266"/>
      <c r="AE49" s="1266"/>
      <c r="AF49" s="1266"/>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91"/>
      <c r="BD49" s="1251"/>
      <c r="BE49" s="1251"/>
      <c r="BF49" s="1251"/>
      <c r="BG49" s="1251"/>
      <c r="BH49" s="1251"/>
      <c r="BI49" s="1251"/>
      <c r="BJ49" s="1251"/>
      <c r="BK49" s="1251"/>
      <c r="BL49" s="1251"/>
      <c r="BM49" s="1251"/>
      <c r="BN49" s="1251"/>
      <c r="BO49" s="1251"/>
      <c r="BP49" s="1251"/>
      <c r="BQ49" s="1448"/>
      <c r="BR49" s="1448"/>
      <c r="BS49" s="1448"/>
      <c r="BT49" s="1448"/>
      <c r="BU49" s="1448"/>
      <c r="BV49" s="1448"/>
      <c r="BW49" s="1448"/>
      <c r="BX49" s="1448"/>
      <c r="BY49" s="1448"/>
      <c r="BZ49" s="1448"/>
      <c r="CA49" s="1448"/>
      <c r="CB49" s="1448"/>
      <c r="CC49" s="1448"/>
      <c r="CD49" s="1448"/>
      <c r="CE49" s="1406"/>
      <c r="CF49" s="1406"/>
      <c r="CG49" s="1406"/>
      <c r="CH49" s="1406"/>
      <c r="CI49" s="1406"/>
      <c r="CJ49" s="357"/>
      <c r="CK49" s="1390"/>
      <c r="CL49" s="357"/>
      <c r="CM49" s="357"/>
      <c r="CN49" s="357"/>
      <c r="CO49" s="357"/>
      <c r="CP49" s="357"/>
      <c r="CQ49" s="357"/>
      <c r="CR49" s="357"/>
    </row>
    <row r="50" spans="1:96" ht="24.75" customHeight="1">
      <c r="B50" s="175"/>
      <c r="D50" s="1268"/>
      <c r="E50" s="175"/>
      <c r="J50" s="185"/>
      <c r="Q50" s="1251"/>
      <c r="R50" s="1251"/>
      <c r="S50" s="1266"/>
      <c r="T50" s="1266"/>
      <c r="U50" s="1266"/>
      <c r="V50" s="1266"/>
      <c r="W50" s="1266"/>
      <c r="X50" s="1266"/>
      <c r="Y50" s="1266"/>
      <c r="Z50" s="1266"/>
      <c r="AA50" s="1266"/>
      <c r="AB50" s="1266"/>
      <c r="AC50" s="1266"/>
      <c r="AD50" s="1266"/>
      <c r="AE50" s="1266"/>
      <c r="AF50" s="1266"/>
      <c r="AG50" s="1251"/>
      <c r="AH50" s="1251"/>
      <c r="AI50" s="1251"/>
      <c r="AJ50" s="1251"/>
      <c r="AK50" s="1251"/>
      <c r="AL50" s="1251"/>
      <c r="AM50" s="1251"/>
      <c r="AN50" s="1251"/>
      <c r="AO50" s="1251"/>
      <c r="AP50" s="1251"/>
      <c r="AQ50" s="1251"/>
      <c r="AR50" s="1251"/>
      <c r="AS50" s="1251"/>
      <c r="AT50" s="1251"/>
      <c r="AU50" s="1251"/>
      <c r="AV50" s="1251"/>
      <c r="AW50" s="1251"/>
      <c r="AX50" s="1251"/>
      <c r="AY50" s="1251"/>
      <c r="AZ50" s="1251"/>
      <c r="BA50" s="1251"/>
      <c r="BB50" s="1251"/>
      <c r="BC50" s="1291"/>
      <c r="BD50" s="1251"/>
      <c r="BE50" s="1251"/>
      <c r="BF50" s="1251"/>
      <c r="BG50" s="1251"/>
      <c r="BH50" s="1251"/>
      <c r="BI50" s="1251"/>
      <c r="BJ50" s="1251"/>
      <c r="BK50" s="1251"/>
      <c r="BL50" s="1251"/>
      <c r="BM50" s="1251"/>
      <c r="BN50" s="1251"/>
      <c r="BO50" s="1251"/>
      <c r="BP50" s="1251"/>
      <c r="BQ50" s="1448"/>
      <c r="BR50" s="1448"/>
      <c r="BS50" s="1448"/>
      <c r="BT50" s="1448"/>
      <c r="BU50" s="1448"/>
      <c r="BV50" s="1448"/>
      <c r="BW50" s="1448"/>
      <c r="BX50" s="1448"/>
      <c r="BY50" s="1448"/>
      <c r="BZ50" s="1448"/>
      <c r="CA50" s="1448"/>
      <c r="CB50" s="1448"/>
      <c r="CC50" s="1448"/>
      <c r="CD50" s="1448"/>
      <c r="CE50" s="1406"/>
      <c r="CF50" s="1406"/>
      <c r="CG50" s="1406"/>
      <c r="CH50" s="1406"/>
      <c r="CI50" s="1406"/>
      <c r="CJ50" s="357"/>
      <c r="CK50" s="357"/>
      <c r="CL50" s="357"/>
      <c r="CM50" s="357"/>
      <c r="CN50" s="357"/>
      <c r="CO50" s="357"/>
      <c r="CP50" s="357"/>
      <c r="CQ50" s="357"/>
      <c r="CR50" s="357"/>
    </row>
    <row r="51" spans="1:96" ht="15" customHeight="1">
      <c r="A51" s="2481" t="s">
        <v>609</v>
      </c>
      <c r="B51" s="2482"/>
      <c r="C51" s="2489" t="s">
        <v>1073</v>
      </c>
      <c r="D51" s="2490"/>
      <c r="E51" s="2490"/>
      <c r="F51" s="2490"/>
      <c r="G51" s="2490"/>
      <c r="H51" s="2490"/>
      <c r="I51" s="2490"/>
      <c r="J51" s="2490"/>
      <c r="K51" s="2490"/>
      <c r="L51" s="2490"/>
      <c r="M51" s="2490"/>
      <c r="N51" s="2490"/>
      <c r="O51" s="2490"/>
      <c r="P51" s="2490"/>
      <c r="Q51" s="2491"/>
      <c r="R51" s="2491"/>
      <c r="S51" s="1251"/>
      <c r="T51" s="1251"/>
      <c r="U51" s="1251"/>
      <c r="V51" s="1251"/>
      <c r="W51" s="1251"/>
      <c r="X51" s="1251"/>
      <c r="Y51" s="1251"/>
      <c r="Z51" s="1251"/>
      <c r="AA51" s="1251"/>
      <c r="AB51" s="1251"/>
      <c r="AC51" s="1251"/>
      <c r="AD51" s="1251"/>
      <c r="AE51" s="1251"/>
      <c r="AF51" s="1251"/>
      <c r="AG51" s="1251"/>
      <c r="AH51" s="1251"/>
      <c r="AI51" s="1251"/>
      <c r="AJ51" s="1251"/>
      <c r="AK51" s="1251"/>
      <c r="AL51" s="1251"/>
      <c r="AM51" s="1251"/>
      <c r="AN51" s="1251"/>
      <c r="AO51" s="1251"/>
      <c r="AP51" s="1251"/>
      <c r="AQ51" s="1251"/>
      <c r="AR51" s="1251"/>
      <c r="AS51" s="1251"/>
      <c r="AT51" s="1251"/>
      <c r="AU51" s="1251"/>
      <c r="AV51" s="1251"/>
      <c r="AW51" s="1251"/>
      <c r="AX51" s="1251"/>
      <c r="AY51" s="1251"/>
      <c r="AZ51" s="1251"/>
      <c r="BA51" s="1251"/>
      <c r="BB51" s="1251"/>
      <c r="BC51" s="1291"/>
      <c r="BD51" s="1251"/>
      <c r="BE51" s="1251"/>
      <c r="BF51" s="1251"/>
      <c r="BG51" s="1251"/>
      <c r="BH51" s="1251"/>
      <c r="BI51" s="1251"/>
      <c r="BJ51" s="1251"/>
      <c r="BK51" s="1251"/>
      <c r="BL51" s="1251"/>
      <c r="BM51" s="1251"/>
      <c r="BN51" s="1251"/>
      <c r="BO51" s="1251"/>
      <c r="BP51" s="1251"/>
      <c r="BQ51" s="1448"/>
      <c r="BR51" s="1448"/>
      <c r="BS51" s="1448"/>
      <c r="BT51" s="1448"/>
      <c r="BU51" s="1448"/>
      <c r="BV51" s="1448"/>
      <c r="BW51" s="1448"/>
      <c r="BX51" s="1448"/>
      <c r="BY51" s="1448"/>
      <c r="BZ51" s="1448"/>
      <c r="CA51" s="1448"/>
      <c r="CB51" s="1448"/>
      <c r="CC51" s="1448"/>
      <c r="CD51" s="1448"/>
      <c r="CE51" s="1406"/>
      <c r="CF51" s="1406"/>
      <c r="CG51" s="1406"/>
      <c r="CH51" s="1406"/>
      <c r="CI51" s="1406"/>
      <c r="CJ51" s="357"/>
      <c r="CK51" s="357"/>
      <c r="CL51" s="357"/>
      <c r="CM51" s="357"/>
      <c r="CN51" s="357"/>
      <c r="CO51" s="357"/>
      <c r="CP51" s="357"/>
      <c r="CQ51" s="357"/>
      <c r="CR51" s="357"/>
    </row>
    <row r="52" spans="1:96" ht="15" customHeight="1">
      <c r="A52" s="2483"/>
      <c r="B52" s="2484"/>
      <c r="C52" s="2490"/>
      <c r="D52" s="2490"/>
      <c r="E52" s="2490"/>
      <c r="F52" s="2490"/>
      <c r="G52" s="2490"/>
      <c r="H52" s="2490"/>
      <c r="I52" s="2490"/>
      <c r="J52" s="2490"/>
      <c r="K52" s="2490"/>
      <c r="L52" s="2490"/>
      <c r="M52" s="2490"/>
      <c r="N52" s="2490"/>
      <c r="O52" s="2490"/>
      <c r="P52" s="2490"/>
      <c r="Q52" s="2491"/>
      <c r="R52" s="2491"/>
      <c r="S52" s="1251"/>
      <c r="T52" s="1251"/>
      <c r="U52" s="1251"/>
      <c r="V52" s="1251"/>
      <c r="W52" s="1251"/>
      <c r="X52" s="1251"/>
      <c r="Y52" s="1251"/>
      <c r="Z52" s="1251"/>
      <c r="AA52" s="1251"/>
      <c r="AB52" s="1251"/>
      <c r="AC52" s="1251"/>
      <c r="AD52" s="1251"/>
      <c r="AE52" s="1251"/>
      <c r="AF52" s="1251"/>
      <c r="BQ52" s="357"/>
      <c r="BR52" s="357"/>
      <c r="BS52" s="357"/>
      <c r="BT52" s="357"/>
      <c r="BU52" s="357"/>
      <c r="BV52" s="357"/>
      <c r="BW52" s="357"/>
      <c r="BX52" s="357"/>
      <c r="BY52" s="357"/>
      <c r="BZ52" s="357"/>
      <c r="CA52" s="357"/>
      <c r="CB52" s="357"/>
      <c r="CC52" s="357"/>
      <c r="CD52" s="357"/>
      <c r="CE52" s="1406"/>
      <c r="CF52" s="1406"/>
      <c r="CG52" s="1406"/>
      <c r="CH52" s="1406"/>
      <c r="CI52" s="1406"/>
      <c r="CJ52" s="357"/>
      <c r="CK52" s="357"/>
      <c r="CL52" s="357"/>
      <c r="CM52" s="357"/>
      <c r="CN52" s="357"/>
      <c r="CO52" s="357"/>
      <c r="CP52" s="357"/>
      <c r="CQ52" s="357"/>
      <c r="CR52" s="357"/>
    </row>
    <row r="53" spans="1:96" ht="15" customHeight="1">
      <c r="A53" s="2485"/>
      <c r="B53" s="2486"/>
      <c r="C53" s="2490"/>
      <c r="D53" s="2490"/>
      <c r="E53" s="2490"/>
      <c r="F53" s="2490"/>
      <c r="G53" s="2490"/>
      <c r="H53" s="2490"/>
      <c r="I53" s="2490"/>
      <c r="J53" s="2490"/>
      <c r="K53" s="2490"/>
      <c r="L53" s="2490"/>
      <c r="M53" s="2490"/>
      <c r="N53" s="2490"/>
      <c r="O53" s="2490"/>
      <c r="P53" s="2490"/>
      <c r="Q53" s="2491"/>
      <c r="R53" s="2491"/>
      <c r="BQ53" s="357"/>
      <c r="BR53" s="357"/>
      <c r="BS53" s="357"/>
      <c r="BT53" s="357"/>
      <c r="BU53" s="357"/>
      <c r="BV53" s="357"/>
      <c r="BW53" s="357"/>
      <c r="BX53" s="357"/>
      <c r="BY53" s="357"/>
      <c r="BZ53" s="357"/>
      <c r="CA53" s="357"/>
      <c r="CB53" s="357"/>
      <c r="CC53" s="357"/>
      <c r="CD53" s="357"/>
      <c r="CE53" s="1406"/>
      <c r="CF53" s="1406"/>
      <c r="CG53" s="1406"/>
      <c r="CH53" s="1406"/>
      <c r="CI53" s="1406"/>
      <c r="CJ53" s="357"/>
      <c r="CK53" s="357"/>
      <c r="CL53" s="357"/>
      <c r="CM53" s="357"/>
      <c r="CN53" s="357"/>
      <c r="CO53" s="357"/>
      <c r="CP53" s="357"/>
      <c r="CQ53" s="357"/>
      <c r="CR53" s="357"/>
    </row>
    <row r="54" spans="1:96" ht="24" customHeight="1">
      <c r="A54" s="2487"/>
      <c r="B54" s="2488"/>
      <c r="C54" s="2489" t="s">
        <v>588</v>
      </c>
      <c r="D54" s="2490"/>
      <c r="E54" s="2490"/>
      <c r="F54" s="2490"/>
      <c r="G54" s="2490"/>
      <c r="H54" s="2490"/>
      <c r="I54" s="2490"/>
      <c r="J54" s="2490"/>
      <c r="K54" s="2490"/>
      <c r="L54" s="2490"/>
      <c r="M54" s="2490"/>
      <c r="N54" s="2490"/>
      <c r="O54" s="2491"/>
      <c r="P54" s="2491"/>
      <c r="Q54" s="2491"/>
      <c r="R54" s="2491"/>
      <c r="BQ54" s="357"/>
      <c r="BR54" s="357"/>
      <c r="BS54" s="357"/>
      <c r="BT54" s="357"/>
      <c r="BU54" s="357"/>
      <c r="BV54" s="357"/>
      <c r="BW54" s="357"/>
      <c r="BX54" s="357"/>
      <c r="BY54" s="357"/>
      <c r="BZ54" s="357"/>
      <c r="CA54" s="357"/>
      <c r="CB54" s="357"/>
      <c r="CC54" s="357"/>
      <c r="CD54" s="357"/>
      <c r="CE54" s="1406"/>
      <c r="CF54" s="1406"/>
      <c r="CG54" s="1406"/>
      <c r="CH54" s="1406"/>
      <c r="CI54" s="1406"/>
      <c r="CJ54" s="357"/>
      <c r="CK54" s="357"/>
      <c r="CL54" s="357"/>
      <c r="CM54" s="357"/>
      <c r="CN54" s="357"/>
      <c r="CO54" s="357"/>
      <c r="CP54" s="357"/>
      <c r="CQ54" s="357"/>
      <c r="CR54" s="357"/>
    </row>
    <row r="55" spans="1:96" ht="15.75">
      <c r="Q55" s="1251"/>
      <c r="R55" s="1251"/>
      <c r="AG55" s="1262"/>
      <c r="AH55" s="1262"/>
      <c r="AI55" s="1262"/>
      <c r="AJ55" s="1262"/>
      <c r="AK55" s="1262"/>
      <c r="AL55" s="1262"/>
      <c r="AM55" s="1262"/>
      <c r="AN55" s="1262"/>
      <c r="AO55" s="1262"/>
      <c r="AP55" s="1262"/>
      <c r="AQ55" s="1262"/>
      <c r="AR55" s="1262"/>
      <c r="AS55" s="1262"/>
      <c r="AT55" s="1262"/>
      <c r="AU55" s="1262"/>
      <c r="AV55" s="1262"/>
      <c r="AW55" s="1262"/>
      <c r="AX55" s="1262"/>
      <c r="AY55" s="1262"/>
      <c r="AZ55" s="1262"/>
      <c r="BA55" s="1262"/>
      <c r="BB55" s="1262"/>
      <c r="BC55" s="1292"/>
      <c r="BD55" s="1262"/>
      <c r="BE55" s="1262"/>
      <c r="BF55" s="1262"/>
      <c r="BG55" s="1262"/>
      <c r="BH55" s="1262"/>
      <c r="BI55" s="1262"/>
      <c r="BJ55" s="1262"/>
      <c r="BK55" s="1262"/>
      <c r="BL55" s="1262"/>
      <c r="BM55" s="1262"/>
      <c r="BN55" s="1262"/>
      <c r="BO55" s="1262"/>
      <c r="BP55" s="1262"/>
      <c r="BQ55" s="1447"/>
      <c r="BR55" s="1447"/>
      <c r="BS55" s="1447"/>
      <c r="BT55" s="1447"/>
      <c r="BU55" s="1447"/>
      <c r="BV55" s="1447"/>
      <c r="BW55" s="1447"/>
      <c r="BX55" s="1447"/>
      <c r="BY55" s="1447"/>
      <c r="BZ55" s="1447"/>
      <c r="CA55" s="1447"/>
      <c r="CB55" s="1447"/>
      <c r="CC55" s="1447"/>
      <c r="CD55" s="1447"/>
      <c r="CE55" s="1406"/>
      <c r="CF55" s="1406"/>
      <c r="CG55" s="1406"/>
      <c r="CH55" s="1406"/>
      <c r="CI55" s="1406"/>
      <c r="CJ55" s="357"/>
      <c r="CK55" s="357"/>
      <c r="CL55" s="357"/>
      <c r="CM55" s="357"/>
      <c r="CN55" s="357"/>
      <c r="CO55" s="357"/>
      <c r="CP55" s="357"/>
      <c r="CQ55" s="357"/>
      <c r="CR55" s="357"/>
    </row>
    <row r="56" spans="1:96" ht="9.75" customHeight="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91"/>
      <c r="BD56" s="1251"/>
      <c r="BE56" s="1251"/>
      <c r="BF56" s="1251"/>
      <c r="BG56" s="1251"/>
      <c r="BH56" s="1251"/>
      <c r="BI56" s="1251"/>
      <c r="BJ56" s="1251"/>
      <c r="BK56" s="1251"/>
      <c r="BL56" s="1251"/>
      <c r="BM56" s="1251"/>
      <c r="BN56" s="1251"/>
      <c r="BO56" s="1251"/>
      <c r="BP56" s="1251"/>
      <c r="BQ56" s="1448"/>
      <c r="BR56" s="1448"/>
      <c r="BS56" s="1448"/>
      <c r="BT56" s="1448"/>
      <c r="BU56" s="1448"/>
      <c r="BV56" s="1448"/>
      <c r="BW56" s="1448"/>
      <c r="BX56" s="1448"/>
      <c r="BY56" s="1448"/>
      <c r="BZ56" s="1448"/>
      <c r="CA56" s="1448"/>
      <c r="CB56" s="1448"/>
      <c r="CC56" s="1448"/>
      <c r="CD56" s="1448"/>
      <c r="CE56" s="1406"/>
      <c r="CF56" s="1406"/>
      <c r="CG56" s="1406"/>
      <c r="CH56" s="1406"/>
      <c r="CI56" s="1406"/>
      <c r="CJ56" s="357"/>
      <c r="CK56" s="357"/>
      <c r="CL56" s="357"/>
      <c r="CM56" s="357"/>
      <c r="CN56" s="357"/>
      <c r="CO56" s="357"/>
      <c r="CP56" s="357"/>
      <c r="CQ56" s="357"/>
      <c r="CR56" s="357"/>
    </row>
    <row r="57" spans="1:96" ht="18.75">
      <c r="Q57" s="1251"/>
      <c r="S57" s="1251"/>
      <c r="T57" s="1251"/>
      <c r="U57" s="861"/>
      <c r="V57" s="86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91"/>
      <c r="BD57" s="1251"/>
      <c r="BE57" s="1251"/>
      <c r="BF57" s="1251"/>
      <c r="BG57" s="1251"/>
      <c r="BH57" s="1251"/>
      <c r="BI57" s="1251"/>
      <c r="BJ57" s="1251"/>
      <c r="BK57" s="1251"/>
      <c r="BL57" s="1251"/>
      <c r="BM57" s="1251"/>
      <c r="BN57" s="1251"/>
      <c r="BO57" s="1251"/>
      <c r="BP57" s="1251"/>
      <c r="BQ57" s="1448"/>
      <c r="BR57" s="1448"/>
      <c r="BS57" s="1448"/>
      <c r="BT57" s="1448"/>
      <c r="BU57" s="1448"/>
      <c r="BV57" s="1448"/>
      <c r="BW57" s="1448"/>
      <c r="BX57" s="1448"/>
      <c r="BY57" s="1448"/>
      <c r="BZ57" s="1448"/>
      <c r="CA57" s="1448"/>
      <c r="CB57" s="1448"/>
      <c r="CC57" s="1448"/>
      <c r="CD57" s="1448"/>
      <c r="CE57" s="1406"/>
      <c r="CF57" s="1406"/>
      <c r="CG57" s="1406"/>
      <c r="CH57" s="1406"/>
      <c r="CI57" s="1406"/>
      <c r="CJ57" s="357"/>
      <c r="CK57" s="357"/>
      <c r="CL57" s="357"/>
      <c r="CM57" s="357"/>
      <c r="CN57" s="357"/>
      <c r="CO57" s="357"/>
      <c r="CP57" s="357"/>
      <c r="CQ57" s="357"/>
      <c r="CR57" s="357"/>
    </row>
    <row r="58" spans="1:96" ht="15.75">
      <c r="Q58" s="1086"/>
      <c r="S58" s="1251"/>
      <c r="T58" s="1251"/>
      <c r="U58" s="1442"/>
      <c r="V58" s="1442"/>
      <c r="W58" s="1443"/>
      <c r="X58" s="1443"/>
      <c r="Y58" s="1443"/>
      <c r="Z58" s="1443"/>
      <c r="AA58" s="1443"/>
      <c r="AB58" s="1443"/>
      <c r="AC58" s="1443"/>
      <c r="AD58" s="1443"/>
      <c r="AE58" s="1443"/>
      <c r="AF58" s="1443"/>
      <c r="AG58" s="1443"/>
      <c r="AH58" s="1443"/>
      <c r="AI58" s="1443"/>
      <c r="AJ58" s="1443"/>
      <c r="AK58" s="1443"/>
      <c r="AL58" s="1443"/>
      <c r="AM58" s="1443"/>
      <c r="AN58" s="1443"/>
      <c r="AO58" s="1443"/>
      <c r="AP58" s="1443"/>
      <c r="AQ58" s="1443"/>
      <c r="AR58" s="1443"/>
      <c r="AS58" s="1443"/>
      <c r="AT58" s="1443"/>
      <c r="AU58" s="1443"/>
      <c r="AV58" s="1443"/>
      <c r="AW58" s="1443"/>
      <c r="AX58" s="1443"/>
      <c r="AY58" s="1443"/>
      <c r="AZ58" s="1443"/>
      <c r="BA58" s="1443"/>
      <c r="BB58" s="1443"/>
      <c r="BC58" s="1443"/>
      <c r="BD58" s="1443"/>
      <c r="BE58" s="1443"/>
      <c r="BF58" s="1443"/>
      <c r="BG58" s="1443"/>
      <c r="BH58" s="1443"/>
      <c r="BI58" s="1443"/>
      <c r="BJ58" s="1443"/>
      <c r="BK58" s="1443"/>
      <c r="BL58" s="1443"/>
      <c r="BM58" s="1443"/>
      <c r="BN58" s="1443"/>
      <c r="BO58" s="1443"/>
      <c r="BP58" s="1443"/>
      <c r="BQ58" s="547"/>
      <c r="BR58" s="547"/>
      <c r="BS58" s="547"/>
      <c r="BT58" s="547"/>
      <c r="BU58" s="547"/>
      <c r="BV58" s="547"/>
      <c r="BW58" s="547"/>
      <c r="BX58" s="547"/>
      <c r="BY58" s="547"/>
      <c r="BZ58" s="547"/>
      <c r="CA58" s="547"/>
      <c r="CB58" s="547"/>
      <c r="CC58" s="547"/>
      <c r="CD58" s="547"/>
      <c r="CE58" s="1406"/>
      <c r="CF58" s="1406"/>
      <c r="CG58" s="1406"/>
      <c r="CH58" s="1406"/>
      <c r="CI58" s="1406"/>
      <c r="CJ58" s="357"/>
      <c r="CK58" s="357"/>
      <c r="CL58" s="357"/>
      <c r="CM58" s="357"/>
      <c r="CN58" s="357"/>
      <c r="CO58" s="357"/>
      <c r="CP58" s="357"/>
      <c r="CQ58" s="357"/>
      <c r="CR58" s="357"/>
    </row>
    <row r="59" spans="1:96" ht="15.75">
      <c r="Q59" s="1086"/>
      <c r="U59" s="1443"/>
      <c r="V59" s="1443"/>
      <c r="W59" s="1443"/>
      <c r="X59" s="1443"/>
      <c r="Y59" s="1443"/>
      <c r="Z59" s="1443"/>
      <c r="AA59" s="1443"/>
      <c r="AB59" s="1443"/>
      <c r="AC59" s="1443"/>
      <c r="AD59" s="1443"/>
      <c r="AE59" s="1443"/>
      <c r="AF59" s="1443"/>
      <c r="AG59" s="1443"/>
      <c r="AH59" s="1443"/>
      <c r="AI59" s="1443"/>
      <c r="AJ59" s="1443"/>
      <c r="AK59" s="1443"/>
      <c r="AL59" s="1443"/>
      <c r="AM59" s="1443"/>
      <c r="AN59" s="1443"/>
      <c r="AO59" s="1443"/>
      <c r="AP59" s="1443"/>
      <c r="AQ59" s="1443"/>
      <c r="AR59" s="1443"/>
      <c r="AS59" s="1443"/>
      <c r="AT59" s="1443"/>
      <c r="AU59" s="1443"/>
      <c r="AV59" s="1443"/>
      <c r="AW59" s="1443"/>
      <c r="AX59" s="1443"/>
      <c r="AY59" s="1443"/>
      <c r="AZ59" s="1443"/>
      <c r="BA59" s="1443"/>
      <c r="BB59" s="1443"/>
      <c r="BC59" s="1443"/>
      <c r="BD59" s="1443"/>
      <c r="BE59" s="1443"/>
      <c r="BF59" s="1443"/>
      <c r="BG59" s="1443"/>
      <c r="BH59" s="1443"/>
      <c r="BI59" s="1443"/>
      <c r="BJ59" s="1443"/>
      <c r="BK59" s="1443"/>
      <c r="BL59" s="1443"/>
      <c r="BM59" s="1443"/>
      <c r="BN59" s="1443"/>
      <c r="BO59" s="1443"/>
      <c r="BP59" s="1443"/>
      <c r="BQ59" s="547"/>
      <c r="BR59" s="547"/>
      <c r="BS59" s="547"/>
      <c r="BT59" s="547"/>
      <c r="BU59" s="547"/>
      <c r="BV59" s="547"/>
      <c r="BW59" s="547"/>
      <c r="BX59" s="547"/>
      <c r="BY59" s="547"/>
      <c r="BZ59" s="547"/>
      <c r="CA59" s="547"/>
      <c r="CB59" s="547"/>
      <c r="CC59" s="547"/>
      <c r="CD59" s="547"/>
      <c r="CE59" s="1406"/>
      <c r="CF59" s="1406"/>
      <c r="CG59" s="1406"/>
      <c r="CH59" s="1406"/>
      <c r="CI59" s="1406"/>
      <c r="CJ59" s="357"/>
      <c r="CK59" s="357"/>
      <c r="CL59" s="357"/>
      <c r="CM59" s="357"/>
      <c r="CN59" s="357"/>
      <c r="CO59" s="357"/>
      <c r="CP59" s="357"/>
      <c r="CQ59" s="357"/>
      <c r="CR59" s="357"/>
    </row>
    <row r="60" spans="1:96" ht="15.75">
      <c r="R60" s="1251"/>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91"/>
      <c r="BD60" s="1251"/>
      <c r="BE60" s="1251"/>
      <c r="BF60" s="1251"/>
      <c r="BG60" s="1251"/>
      <c r="BH60" s="1251"/>
      <c r="BI60" s="1251"/>
      <c r="BJ60" s="1251"/>
      <c r="BK60" s="1251"/>
      <c r="BL60" s="1251"/>
      <c r="BM60" s="1251"/>
      <c r="BN60" s="1251"/>
      <c r="BO60" s="1251"/>
      <c r="BP60" s="1251"/>
      <c r="BQ60" s="1448"/>
      <c r="BR60" s="1448"/>
      <c r="BS60" s="1448"/>
      <c r="BT60" s="1448"/>
      <c r="BU60" s="1448"/>
      <c r="BV60" s="1448"/>
      <c r="BW60" s="1448"/>
      <c r="BX60" s="1448"/>
      <c r="BY60" s="1448"/>
      <c r="BZ60" s="1448"/>
      <c r="CA60" s="1448"/>
      <c r="CB60" s="1448"/>
      <c r="CC60" s="1448"/>
      <c r="CD60" s="1448"/>
      <c r="CE60" s="1406"/>
      <c r="CF60" s="1406"/>
      <c r="CG60" s="1406"/>
      <c r="CH60" s="1406"/>
      <c r="CI60" s="1406"/>
      <c r="CJ60" s="357"/>
      <c r="CK60" s="357"/>
      <c r="CL60" s="357"/>
      <c r="CM60" s="357"/>
      <c r="CN60" s="357"/>
      <c r="CO60" s="357"/>
      <c r="CP60" s="357"/>
      <c r="CQ60" s="357"/>
      <c r="CR60" s="357"/>
    </row>
    <row r="61" spans="1:96" ht="15.75">
      <c r="Q61" s="1251"/>
      <c r="R61" s="1251"/>
      <c r="U61" s="860"/>
      <c r="V61" s="860"/>
      <c r="W61" s="1070"/>
      <c r="X61" s="2545"/>
      <c r="Y61" s="2452"/>
      <c r="Z61" s="908"/>
      <c r="AA61" s="908"/>
      <c r="AB61" s="908"/>
      <c r="AC61" s="908"/>
      <c r="AD61" s="908"/>
      <c r="AE61" s="908"/>
      <c r="AF61" s="908"/>
      <c r="AG61" s="908"/>
      <c r="AH61" s="908"/>
      <c r="AI61" s="908"/>
      <c r="AJ61" s="908"/>
      <c r="AK61" s="908"/>
      <c r="AL61" s="908"/>
      <c r="AM61" s="908"/>
      <c r="AN61" s="908"/>
      <c r="AO61" s="908"/>
      <c r="AP61" s="908"/>
      <c r="AQ61" s="908"/>
      <c r="AR61" s="908"/>
      <c r="AS61" s="908"/>
      <c r="AT61" s="908"/>
      <c r="AU61" s="908"/>
      <c r="AV61" s="908"/>
      <c r="AW61" s="908"/>
      <c r="AX61" s="908"/>
      <c r="AY61" s="908"/>
      <c r="AZ61" s="908"/>
      <c r="BA61" s="908"/>
      <c r="BB61" s="908"/>
      <c r="BC61" s="908"/>
      <c r="BD61" s="908"/>
      <c r="BE61" s="908"/>
      <c r="BF61" s="908"/>
      <c r="BG61" s="908"/>
      <c r="BH61" s="908"/>
      <c r="BI61" s="908"/>
      <c r="BJ61" s="908"/>
      <c r="BK61" s="908"/>
      <c r="BL61" s="908"/>
      <c r="BM61" s="908"/>
      <c r="BN61" s="908"/>
      <c r="BO61" s="908"/>
      <c r="BP61" s="908"/>
      <c r="BQ61" s="1403"/>
      <c r="BR61" s="1403"/>
      <c r="BS61" s="1403"/>
      <c r="BT61" s="1403"/>
      <c r="BU61" s="1403"/>
      <c r="BV61" s="1403"/>
      <c r="BW61" s="1403"/>
      <c r="BX61" s="1403"/>
      <c r="BY61" s="1403"/>
      <c r="BZ61" s="1403"/>
      <c r="CA61" s="1403"/>
      <c r="CB61" s="1403"/>
      <c r="CC61" s="1403"/>
      <c r="CD61" s="1403"/>
      <c r="CE61" s="1406"/>
      <c r="CF61" s="1406"/>
      <c r="CG61" s="1406"/>
      <c r="CH61" s="1406"/>
      <c r="CI61" s="1406"/>
      <c r="CJ61" s="357"/>
      <c r="CK61" s="357"/>
      <c r="CL61" s="357"/>
      <c r="CM61" s="357"/>
      <c r="CN61" s="357"/>
      <c r="CO61" s="357"/>
      <c r="CP61" s="357"/>
      <c r="CQ61" s="357"/>
      <c r="CR61" s="357"/>
    </row>
    <row r="62" spans="1:96" ht="15.75">
      <c r="R62" s="1251"/>
      <c r="U62" s="860"/>
      <c r="V62" s="860"/>
      <c r="W62" s="1070"/>
      <c r="X62" s="1256"/>
      <c r="Y62" s="1256"/>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H62" s="909"/>
      <c r="BI62" s="909"/>
      <c r="BJ62" s="909"/>
      <c r="BK62" s="909"/>
      <c r="BL62" s="909"/>
      <c r="BM62" s="909"/>
      <c r="BN62" s="909"/>
      <c r="BO62" s="909"/>
      <c r="BP62" s="909"/>
      <c r="BQ62" s="1404"/>
      <c r="BR62" s="1404"/>
      <c r="BS62" s="1404"/>
      <c r="BT62" s="1404"/>
      <c r="BU62" s="1404"/>
      <c r="BV62" s="1404"/>
      <c r="BW62" s="1404"/>
      <c r="BX62" s="1404"/>
      <c r="BY62" s="1404"/>
      <c r="BZ62" s="1404"/>
      <c r="CA62" s="1404"/>
      <c r="CB62" s="1404"/>
      <c r="CC62" s="1404"/>
      <c r="CD62" s="1404"/>
      <c r="CE62" s="1406"/>
      <c r="CF62" s="1406"/>
      <c r="CG62" s="1406"/>
      <c r="CH62" s="1406"/>
      <c r="CI62" s="1406"/>
      <c r="CJ62" s="357"/>
      <c r="CK62" s="357"/>
      <c r="CL62" s="357"/>
      <c r="CM62" s="357"/>
      <c r="CN62" s="357"/>
      <c r="CO62" s="357"/>
      <c r="CP62" s="357"/>
      <c r="CQ62" s="357"/>
      <c r="CR62" s="357"/>
    </row>
    <row r="63" spans="1:96" ht="15.75">
      <c r="U63" s="201"/>
      <c r="V63" s="201"/>
      <c r="W63" s="1070"/>
      <c r="X63" s="1250"/>
      <c r="Y63" s="1250"/>
      <c r="Z63" s="1117"/>
      <c r="AA63" s="1117"/>
      <c r="AB63" s="1117"/>
      <c r="AC63" s="1117"/>
      <c r="AD63" s="1117"/>
      <c r="AE63" s="1117"/>
      <c r="AF63" s="1117"/>
      <c r="AG63" s="1117"/>
      <c r="AH63" s="1117"/>
      <c r="AI63" s="1117"/>
      <c r="AJ63" s="1117"/>
      <c r="AK63" s="1117"/>
      <c r="AL63" s="1117"/>
      <c r="AM63" s="1117"/>
      <c r="AN63" s="1117"/>
      <c r="AO63" s="1117"/>
      <c r="AP63" s="1117"/>
      <c r="AQ63" s="1117"/>
      <c r="AR63" s="1117"/>
      <c r="AS63" s="1117"/>
      <c r="AT63" s="1117"/>
      <c r="AU63" s="1117"/>
      <c r="AV63" s="1117"/>
      <c r="AW63" s="1117"/>
      <c r="AX63" s="1117"/>
      <c r="AY63" s="1117"/>
      <c r="AZ63" s="1117"/>
      <c r="BA63" s="1117"/>
      <c r="BB63" s="1117"/>
      <c r="BC63" s="1117"/>
      <c r="BD63" s="1117"/>
      <c r="BE63" s="1117"/>
      <c r="BF63" s="1117"/>
      <c r="BG63" s="1117"/>
      <c r="BH63" s="1117"/>
      <c r="BI63" s="1117"/>
      <c r="BJ63" s="1117"/>
      <c r="BK63" s="1117"/>
      <c r="BL63" s="1117"/>
      <c r="BM63" s="1117"/>
      <c r="BN63" s="1117"/>
      <c r="BO63" s="1117"/>
      <c r="BP63" s="1117"/>
      <c r="BQ63" s="1406"/>
      <c r="BR63" s="1406"/>
      <c r="BS63" s="1406"/>
      <c r="BT63" s="1406"/>
      <c r="BU63" s="1406"/>
      <c r="BV63" s="1406"/>
      <c r="BW63" s="1406"/>
      <c r="BX63" s="1406"/>
      <c r="BY63" s="1406"/>
      <c r="BZ63" s="1406"/>
      <c r="CA63" s="1406"/>
      <c r="CB63" s="1406"/>
      <c r="CC63" s="1406"/>
      <c r="CD63" s="1406"/>
      <c r="CE63" s="1406"/>
      <c r="CF63" s="1406"/>
      <c r="CG63" s="1406"/>
      <c r="CH63" s="1406"/>
      <c r="CI63" s="1406"/>
      <c r="CJ63" s="357"/>
      <c r="CK63" s="357"/>
      <c r="CL63" s="357"/>
      <c r="CM63" s="357"/>
      <c r="CN63" s="357"/>
      <c r="CO63" s="357"/>
      <c r="CP63" s="357"/>
      <c r="CQ63" s="357"/>
      <c r="CR63" s="357"/>
    </row>
    <row r="64" spans="1:96" ht="15.75">
      <c r="U64" s="201"/>
      <c r="V64" s="201"/>
      <c r="W64" s="1070"/>
      <c r="X64" s="1250"/>
      <c r="Y64" s="1250"/>
      <c r="Z64" s="1117"/>
      <c r="AA64" s="1117"/>
      <c r="AB64" s="1117"/>
      <c r="AC64" s="1117"/>
      <c r="AD64" s="1117"/>
      <c r="AE64" s="1117"/>
      <c r="AF64" s="1117"/>
      <c r="AG64" s="1117"/>
      <c r="AH64" s="1117"/>
      <c r="AI64" s="1117"/>
      <c r="AJ64" s="1117"/>
      <c r="AK64" s="1117"/>
      <c r="AL64" s="1117"/>
      <c r="AM64" s="1117"/>
      <c r="AN64" s="1117"/>
      <c r="AO64" s="1117"/>
      <c r="AP64" s="1117"/>
      <c r="AQ64" s="1117"/>
      <c r="AR64" s="1117"/>
      <c r="AS64" s="1117"/>
      <c r="AT64" s="1117"/>
      <c r="AU64" s="1117"/>
      <c r="AV64" s="1117"/>
      <c r="AW64" s="1117"/>
      <c r="AX64" s="1117"/>
      <c r="AY64" s="1117"/>
      <c r="AZ64" s="1117"/>
      <c r="BA64" s="1117"/>
      <c r="BB64" s="1117"/>
      <c r="BC64" s="1117"/>
      <c r="BD64" s="1117"/>
      <c r="BE64" s="1117"/>
      <c r="BF64" s="1117"/>
      <c r="BG64" s="1117"/>
      <c r="BH64" s="1117"/>
      <c r="BI64" s="1117"/>
      <c r="BJ64" s="1117"/>
      <c r="BK64" s="1117"/>
      <c r="BL64" s="1117"/>
      <c r="BM64" s="1117"/>
      <c r="BN64" s="1117"/>
      <c r="BO64" s="1117"/>
      <c r="BP64" s="1117"/>
      <c r="BQ64" s="1406"/>
      <c r="BR64" s="1406"/>
      <c r="BS64" s="1406"/>
      <c r="BT64" s="1406"/>
      <c r="BU64" s="1406"/>
      <c r="BV64" s="1406"/>
      <c r="BW64" s="1406"/>
      <c r="BX64" s="1406"/>
      <c r="BY64" s="1406"/>
      <c r="BZ64" s="1406"/>
      <c r="CA64" s="1406"/>
      <c r="CB64" s="1406"/>
      <c r="CC64" s="1406"/>
      <c r="CD64" s="1406"/>
      <c r="CE64" s="1406"/>
      <c r="CF64" s="1406"/>
      <c r="CG64" s="1406"/>
      <c r="CH64" s="1406"/>
      <c r="CI64" s="1406"/>
      <c r="CJ64" s="357"/>
      <c r="CK64" s="357"/>
      <c r="CL64" s="357"/>
      <c r="CM64" s="357"/>
      <c r="CN64" s="357"/>
      <c r="CO64" s="357"/>
      <c r="CP64" s="357"/>
      <c r="CQ64" s="357"/>
      <c r="CR64" s="357"/>
    </row>
    <row r="65" spans="21:96" ht="15.75">
      <c r="U65" s="201"/>
      <c r="V65" s="201"/>
      <c r="W65" s="1070"/>
      <c r="X65" s="1250"/>
      <c r="Y65" s="1250"/>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c r="BO65" s="1117"/>
      <c r="BP65" s="1117"/>
      <c r="BQ65" s="1406"/>
      <c r="BR65" s="1406"/>
      <c r="BS65" s="1406"/>
      <c r="BT65" s="1406"/>
      <c r="BU65" s="1406"/>
      <c r="BV65" s="1406"/>
      <c r="BW65" s="1406"/>
      <c r="BX65" s="1406"/>
      <c r="BY65" s="1406"/>
      <c r="BZ65" s="1406"/>
      <c r="CA65" s="1406"/>
      <c r="CB65" s="1406"/>
      <c r="CC65" s="1406"/>
      <c r="CD65" s="1406"/>
      <c r="CE65" s="1406"/>
      <c r="CF65" s="1406"/>
      <c r="CG65" s="1406"/>
      <c r="CH65" s="1406"/>
      <c r="CI65" s="1406"/>
      <c r="CJ65" s="357"/>
      <c r="CK65" s="357"/>
      <c r="CL65" s="357"/>
      <c r="CM65" s="357"/>
      <c r="CN65" s="357"/>
      <c r="CO65" s="357"/>
      <c r="CP65" s="357"/>
      <c r="CQ65" s="357"/>
      <c r="CR65" s="357"/>
    </row>
    <row r="66" spans="21:96" ht="15.75">
      <c r="U66" s="201"/>
      <c r="V66" s="201"/>
      <c r="W66" s="1070"/>
      <c r="X66" s="1250"/>
      <c r="Y66" s="1250"/>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c r="BO66" s="1117"/>
      <c r="BP66" s="1117"/>
      <c r="BQ66" s="1406"/>
      <c r="BR66" s="1406"/>
      <c r="BS66" s="1406"/>
      <c r="BT66" s="1406"/>
      <c r="BU66" s="1406"/>
      <c r="BV66" s="1406"/>
      <c r="BW66" s="1406"/>
      <c r="BX66" s="1406"/>
      <c r="BY66" s="1406"/>
      <c r="BZ66" s="1406"/>
      <c r="CA66" s="1406"/>
      <c r="CB66" s="1406"/>
      <c r="CC66" s="1406"/>
      <c r="CD66" s="1406"/>
      <c r="CE66" s="1406"/>
      <c r="CF66" s="1406"/>
      <c r="CG66" s="1406"/>
      <c r="CH66" s="1406"/>
      <c r="CI66" s="1406"/>
      <c r="CJ66" s="357"/>
      <c r="CK66" s="357"/>
      <c r="CL66" s="357"/>
      <c r="CM66" s="357"/>
      <c r="CN66" s="357"/>
      <c r="CO66" s="357"/>
      <c r="CP66" s="357"/>
      <c r="CQ66" s="357"/>
      <c r="CR66" s="357"/>
    </row>
    <row r="67" spans="21:96" ht="15.75">
      <c r="U67" s="201"/>
      <c r="V67" s="201"/>
      <c r="W67" s="1070"/>
      <c r="X67" s="1250"/>
      <c r="Y67" s="1250"/>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c r="BO67" s="1117"/>
      <c r="BP67" s="1117"/>
      <c r="BQ67" s="1406"/>
      <c r="BR67" s="1406"/>
      <c r="BS67" s="1406"/>
      <c r="BT67" s="1406"/>
      <c r="BU67" s="1406"/>
      <c r="BV67" s="1406"/>
      <c r="BW67" s="1406"/>
      <c r="BX67" s="1406"/>
      <c r="BY67" s="1406"/>
      <c r="BZ67" s="1406"/>
      <c r="CA67" s="1406"/>
      <c r="CB67" s="1406"/>
      <c r="CC67" s="1406"/>
      <c r="CD67" s="1406"/>
      <c r="CE67" s="1406"/>
      <c r="CF67" s="1406"/>
      <c r="CG67" s="1406"/>
      <c r="CH67" s="1406"/>
      <c r="CI67" s="1406"/>
      <c r="CJ67" s="357"/>
      <c r="CK67" s="357"/>
      <c r="CL67" s="357"/>
      <c r="CM67" s="357"/>
      <c r="CN67" s="357"/>
      <c r="CO67" s="357"/>
      <c r="CP67" s="357"/>
      <c r="CQ67" s="357"/>
      <c r="CR67" s="357"/>
    </row>
    <row r="68" spans="21:96" ht="15.75">
      <c r="U68" s="201"/>
      <c r="V68" s="201"/>
      <c r="W68" s="1070"/>
      <c r="X68" s="1250"/>
      <c r="Y68" s="1250"/>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c r="BO68" s="1117"/>
      <c r="BP68" s="1117"/>
      <c r="BQ68" s="1406"/>
      <c r="BR68" s="1406"/>
      <c r="BS68" s="1406"/>
      <c r="BT68" s="1406"/>
      <c r="BU68" s="1406"/>
      <c r="BV68" s="1406"/>
      <c r="BW68" s="1406"/>
      <c r="BX68" s="1406"/>
      <c r="BY68" s="1406"/>
      <c r="BZ68" s="1406"/>
      <c r="CA68" s="1406"/>
      <c r="CB68" s="1406"/>
      <c r="CC68" s="1406"/>
      <c r="CD68" s="1406"/>
      <c r="CE68" s="1406"/>
      <c r="CF68" s="1406"/>
      <c r="CG68" s="1406"/>
      <c r="CH68" s="1406"/>
      <c r="CI68" s="1406"/>
      <c r="CJ68" s="357"/>
      <c r="CK68" s="357"/>
      <c r="CL68" s="357"/>
      <c r="CM68" s="357"/>
      <c r="CN68" s="357"/>
      <c r="CO68" s="357"/>
      <c r="CP68" s="357"/>
      <c r="CQ68" s="357"/>
      <c r="CR68" s="357"/>
    </row>
    <row r="69" spans="21:96" ht="15.75">
      <c r="U69" s="201"/>
      <c r="V69" s="201"/>
      <c r="W69" s="1070"/>
      <c r="X69" s="1250"/>
      <c r="Y69" s="1250"/>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c r="BB69" s="1117"/>
      <c r="BC69" s="1117"/>
      <c r="BD69" s="1117"/>
      <c r="BE69" s="1117"/>
      <c r="BF69" s="1117"/>
      <c r="BG69" s="1117"/>
      <c r="BH69" s="1117"/>
      <c r="BI69" s="1117"/>
      <c r="BJ69" s="1117"/>
      <c r="BK69" s="1117"/>
      <c r="BL69" s="1117"/>
      <c r="BM69" s="1117"/>
      <c r="BN69" s="1117"/>
      <c r="BO69" s="1117"/>
      <c r="BP69" s="1117"/>
      <c r="BQ69" s="1406"/>
      <c r="BR69" s="1406"/>
      <c r="BS69" s="1406"/>
      <c r="BT69" s="1406"/>
      <c r="BU69" s="1406"/>
      <c r="BV69" s="1406"/>
      <c r="BW69" s="1406"/>
      <c r="BX69" s="1406"/>
      <c r="BY69" s="1406"/>
      <c r="BZ69" s="1406"/>
      <c r="CA69" s="1406"/>
      <c r="CB69" s="1406"/>
      <c r="CC69" s="1406"/>
      <c r="CD69" s="1406"/>
      <c r="CE69" s="1406"/>
      <c r="CF69" s="1406"/>
      <c r="CG69" s="1406"/>
      <c r="CH69" s="1406"/>
      <c r="CI69" s="1406"/>
      <c r="CJ69" s="357"/>
      <c r="CK69" s="357"/>
      <c r="CL69" s="357"/>
      <c r="CM69" s="357"/>
      <c r="CN69" s="357"/>
      <c r="CO69" s="357"/>
      <c r="CP69" s="357"/>
      <c r="CQ69" s="357"/>
      <c r="CR69" s="357"/>
    </row>
    <row r="70" spans="21:96" ht="15.75">
      <c r="U70" s="201"/>
      <c r="V70" s="201"/>
      <c r="W70" s="1070"/>
      <c r="X70" s="1250"/>
      <c r="Y70" s="1250"/>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c r="BB70" s="1117"/>
      <c r="BC70" s="1117"/>
      <c r="BD70" s="1117"/>
      <c r="BE70" s="1117"/>
      <c r="BF70" s="1117"/>
      <c r="BG70" s="1117"/>
      <c r="BH70" s="1117"/>
      <c r="BI70" s="1117"/>
      <c r="BJ70" s="1117"/>
      <c r="BK70" s="1117"/>
      <c r="BL70" s="1117"/>
      <c r="BM70" s="1117"/>
      <c r="BN70" s="1117"/>
      <c r="BO70" s="1117"/>
      <c r="BP70" s="1117"/>
      <c r="BQ70" s="1406"/>
      <c r="BR70" s="1406"/>
      <c r="BS70" s="1406"/>
      <c r="BT70" s="1406"/>
      <c r="BU70" s="1406"/>
      <c r="BV70" s="1406"/>
      <c r="BW70" s="1406"/>
      <c r="BX70" s="1406"/>
      <c r="BY70" s="1406"/>
      <c r="BZ70" s="1406"/>
      <c r="CA70" s="1406"/>
      <c r="CB70" s="1406"/>
      <c r="CC70" s="1406"/>
      <c r="CD70" s="1406"/>
      <c r="CE70" s="1406"/>
      <c r="CF70" s="1406"/>
      <c r="CG70" s="1406"/>
      <c r="CH70" s="1406"/>
      <c r="CI70" s="1406"/>
      <c r="CJ70" s="357"/>
      <c r="CK70" s="357"/>
      <c r="CL70" s="357"/>
      <c r="CM70" s="357"/>
      <c r="CN70" s="357"/>
      <c r="CO70" s="357"/>
      <c r="CP70" s="357"/>
      <c r="CQ70" s="357"/>
      <c r="CR70" s="357"/>
    </row>
    <row r="71" spans="21:96" ht="15.75">
      <c r="U71" s="201"/>
      <c r="V71" s="201"/>
      <c r="W71" s="1070"/>
      <c r="X71" s="143"/>
      <c r="Y71" s="1250"/>
      <c r="Z71" s="1117"/>
      <c r="AA71" s="1117"/>
      <c r="AB71" s="1117"/>
      <c r="AC71" s="1117"/>
      <c r="AD71" s="1117"/>
      <c r="AE71" s="1117"/>
      <c r="AF71" s="1117"/>
      <c r="AG71" s="1117"/>
      <c r="AH71" s="1117"/>
      <c r="AI71" s="1117"/>
      <c r="AJ71" s="1117"/>
      <c r="AK71" s="1117"/>
      <c r="AL71" s="1117"/>
      <c r="AM71" s="1117"/>
      <c r="AN71" s="1117"/>
      <c r="AO71" s="1117"/>
      <c r="AP71" s="1117"/>
      <c r="AQ71" s="1117"/>
      <c r="AR71" s="1117"/>
      <c r="AS71" s="1117"/>
      <c r="AT71" s="1117"/>
      <c r="AU71" s="1117"/>
      <c r="AV71" s="1117"/>
      <c r="AW71" s="1117"/>
      <c r="AX71" s="1117"/>
      <c r="AY71" s="1117"/>
      <c r="AZ71" s="1117"/>
      <c r="BA71" s="1117"/>
      <c r="BB71" s="1117"/>
      <c r="BC71" s="1117"/>
      <c r="BD71" s="1117"/>
      <c r="BE71" s="1117"/>
      <c r="BF71" s="1117"/>
      <c r="BG71" s="1117"/>
      <c r="BH71" s="1117"/>
      <c r="BI71" s="1117"/>
      <c r="BJ71" s="1117"/>
      <c r="BK71" s="1117"/>
      <c r="BL71" s="1117"/>
      <c r="BM71" s="1117"/>
      <c r="BN71" s="1117"/>
      <c r="BO71" s="1117"/>
      <c r="BP71" s="1117"/>
      <c r="BQ71" s="1406"/>
      <c r="BR71" s="1406"/>
      <c r="BS71" s="1406"/>
      <c r="BT71" s="1406"/>
      <c r="BU71" s="1406"/>
      <c r="BV71" s="1406"/>
      <c r="BW71" s="1406"/>
      <c r="BX71" s="1406"/>
      <c r="BY71" s="1406"/>
      <c r="BZ71" s="1406"/>
      <c r="CA71" s="1406"/>
      <c r="CB71" s="1406"/>
      <c r="CC71" s="1406"/>
      <c r="CD71" s="1406"/>
      <c r="CE71" s="1406"/>
      <c r="CF71" s="1406"/>
      <c r="CG71" s="1406"/>
      <c r="CH71" s="1406"/>
      <c r="CI71" s="1406"/>
      <c r="CJ71" s="357"/>
      <c r="CK71" s="357"/>
      <c r="CL71" s="357"/>
      <c r="CM71" s="357"/>
      <c r="CN71" s="357"/>
      <c r="CO71" s="357"/>
      <c r="CP71" s="357"/>
      <c r="CQ71" s="357"/>
      <c r="CR71" s="357"/>
    </row>
    <row r="72" spans="21:96" ht="15.75">
      <c r="U72" s="201"/>
      <c r="V72" s="201"/>
      <c r="W72" s="1070"/>
      <c r="X72" s="1250"/>
      <c r="Y72" s="1250"/>
      <c r="Z72" s="1117"/>
      <c r="AA72" s="1117"/>
      <c r="AB72" s="1117"/>
      <c r="AC72" s="1117"/>
      <c r="AD72" s="1117"/>
      <c r="AE72" s="1117"/>
      <c r="AF72" s="1117"/>
      <c r="AG72" s="1117"/>
      <c r="AH72" s="1117"/>
      <c r="AI72" s="1117"/>
      <c r="AJ72" s="1117"/>
      <c r="AK72" s="1117"/>
      <c r="AL72" s="1117"/>
      <c r="AM72" s="1117"/>
      <c r="AN72" s="1117"/>
      <c r="AO72" s="1117"/>
      <c r="AP72" s="1117"/>
      <c r="AQ72" s="1117"/>
      <c r="AR72" s="1117"/>
      <c r="AS72" s="1117"/>
      <c r="AT72" s="1117"/>
      <c r="AU72" s="1117"/>
      <c r="AV72" s="1117"/>
      <c r="AW72" s="1117"/>
      <c r="AX72" s="1117"/>
      <c r="AY72" s="1117"/>
      <c r="AZ72" s="1117"/>
      <c r="BA72" s="1117"/>
      <c r="BB72" s="1117"/>
      <c r="BC72" s="1117"/>
      <c r="BD72" s="1117"/>
      <c r="BE72" s="1117"/>
      <c r="BF72" s="1117"/>
      <c r="BG72" s="1117"/>
      <c r="BH72" s="1117"/>
      <c r="BI72" s="1117"/>
      <c r="BJ72" s="1117"/>
      <c r="BK72" s="1117"/>
      <c r="BL72" s="1117"/>
      <c r="BM72" s="1117"/>
      <c r="BN72" s="1117"/>
      <c r="BO72" s="1117"/>
      <c r="BP72" s="1117"/>
      <c r="BQ72" s="1406"/>
      <c r="BR72" s="1406"/>
      <c r="BS72" s="1406"/>
      <c r="BT72" s="1406"/>
      <c r="BU72" s="1406"/>
      <c r="BV72" s="1406"/>
      <c r="BW72" s="1406"/>
      <c r="BX72" s="1406"/>
      <c r="BY72" s="1406"/>
      <c r="BZ72" s="1406"/>
      <c r="CA72" s="1406"/>
      <c r="CB72" s="1406"/>
      <c r="CC72" s="1406"/>
      <c r="CD72" s="1406"/>
      <c r="CE72" s="1403"/>
      <c r="CF72" s="1403"/>
      <c r="CG72" s="1403"/>
      <c r="CH72" s="1403"/>
      <c r="CI72" s="1403"/>
      <c r="CJ72" s="357"/>
      <c r="CK72" s="357"/>
      <c r="CL72" s="357"/>
      <c r="CM72" s="357"/>
      <c r="CN72" s="357"/>
      <c r="CO72" s="357"/>
      <c r="CP72" s="357"/>
      <c r="CQ72" s="357"/>
      <c r="CR72" s="357"/>
    </row>
    <row r="73" spans="21:96" ht="15.75">
      <c r="U73" s="201"/>
      <c r="V73" s="201"/>
      <c r="W73" s="1070"/>
      <c r="X73" s="1250"/>
      <c r="Y73" s="1250"/>
      <c r="Z73" s="1117"/>
      <c r="AA73" s="1117"/>
      <c r="AB73" s="1117"/>
      <c r="AC73" s="1117"/>
      <c r="AD73" s="1117"/>
      <c r="AE73" s="1117"/>
      <c r="AF73" s="1117"/>
      <c r="AG73" s="1117"/>
      <c r="AH73" s="1117"/>
      <c r="AI73" s="1117"/>
      <c r="AJ73" s="1117"/>
      <c r="AK73" s="1117"/>
      <c r="AL73" s="1117"/>
      <c r="AM73" s="1117"/>
      <c r="AN73" s="1117"/>
      <c r="AO73" s="1117"/>
      <c r="AP73" s="1117"/>
      <c r="AQ73" s="1117"/>
      <c r="AR73" s="1117"/>
      <c r="AS73" s="1117"/>
      <c r="AT73" s="1117"/>
      <c r="AU73" s="1117"/>
      <c r="AV73" s="1117"/>
      <c r="AW73" s="1117"/>
      <c r="AX73" s="1117"/>
      <c r="AY73" s="1117"/>
      <c r="AZ73" s="1117"/>
      <c r="BA73" s="1117"/>
      <c r="BB73" s="1117"/>
      <c r="BC73" s="1117"/>
      <c r="BD73" s="1117"/>
      <c r="BE73" s="1117"/>
      <c r="BF73" s="1117"/>
      <c r="BG73" s="1117"/>
      <c r="BH73" s="1117"/>
      <c r="BI73" s="1117"/>
      <c r="BJ73" s="1117"/>
      <c r="BK73" s="1117"/>
      <c r="BL73" s="1117"/>
      <c r="BM73" s="1117"/>
      <c r="BN73" s="1117"/>
      <c r="BO73" s="1117"/>
      <c r="BP73" s="1117"/>
      <c r="BQ73" s="1406"/>
      <c r="BR73" s="1406"/>
      <c r="BS73" s="1406"/>
      <c r="BT73" s="1406"/>
      <c r="BU73" s="1406"/>
      <c r="BV73" s="1406"/>
      <c r="BW73" s="1406"/>
      <c r="BX73" s="1406"/>
      <c r="BY73" s="1406"/>
      <c r="BZ73" s="1406"/>
      <c r="CA73" s="1406"/>
      <c r="CB73" s="1406"/>
      <c r="CC73" s="1406"/>
      <c r="CD73" s="1406"/>
      <c r="CE73" s="1406"/>
      <c r="CF73" s="1406"/>
      <c r="CG73" s="1406"/>
      <c r="CH73" s="1406"/>
      <c r="CI73" s="1406"/>
      <c r="CJ73" s="357"/>
      <c r="CK73" s="357"/>
      <c r="CL73" s="357"/>
      <c r="CM73" s="357"/>
      <c r="CN73" s="357"/>
      <c r="CO73" s="357"/>
      <c r="CP73" s="357"/>
      <c r="CQ73" s="357"/>
      <c r="CR73" s="357"/>
    </row>
    <row r="74" spans="21:96" ht="15.75">
      <c r="U74" s="201"/>
      <c r="V74" s="201"/>
      <c r="W74" s="1070"/>
      <c r="X74" s="143"/>
      <c r="Y74" s="1250"/>
      <c r="Z74" s="1117"/>
      <c r="AA74" s="1117"/>
      <c r="AB74" s="1117"/>
      <c r="AC74" s="1117"/>
      <c r="AD74" s="1117"/>
      <c r="AE74" s="1117"/>
      <c r="AF74" s="1117"/>
      <c r="AG74" s="1117"/>
      <c r="AH74" s="1117"/>
      <c r="AI74" s="1117"/>
      <c r="AJ74" s="1117"/>
      <c r="AK74" s="1117"/>
      <c r="AL74" s="1117"/>
      <c r="AM74" s="1117"/>
      <c r="AN74" s="1117"/>
      <c r="AO74" s="1117"/>
      <c r="AP74" s="1117"/>
      <c r="AQ74" s="1117"/>
      <c r="AR74" s="1117"/>
      <c r="AS74" s="1117"/>
      <c r="AT74" s="1117"/>
      <c r="AU74" s="1117"/>
      <c r="AV74" s="1117"/>
      <c r="AW74" s="1117"/>
      <c r="AX74" s="1117"/>
      <c r="AY74" s="1117"/>
      <c r="AZ74" s="1117"/>
      <c r="BA74" s="1117"/>
      <c r="BB74" s="1117"/>
      <c r="BC74" s="1117"/>
      <c r="BD74" s="1117"/>
      <c r="BE74" s="1117"/>
      <c r="BF74" s="1117"/>
      <c r="BG74" s="1117"/>
      <c r="BH74" s="1117"/>
      <c r="BI74" s="1117"/>
      <c r="BJ74" s="1117"/>
      <c r="BK74" s="1117"/>
      <c r="BL74" s="1117"/>
      <c r="BM74" s="1117"/>
      <c r="BN74" s="1117"/>
      <c r="BO74" s="1117"/>
      <c r="BP74" s="1117"/>
      <c r="BQ74" s="1406"/>
      <c r="BR74" s="1406"/>
      <c r="BS74" s="1406"/>
      <c r="BT74" s="1406"/>
      <c r="BU74" s="1406"/>
      <c r="BV74" s="1406"/>
      <c r="BW74" s="1406"/>
      <c r="BX74" s="1406"/>
      <c r="BY74" s="1406"/>
      <c r="BZ74" s="1406"/>
      <c r="CA74" s="1406"/>
      <c r="CB74" s="1406"/>
      <c r="CC74" s="1406"/>
      <c r="CD74" s="1406"/>
      <c r="CE74" s="1410"/>
      <c r="CF74" s="1410"/>
      <c r="CG74" s="1410"/>
      <c r="CH74" s="1410"/>
      <c r="CI74" s="1410"/>
      <c r="CJ74" s="357"/>
      <c r="CK74" s="357"/>
      <c r="CL74" s="357"/>
      <c r="CM74" s="357"/>
      <c r="CN74" s="357"/>
      <c r="CO74" s="357"/>
      <c r="CP74" s="357"/>
      <c r="CQ74" s="357"/>
      <c r="CR74" s="357"/>
    </row>
    <row r="75" spans="21:96" ht="15.75">
      <c r="U75" s="201"/>
      <c r="V75" s="201"/>
      <c r="W75" s="1070"/>
      <c r="X75" s="1250"/>
      <c r="Y75" s="1250"/>
      <c r="Z75" s="1117"/>
      <c r="AA75" s="1117"/>
      <c r="AB75" s="1117"/>
      <c r="AC75" s="1117"/>
      <c r="AD75" s="1117"/>
      <c r="AE75" s="1117"/>
      <c r="AF75" s="1117"/>
      <c r="AG75" s="1117"/>
      <c r="AH75" s="1117"/>
      <c r="AI75" s="1117"/>
      <c r="AJ75" s="1117"/>
      <c r="AK75" s="1117"/>
      <c r="AL75" s="1117"/>
      <c r="AM75" s="1117"/>
      <c r="AN75" s="1117"/>
      <c r="AO75" s="1117"/>
      <c r="AP75" s="1117"/>
      <c r="AQ75" s="1117"/>
      <c r="AR75" s="1117"/>
      <c r="AS75" s="1117"/>
      <c r="AT75" s="1117"/>
      <c r="AU75" s="1117"/>
      <c r="AV75" s="1117"/>
      <c r="AW75" s="1117"/>
      <c r="AX75" s="1117"/>
      <c r="AY75" s="1117"/>
      <c r="AZ75" s="1117"/>
      <c r="BA75" s="1117"/>
      <c r="BB75" s="1117"/>
      <c r="BC75" s="1117"/>
      <c r="BD75" s="1117"/>
      <c r="BE75" s="1117"/>
      <c r="BF75" s="1117"/>
      <c r="BG75" s="1117"/>
      <c r="BH75" s="1117"/>
      <c r="BI75" s="1117"/>
      <c r="BJ75" s="1117"/>
      <c r="BK75" s="1117"/>
      <c r="BL75" s="1117"/>
      <c r="BM75" s="1117"/>
      <c r="BN75" s="1117"/>
      <c r="BO75" s="1117"/>
      <c r="BP75" s="1117"/>
      <c r="BQ75" s="1406"/>
      <c r="BR75" s="1406"/>
      <c r="BS75" s="1406"/>
      <c r="BT75" s="1406"/>
      <c r="BU75" s="1406"/>
      <c r="BV75" s="1406"/>
      <c r="BW75" s="1406"/>
      <c r="BX75" s="1406"/>
      <c r="BY75" s="1406"/>
      <c r="BZ75" s="1406"/>
      <c r="CA75" s="1406"/>
      <c r="CB75" s="1406"/>
      <c r="CC75" s="1406"/>
      <c r="CD75" s="1406"/>
      <c r="CE75" s="1410"/>
      <c r="CF75" s="1410"/>
      <c r="CG75" s="1410"/>
      <c r="CH75" s="1410"/>
      <c r="CI75" s="1410"/>
      <c r="CJ75" s="357"/>
      <c r="CK75" s="357"/>
      <c r="CL75" s="357"/>
      <c r="CM75" s="357"/>
      <c r="CN75" s="357"/>
      <c r="CO75" s="357"/>
      <c r="CP75" s="357"/>
      <c r="CQ75" s="357"/>
      <c r="CR75" s="357"/>
    </row>
    <row r="76" spans="21:96" ht="15.75">
      <c r="U76" s="201"/>
      <c r="V76" s="201"/>
      <c r="W76" s="1070"/>
      <c r="X76" s="1250"/>
      <c r="Y76" s="1250"/>
      <c r="Z76" s="1117"/>
      <c r="AA76" s="1117"/>
      <c r="AB76" s="1117"/>
      <c r="AC76" s="1117"/>
      <c r="AD76" s="1117"/>
      <c r="AE76" s="1117"/>
      <c r="AF76" s="1117"/>
      <c r="AG76" s="1117"/>
      <c r="AH76" s="1117"/>
      <c r="AI76" s="1117"/>
      <c r="AJ76" s="1117"/>
      <c r="AK76" s="1117"/>
      <c r="AL76" s="1117"/>
      <c r="AM76" s="1117"/>
      <c r="AN76" s="1117"/>
      <c r="AO76" s="1117"/>
      <c r="AP76" s="1117"/>
      <c r="AQ76" s="1117"/>
      <c r="AR76" s="1117"/>
      <c r="AS76" s="1117"/>
      <c r="AT76" s="1117"/>
      <c r="AU76" s="1117"/>
      <c r="AV76" s="1117"/>
      <c r="AW76" s="1117"/>
      <c r="AX76" s="1117"/>
      <c r="AY76" s="1117"/>
      <c r="AZ76" s="1117"/>
      <c r="BA76" s="1117"/>
      <c r="BB76" s="1117"/>
      <c r="BC76" s="1117"/>
      <c r="BD76" s="1117"/>
      <c r="BE76" s="1117"/>
      <c r="BF76" s="1117"/>
      <c r="BG76" s="1117"/>
      <c r="BH76" s="1117"/>
      <c r="BI76" s="1117"/>
      <c r="BJ76" s="1117"/>
      <c r="BK76" s="1117"/>
      <c r="BL76" s="1117"/>
      <c r="BM76" s="1117"/>
      <c r="BN76" s="1117"/>
      <c r="BO76" s="1117"/>
      <c r="BP76" s="1117"/>
      <c r="BQ76" s="1406"/>
      <c r="BR76" s="1406"/>
      <c r="BS76" s="1406"/>
      <c r="BT76" s="1406"/>
      <c r="BU76" s="1406"/>
      <c r="BV76" s="1406"/>
      <c r="BW76" s="1406"/>
      <c r="BX76" s="1406"/>
      <c r="BY76" s="1406"/>
      <c r="BZ76" s="1406"/>
      <c r="CA76" s="1406"/>
      <c r="CB76" s="1406"/>
      <c r="CC76" s="1406"/>
      <c r="CD76" s="1406"/>
      <c r="CE76" s="357"/>
      <c r="CF76" s="357"/>
      <c r="CG76" s="357"/>
      <c r="CH76" s="357"/>
      <c r="CI76" s="357"/>
      <c r="CJ76" s="357"/>
      <c r="CK76" s="357"/>
      <c r="CL76" s="357"/>
      <c r="CM76" s="357"/>
      <c r="CN76" s="357"/>
      <c r="CO76" s="357"/>
      <c r="CP76" s="357"/>
      <c r="CQ76" s="357"/>
      <c r="CR76" s="357"/>
    </row>
    <row r="77" spans="21:96" ht="15.75">
      <c r="U77" s="201"/>
      <c r="V77" s="201"/>
      <c r="W77" s="1070"/>
      <c r="X77" s="1250"/>
      <c r="Y77" s="1250"/>
      <c r="Z77" s="1117"/>
      <c r="AA77" s="1117"/>
      <c r="AB77" s="1117"/>
      <c r="AC77" s="1117"/>
      <c r="AD77" s="1117"/>
      <c r="AE77" s="1117"/>
      <c r="AF77" s="1117"/>
      <c r="AG77" s="1117"/>
      <c r="AH77" s="1117"/>
      <c r="AI77" s="1117"/>
      <c r="AJ77" s="1117"/>
      <c r="AK77" s="1117"/>
      <c r="AL77" s="1117"/>
      <c r="AM77" s="1117"/>
      <c r="AN77" s="1117"/>
      <c r="AO77" s="1117"/>
      <c r="AP77" s="1117"/>
      <c r="AQ77" s="1117"/>
      <c r="AR77" s="1117"/>
      <c r="AS77" s="1117"/>
      <c r="AT77" s="1117"/>
      <c r="AU77" s="1117"/>
      <c r="AV77" s="1117"/>
      <c r="AW77" s="1117"/>
      <c r="AX77" s="1117"/>
      <c r="AY77" s="1117"/>
      <c r="AZ77" s="1117"/>
      <c r="BA77" s="1117"/>
      <c r="BB77" s="1117"/>
      <c r="BC77" s="1117"/>
      <c r="BD77" s="1117"/>
      <c r="BE77" s="1117"/>
      <c r="BF77" s="1117"/>
      <c r="BG77" s="1117"/>
      <c r="BH77" s="1117"/>
      <c r="BI77" s="1117"/>
      <c r="BJ77" s="1117"/>
      <c r="BK77" s="1117"/>
      <c r="BL77" s="1117"/>
      <c r="BM77" s="1117"/>
      <c r="BN77" s="1117"/>
      <c r="BO77" s="1117"/>
      <c r="BP77" s="1117"/>
      <c r="BQ77" s="1406"/>
      <c r="BR77" s="1406"/>
      <c r="BS77" s="1406"/>
      <c r="BT77" s="1406"/>
      <c r="BU77" s="1406"/>
      <c r="BV77" s="1406"/>
      <c r="BW77" s="1406"/>
      <c r="BX77" s="1406"/>
      <c r="BY77" s="1406"/>
      <c r="BZ77" s="1406"/>
      <c r="CA77" s="1406"/>
      <c r="CB77" s="1406"/>
      <c r="CC77" s="1406"/>
      <c r="CD77" s="1406"/>
      <c r="CE77" s="1413"/>
      <c r="CF77" s="1413"/>
      <c r="CG77" s="1413"/>
      <c r="CH77" s="1413"/>
      <c r="CI77" s="1413"/>
      <c r="CJ77" s="357"/>
      <c r="CK77" s="357"/>
      <c r="CL77" s="357"/>
      <c r="CM77" s="357"/>
      <c r="CN77" s="357"/>
      <c r="CO77" s="357"/>
      <c r="CP77" s="357"/>
      <c r="CQ77" s="357"/>
      <c r="CR77" s="357"/>
    </row>
    <row r="78" spans="21:96" ht="15.75">
      <c r="U78" s="201"/>
      <c r="V78" s="201"/>
      <c r="W78" s="1070"/>
      <c r="X78" s="1250"/>
      <c r="Y78" s="1250"/>
      <c r="Z78" s="1117"/>
      <c r="AA78" s="1117"/>
      <c r="AB78" s="1117"/>
      <c r="AC78" s="1117"/>
      <c r="AD78" s="1117"/>
      <c r="AE78" s="1117"/>
      <c r="AF78" s="1117"/>
      <c r="AG78" s="1117"/>
      <c r="AH78" s="1117"/>
      <c r="AI78" s="1117"/>
      <c r="AJ78" s="1117"/>
      <c r="AK78" s="1117"/>
      <c r="AL78" s="1117"/>
      <c r="AM78" s="1117"/>
      <c r="AN78" s="1117"/>
      <c r="AO78" s="1117"/>
      <c r="AP78" s="1117"/>
      <c r="AQ78" s="1117"/>
      <c r="AR78" s="1117"/>
      <c r="AS78" s="1117"/>
      <c r="AT78" s="1117"/>
      <c r="AU78" s="1117"/>
      <c r="AV78" s="1117"/>
      <c r="AW78" s="1117"/>
      <c r="AX78" s="1117"/>
      <c r="AY78" s="1117"/>
      <c r="AZ78" s="1117"/>
      <c r="BA78" s="1117"/>
      <c r="BB78" s="1117"/>
      <c r="BC78" s="1117"/>
      <c r="BD78" s="1117"/>
      <c r="BE78" s="1117"/>
      <c r="BF78" s="1117"/>
      <c r="BG78" s="1117"/>
      <c r="BH78" s="1117"/>
      <c r="BI78" s="1117"/>
      <c r="BJ78" s="1117"/>
      <c r="BK78" s="1117"/>
      <c r="BL78" s="1117"/>
      <c r="BM78" s="1117"/>
      <c r="BN78" s="1117"/>
      <c r="BO78" s="1117"/>
      <c r="BP78" s="1117"/>
      <c r="BQ78" s="1406"/>
      <c r="BR78" s="1406"/>
      <c r="BS78" s="1406"/>
      <c r="BT78" s="1406"/>
      <c r="BU78" s="1406"/>
      <c r="BV78" s="1406"/>
      <c r="BW78" s="1406"/>
      <c r="BX78" s="1406"/>
      <c r="BY78" s="1406"/>
      <c r="BZ78" s="1406"/>
      <c r="CA78" s="1406"/>
      <c r="CB78" s="1406"/>
      <c r="CC78" s="1406"/>
      <c r="CD78" s="1406"/>
      <c r="CE78" s="1386"/>
      <c r="CF78" s="1386"/>
      <c r="CG78" s="1386"/>
      <c r="CH78" s="1386"/>
      <c r="CI78" s="1386"/>
      <c r="CJ78" s="357"/>
      <c r="CK78" s="357"/>
      <c r="CL78" s="357"/>
      <c r="CM78" s="357"/>
      <c r="CN78" s="357"/>
      <c r="CO78" s="357"/>
      <c r="CP78" s="357"/>
      <c r="CQ78" s="357"/>
      <c r="CR78" s="357"/>
    </row>
    <row r="79" spans="21:96" ht="15.75">
      <c r="U79" s="201"/>
      <c r="V79" s="201"/>
      <c r="W79" s="1070"/>
      <c r="X79" s="1250"/>
      <c r="Y79" s="1250"/>
      <c r="Z79" s="1117"/>
      <c r="AA79" s="1117"/>
      <c r="AB79" s="1117"/>
      <c r="AC79" s="1117"/>
      <c r="AD79" s="1117"/>
      <c r="AE79" s="1117"/>
      <c r="AF79" s="1117"/>
      <c r="AG79" s="1117"/>
      <c r="AH79" s="1117"/>
      <c r="AI79" s="1117"/>
      <c r="AJ79" s="1117"/>
      <c r="AK79" s="1117"/>
      <c r="AL79" s="1117"/>
      <c r="AM79" s="1117"/>
      <c r="AN79" s="1117"/>
      <c r="AO79" s="1117"/>
      <c r="AP79" s="1117"/>
      <c r="AQ79" s="1117"/>
      <c r="AR79" s="1117"/>
      <c r="AS79" s="1117"/>
      <c r="AT79" s="1117"/>
      <c r="AU79" s="1117"/>
      <c r="AV79" s="1117"/>
      <c r="AW79" s="1117"/>
      <c r="AX79" s="1117"/>
      <c r="AY79" s="1117"/>
      <c r="AZ79" s="1117"/>
      <c r="BA79" s="1117"/>
      <c r="BB79" s="1117"/>
      <c r="BC79" s="1117"/>
      <c r="BD79" s="1117"/>
      <c r="BE79" s="1117"/>
      <c r="BF79" s="1117"/>
      <c r="BG79" s="1117"/>
      <c r="BH79" s="1117"/>
      <c r="BI79" s="1117"/>
      <c r="BJ79" s="1117"/>
      <c r="BK79" s="1117"/>
      <c r="BL79" s="1117"/>
      <c r="BM79" s="1117"/>
      <c r="BN79" s="1117"/>
      <c r="BO79" s="1117"/>
      <c r="BP79" s="1117"/>
      <c r="BQ79" s="1406"/>
      <c r="BR79" s="1406"/>
      <c r="BS79" s="1406"/>
      <c r="BT79" s="1406"/>
      <c r="BU79" s="1406"/>
      <c r="BV79" s="1406"/>
      <c r="BW79" s="1406"/>
      <c r="BX79" s="1406"/>
      <c r="BY79" s="1406"/>
      <c r="BZ79" s="1406"/>
      <c r="CA79" s="1406"/>
      <c r="CB79" s="1406"/>
      <c r="CC79" s="1406"/>
      <c r="CD79" s="1406"/>
      <c r="CE79" s="1386"/>
      <c r="CF79" s="1386"/>
      <c r="CG79" s="1386"/>
      <c r="CH79" s="1386"/>
      <c r="CI79" s="1386"/>
      <c r="CJ79" s="357"/>
      <c r="CK79" s="357"/>
      <c r="CL79" s="357"/>
      <c r="CM79" s="357"/>
      <c r="CN79" s="357"/>
      <c r="CO79" s="357"/>
      <c r="CP79" s="357"/>
      <c r="CQ79" s="357"/>
      <c r="CR79" s="357"/>
    </row>
    <row r="80" spans="21:96" ht="15.75">
      <c r="U80" s="201"/>
      <c r="V80" s="201"/>
      <c r="W80" s="1070"/>
      <c r="X80" s="1250"/>
      <c r="Y80" s="1250"/>
      <c r="Z80" s="1117"/>
      <c r="AA80" s="1117"/>
      <c r="AB80" s="1117"/>
      <c r="AC80" s="1117"/>
      <c r="AD80" s="1117"/>
      <c r="AE80" s="1117"/>
      <c r="AF80" s="1117"/>
      <c r="AG80" s="1117"/>
      <c r="AH80" s="1117"/>
      <c r="AI80" s="1117"/>
      <c r="AJ80" s="1117"/>
      <c r="AK80" s="1117"/>
      <c r="AL80" s="1117"/>
      <c r="AM80" s="1117"/>
      <c r="AN80" s="1117"/>
      <c r="AO80" s="1117"/>
      <c r="AP80" s="1117"/>
      <c r="AQ80" s="1117"/>
      <c r="AR80" s="1117"/>
      <c r="AS80" s="1117"/>
      <c r="AT80" s="1117"/>
      <c r="AU80" s="1117"/>
      <c r="AV80" s="1117"/>
      <c r="AW80" s="1117"/>
      <c r="AX80" s="1117"/>
      <c r="AY80" s="1117"/>
      <c r="AZ80" s="1117"/>
      <c r="BA80" s="1117"/>
      <c r="BB80" s="1117"/>
      <c r="BC80" s="1117"/>
      <c r="BD80" s="1117"/>
      <c r="BE80" s="1117"/>
      <c r="BF80" s="1117"/>
      <c r="BG80" s="1117"/>
      <c r="BH80" s="1117"/>
      <c r="BI80" s="1117"/>
      <c r="BJ80" s="1117"/>
      <c r="BK80" s="1117"/>
      <c r="BL80" s="1117"/>
      <c r="BM80" s="1117"/>
      <c r="BN80" s="1117"/>
      <c r="BO80" s="1117"/>
      <c r="BP80" s="1117"/>
      <c r="BQ80" s="1117"/>
      <c r="BR80" s="1117"/>
      <c r="BS80" s="1117"/>
      <c r="BT80" s="1117"/>
      <c r="BU80" s="1117"/>
      <c r="BV80" s="1117"/>
      <c r="BW80" s="1117"/>
      <c r="BX80" s="1117"/>
      <c r="BY80" s="1117"/>
      <c r="BZ80" s="1117"/>
      <c r="CA80" s="1117"/>
      <c r="CB80" s="1117"/>
      <c r="CC80" s="1117"/>
      <c r="CD80" s="1117"/>
      <c r="CE80" s="1091"/>
      <c r="CF80" s="1091"/>
      <c r="CG80" s="1091"/>
      <c r="CH80" s="1091"/>
      <c r="CI80" s="1091"/>
    </row>
    <row r="81" spans="21:87" ht="15.75">
      <c r="U81" s="201"/>
      <c r="V81" s="201"/>
      <c r="W81" s="1070"/>
      <c r="X81" s="1250"/>
      <c r="Y81" s="1250"/>
      <c r="Z81" s="1117"/>
      <c r="AA81" s="1117"/>
      <c r="AB81" s="1117"/>
      <c r="AC81" s="1117"/>
      <c r="AD81" s="1117"/>
      <c r="AE81" s="1117"/>
      <c r="AF81" s="1117"/>
      <c r="AG81" s="1117"/>
      <c r="AH81" s="1117"/>
      <c r="AI81" s="1117"/>
      <c r="AJ81" s="1117"/>
      <c r="AK81" s="1117"/>
      <c r="AL81" s="1117"/>
      <c r="AM81" s="1117"/>
      <c r="AN81" s="1117"/>
      <c r="AO81" s="1117"/>
      <c r="AP81" s="1117"/>
      <c r="AQ81" s="1117"/>
      <c r="AR81" s="1117"/>
      <c r="AS81" s="1117"/>
      <c r="AT81" s="1117"/>
      <c r="AU81" s="1117"/>
      <c r="AV81" s="1117"/>
      <c r="AW81" s="1117"/>
      <c r="AX81" s="1117"/>
      <c r="AY81" s="1117"/>
      <c r="AZ81" s="1117"/>
      <c r="BA81" s="1117"/>
      <c r="BB81" s="1117"/>
      <c r="BC81" s="1117"/>
      <c r="BD81" s="1117"/>
      <c r="BE81" s="1117"/>
      <c r="BF81" s="1117"/>
      <c r="BG81" s="1117"/>
      <c r="BH81" s="1117"/>
      <c r="BI81" s="1117"/>
      <c r="BJ81" s="1117"/>
      <c r="BK81" s="1117"/>
      <c r="BL81" s="1117"/>
      <c r="BM81" s="1117"/>
      <c r="BN81" s="1117"/>
      <c r="BO81" s="1117"/>
      <c r="BP81" s="1117"/>
      <c r="BQ81" s="1117"/>
      <c r="BR81" s="1117"/>
      <c r="BS81" s="1117"/>
      <c r="BT81" s="1117"/>
      <c r="BU81" s="1117"/>
      <c r="BV81" s="1117"/>
      <c r="BW81" s="1117"/>
      <c r="BX81" s="1117"/>
      <c r="BY81" s="1117"/>
      <c r="BZ81" s="1117"/>
      <c r="CA81" s="1117"/>
      <c r="CB81" s="1117"/>
      <c r="CC81" s="1117"/>
      <c r="CD81" s="1117"/>
      <c r="CE81" s="1279"/>
      <c r="CF81" s="1279"/>
      <c r="CG81" s="1279"/>
      <c r="CH81" s="1279"/>
      <c r="CI81" s="1279"/>
    </row>
    <row r="82" spans="21:87" ht="15.75">
      <c r="U82" s="201"/>
      <c r="V82" s="201"/>
      <c r="W82" s="1070"/>
      <c r="X82" s="143"/>
      <c r="Y82" s="143"/>
      <c r="Z82" s="1117"/>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17"/>
      <c r="BN82" s="1117"/>
      <c r="BO82" s="1117"/>
      <c r="BP82" s="1117"/>
      <c r="BQ82" s="1117"/>
      <c r="BR82" s="1117"/>
      <c r="BS82" s="1117"/>
      <c r="BT82" s="1117"/>
      <c r="BU82" s="1117"/>
      <c r="BV82" s="1117"/>
      <c r="BW82" s="1117"/>
      <c r="BX82" s="1117"/>
      <c r="BY82" s="1117"/>
      <c r="BZ82" s="1117"/>
      <c r="CA82" s="1117"/>
      <c r="CB82" s="1117"/>
      <c r="CC82" s="1117"/>
      <c r="CD82" s="1117"/>
      <c r="CE82" s="1279"/>
      <c r="CF82" s="1279"/>
      <c r="CG82" s="1279"/>
      <c r="CH82" s="1279"/>
      <c r="CI82" s="1279"/>
    </row>
    <row r="83" spans="21:87" ht="15.75">
      <c r="U83" s="201"/>
      <c r="V83" s="201"/>
      <c r="W83" s="1070"/>
      <c r="X83" s="1250"/>
      <c r="Y83" s="1250"/>
      <c r="Z83" s="1117"/>
      <c r="AA83" s="1117"/>
      <c r="AB83" s="1117"/>
      <c r="AC83" s="1117"/>
      <c r="AD83" s="1117"/>
      <c r="AE83" s="1117"/>
      <c r="AF83" s="1117"/>
      <c r="AG83" s="1117"/>
      <c r="AH83" s="1117"/>
      <c r="AI83" s="1117"/>
      <c r="AJ83" s="1117"/>
      <c r="AK83" s="1117"/>
      <c r="AL83" s="1117"/>
      <c r="AM83" s="1117"/>
      <c r="AN83" s="1117"/>
      <c r="AO83" s="1117"/>
      <c r="AP83" s="1117"/>
      <c r="AQ83" s="1117"/>
      <c r="AR83" s="1117"/>
      <c r="AS83" s="1117"/>
      <c r="AT83" s="1117"/>
      <c r="AU83" s="1117"/>
      <c r="AV83" s="1117"/>
      <c r="AW83" s="1117"/>
      <c r="AX83" s="1117"/>
      <c r="AY83" s="1117"/>
      <c r="AZ83" s="1117"/>
      <c r="BA83" s="1117"/>
      <c r="BB83" s="1117"/>
      <c r="BC83" s="1117"/>
      <c r="BD83" s="1117"/>
      <c r="BE83" s="1117"/>
      <c r="BF83" s="1117"/>
      <c r="BG83" s="1117"/>
      <c r="BH83" s="1117"/>
      <c r="BI83" s="1117"/>
      <c r="BJ83" s="1117"/>
      <c r="BK83" s="1117"/>
      <c r="BL83" s="1117"/>
      <c r="BM83" s="1117"/>
      <c r="BN83" s="1117"/>
      <c r="BO83" s="1117"/>
      <c r="BP83" s="1117"/>
      <c r="BQ83" s="1117"/>
      <c r="BR83" s="1117"/>
      <c r="BS83" s="1117"/>
      <c r="BT83" s="1117"/>
      <c r="BU83" s="1117"/>
      <c r="BV83" s="1117"/>
      <c r="BW83" s="1117"/>
      <c r="BX83" s="1117"/>
      <c r="BY83" s="1117"/>
      <c r="BZ83" s="1117"/>
      <c r="CA83" s="1117"/>
      <c r="CB83" s="1117"/>
      <c r="CC83" s="1117"/>
      <c r="CD83" s="1117"/>
      <c r="CE83" s="1279"/>
      <c r="CF83" s="1279"/>
      <c r="CG83" s="1279"/>
      <c r="CH83" s="1279"/>
      <c r="CI83" s="1279"/>
    </row>
    <row r="84" spans="21:87" ht="15.75">
      <c r="U84" s="201"/>
      <c r="V84" s="201"/>
      <c r="W84" s="1070"/>
      <c r="X84" s="1266"/>
      <c r="Y84" s="1250"/>
      <c r="Z84" s="1117"/>
      <c r="AA84" s="1117"/>
      <c r="AB84" s="1117"/>
      <c r="AC84" s="1117"/>
      <c r="AD84" s="1117"/>
      <c r="AE84" s="1117"/>
      <c r="AF84" s="1117"/>
      <c r="AG84" s="1117"/>
      <c r="AH84" s="1117"/>
      <c r="AI84" s="1117"/>
      <c r="AJ84" s="1117"/>
      <c r="AK84" s="1117"/>
      <c r="AL84" s="1117"/>
      <c r="AM84" s="1117"/>
      <c r="AN84" s="1117"/>
      <c r="AO84" s="1117"/>
      <c r="AP84" s="1117"/>
      <c r="AQ84" s="1117"/>
      <c r="AR84" s="1117"/>
      <c r="AS84" s="1117"/>
      <c r="AT84" s="1117"/>
      <c r="AU84" s="1117"/>
      <c r="AV84" s="1117"/>
      <c r="AW84" s="1117"/>
      <c r="AX84" s="1117"/>
      <c r="AY84" s="1117"/>
      <c r="AZ84" s="1117"/>
      <c r="BA84" s="1117"/>
      <c r="BB84" s="1117"/>
      <c r="BC84" s="1117"/>
      <c r="BD84" s="1117"/>
      <c r="BE84" s="1117"/>
      <c r="BF84" s="1117"/>
      <c r="BG84" s="1117"/>
      <c r="BH84" s="1117"/>
      <c r="BI84" s="1117"/>
      <c r="BJ84" s="1117"/>
      <c r="BK84" s="1117"/>
      <c r="BL84" s="1117"/>
      <c r="BM84" s="1117"/>
      <c r="BN84" s="1117"/>
      <c r="BO84" s="1117"/>
      <c r="BP84" s="1117"/>
      <c r="BQ84" s="1117"/>
      <c r="BR84" s="1117"/>
      <c r="BS84" s="1117"/>
      <c r="BT84" s="1117"/>
      <c r="BU84" s="1117"/>
      <c r="BV84" s="1117"/>
      <c r="BW84" s="1117"/>
      <c r="BX84" s="1117"/>
      <c r="BY84" s="1117"/>
      <c r="BZ84" s="1117"/>
      <c r="CA84" s="1117"/>
      <c r="CB84" s="1117"/>
      <c r="CC84" s="1117"/>
      <c r="CD84" s="1117"/>
      <c r="CE84" s="1091"/>
      <c r="CF84" s="1091"/>
      <c r="CG84" s="1091"/>
      <c r="CH84" s="1091"/>
      <c r="CI84" s="1091"/>
    </row>
    <row r="85" spans="21:87" ht="15.75">
      <c r="U85" s="201"/>
      <c r="V85" s="201"/>
      <c r="W85" s="1070"/>
      <c r="X85" s="1266"/>
      <c r="Y85" s="1250"/>
      <c r="Z85" s="1117"/>
      <c r="AA85" s="1117"/>
      <c r="AB85" s="1117"/>
      <c r="AC85" s="1117"/>
      <c r="AD85" s="1117"/>
      <c r="AE85" s="1117"/>
      <c r="AF85" s="1117"/>
      <c r="AG85" s="1117"/>
      <c r="AH85" s="1117"/>
      <c r="AI85" s="1117"/>
      <c r="AJ85" s="1117"/>
      <c r="AK85" s="1117"/>
      <c r="AL85" s="1117"/>
      <c r="AM85" s="1117"/>
      <c r="AN85" s="1117"/>
      <c r="AO85" s="1117"/>
      <c r="AP85" s="1117"/>
      <c r="AQ85" s="1117"/>
      <c r="AR85" s="1117"/>
      <c r="AS85" s="1117"/>
      <c r="AT85" s="1117"/>
      <c r="AU85" s="1117"/>
      <c r="AV85" s="1117"/>
      <c r="AW85" s="1117"/>
      <c r="AX85" s="1117"/>
      <c r="AY85" s="1117"/>
      <c r="AZ85" s="1117"/>
      <c r="BA85" s="1117"/>
      <c r="BB85" s="1117"/>
      <c r="BC85" s="1117"/>
      <c r="BD85" s="1117"/>
      <c r="BE85" s="1117"/>
      <c r="BF85" s="1117"/>
      <c r="BG85" s="1117"/>
      <c r="BH85" s="1117"/>
      <c r="BI85" s="1117"/>
      <c r="BJ85" s="1117"/>
      <c r="BK85" s="1117"/>
      <c r="BL85" s="1117"/>
      <c r="BM85" s="1117"/>
      <c r="BN85" s="1117"/>
      <c r="BO85" s="1117"/>
      <c r="BP85" s="1117"/>
      <c r="BQ85" s="1117"/>
      <c r="BR85" s="1117"/>
      <c r="BS85" s="1117"/>
      <c r="BT85" s="1117"/>
      <c r="BU85" s="1117"/>
      <c r="BV85" s="1117"/>
      <c r="BW85" s="1117"/>
      <c r="BX85" s="1117"/>
      <c r="BY85" s="1117"/>
      <c r="BZ85" s="1117"/>
      <c r="CA85" s="1117"/>
      <c r="CB85" s="1117"/>
      <c r="CC85" s="1117"/>
      <c r="CD85" s="1117"/>
      <c r="CE85" s="1279"/>
      <c r="CF85" s="1279"/>
      <c r="CG85" s="1279"/>
      <c r="CH85" s="1279"/>
      <c r="CI85" s="1279"/>
    </row>
    <row r="86" spans="21:87" ht="15.75">
      <c r="U86" s="201"/>
      <c r="V86" s="201"/>
      <c r="W86" s="1070"/>
      <c r="X86" s="1266"/>
      <c r="Y86" s="1266"/>
      <c r="Z86" s="1117"/>
      <c r="AA86" s="1117"/>
      <c r="AB86" s="1117"/>
      <c r="AC86" s="1117"/>
      <c r="AD86" s="1117"/>
      <c r="AE86" s="1117"/>
      <c r="AF86" s="1117"/>
      <c r="AG86" s="1117"/>
      <c r="AH86" s="1117"/>
      <c r="AI86" s="1117"/>
      <c r="AJ86" s="1117"/>
      <c r="AK86" s="1117"/>
      <c r="AL86" s="1117"/>
      <c r="AM86" s="1117"/>
      <c r="AN86" s="1117"/>
      <c r="AO86" s="1117"/>
      <c r="AP86" s="1117"/>
      <c r="AQ86" s="1117"/>
      <c r="AR86" s="1117"/>
      <c r="AS86" s="1117"/>
      <c r="AT86" s="1117"/>
      <c r="AU86" s="1117"/>
      <c r="AV86" s="1117"/>
      <c r="AW86" s="1117"/>
      <c r="AX86" s="1117"/>
      <c r="AY86" s="1117"/>
      <c r="AZ86" s="1117"/>
      <c r="BA86" s="1117"/>
      <c r="BB86" s="1117"/>
      <c r="BC86" s="1117"/>
      <c r="BD86" s="1117"/>
      <c r="BE86" s="1117"/>
      <c r="BF86" s="1117"/>
      <c r="BG86" s="1117"/>
      <c r="BH86" s="1117"/>
      <c r="BI86" s="1117"/>
      <c r="BJ86" s="1117"/>
      <c r="BK86" s="1117"/>
      <c r="BL86" s="1117"/>
      <c r="BM86" s="1117"/>
      <c r="BN86" s="1117"/>
      <c r="BO86" s="1117"/>
      <c r="BP86" s="1117"/>
      <c r="BQ86" s="1117"/>
      <c r="BR86" s="1117"/>
      <c r="BS86" s="1117"/>
      <c r="BT86" s="1117"/>
      <c r="BU86" s="1117"/>
      <c r="BV86" s="1117"/>
      <c r="BW86" s="1117"/>
      <c r="BX86" s="1117"/>
      <c r="BY86" s="1117"/>
      <c r="BZ86" s="1117"/>
      <c r="CA86" s="1117"/>
      <c r="CB86" s="1117"/>
      <c r="CC86" s="1117"/>
      <c r="CD86" s="1117"/>
      <c r="CE86" s="1279"/>
      <c r="CF86" s="1279"/>
      <c r="CG86" s="1279"/>
      <c r="CH86" s="1279"/>
      <c r="CI86" s="1279"/>
    </row>
    <row r="87" spans="21:87" ht="15.75">
      <c r="U87" s="201"/>
      <c r="V87" s="201"/>
      <c r="W87" s="1070"/>
      <c r="X87" s="1266"/>
      <c r="Y87" s="1266"/>
      <c r="Z87" s="1117"/>
      <c r="AA87" s="1117"/>
      <c r="AB87" s="1117"/>
      <c r="AC87" s="1117"/>
      <c r="AD87" s="1117"/>
      <c r="AE87" s="1117"/>
      <c r="AF87" s="1117"/>
      <c r="AG87" s="1117"/>
      <c r="AH87" s="1117"/>
      <c r="AI87" s="1117"/>
      <c r="AJ87" s="1117"/>
      <c r="AK87" s="1117"/>
      <c r="AL87" s="1117"/>
      <c r="AM87" s="1117"/>
      <c r="AN87" s="1117"/>
      <c r="AO87" s="1117"/>
      <c r="AP87" s="1117"/>
      <c r="AQ87" s="1117"/>
      <c r="AR87" s="1117"/>
      <c r="AS87" s="1117"/>
      <c r="AT87" s="1117"/>
      <c r="AU87" s="1117"/>
      <c r="AV87" s="1117"/>
      <c r="AW87" s="1117"/>
      <c r="AX87" s="1117"/>
      <c r="AY87" s="1117"/>
      <c r="AZ87" s="1117"/>
      <c r="BA87" s="1117"/>
      <c r="BB87" s="1117"/>
      <c r="BC87" s="1117"/>
      <c r="BD87" s="1117"/>
      <c r="BE87" s="1117"/>
      <c r="BF87" s="1117"/>
      <c r="BG87" s="1117"/>
      <c r="BH87" s="1117"/>
      <c r="BI87" s="1117"/>
      <c r="BJ87" s="1117"/>
      <c r="BK87" s="1117"/>
      <c r="BL87" s="1117"/>
      <c r="BM87" s="1117"/>
      <c r="BN87" s="1117"/>
      <c r="BO87" s="1117"/>
      <c r="BP87" s="1117"/>
      <c r="BQ87" s="1117"/>
      <c r="BR87" s="1117"/>
      <c r="BS87" s="1117"/>
      <c r="BT87" s="1117"/>
      <c r="BU87" s="1117"/>
      <c r="BV87" s="1117"/>
      <c r="BW87" s="1117"/>
      <c r="BX87" s="1117"/>
      <c r="BY87" s="1117"/>
      <c r="BZ87" s="1117"/>
      <c r="CA87" s="1117"/>
      <c r="CB87" s="1117"/>
      <c r="CC87" s="1117"/>
      <c r="CD87" s="1117"/>
      <c r="CE87" s="1279"/>
      <c r="CF87" s="1279"/>
      <c r="CG87" s="1279"/>
      <c r="CH87" s="1279"/>
      <c r="CI87" s="1279"/>
    </row>
    <row r="88" spans="21:87" ht="15.75">
      <c r="U88" s="201"/>
      <c r="V88" s="201"/>
      <c r="W88" s="1070"/>
      <c r="X88" s="1266"/>
      <c r="Y88" s="1266"/>
      <c r="Z88" s="1117"/>
      <c r="AA88" s="1117"/>
      <c r="AB88" s="1117"/>
      <c r="AC88" s="1117"/>
      <c r="AD88" s="1117"/>
      <c r="AE88" s="1117"/>
      <c r="AF88" s="1117"/>
      <c r="AG88" s="1117"/>
      <c r="AH88" s="1117"/>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7"/>
      <c r="BD88" s="1117"/>
      <c r="BE88" s="1117"/>
      <c r="BF88" s="1117"/>
      <c r="BG88" s="1117"/>
      <c r="BH88" s="1117"/>
      <c r="BI88" s="1117"/>
      <c r="BJ88" s="1117"/>
      <c r="BK88" s="1117"/>
      <c r="BL88" s="1117"/>
      <c r="BM88" s="1117"/>
      <c r="BN88" s="1117"/>
      <c r="BO88" s="1117"/>
      <c r="BP88" s="1117"/>
      <c r="BQ88" s="1117"/>
      <c r="BR88" s="1117"/>
      <c r="BS88" s="1117"/>
      <c r="BT88" s="1117"/>
      <c r="BU88" s="1117"/>
      <c r="BV88" s="1117"/>
      <c r="BW88" s="1117"/>
      <c r="BX88" s="1117"/>
      <c r="BY88" s="1117"/>
      <c r="BZ88" s="1117"/>
      <c r="CA88" s="1117"/>
      <c r="CB88" s="1117"/>
      <c r="CC88" s="1117"/>
      <c r="CD88" s="1117"/>
      <c r="CE88" s="1279"/>
      <c r="CF88" s="1279"/>
      <c r="CG88" s="1279"/>
      <c r="CH88" s="1279"/>
      <c r="CI88" s="1279"/>
    </row>
    <row r="89" spans="21:87" ht="15.75">
      <c r="U89" s="201"/>
      <c r="V89" s="201"/>
      <c r="W89" s="1070"/>
      <c r="X89" s="1266"/>
      <c r="Y89" s="1266"/>
      <c r="Z89" s="1117"/>
      <c r="AA89" s="1117"/>
      <c r="AB89" s="1117"/>
      <c r="AC89" s="1117"/>
      <c r="AD89" s="1117"/>
      <c r="AE89" s="1117"/>
      <c r="AF89" s="1117"/>
      <c r="AG89" s="1117"/>
      <c r="AH89" s="1117"/>
      <c r="AI89" s="1117"/>
      <c r="AJ89" s="1117"/>
      <c r="AK89" s="1117"/>
      <c r="AL89" s="1117"/>
      <c r="AM89" s="1117"/>
      <c r="AN89" s="1117"/>
      <c r="AO89" s="1117"/>
      <c r="AP89" s="1117"/>
      <c r="AQ89" s="1117"/>
      <c r="AR89" s="1117"/>
      <c r="AS89" s="1117"/>
      <c r="AT89" s="1117"/>
      <c r="AU89" s="1117"/>
      <c r="AV89" s="1117"/>
      <c r="AW89" s="1117"/>
      <c r="AX89" s="1117"/>
      <c r="AY89" s="1117"/>
      <c r="AZ89" s="1117"/>
      <c r="BA89" s="1117"/>
      <c r="BB89" s="1117"/>
      <c r="BC89" s="1117"/>
      <c r="BD89" s="1117"/>
      <c r="BE89" s="1117"/>
      <c r="BF89" s="1117"/>
      <c r="BG89" s="1117"/>
      <c r="BH89" s="1117"/>
      <c r="BI89" s="1117"/>
      <c r="BJ89" s="1117"/>
      <c r="BK89" s="1117"/>
      <c r="BL89" s="1117"/>
      <c r="BM89" s="1117"/>
      <c r="BN89" s="1117"/>
      <c r="BO89" s="1117"/>
      <c r="BP89" s="1117"/>
      <c r="BQ89" s="1117"/>
      <c r="BR89" s="1117"/>
      <c r="BS89" s="1117"/>
      <c r="BT89" s="1117"/>
      <c r="BU89" s="1117"/>
      <c r="BV89" s="1117"/>
      <c r="BW89" s="1117"/>
      <c r="BX89" s="1117"/>
      <c r="BY89" s="1117"/>
      <c r="BZ89" s="1117"/>
      <c r="CA89" s="1117"/>
      <c r="CB89" s="1117"/>
      <c r="CC89" s="1117"/>
      <c r="CD89" s="1117"/>
      <c r="CE89" s="1279"/>
      <c r="CF89" s="1279"/>
      <c r="CG89" s="1279"/>
      <c r="CH89" s="1279"/>
      <c r="CI89" s="1279"/>
    </row>
    <row r="90" spans="21:87" ht="15.75">
      <c r="U90" s="182"/>
      <c r="V90" s="182"/>
      <c r="W90" s="1070"/>
      <c r="X90" s="1266"/>
      <c r="Y90" s="1266"/>
      <c r="Z90" s="1117"/>
      <c r="AA90" s="1117"/>
      <c r="AB90" s="1117"/>
      <c r="AC90" s="1117"/>
      <c r="AD90" s="1117"/>
      <c r="AE90" s="1117"/>
      <c r="AF90" s="1117"/>
      <c r="AG90" s="1117"/>
      <c r="AH90" s="1117"/>
      <c r="AI90" s="1117"/>
      <c r="AJ90" s="1117"/>
      <c r="AK90" s="1117"/>
      <c r="AL90" s="1117"/>
      <c r="AM90" s="1117"/>
      <c r="AN90" s="1117"/>
      <c r="AO90" s="1117"/>
      <c r="AP90" s="1117"/>
      <c r="AQ90" s="1117"/>
      <c r="AR90" s="1117"/>
      <c r="AS90" s="1117"/>
      <c r="AT90" s="1117"/>
      <c r="AU90" s="1117"/>
      <c r="AV90" s="1117"/>
      <c r="AW90" s="1117"/>
      <c r="AX90" s="1117"/>
      <c r="AY90" s="1117"/>
      <c r="AZ90" s="1117"/>
      <c r="BA90" s="1117"/>
      <c r="BB90" s="1117"/>
      <c r="BC90" s="1117"/>
      <c r="BD90" s="1117"/>
      <c r="BE90" s="1117"/>
      <c r="BF90" s="1117"/>
      <c r="BG90" s="1117"/>
      <c r="BH90" s="1117"/>
      <c r="BI90" s="1117"/>
      <c r="BJ90" s="1117"/>
      <c r="BK90" s="1117"/>
      <c r="BL90" s="1117"/>
      <c r="BM90" s="1117"/>
      <c r="BN90" s="1117"/>
      <c r="BO90" s="1117"/>
      <c r="BP90" s="1117"/>
      <c r="BQ90" s="1117"/>
      <c r="BR90" s="1117"/>
      <c r="BS90" s="1117"/>
      <c r="BT90" s="1117"/>
      <c r="BU90" s="1117"/>
      <c r="BV90" s="1117"/>
      <c r="BW90" s="1117"/>
      <c r="BX90" s="1117"/>
      <c r="BY90" s="1117"/>
      <c r="BZ90" s="1117"/>
      <c r="CA90" s="1117"/>
      <c r="CB90" s="1117"/>
      <c r="CC90" s="1117"/>
      <c r="CD90" s="1117"/>
      <c r="CE90" s="1279"/>
      <c r="CF90" s="1279"/>
      <c r="CG90" s="1279"/>
      <c r="CH90" s="1279"/>
      <c r="CI90" s="1279"/>
    </row>
    <row r="91" spans="21:87" ht="15.75">
      <c r="U91" s="182"/>
      <c r="V91" s="182"/>
      <c r="W91" s="1070"/>
      <c r="X91" s="1266"/>
      <c r="Y91" s="1266"/>
      <c r="Z91" s="1117"/>
      <c r="AA91" s="1117"/>
      <c r="AB91" s="1117"/>
      <c r="AC91" s="1117"/>
      <c r="AD91" s="1117"/>
      <c r="AE91" s="1117"/>
      <c r="AF91" s="1117"/>
      <c r="AG91" s="1117"/>
      <c r="AH91" s="1117"/>
      <c r="AI91" s="1117"/>
      <c r="AJ91" s="1117"/>
      <c r="AK91" s="1117"/>
      <c r="AL91" s="1117"/>
      <c r="AM91" s="1117"/>
      <c r="AN91" s="1117"/>
      <c r="AO91" s="1117"/>
      <c r="AP91" s="1117"/>
      <c r="AQ91" s="1117"/>
      <c r="AR91" s="1117"/>
      <c r="AS91" s="1117"/>
      <c r="AT91" s="1117"/>
      <c r="AU91" s="1117"/>
      <c r="AV91" s="1117"/>
      <c r="AW91" s="1117"/>
      <c r="AX91" s="1117"/>
      <c r="AY91" s="1117"/>
      <c r="AZ91" s="1117"/>
      <c r="BA91" s="1117"/>
      <c r="BB91" s="1117"/>
      <c r="BC91" s="1117"/>
      <c r="BD91" s="1117"/>
      <c r="BE91" s="1117"/>
      <c r="BF91" s="1117"/>
      <c r="BG91" s="1117"/>
      <c r="BH91" s="1117"/>
      <c r="BI91" s="1117"/>
      <c r="BJ91" s="1117"/>
      <c r="BK91" s="1117"/>
      <c r="BL91" s="1117"/>
      <c r="BM91" s="1117"/>
      <c r="BN91" s="1117"/>
      <c r="BO91" s="1117"/>
      <c r="BP91" s="1117"/>
      <c r="BQ91" s="1117"/>
      <c r="BR91" s="1117"/>
      <c r="BS91" s="1117"/>
      <c r="BT91" s="1117"/>
      <c r="BU91" s="1117"/>
      <c r="BV91" s="1117"/>
      <c r="BW91" s="1117"/>
      <c r="BX91" s="1117"/>
      <c r="BY91" s="1117"/>
      <c r="BZ91" s="1117"/>
      <c r="CA91" s="1117"/>
      <c r="CB91" s="1117"/>
      <c r="CC91" s="1117"/>
      <c r="CD91" s="1117"/>
      <c r="CE91" s="1279"/>
      <c r="CF91" s="1279"/>
      <c r="CG91" s="1279"/>
      <c r="CH91" s="1279"/>
      <c r="CI91" s="1279"/>
    </row>
    <row r="92" spans="21:87" ht="15.75">
      <c r="U92" s="862"/>
      <c r="V92" s="862"/>
      <c r="W92" s="1070"/>
      <c r="X92" s="1266"/>
      <c r="Y92" s="1250"/>
      <c r="Z92" s="1117"/>
      <c r="AA92" s="1117"/>
      <c r="AB92" s="1117"/>
      <c r="AC92" s="1117"/>
      <c r="AD92" s="1117"/>
      <c r="AE92" s="1117"/>
      <c r="AF92" s="1117"/>
      <c r="AG92" s="1117"/>
      <c r="AH92" s="1117"/>
      <c r="AI92" s="1117"/>
      <c r="AJ92" s="1117"/>
      <c r="AK92" s="1117"/>
      <c r="AL92" s="1117"/>
      <c r="AM92" s="1117"/>
      <c r="AN92" s="1117"/>
      <c r="AO92" s="1117"/>
      <c r="AP92" s="1117"/>
      <c r="AQ92" s="1117"/>
      <c r="AR92" s="1117"/>
      <c r="AS92" s="1117"/>
      <c r="AT92" s="1117"/>
      <c r="AU92" s="1117"/>
      <c r="AV92" s="1117"/>
      <c r="AW92" s="1117"/>
      <c r="AX92" s="1117"/>
      <c r="AY92" s="1117"/>
      <c r="AZ92" s="1117"/>
      <c r="BA92" s="1117"/>
      <c r="BB92" s="1117"/>
      <c r="BC92" s="1117"/>
      <c r="BD92" s="1117"/>
      <c r="BE92" s="1117"/>
      <c r="BF92" s="1117"/>
      <c r="BG92" s="1117"/>
      <c r="BH92" s="1117"/>
      <c r="BI92" s="1117"/>
      <c r="BJ92" s="1117"/>
      <c r="BK92" s="1117"/>
      <c r="BL92" s="1117"/>
      <c r="BM92" s="1117"/>
      <c r="BN92" s="1117"/>
      <c r="BO92" s="1117"/>
      <c r="BP92" s="1117"/>
      <c r="BQ92" s="1117"/>
      <c r="BR92" s="1117"/>
      <c r="BS92" s="1117"/>
      <c r="BT92" s="1117"/>
      <c r="BU92" s="1117"/>
      <c r="BV92" s="1117"/>
      <c r="BW92" s="1117"/>
      <c r="BX92" s="1117"/>
      <c r="BY92" s="1117"/>
      <c r="BZ92" s="1117"/>
      <c r="CA92" s="1117"/>
      <c r="CB92" s="1117"/>
      <c r="CC92" s="1117"/>
      <c r="CD92" s="1117"/>
      <c r="CE92" s="1279"/>
      <c r="CF92" s="1279"/>
      <c r="CG92" s="1279"/>
      <c r="CH92" s="1279"/>
      <c r="CI92" s="1279"/>
    </row>
    <row r="93" spans="21:87" ht="15.75">
      <c r="U93" s="862"/>
      <c r="V93" s="862"/>
      <c r="W93" s="1070"/>
      <c r="X93" s="1266"/>
      <c r="Y93" s="1250"/>
      <c r="Z93" s="1117"/>
      <c r="AA93" s="1117"/>
      <c r="AB93" s="1117"/>
      <c r="AC93" s="1117"/>
      <c r="AD93" s="1117"/>
      <c r="AE93" s="1117"/>
      <c r="AF93" s="1117"/>
      <c r="AG93" s="1117"/>
      <c r="AH93" s="1117"/>
      <c r="AI93" s="1117"/>
      <c r="AJ93" s="1117"/>
      <c r="AK93" s="1117"/>
      <c r="AL93" s="1117"/>
      <c r="AM93" s="1117"/>
      <c r="AN93" s="1117"/>
      <c r="AO93" s="1117"/>
      <c r="AP93" s="1117"/>
      <c r="AQ93" s="1117"/>
      <c r="AR93" s="1117"/>
      <c r="AS93" s="1117"/>
      <c r="AT93" s="1117"/>
      <c r="AU93" s="1117"/>
      <c r="AV93" s="1117"/>
      <c r="AW93" s="1117"/>
      <c r="AX93" s="1117"/>
      <c r="AY93" s="1117"/>
      <c r="AZ93" s="1117"/>
      <c r="BA93" s="1117"/>
      <c r="BB93" s="1117"/>
      <c r="BC93" s="1117"/>
      <c r="BD93" s="1117"/>
      <c r="BE93" s="1117"/>
      <c r="BF93" s="1117"/>
      <c r="BG93" s="1117"/>
      <c r="BH93" s="1117"/>
      <c r="BI93" s="1117"/>
      <c r="BJ93" s="1117"/>
      <c r="BK93" s="1117"/>
      <c r="BL93" s="1117"/>
      <c r="BM93" s="1117"/>
      <c r="BN93" s="1117"/>
      <c r="BO93" s="1117"/>
      <c r="BP93" s="1117"/>
      <c r="BQ93" s="1117"/>
      <c r="BR93" s="1117"/>
      <c r="BS93" s="1117"/>
      <c r="BT93" s="1117"/>
      <c r="BU93" s="1117"/>
      <c r="BV93" s="1117"/>
      <c r="BW93" s="1117"/>
      <c r="BX93" s="1117"/>
      <c r="BY93" s="1117"/>
      <c r="BZ93" s="1117"/>
      <c r="CA93" s="1117"/>
      <c r="CB93" s="1117"/>
      <c r="CC93" s="1117"/>
      <c r="CD93" s="1117"/>
      <c r="CE93" s="1279"/>
      <c r="CF93" s="1279"/>
      <c r="CG93" s="1279"/>
      <c r="CH93" s="1279"/>
      <c r="CI93" s="1279"/>
    </row>
    <row r="94" spans="21:87" ht="15.75">
      <c r="U94" s="862"/>
      <c r="V94" s="862"/>
      <c r="W94" s="1070"/>
      <c r="X94" s="1266"/>
      <c r="Y94" s="1250"/>
      <c r="Z94" s="1117"/>
      <c r="AA94" s="1117"/>
      <c r="AB94" s="1117"/>
      <c r="AC94" s="1117"/>
      <c r="AD94" s="1117"/>
      <c r="AE94" s="1117"/>
      <c r="AF94" s="1117"/>
      <c r="AG94" s="1117"/>
      <c r="AH94" s="1117"/>
      <c r="AI94" s="1117"/>
      <c r="AJ94" s="1117"/>
      <c r="AK94" s="1117"/>
      <c r="AL94" s="1117"/>
      <c r="AM94" s="1117"/>
      <c r="AN94" s="1117"/>
      <c r="AO94" s="1117"/>
      <c r="AP94" s="1117"/>
      <c r="AQ94" s="1117"/>
      <c r="AR94" s="1117"/>
      <c r="AS94" s="1117"/>
      <c r="AT94" s="1117"/>
      <c r="AU94" s="1117"/>
      <c r="AV94" s="1117"/>
      <c r="AW94" s="1117"/>
      <c r="AX94" s="1117"/>
      <c r="AY94" s="1117"/>
      <c r="AZ94" s="1117"/>
      <c r="BA94" s="1117"/>
      <c r="BB94" s="1117"/>
      <c r="BC94" s="1117"/>
      <c r="BD94" s="1117"/>
      <c r="BE94" s="1117"/>
      <c r="BF94" s="1117"/>
      <c r="BG94" s="1117"/>
      <c r="BH94" s="1117"/>
      <c r="BI94" s="1117"/>
      <c r="BJ94" s="1117"/>
      <c r="BK94" s="1117"/>
      <c r="BL94" s="1117"/>
      <c r="BM94" s="1117"/>
      <c r="BN94" s="1117"/>
      <c r="BO94" s="1117"/>
      <c r="BP94" s="1117"/>
      <c r="BQ94" s="1117"/>
      <c r="BR94" s="1117"/>
      <c r="BS94" s="1117"/>
      <c r="BT94" s="1117"/>
      <c r="BU94" s="1117"/>
      <c r="BV94" s="1117"/>
      <c r="BW94" s="1117"/>
      <c r="BX94" s="1117"/>
      <c r="BY94" s="1117"/>
      <c r="BZ94" s="1117"/>
      <c r="CA94" s="1117"/>
      <c r="CB94" s="1117"/>
      <c r="CC94" s="1117"/>
      <c r="CD94" s="1117"/>
      <c r="CE94" s="1279"/>
      <c r="CF94" s="1279"/>
      <c r="CG94" s="1279"/>
      <c r="CH94" s="1279"/>
      <c r="CI94" s="1279"/>
    </row>
    <row r="95" spans="21:87" ht="15.75">
      <c r="U95" s="1245"/>
      <c r="V95" s="1245"/>
      <c r="W95" s="1070"/>
      <c r="X95" s="1266"/>
      <c r="Y95" s="1250"/>
      <c r="Z95" s="1117"/>
      <c r="AA95" s="1117"/>
      <c r="AB95" s="1117"/>
      <c r="AC95" s="1117"/>
      <c r="AD95" s="1117"/>
      <c r="AE95" s="1117"/>
      <c r="AF95" s="1117"/>
      <c r="AG95" s="1117"/>
      <c r="AH95" s="1117"/>
      <c r="AI95" s="1117"/>
      <c r="AJ95" s="1117"/>
      <c r="AK95" s="1117"/>
      <c r="AL95" s="1117"/>
      <c r="AM95" s="1117"/>
      <c r="AN95" s="1117"/>
      <c r="AO95" s="1117"/>
      <c r="AP95" s="1117"/>
      <c r="AQ95" s="1117"/>
      <c r="AR95" s="1117"/>
      <c r="AS95" s="1117"/>
      <c r="AT95" s="1117"/>
      <c r="AU95" s="1117"/>
      <c r="AV95" s="1117"/>
      <c r="AW95" s="1117"/>
      <c r="AX95" s="1117"/>
      <c r="AY95" s="1117"/>
      <c r="AZ95" s="1117"/>
      <c r="BA95" s="1117"/>
      <c r="BB95" s="1117"/>
      <c r="BC95" s="1117"/>
      <c r="BD95" s="1117"/>
      <c r="BE95" s="1117"/>
      <c r="BF95" s="1117"/>
      <c r="BG95" s="1117"/>
      <c r="BH95" s="1117"/>
      <c r="BI95" s="1117"/>
      <c r="BJ95" s="1117"/>
      <c r="BK95" s="1117"/>
      <c r="BL95" s="1117"/>
      <c r="BM95" s="1117"/>
      <c r="BN95" s="1117"/>
      <c r="BO95" s="1117"/>
      <c r="BP95" s="1117"/>
      <c r="BQ95" s="1117"/>
      <c r="BR95" s="1117"/>
      <c r="BS95" s="1117"/>
      <c r="BT95" s="1117"/>
      <c r="BU95" s="1117"/>
      <c r="BV95" s="1117"/>
      <c r="BW95" s="1117"/>
      <c r="BX95" s="1117"/>
      <c r="BY95" s="1117"/>
      <c r="BZ95" s="1117"/>
      <c r="CA95" s="1117"/>
      <c r="CB95" s="1117"/>
      <c r="CC95" s="1117"/>
      <c r="CD95" s="1117"/>
      <c r="CE95" s="1279"/>
      <c r="CF95" s="1279"/>
      <c r="CG95" s="1279"/>
      <c r="CH95" s="1279"/>
      <c r="CI95" s="1279"/>
    </row>
    <row r="96" spans="21:87" ht="15.75">
      <c r="U96" s="1247"/>
      <c r="V96" s="1247"/>
      <c r="W96" s="1070"/>
      <c r="X96" s="1266"/>
      <c r="Y96" s="1250"/>
      <c r="Z96" s="1117"/>
      <c r="AA96" s="1117"/>
      <c r="AB96" s="1117"/>
      <c r="AC96" s="1117"/>
      <c r="AD96" s="1117"/>
      <c r="AE96" s="1117"/>
      <c r="AF96" s="1117"/>
      <c r="AG96" s="1117"/>
      <c r="AH96" s="1117"/>
      <c r="AI96" s="1117"/>
      <c r="AJ96" s="1117"/>
      <c r="AK96" s="1117"/>
      <c r="AL96" s="1117"/>
      <c r="AM96" s="1117"/>
      <c r="AN96" s="1117"/>
      <c r="AO96" s="1117"/>
      <c r="AP96" s="1117"/>
      <c r="AQ96" s="1117"/>
      <c r="AR96" s="1117"/>
      <c r="AS96" s="1117"/>
      <c r="AT96" s="1117"/>
      <c r="AU96" s="1117"/>
      <c r="AV96" s="1117"/>
      <c r="AW96" s="1117"/>
      <c r="AX96" s="1117"/>
      <c r="AY96" s="1117"/>
      <c r="AZ96" s="1117"/>
      <c r="BA96" s="1117"/>
      <c r="BB96" s="1117"/>
      <c r="BC96" s="1117"/>
      <c r="BD96" s="1117"/>
      <c r="BE96" s="1117"/>
      <c r="BF96" s="1117"/>
      <c r="BG96" s="1117"/>
      <c r="BH96" s="1117"/>
      <c r="BI96" s="1117"/>
      <c r="BJ96" s="1117"/>
      <c r="BK96" s="1117"/>
      <c r="BL96" s="1117"/>
      <c r="BM96" s="1117"/>
      <c r="BN96" s="1117"/>
      <c r="BO96" s="1117"/>
      <c r="BP96" s="1117"/>
      <c r="BQ96" s="1117"/>
      <c r="BR96" s="1117"/>
      <c r="BS96" s="1117"/>
      <c r="BT96" s="1117"/>
      <c r="BU96" s="1117"/>
      <c r="BV96" s="1117"/>
      <c r="BW96" s="1117"/>
      <c r="BX96" s="1117"/>
      <c r="BY96" s="1117"/>
      <c r="BZ96" s="1117"/>
      <c r="CA96" s="1117"/>
      <c r="CB96" s="1117"/>
      <c r="CC96" s="1117"/>
      <c r="CD96" s="1117"/>
      <c r="CE96" s="1279"/>
      <c r="CF96" s="1279"/>
      <c r="CG96" s="1279"/>
      <c r="CH96" s="1279"/>
      <c r="CI96" s="1279"/>
    </row>
    <row r="97" spans="21:87" ht="15.75">
      <c r="U97" s="1247"/>
      <c r="V97" s="1247"/>
      <c r="W97" s="1070"/>
      <c r="X97" s="1266"/>
      <c r="Y97" s="1266"/>
      <c r="Z97" s="908"/>
      <c r="AA97" s="908"/>
      <c r="AB97" s="908"/>
      <c r="AC97" s="908"/>
      <c r="AD97" s="908"/>
      <c r="AE97" s="908"/>
      <c r="AF97" s="908"/>
      <c r="AG97" s="908"/>
      <c r="AH97" s="908"/>
      <c r="AI97" s="908"/>
      <c r="AJ97" s="908"/>
      <c r="AK97" s="908"/>
      <c r="AL97" s="908"/>
      <c r="AM97" s="908"/>
      <c r="AN97" s="908"/>
      <c r="AO97" s="908"/>
      <c r="AP97" s="908"/>
      <c r="AQ97" s="908"/>
      <c r="AR97" s="908"/>
      <c r="AS97" s="908"/>
      <c r="AT97" s="908"/>
      <c r="AU97" s="908"/>
      <c r="AV97" s="908"/>
      <c r="AW97" s="908"/>
      <c r="AX97" s="908"/>
      <c r="AY97" s="908"/>
      <c r="AZ97" s="908"/>
      <c r="BA97" s="908"/>
      <c r="BB97" s="908"/>
      <c r="BC97" s="908"/>
      <c r="BD97" s="908"/>
      <c r="BE97" s="908"/>
      <c r="BF97" s="908"/>
      <c r="BG97" s="908"/>
      <c r="BH97" s="908"/>
      <c r="BI97" s="908"/>
      <c r="BJ97" s="908"/>
      <c r="BK97" s="908"/>
      <c r="BL97" s="908"/>
      <c r="BM97" s="908"/>
      <c r="BN97" s="908"/>
      <c r="BO97" s="908"/>
      <c r="BP97" s="908"/>
      <c r="BQ97" s="908"/>
      <c r="BR97" s="908"/>
      <c r="BS97" s="908"/>
      <c r="BT97" s="908"/>
      <c r="BU97" s="908"/>
      <c r="BV97" s="908"/>
      <c r="BW97" s="908"/>
      <c r="BX97" s="908"/>
      <c r="BY97" s="908"/>
      <c r="BZ97" s="908"/>
      <c r="CA97" s="908"/>
      <c r="CB97" s="908"/>
      <c r="CC97" s="908"/>
      <c r="CD97" s="908"/>
      <c r="CE97" s="1279"/>
      <c r="CF97" s="1279"/>
      <c r="CG97" s="1279"/>
      <c r="CH97" s="1279"/>
      <c r="CI97" s="1279"/>
    </row>
    <row r="98" spans="21:87" ht="15.75">
      <c r="U98" s="1247"/>
      <c r="V98" s="1247"/>
      <c r="W98" s="1070"/>
      <c r="X98" s="1266"/>
      <c r="Y98" s="1250"/>
      <c r="Z98" s="1117"/>
      <c r="AA98" s="1117"/>
      <c r="AB98" s="1117"/>
      <c r="AC98" s="1117"/>
      <c r="AD98" s="1117"/>
      <c r="AE98" s="1117"/>
      <c r="AF98" s="1117"/>
      <c r="AG98" s="1117"/>
      <c r="AH98" s="1117"/>
      <c r="AI98" s="1117"/>
      <c r="AJ98" s="1117"/>
      <c r="AK98" s="1117"/>
      <c r="AL98" s="1117"/>
      <c r="AM98" s="1117"/>
      <c r="AN98" s="1117"/>
      <c r="AO98" s="1117"/>
      <c r="AP98" s="1117"/>
      <c r="AQ98" s="1117"/>
      <c r="AR98" s="1117"/>
      <c r="AS98" s="1117"/>
      <c r="AT98" s="1117"/>
      <c r="AU98" s="1117"/>
      <c r="AV98" s="1117"/>
      <c r="AW98" s="1117"/>
      <c r="AX98" s="1117"/>
      <c r="AY98" s="1117"/>
      <c r="AZ98" s="1117"/>
      <c r="BA98" s="1117"/>
      <c r="BB98" s="1117"/>
      <c r="BC98" s="1117"/>
      <c r="BD98" s="1117"/>
      <c r="BE98" s="1117"/>
      <c r="BF98" s="1117"/>
      <c r="BG98" s="1117"/>
      <c r="BH98" s="1117"/>
      <c r="BI98" s="1117"/>
      <c r="BJ98" s="1117"/>
      <c r="BK98" s="1117"/>
      <c r="BL98" s="1117"/>
      <c r="BM98" s="1117"/>
      <c r="BN98" s="1117"/>
      <c r="BO98" s="1117"/>
      <c r="BP98" s="1117"/>
      <c r="BQ98" s="1117"/>
      <c r="BR98" s="1117"/>
      <c r="BS98" s="1117"/>
      <c r="BT98" s="1117"/>
      <c r="BU98" s="1117"/>
      <c r="BV98" s="1117"/>
      <c r="BW98" s="1117"/>
      <c r="BX98" s="1117"/>
      <c r="BY98" s="1117"/>
      <c r="BZ98" s="1117"/>
      <c r="CA98" s="1117"/>
      <c r="CB98" s="1117"/>
      <c r="CC98" s="1117"/>
      <c r="CD98" s="1117"/>
    </row>
    <row r="99" spans="21:87" ht="15.75">
      <c r="U99" s="201"/>
      <c r="V99" s="201"/>
      <c r="Z99" s="682"/>
      <c r="AA99" s="682"/>
      <c r="AB99" s="682"/>
      <c r="AC99" s="682"/>
      <c r="AD99" s="682"/>
      <c r="AE99" s="682"/>
      <c r="AF99" s="682"/>
      <c r="AG99" s="682"/>
      <c r="AH99" s="682"/>
      <c r="AI99" s="682"/>
      <c r="AJ99" s="682"/>
      <c r="AK99" s="682"/>
      <c r="AL99" s="682"/>
      <c r="AM99" s="682"/>
      <c r="AN99" s="682"/>
      <c r="AO99" s="682"/>
      <c r="AP99" s="682"/>
      <c r="AQ99" s="682"/>
      <c r="AR99" s="682"/>
      <c r="AS99" s="682"/>
      <c r="AT99" s="682"/>
      <c r="AU99" s="682"/>
      <c r="AV99" s="682"/>
      <c r="AW99" s="682"/>
      <c r="AX99" s="682"/>
      <c r="AY99" s="682"/>
      <c r="AZ99" s="682"/>
      <c r="BA99" s="682"/>
      <c r="BB99" s="682"/>
      <c r="BC99" s="682"/>
      <c r="BD99" s="682"/>
      <c r="BE99" s="682"/>
      <c r="BF99" s="682"/>
      <c r="BG99" s="682"/>
      <c r="BH99" s="682"/>
      <c r="BI99" s="682"/>
      <c r="BJ99" s="682"/>
      <c r="BK99" s="682"/>
      <c r="BL99" s="682"/>
      <c r="BM99" s="682"/>
      <c r="BN99" s="682"/>
      <c r="BO99" s="682"/>
      <c r="BP99" s="682"/>
      <c r="BQ99" s="682"/>
      <c r="BR99" s="682"/>
      <c r="BS99" s="682"/>
      <c r="BT99" s="682"/>
      <c r="BU99" s="682"/>
      <c r="BV99" s="682"/>
      <c r="BW99" s="682"/>
      <c r="BX99" s="682"/>
      <c r="BY99" s="682"/>
      <c r="BZ99" s="682"/>
      <c r="CA99" s="682"/>
      <c r="CB99" s="682"/>
      <c r="CC99" s="682"/>
      <c r="CD99" s="682"/>
    </row>
    <row r="100" spans="21:87" ht="15.75">
      <c r="U100" s="201"/>
      <c r="V100" s="201"/>
      <c r="Z100" s="682"/>
      <c r="AA100" s="682"/>
      <c r="AB100" s="682"/>
      <c r="AC100" s="682"/>
      <c r="AD100" s="682"/>
      <c r="AE100" s="682"/>
      <c r="AF100" s="682"/>
      <c r="AG100" s="682"/>
      <c r="AH100" s="682"/>
      <c r="AI100" s="682"/>
      <c r="AJ100" s="682"/>
      <c r="AK100" s="682"/>
      <c r="AL100" s="682"/>
      <c r="AM100" s="682"/>
      <c r="AN100" s="682"/>
      <c r="AO100" s="682"/>
      <c r="AP100" s="682"/>
      <c r="AQ100" s="682"/>
      <c r="AR100" s="682"/>
      <c r="AS100" s="682"/>
      <c r="AT100" s="682"/>
      <c r="AU100" s="682"/>
      <c r="AV100" s="682"/>
      <c r="AW100" s="682"/>
      <c r="AX100" s="682"/>
      <c r="AY100" s="682"/>
      <c r="AZ100" s="682"/>
      <c r="BA100" s="682"/>
      <c r="BB100" s="682"/>
      <c r="BC100" s="682"/>
      <c r="BD100" s="682"/>
      <c r="BE100" s="682"/>
      <c r="BF100" s="682"/>
      <c r="BG100" s="682"/>
      <c r="BH100" s="682"/>
      <c r="BI100" s="682"/>
      <c r="BJ100" s="682"/>
      <c r="BK100" s="682"/>
      <c r="BL100" s="682"/>
      <c r="BM100" s="682"/>
      <c r="BN100" s="682"/>
      <c r="BO100" s="682"/>
      <c r="BP100" s="682"/>
      <c r="BQ100" s="682"/>
      <c r="BR100" s="682"/>
      <c r="BS100" s="682"/>
      <c r="BT100" s="682"/>
      <c r="BU100" s="682"/>
      <c r="BV100" s="682"/>
      <c r="BW100" s="682"/>
      <c r="BX100" s="682"/>
      <c r="BY100" s="682"/>
      <c r="BZ100" s="682"/>
      <c r="CA100" s="682"/>
      <c r="CB100" s="682"/>
      <c r="CC100" s="682"/>
      <c r="CD100" s="682"/>
    </row>
    <row r="102" spans="21:87" ht="15.75">
      <c r="Y102" s="140"/>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c r="BI102" s="141"/>
      <c r="BJ102" s="141"/>
      <c r="BK102" s="141"/>
      <c r="BL102" s="141"/>
      <c r="BM102" s="141"/>
      <c r="BN102" s="141"/>
      <c r="BO102" s="141"/>
      <c r="BP102" s="141"/>
      <c r="BQ102" s="141"/>
      <c r="BR102" s="141"/>
      <c r="BS102" s="141"/>
      <c r="BT102" s="141"/>
      <c r="BU102" s="141"/>
      <c r="BV102" s="141"/>
      <c r="BW102" s="141"/>
      <c r="BX102" s="141"/>
      <c r="BY102" s="141"/>
      <c r="BZ102" s="141"/>
      <c r="CA102" s="141"/>
      <c r="CB102" s="141"/>
      <c r="CC102" s="141"/>
      <c r="CD102" s="141"/>
    </row>
    <row r="103" spans="21:87" ht="15.75">
      <c r="Y103" s="140"/>
      <c r="Z103" s="1091"/>
      <c r="AA103" s="1091"/>
      <c r="AB103" s="1091"/>
      <c r="AC103" s="1091"/>
      <c r="AD103" s="1091"/>
      <c r="AE103" s="1091"/>
      <c r="AF103" s="1091"/>
      <c r="AG103" s="1091"/>
      <c r="AH103" s="1091"/>
      <c r="AI103" s="1091"/>
      <c r="AJ103" s="1091"/>
      <c r="AK103" s="1091"/>
      <c r="AL103" s="1091"/>
      <c r="AM103" s="1091"/>
      <c r="AN103" s="1091"/>
      <c r="AO103" s="1091"/>
      <c r="AP103" s="1091"/>
      <c r="AQ103" s="1091"/>
      <c r="AR103" s="1091"/>
      <c r="AS103" s="1091"/>
      <c r="AT103" s="1091"/>
      <c r="AU103" s="1091"/>
      <c r="AV103" s="1091"/>
      <c r="AW103" s="1091"/>
      <c r="AX103" s="1091"/>
      <c r="AY103" s="1091"/>
      <c r="AZ103" s="1091"/>
      <c r="BA103" s="1091"/>
      <c r="BB103" s="1091"/>
      <c r="BC103" s="1091"/>
      <c r="BD103" s="1091"/>
      <c r="BE103" s="1091"/>
      <c r="BF103" s="1091"/>
      <c r="BG103" s="1091"/>
      <c r="BH103" s="1091"/>
      <c r="BI103" s="1091"/>
      <c r="BJ103" s="1091"/>
      <c r="BK103" s="1091"/>
      <c r="BL103" s="1091"/>
      <c r="BM103" s="1091"/>
      <c r="BN103" s="1091"/>
      <c r="BO103" s="1091"/>
      <c r="BP103" s="1091"/>
      <c r="BQ103" s="1091"/>
      <c r="BR103" s="1091"/>
      <c r="BS103" s="1091"/>
      <c r="BT103" s="1091"/>
      <c r="BU103" s="1091"/>
      <c r="BV103" s="1091"/>
      <c r="BW103" s="1091"/>
      <c r="BX103" s="1091"/>
      <c r="BY103" s="1091"/>
      <c r="BZ103" s="1091"/>
      <c r="CA103" s="1091"/>
      <c r="CB103" s="1091"/>
      <c r="CC103" s="1091"/>
      <c r="CD103" s="1091"/>
    </row>
    <row r="104" spans="21:87" ht="15.75">
      <c r="Y104" s="140"/>
      <c r="Z104" s="1091"/>
      <c r="AA104" s="1091"/>
      <c r="AB104" s="1091"/>
      <c r="AC104" s="1091"/>
      <c r="AD104" s="1091"/>
      <c r="AE104" s="1091"/>
      <c r="AF104" s="1091"/>
      <c r="AG104" s="1091"/>
      <c r="AH104" s="1091"/>
      <c r="AI104" s="1091"/>
      <c r="AJ104" s="1091"/>
      <c r="AK104" s="1091"/>
      <c r="AL104" s="1091"/>
      <c r="AM104" s="1091"/>
      <c r="AN104" s="1091"/>
      <c r="AO104" s="1091"/>
      <c r="AP104" s="1091"/>
      <c r="AQ104" s="1091"/>
      <c r="AR104" s="1091"/>
      <c r="AS104" s="1091"/>
      <c r="AT104" s="1091"/>
      <c r="AU104" s="1091"/>
      <c r="AV104" s="1091"/>
      <c r="AW104" s="1091"/>
      <c r="AX104" s="1091"/>
      <c r="AY104" s="1091"/>
      <c r="AZ104" s="1091"/>
      <c r="BA104" s="1091"/>
      <c r="BB104" s="1091"/>
      <c r="BC104" s="1091"/>
      <c r="BD104" s="1091"/>
      <c r="BE104" s="1091"/>
      <c r="BF104" s="1091"/>
      <c r="BG104" s="1091"/>
      <c r="BH104" s="1091"/>
      <c r="BI104" s="1091"/>
      <c r="BJ104" s="1091"/>
      <c r="BK104" s="1091"/>
      <c r="BL104" s="1091"/>
      <c r="BM104" s="1091"/>
      <c r="BN104" s="1091"/>
      <c r="BO104" s="1091"/>
      <c r="BP104" s="1091"/>
      <c r="BQ104" s="1091"/>
      <c r="BR104" s="1091"/>
      <c r="BS104" s="1091"/>
      <c r="BT104" s="1091"/>
      <c r="BU104" s="1091"/>
      <c r="BV104" s="1091"/>
      <c r="BW104" s="1091"/>
      <c r="BX104" s="1091"/>
      <c r="BY104" s="1091"/>
      <c r="BZ104" s="1091"/>
      <c r="CA104" s="1091"/>
      <c r="CB104" s="1091"/>
      <c r="CC104" s="1091"/>
      <c r="CD104" s="1091"/>
    </row>
    <row r="105" spans="21:87" ht="15.75">
      <c r="Y105" s="140"/>
      <c r="Z105" s="1091"/>
      <c r="AA105" s="1091"/>
      <c r="AB105" s="1091"/>
      <c r="AC105" s="1091"/>
      <c r="AD105" s="1091"/>
      <c r="AE105" s="1091"/>
      <c r="AF105" s="1091"/>
      <c r="AG105" s="1091"/>
      <c r="AH105" s="1091"/>
      <c r="AI105" s="1091"/>
      <c r="AJ105" s="1091"/>
      <c r="AK105" s="1091"/>
      <c r="AL105" s="1091"/>
      <c r="AM105" s="1091"/>
      <c r="AN105" s="1091"/>
      <c r="AO105" s="1091"/>
      <c r="AP105" s="1091"/>
      <c r="AQ105" s="1091"/>
      <c r="AR105" s="1091"/>
      <c r="AS105" s="1091"/>
      <c r="AT105" s="1091"/>
      <c r="AU105" s="1091"/>
      <c r="AV105" s="1091"/>
      <c r="AW105" s="1091"/>
      <c r="AX105" s="1091"/>
      <c r="AY105" s="1091"/>
      <c r="AZ105" s="1091"/>
      <c r="BA105" s="1091"/>
      <c r="BB105" s="1091"/>
      <c r="BC105" s="1091"/>
      <c r="BD105" s="1091"/>
      <c r="BE105" s="1091"/>
      <c r="BF105" s="1091"/>
      <c r="BG105" s="1091"/>
      <c r="BH105" s="1091"/>
      <c r="BI105" s="1091"/>
      <c r="BJ105" s="1091"/>
      <c r="BK105" s="1091"/>
      <c r="BL105" s="1091"/>
      <c r="BM105" s="1091"/>
      <c r="BN105" s="1091"/>
      <c r="BO105" s="1091"/>
      <c r="BP105" s="1091"/>
      <c r="BQ105" s="1091"/>
      <c r="BR105" s="1091"/>
      <c r="BS105" s="1091"/>
      <c r="BT105" s="1091"/>
      <c r="BU105" s="1091"/>
      <c r="BV105" s="1091"/>
      <c r="BW105" s="1091"/>
      <c r="BX105" s="1091"/>
      <c r="BY105" s="1091"/>
      <c r="BZ105" s="1091"/>
      <c r="CA105" s="1091"/>
      <c r="CB105" s="1091"/>
      <c r="CC105" s="1091"/>
      <c r="CD105" s="1091"/>
    </row>
    <row r="106" spans="21:87" ht="15.75">
      <c r="U106" s="1251"/>
      <c r="V106" s="1251"/>
      <c r="W106" s="1251"/>
      <c r="X106" s="1251"/>
      <c r="Y106" s="140"/>
      <c r="Z106" s="1279"/>
      <c r="AA106" s="1279"/>
      <c r="AB106" s="1279"/>
      <c r="AC106" s="1279"/>
      <c r="AD106" s="1279"/>
      <c r="AE106" s="1279"/>
      <c r="AF106" s="1279"/>
      <c r="AG106" s="1279"/>
      <c r="AH106" s="1279"/>
      <c r="AI106" s="1279"/>
      <c r="AJ106" s="1279"/>
      <c r="AK106" s="1279"/>
      <c r="AL106" s="1279"/>
      <c r="AM106" s="1279"/>
      <c r="AN106" s="1279"/>
      <c r="AO106" s="1279"/>
      <c r="AP106" s="1279"/>
      <c r="AQ106" s="1279"/>
      <c r="AR106" s="1279"/>
      <c r="AS106" s="1279"/>
      <c r="AT106" s="1279"/>
      <c r="AU106" s="1279"/>
      <c r="AV106" s="1279"/>
      <c r="AW106" s="1279"/>
      <c r="AX106" s="1279"/>
      <c r="AY106" s="1279"/>
      <c r="AZ106" s="1279"/>
      <c r="BA106" s="1279"/>
      <c r="BB106" s="1279"/>
      <c r="BC106" s="1295"/>
      <c r="BD106" s="1279"/>
      <c r="BE106" s="1279"/>
      <c r="BF106" s="1279"/>
      <c r="BG106" s="1279"/>
      <c r="BH106" s="1279"/>
      <c r="BI106" s="1279"/>
      <c r="BJ106" s="1279"/>
      <c r="BK106" s="1279"/>
      <c r="BL106" s="1279"/>
      <c r="BM106" s="1279"/>
      <c r="BN106" s="1279"/>
      <c r="BO106" s="1279"/>
      <c r="BP106" s="1279"/>
      <c r="BQ106" s="1279"/>
      <c r="BR106" s="1279"/>
      <c r="BS106" s="1279"/>
      <c r="BT106" s="1454"/>
      <c r="BU106" s="1279"/>
      <c r="BV106" s="1279"/>
      <c r="BW106" s="1279"/>
      <c r="BX106" s="1279"/>
      <c r="BY106" s="1454"/>
      <c r="BZ106" s="1454"/>
      <c r="CA106" s="1454"/>
      <c r="CB106" s="1454"/>
      <c r="CC106" s="1454"/>
      <c r="CD106" s="1454"/>
    </row>
    <row r="107" spans="21:87" ht="15.75">
      <c r="U107" s="201"/>
      <c r="V107" s="201"/>
      <c r="W107" s="1251"/>
      <c r="X107" s="1266"/>
      <c r="Y107" s="168"/>
      <c r="Z107" s="1279"/>
      <c r="AA107" s="1279"/>
      <c r="AB107" s="1279"/>
      <c r="AC107" s="1279"/>
      <c r="AD107" s="1279"/>
      <c r="AE107" s="1279"/>
      <c r="AF107" s="1279"/>
      <c r="AG107" s="1279"/>
      <c r="AH107" s="1279"/>
      <c r="AI107" s="1279"/>
      <c r="AJ107" s="1279"/>
      <c r="AK107" s="1279"/>
      <c r="AL107" s="1279"/>
      <c r="AM107" s="1279"/>
      <c r="AN107" s="1279"/>
      <c r="AO107" s="1279"/>
      <c r="AP107" s="1279"/>
      <c r="AQ107" s="1279"/>
      <c r="AR107" s="1279"/>
      <c r="AS107" s="1279"/>
      <c r="AT107" s="1279"/>
      <c r="AU107" s="1279"/>
      <c r="AV107" s="1279"/>
      <c r="AW107" s="1279"/>
      <c r="AX107" s="1279"/>
      <c r="AY107" s="1279"/>
      <c r="AZ107" s="1279"/>
      <c r="BA107" s="1279"/>
      <c r="BB107" s="1279"/>
      <c r="BC107" s="1295"/>
      <c r="BD107" s="1279"/>
      <c r="BE107" s="1279"/>
      <c r="BF107" s="1279"/>
      <c r="BG107" s="1279"/>
      <c r="BH107" s="1279"/>
      <c r="BI107" s="1279"/>
      <c r="BJ107" s="1279"/>
      <c r="BK107" s="1279"/>
      <c r="BL107" s="1279"/>
      <c r="BM107" s="1279"/>
      <c r="BN107" s="1279"/>
      <c r="BO107" s="1279"/>
      <c r="BP107" s="1279"/>
      <c r="BQ107" s="1279"/>
      <c r="BR107" s="1279"/>
      <c r="BS107" s="1279"/>
      <c r="BT107" s="1454"/>
      <c r="BU107" s="1279"/>
      <c r="BV107" s="1279"/>
      <c r="BW107" s="1279"/>
      <c r="BX107" s="1279"/>
      <c r="BY107" s="1454"/>
      <c r="BZ107" s="1454"/>
      <c r="CA107" s="1454"/>
      <c r="CB107" s="1454"/>
      <c r="CC107" s="1454"/>
      <c r="CD107" s="1454"/>
    </row>
    <row r="108" spans="21:87" ht="15.75">
      <c r="U108" s="201"/>
      <c r="V108" s="201"/>
      <c r="W108" s="1251"/>
      <c r="X108" s="1266"/>
      <c r="Y108" s="140"/>
      <c r="Z108" s="1279"/>
      <c r="AA108" s="1279"/>
      <c r="AB108" s="1279"/>
      <c r="AC108" s="1279"/>
      <c r="AD108" s="1279"/>
      <c r="AE108" s="1279"/>
      <c r="AF108" s="1279"/>
      <c r="AG108" s="1279"/>
      <c r="AH108" s="1279"/>
      <c r="AI108" s="1279"/>
      <c r="AJ108" s="1279"/>
      <c r="AK108" s="1279"/>
      <c r="AL108" s="1279"/>
      <c r="AM108" s="1279"/>
      <c r="AN108" s="1279"/>
      <c r="AO108" s="1279"/>
      <c r="AP108" s="1279"/>
      <c r="AQ108" s="1279"/>
      <c r="AR108" s="1279"/>
      <c r="AS108" s="1279"/>
      <c r="AT108" s="1279"/>
      <c r="AU108" s="1279"/>
      <c r="AV108" s="1279"/>
      <c r="AW108" s="1279"/>
      <c r="AX108" s="1279"/>
      <c r="AY108" s="1279"/>
      <c r="AZ108" s="1279"/>
      <c r="BA108" s="1279"/>
      <c r="BB108" s="1279"/>
      <c r="BC108" s="1295"/>
      <c r="BD108" s="1279"/>
      <c r="BE108" s="1279"/>
      <c r="BF108" s="1279"/>
      <c r="BG108" s="1279"/>
      <c r="BH108" s="1279"/>
      <c r="BI108" s="1279"/>
      <c r="BJ108" s="1279"/>
      <c r="BK108" s="1279"/>
      <c r="BL108" s="1279"/>
      <c r="BM108" s="1279"/>
      <c r="BN108" s="1279"/>
      <c r="BO108" s="1279"/>
      <c r="BP108" s="1279"/>
      <c r="BQ108" s="1279"/>
      <c r="BR108" s="1279"/>
      <c r="BS108" s="1279"/>
      <c r="BT108" s="1454"/>
      <c r="BU108" s="1279"/>
      <c r="BV108" s="1279"/>
      <c r="BW108" s="1279"/>
      <c r="BX108" s="1279"/>
      <c r="BY108" s="1454"/>
      <c r="BZ108" s="1454"/>
      <c r="CA108" s="1454"/>
      <c r="CB108" s="1454"/>
      <c r="CC108" s="1454"/>
      <c r="CD108" s="1454"/>
    </row>
    <row r="109" spans="21:87" ht="15.75">
      <c r="U109" s="1251"/>
      <c r="V109" s="1251"/>
      <c r="W109" s="1251"/>
      <c r="X109" s="1251"/>
      <c r="Y109" s="140"/>
      <c r="Z109" s="1091"/>
      <c r="AA109" s="1091"/>
      <c r="AB109" s="1091"/>
      <c r="AC109" s="1091"/>
      <c r="AD109" s="1091"/>
      <c r="AE109" s="1091"/>
      <c r="AF109" s="1091"/>
      <c r="AG109" s="1091"/>
      <c r="AH109" s="1091"/>
      <c r="AI109" s="1091"/>
      <c r="AJ109" s="1091"/>
      <c r="AK109" s="1091"/>
      <c r="AL109" s="1091"/>
      <c r="AM109" s="1091"/>
      <c r="AN109" s="1091"/>
      <c r="AO109" s="1091"/>
      <c r="AP109" s="1091"/>
      <c r="AQ109" s="1091"/>
      <c r="AR109" s="1091"/>
      <c r="AS109" s="1091"/>
      <c r="AT109" s="1091"/>
      <c r="AU109" s="1091"/>
      <c r="AV109" s="1091"/>
      <c r="AW109" s="1091"/>
      <c r="AX109" s="1091"/>
      <c r="AY109" s="1091"/>
      <c r="AZ109" s="1091"/>
      <c r="BA109" s="1091"/>
      <c r="BB109" s="1091"/>
      <c r="BC109" s="1091"/>
      <c r="BD109" s="1091"/>
      <c r="BE109" s="1091"/>
      <c r="BF109" s="1091"/>
      <c r="BG109" s="1091"/>
      <c r="BH109" s="1091"/>
      <c r="BI109" s="1091"/>
      <c r="BJ109" s="1091"/>
      <c r="BK109" s="1091"/>
      <c r="BL109" s="1091"/>
      <c r="BM109" s="1091"/>
      <c r="BN109" s="1091"/>
      <c r="BO109" s="1091"/>
      <c r="BP109" s="1091"/>
      <c r="BQ109" s="1091"/>
      <c r="BR109" s="1091"/>
      <c r="BS109" s="1091"/>
      <c r="BT109" s="1091"/>
      <c r="BU109" s="1091"/>
      <c r="BV109" s="1091"/>
      <c r="BW109" s="1091"/>
      <c r="BX109" s="1091"/>
      <c r="BY109" s="1091"/>
      <c r="BZ109" s="1091"/>
      <c r="CA109" s="1091"/>
      <c r="CB109" s="1091"/>
      <c r="CC109" s="1091"/>
      <c r="CD109" s="1091"/>
    </row>
    <row r="110" spans="21:87" ht="15.75">
      <c r="U110" s="1251"/>
      <c r="V110" s="1251"/>
      <c r="W110" s="1251"/>
      <c r="X110" s="1251"/>
      <c r="Y110" s="168"/>
      <c r="Z110" s="1279"/>
      <c r="AA110" s="1279"/>
      <c r="AB110" s="1279"/>
      <c r="AC110" s="1279"/>
      <c r="AD110" s="1279"/>
      <c r="AE110" s="1279"/>
      <c r="AF110" s="1279"/>
      <c r="AG110" s="1279"/>
      <c r="AH110" s="1279"/>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95"/>
      <c r="BD110" s="1279"/>
      <c r="BE110" s="1279"/>
      <c r="BF110" s="1279"/>
      <c r="BG110" s="1279"/>
      <c r="BH110" s="1279"/>
      <c r="BI110" s="1279"/>
      <c r="BJ110" s="1279"/>
      <c r="BK110" s="1279"/>
      <c r="BL110" s="1279"/>
      <c r="BM110" s="1279"/>
      <c r="BN110" s="1279"/>
      <c r="BO110" s="1279"/>
      <c r="BP110" s="1279"/>
      <c r="BQ110" s="1279"/>
      <c r="BR110" s="1279"/>
      <c r="BS110" s="1279"/>
      <c r="BT110" s="1454"/>
      <c r="BU110" s="1279"/>
      <c r="BV110" s="1279"/>
      <c r="BW110" s="1279"/>
      <c r="BX110" s="1279"/>
      <c r="BY110" s="1454"/>
      <c r="BZ110" s="1454"/>
      <c r="CA110" s="1454"/>
      <c r="CB110" s="1454"/>
      <c r="CC110" s="1454"/>
      <c r="CD110" s="1454"/>
    </row>
    <row r="111" spans="21:87" ht="15.75">
      <c r="Y111" s="140"/>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c r="AZ111" s="1279"/>
      <c r="BA111" s="1279"/>
      <c r="BB111" s="1279"/>
      <c r="BC111" s="1295"/>
      <c r="BD111" s="1279"/>
      <c r="BE111" s="1279"/>
      <c r="BF111" s="1279"/>
      <c r="BG111" s="1279"/>
      <c r="BH111" s="1279"/>
      <c r="BI111" s="1279"/>
      <c r="BJ111" s="1279"/>
      <c r="BK111" s="1279"/>
      <c r="BL111" s="1279"/>
      <c r="BM111" s="1279"/>
      <c r="BN111" s="1279"/>
      <c r="BO111" s="1279"/>
      <c r="BP111" s="1279"/>
      <c r="BQ111" s="1279"/>
      <c r="BR111" s="1279"/>
      <c r="BS111" s="1279"/>
      <c r="BT111" s="1454"/>
      <c r="BU111" s="1279"/>
      <c r="BV111" s="1279"/>
      <c r="BW111" s="1279"/>
      <c r="BX111" s="1279"/>
      <c r="BY111" s="1454"/>
      <c r="BZ111" s="1454"/>
      <c r="CA111" s="1454"/>
      <c r="CB111" s="1454"/>
      <c r="CC111" s="1454"/>
      <c r="CD111" s="1454"/>
    </row>
    <row r="112" spans="21:87" ht="15.75">
      <c r="Y112" s="140"/>
      <c r="Z112" s="1279"/>
      <c r="AA112" s="1279"/>
      <c r="AB112" s="1279"/>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95"/>
      <c r="BD112" s="1279"/>
      <c r="BE112" s="1279"/>
      <c r="BF112" s="1279"/>
      <c r="BG112" s="1279"/>
      <c r="BH112" s="1279"/>
      <c r="BI112" s="1279"/>
      <c r="BJ112" s="1279"/>
      <c r="BK112" s="1279"/>
      <c r="BL112" s="1279"/>
      <c r="BM112" s="1279"/>
      <c r="BN112" s="1279"/>
      <c r="BO112" s="1279"/>
      <c r="BP112" s="1279"/>
      <c r="BQ112" s="1279"/>
      <c r="BR112" s="1279"/>
      <c r="BS112" s="1279"/>
      <c r="BT112" s="1454"/>
      <c r="BU112" s="1279"/>
      <c r="BV112" s="1279"/>
      <c r="BW112" s="1279"/>
      <c r="BX112" s="1279"/>
      <c r="BY112" s="1454"/>
      <c r="BZ112" s="1454"/>
      <c r="CA112" s="1454"/>
      <c r="CB112" s="1454"/>
      <c r="CC112" s="1454"/>
      <c r="CD112" s="1454"/>
    </row>
    <row r="113" spans="25:82" ht="15.75">
      <c r="Y113" s="140"/>
      <c r="Z113" s="1279"/>
      <c r="AA113" s="1279"/>
      <c r="AB113" s="1279"/>
      <c r="AC113" s="1279"/>
      <c r="AD113" s="1279"/>
      <c r="AE113" s="1279"/>
      <c r="AF113" s="1279"/>
      <c r="AG113" s="1279"/>
      <c r="AH113" s="1279"/>
      <c r="AI113" s="1279"/>
      <c r="AJ113" s="1279"/>
      <c r="AK113" s="1279"/>
      <c r="AL113" s="1279"/>
      <c r="AM113" s="1279"/>
      <c r="AN113" s="1279"/>
      <c r="AO113" s="1279"/>
      <c r="AP113" s="1279"/>
      <c r="AQ113" s="1279"/>
      <c r="AR113" s="1279"/>
      <c r="AS113" s="1279"/>
      <c r="AT113" s="1279"/>
      <c r="AU113" s="1279"/>
      <c r="AV113" s="1279"/>
      <c r="AW113" s="1279"/>
      <c r="AX113" s="1279"/>
      <c r="AY113" s="1279"/>
      <c r="AZ113" s="1279"/>
      <c r="BA113" s="1279"/>
      <c r="BB113" s="1279"/>
      <c r="BC113" s="1295"/>
      <c r="BD113" s="1279"/>
      <c r="BE113" s="1279"/>
      <c r="BF113" s="1279"/>
      <c r="BG113" s="1279"/>
      <c r="BH113" s="1279"/>
      <c r="BI113" s="1279"/>
      <c r="BJ113" s="1279"/>
      <c r="BK113" s="1279"/>
      <c r="BL113" s="1279"/>
      <c r="BM113" s="1279"/>
      <c r="BN113" s="1279"/>
      <c r="BO113" s="1279"/>
      <c r="BP113" s="1279"/>
      <c r="BQ113" s="1279"/>
      <c r="BR113" s="1279"/>
      <c r="BS113" s="1279"/>
      <c r="BT113" s="1454"/>
      <c r="BU113" s="1279"/>
      <c r="BV113" s="1279"/>
      <c r="BW113" s="1279"/>
      <c r="BX113" s="1279"/>
      <c r="BY113" s="1454"/>
      <c r="BZ113" s="1454"/>
      <c r="CA113" s="1454"/>
      <c r="CB113" s="1454"/>
      <c r="CC113" s="1454"/>
      <c r="CD113" s="1454"/>
    </row>
    <row r="114" spans="25:82" ht="15.75">
      <c r="Y114" s="140"/>
      <c r="Z114" s="1279"/>
      <c r="AA114" s="1279"/>
      <c r="AB114" s="1279"/>
      <c r="AC114" s="1279"/>
      <c r="AD114" s="1279"/>
      <c r="AE114" s="1279"/>
      <c r="AF114" s="1279"/>
      <c r="AG114" s="1279"/>
      <c r="AH114" s="1279"/>
      <c r="AI114" s="1279"/>
      <c r="AJ114" s="1279"/>
      <c r="AK114" s="1279"/>
      <c r="AL114" s="1279"/>
      <c r="AM114" s="1279"/>
      <c r="AN114" s="1279"/>
      <c r="AO114" s="1279"/>
      <c r="AP114" s="1279"/>
      <c r="AQ114" s="1279"/>
      <c r="AR114" s="1279"/>
      <c r="AS114" s="1279"/>
      <c r="AT114" s="1279"/>
      <c r="AU114" s="1279"/>
      <c r="AV114" s="1279"/>
      <c r="AW114" s="1279"/>
      <c r="AX114" s="1279"/>
      <c r="AY114" s="1279"/>
      <c r="AZ114" s="1279"/>
      <c r="BA114" s="1279"/>
      <c r="BB114" s="1279"/>
      <c r="BC114" s="1295"/>
      <c r="BD114" s="1279"/>
      <c r="BE114" s="1279"/>
      <c r="BF114" s="1279"/>
      <c r="BG114" s="1279"/>
      <c r="BH114" s="1279"/>
      <c r="BI114" s="1279"/>
      <c r="BJ114" s="1279"/>
      <c r="BK114" s="1279"/>
      <c r="BL114" s="1279"/>
      <c r="BM114" s="1279"/>
      <c r="BN114" s="1279"/>
      <c r="BO114" s="1279"/>
      <c r="BP114" s="1279"/>
      <c r="BQ114" s="1279"/>
      <c r="BR114" s="1279"/>
      <c r="BS114" s="1279"/>
      <c r="BT114" s="1454"/>
      <c r="BU114" s="1279"/>
      <c r="BV114" s="1279"/>
      <c r="BW114" s="1279"/>
      <c r="BX114" s="1279"/>
      <c r="BY114" s="1454"/>
      <c r="BZ114" s="1454"/>
      <c r="CA114" s="1454"/>
      <c r="CB114" s="1454"/>
      <c r="CC114" s="1454"/>
      <c r="CD114" s="1454"/>
    </row>
    <row r="115" spans="25:82" ht="15.75">
      <c r="Y115" s="140"/>
      <c r="Z115" s="1279"/>
      <c r="AA115" s="1279"/>
      <c r="AB115" s="1279"/>
      <c r="AC115" s="1279"/>
      <c r="AD115" s="1279"/>
      <c r="AE115" s="1279"/>
      <c r="AF115" s="1279"/>
      <c r="AG115" s="1279"/>
      <c r="AH115" s="1279"/>
      <c r="AI115" s="1279"/>
      <c r="AJ115" s="1279"/>
      <c r="AK115" s="1279"/>
      <c r="AL115" s="1279"/>
      <c r="AM115" s="1279"/>
      <c r="AN115" s="1279"/>
      <c r="AO115" s="1279"/>
      <c r="AP115" s="1279"/>
      <c r="AQ115" s="1279"/>
      <c r="AR115" s="1279"/>
      <c r="AS115" s="1279"/>
      <c r="AT115" s="1279"/>
      <c r="AU115" s="1279"/>
      <c r="AV115" s="1279"/>
      <c r="AW115" s="1279"/>
      <c r="AX115" s="1279"/>
      <c r="AY115" s="1279"/>
      <c r="AZ115" s="1279"/>
      <c r="BA115" s="1279"/>
      <c r="BB115" s="1279"/>
      <c r="BC115" s="1295"/>
      <c r="BD115" s="1279"/>
      <c r="BE115" s="1279"/>
      <c r="BF115" s="1279"/>
      <c r="BG115" s="1279"/>
      <c r="BH115" s="1279"/>
      <c r="BI115" s="1279"/>
      <c r="BJ115" s="1279"/>
      <c r="BK115" s="1279"/>
      <c r="BL115" s="1279"/>
      <c r="BM115" s="1279"/>
      <c r="BN115" s="1279"/>
      <c r="BO115" s="1279"/>
      <c r="BP115" s="1279"/>
      <c r="BQ115" s="1279"/>
      <c r="BR115" s="1279"/>
      <c r="BS115" s="1279"/>
      <c r="BT115" s="1454"/>
      <c r="BU115" s="1279"/>
      <c r="BV115" s="1279"/>
      <c r="BW115" s="1279"/>
      <c r="BX115" s="1279"/>
      <c r="BY115" s="1454"/>
      <c r="BZ115" s="1454"/>
      <c r="CA115" s="1454"/>
      <c r="CB115" s="1454"/>
      <c r="CC115" s="1454"/>
      <c r="CD115" s="1454"/>
    </row>
    <row r="116" spans="25:82" ht="15.75">
      <c r="Y116" s="140"/>
      <c r="Z116" s="1279"/>
      <c r="AA116" s="1279"/>
      <c r="AB116" s="1279"/>
      <c r="AC116" s="1279"/>
      <c r="AD116" s="1279"/>
      <c r="AE116" s="1279"/>
      <c r="AF116" s="1279"/>
      <c r="AG116" s="1279"/>
      <c r="AH116" s="1279"/>
      <c r="AI116" s="1279"/>
      <c r="AJ116" s="1279"/>
      <c r="AK116" s="1279"/>
      <c r="AL116" s="1279"/>
      <c r="AM116" s="1279"/>
      <c r="AN116" s="1279"/>
      <c r="AO116" s="1279"/>
      <c r="AP116" s="1279"/>
      <c r="AQ116" s="1279"/>
      <c r="AR116" s="1279"/>
      <c r="AS116" s="1279"/>
      <c r="AT116" s="1279"/>
      <c r="AU116" s="1279"/>
      <c r="AV116" s="1279"/>
      <c r="AW116" s="1279"/>
      <c r="AX116" s="1279"/>
      <c r="AY116" s="1279"/>
      <c r="AZ116" s="1279"/>
      <c r="BA116" s="1279"/>
      <c r="BB116" s="1279"/>
      <c r="BC116" s="1295"/>
      <c r="BD116" s="1279"/>
      <c r="BE116" s="1279"/>
      <c r="BF116" s="1279"/>
      <c r="BG116" s="1279"/>
      <c r="BH116" s="1279"/>
      <c r="BI116" s="1279"/>
      <c r="BJ116" s="1279"/>
      <c r="BK116" s="1279"/>
      <c r="BL116" s="1279"/>
      <c r="BM116" s="1279"/>
      <c r="BN116" s="1279"/>
      <c r="BO116" s="1279"/>
      <c r="BP116" s="1279"/>
      <c r="BQ116" s="1279"/>
      <c r="BR116" s="1279"/>
      <c r="BS116" s="1279"/>
      <c r="BT116" s="1454"/>
      <c r="BU116" s="1279"/>
      <c r="BV116" s="1279"/>
      <c r="BW116" s="1279"/>
      <c r="BX116" s="1279"/>
      <c r="BY116" s="1454"/>
      <c r="BZ116" s="1454"/>
      <c r="CA116" s="1454"/>
      <c r="CB116" s="1454"/>
      <c r="CC116" s="1454"/>
      <c r="CD116" s="1454"/>
    </row>
    <row r="117" spans="25:82" ht="15.75">
      <c r="Y117" s="140"/>
      <c r="Z117" s="1279"/>
      <c r="AA117" s="1279"/>
      <c r="AB117" s="1279"/>
      <c r="AC117" s="1279"/>
      <c r="AD117" s="1279"/>
      <c r="AE117" s="1279"/>
      <c r="AF117" s="1279"/>
      <c r="AG117" s="1279"/>
      <c r="AH117" s="1279"/>
      <c r="AI117" s="1279"/>
      <c r="AJ117" s="1279"/>
      <c r="AK117" s="1279"/>
      <c r="AL117" s="1279"/>
      <c r="AM117" s="1279"/>
      <c r="AN117" s="1279"/>
      <c r="AO117" s="1279"/>
      <c r="AP117" s="1279"/>
      <c r="AQ117" s="1279"/>
      <c r="AR117" s="1279"/>
      <c r="AS117" s="1279"/>
      <c r="AT117" s="1279"/>
      <c r="AU117" s="1279"/>
      <c r="AV117" s="1279"/>
      <c r="AW117" s="1279"/>
      <c r="AX117" s="1279"/>
      <c r="AY117" s="1279"/>
      <c r="AZ117" s="1279"/>
      <c r="BA117" s="1279"/>
      <c r="BB117" s="1279"/>
      <c r="BC117" s="1295"/>
      <c r="BD117" s="1279"/>
      <c r="BE117" s="1279"/>
      <c r="BF117" s="1279"/>
      <c r="BG117" s="1279"/>
      <c r="BH117" s="1279"/>
      <c r="BI117" s="1279"/>
      <c r="BJ117" s="1279"/>
      <c r="BK117" s="1279"/>
      <c r="BL117" s="1279"/>
      <c r="BM117" s="1279"/>
      <c r="BN117" s="1279"/>
      <c r="BO117" s="1279"/>
      <c r="BP117" s="1279"/>
      <c r="BQ117" s="1279"/>
      <c r="BR117" s="1279"/>
      <c r="BS117" s="1279"/>
      <c r="BT117" s="1454"/>
      <c r="BU117" s="1279"/>
      <c r="BV117" s="1279"/>
      <c r="BW117" s="1279"/>
      <c r="BX117" s="1279"/>
      <c r="BY117" s="1454"/>
      <c r="BZ117" s="1454"/>
      <c r="CA117" s="1454"/>
      <c r="CB117" s="1454"/>
      <c r="CC117" s="1454"/>
      <c r="CD117" s="1454"/>
    </row>
    <row r="118" spans="25:82" ht="15.75">
      <c r="Y118" s="168"/>
      <c r="Z118" s="1279"/>
      <c r="AA118" s="1279"/>
      <c r="AB118" s="1279"/>
      <c r="AC118" s="1279"/>
      <c r="AD118" s="1279"/>
      <c r="AE118" s="1279"/>
      <c r="AF118" s="1279"/>
      <c r="AG118" s="1279"/>
      <c r="AH118" s="1279"/>
      <c r="AI118" s="1279"/>
      <c r="AJ118" s="1279"/>
      <c r="AK118" s="1279"/>
      <c r="AL118" s="1279"/>
      <c r="AM118" s="1279"/>
      <c r="AN118" s="1279"/>
      <c r="AO118" s="1279"/>
      <c r="AP118" s="1279"/>
      <c r="AQ118" s="1279"/>
      <c r="AR118" s="1279"/>
      <c r="AS118" s="1279"/>
      <c r="AT118" s="1279"/>
      <c r="AU118" s="1279"/>
      <c r="AV118" s="1279"/>
      <c r="AW118" s="1279"/>
      <c r="AX118" s="1279"/>
      <c r="AY118" s="1279"/>
      <c r="AZ118" s="1279"/>
      <c r="BA118" s="1279"/>
      <c r="BB118" s="1279"/>
      <c r="BC118" s="1295"/>
      <c r="BD118" s="1279"/>
      <c r="BE118" s="1279"/>
      <c r="BF118" s="1279"/>
      <c r="BG118" s="1279"/>
      <c r="BH118" s="1279"/>
      <c r="BI118" s="1279"/>
      <c r="BJ118" s="1279"/>
      <c r="BK118" s="1279"/>
      <c r="BL118" s="1279"/>
      <c r="BM118" s="1279"/>
      <c r="BN118" s="1279"/>
      <c r="BO118" s="1279"/>
      <c r="BP118" s="1279"/>
      <c r="BQ118" s="1279"/>
      <c r="BR118" s="1279"/>
      <c r="BS118" s="1279"/>
      <c r="BT118" s="1454"/>
      <c r="BU118" s="1279"/>
      <c r="BV118" s="1279"/>
      <c r="BW118" s="1279"/>
      <c r="BX118" s="1279"/>
      <c r="BY118" s="1454"/>
      <c r="BZ118" s="1454"/>
      <c r="CA118" s="1454"/>
      <c r="CB118" s="1454"/>
      <c r="CC118" s="1454"/>
      <c r="CD118" s="1454"/>
    </row>
    <row r="119" spans="25:82" ht="15.75">
      <c r="Y119" s="168"/>
      <c r="Z119" s="1279"/>
      <c r="AA119" s="1279"/>
      <c r="AB119" s="1279"/>
      <c r="AC119" s="1279"/>
      <c r="AD119" s="1279"/>
      <c r="AE119" s="1279"/>
      <c r="AF119" s="1279"/>
      <c r="AG119" s="1279"/>
      <c r="AH119" s="1279"/>
      <c r="AI119" s="1279"/>
      <c r="AJ119" s="1279"/>
      <c r="AK119" s="1279"/>
      <c r="AL119" s="1279"/>
      <c r="AM119" s="1279"/>
      <c r="AN119" s="1279"/>
      <c r="AO119" s="1279"/>
      <c r="AP119" s="1279"/>
      <c r="AQ119" s="1279"/>
      <c r="AR119" s="1279"/>
      <c r="AS119" s="1279"/>
      <c r="AT119" s="1279"/>
      <c r="AU119" s="1279"/>
      <c r="AV119" s="1279"/>
      <c r="AW119" s="1279"/>
      <c r="AX119" s="1279"/>
      <c r="AY119" s="1279"/>
      <c r="AZ119" s="1279"/>
      <c r="BA119" s="1279"/>
      <c r="BB119" s="1279"/>
      <c r="BC119" s="1295"/>
      <c r="BD119" s="1279"/>
      <c r="BE119" s="1279"/>
      <c r="BF119" s="1279"/>
      <c r="BG119" s="1279"/>
      <c r="BH119" s="1279"/>
      <c r="BI119" s="1279"/>
      <c r="BJ119" s="1279"/>
      <c r="BK119" s="1279"/>
      <c r="BL119" s="1279"/>
      <c r="BM119" s="1279"/>
      <c r="BN119" s="1279"/>
      <c r="BO119" s="1279"/>
      <c r="BP119" s="1279"/>
      <c r="BQ119" s="1279"/>
      <c r="BR119" s="1279"/>
      <c r="BS119" s="1279"/>
      <c r="BT119" s="1454"/>
      <c r="BU119" s="1279"/>
      <c r="BV119" s="1279"/>
      <c r="BW119" s="1279"/>
      <c r="BX119" s="1279"/>
      <c r="BY119" s="1454"/>
      <c r="BZ119" s="1454"/>
      <c r="CA119" s="1454"/>
      <c r="CB119" s="1454"/>
      <c r="CC119" s="1454"/>
      <c r="CD119" s="1454"/>
    </row>
    <row r="120" spans="25:82" ht="15.75">
      <c r="Y120" s="168"/>
      <c r="Z120" s="1279"/>
      <c r="AA120" s="1279"/>
      <c r="AB120" s="1279"/>
      <c r="AC120" s="1279"/>
      <c r="AD120" s="1279"/>
      <c r="AE120" s="1279"/>
      <c r="AF120" s="1279"/>
      <c r="AG120" s="1279"/>
      <c r="AH120" s="1279"/>
      <c r="AI120" s="1279"/>
      <c r="AJ120" s="1279"/>
      <c r="AK120" s="1279"/>
      <c r="AL120" s="1279"/>
      <c r="AM120" s="1279"/>
      <c r="AN120" s="1279"/>
      <c r="AO120" s="1279"/>
      <c r="AP120" s="1279"/>
      <c r="AQ120" s="1279"/>
      <c r="AR120" s="1279"/>
      <c r="AS120" s="1279"/>
      <c r="AT120" s="1279"/>
      <c r="AU120" s="1279"/>
      <c r="AV120" s="1279"/>
      <c r="AW120" s="1279"/>
      <c r="AX120" s="1279"/>
      <c r="AY120" s="1279"/>
      <c r="AZ120" s="1279"/>
      <c r="BA120" s="1279"/>
      <c r="BB120" s="1279"/>
      <c r="BC120" s="1295"/>
      <c r="BD120" s="1279"/>
      <c r="BE120" s="1279"/>
      <c r="BF120" s="1279"/>
      <c r="BG120" s="1279"/>
      <c r="BH120" s="1279"/>
      <c r="BI120" s="1279"/>
      <c r="BJ120" s="1279"/>
      <c r="BK120" s="1279"/>
      <c r="BL120" s="1279"/>
      <c r="BM120" s="1279"/>
      <c r="BN120" s="1279"/>
      <c r="BO120" s="1279"/>
      <c r="BP120" s="1279"/>
      <c r="BQ120" s="1279"/>
      <c r="BR120" s="1279"/>
      <c r="BS120" s="1279"/>
      <c r="BT120" s="1454"/>
      <c r="BU120" s="1279"/>
      <c r="BV120" s="1279"/>
      <c r="BW120" s="1279"/>
      <c r="BX120" s="1279"/>
      <c r="BY120" s="1454"/>
      <c r="BZ120" s="1454"/>
      <c r="CA120" s="1454"/>
      <c r="CB120" s="1454"/>
      <c r="CC120" s="1454"/>
      <c r="CD120" s="1454"/>
    </row>
    <row r="121" spans="25:82" ht="15.75">
      <c r="Y121" s="168"/>
      <c r="Z121" s="1279"/>
      <c r="AA121" s="1279"/>
      <c r="AB121" s="1279"/>
      <c r="AC121" s="1279"/>
      <c r="AD121" s="1279"/>
      <c r="AE121" s="1279"/>
      <c r="AF121" s="1279"/>
      <c r="AG121" s="1279"/>
      <c r="AH121" s="1279"/>
      <c r="AI121" s="1279"/>
      <c r="AJ121" s="1279"/>
      <c r="AK121" s="1279"/>
      <c r="AL121" s="1279"/>
      <c r="AM121" s="1279"/>
      <c r="AN121" s="1279"/>
      <c r="AO121" s="1279"/>
      <c r="AP121" s="1279"/>
      <c r="AQ121" s="1279"/>
      <c r="AR121" s="1279"/>
      <c r="AS121" s="1279"/>
      <c r="AT121" s="1279"/>
      <c r="AU121" s="1279"/>
      <c r="AV121" s="1279"/>
      <c r="AW121" s="1279"/>
      <c r="AX121" s="1279"/>
      <c r="AY121" s="1279"/>
      <c r="AZ121" s="1279"/>
      <c r="BA121" s="1279"/>
      <c r="BB121" s="1279"/>
      <c r="BC121" s="1295"/>
      <c r="BD121" s="1279"/>
      <c r="BE121" s="1279"/>
      <c r="BF121" s="1279"/>
      <c r="BG121" s="1279"/>
      <c r="BH121" s="1279"/>
      <c r="BI121" s="1279"/>
      <c r="BJ121" s="1279"/>
      <c r="BK121" s="1279"/>
      <c r="BL121" s="1279"/>
      <c r="BM121" s="1279"/>
      <c r="BN121" s="1279"/>
      <c r="BO121" s="1279"/>
      <c r="BP121" s="1279"/>
      <c r="BQ121" s="1279"/>
      <c r="BR121" s="1279"/>
      <c r="BS121" s="1279"/>
      <c r="BT121" s="1454"/>
      <c r="BU121" s="1279"/>
      <c r="BV121" s="1279"/>
      <c r="BW121" s="1279"/>
      <c r="BX121" s="1279"/>
      <c r="BY121" s="1454"/>
      <c r="BZ121" s="1454"/>
      <c r="CA121" s="1454"/>
      <c r="CB121" s="1454"/>
      <c r="CC121" s="1454"/>
      <c r="CD121" s="1454"/>
    </row>
    <row r="122" spans="25:82" ht="15.75">
      <c r="Y122" s="168"/>
      <c r="Z122" s="1279"/>
      <c r="AA122" s="1279"/>
      <c r="AB122" s="1279"/>
      <c r="AC122" s="1279"/>
      <c r="AD122" s="1279"/>
      <c r="AE122" s="1279"/>
      <c r="AF122" s="1279"/>
      <c r="AG122" s="1279"/>
      <c r="AH122" s="1279"/>
      <c r="AI122" s="1279"/>
      <c r="AJ122" s="1279"/>
      <c r="AK122" s="1279"/>
      <c r="AL122" s="1279"/>
      <c r="AM122" s="1279"/>
      <c r="AN122" s="1279"/>
      <c r="AO122" s="1279"/>
      <c r="AP122" s="1279"/>
      <c r="AQ122" s="1279"/>
      <c r="AR122" s="1279"/>
      <c r="AS122" s="1279"/>
      <c r="AT122" s="1279"/>
      <c r="AU122" s="1279"/>
      <c r="AV122" s="1279"/>
      <c r="AW122" s="1279"/>
      <c r="AX122" s="1279"/>
      <c r="AY122" s="1279"/>
      <c r="AZ122" s="1279"/>
      <c r="BA122" s="1279"/>
      <c r="BB122" s="1279"/>
      <c r="BC122" s="1295"/>
      <c r="BD122" s="1279"/>
      <c r="BE122" s="1279"/>
      <c r="BF122" s="1279"/>
      <c r="BG122" s="1279"/>
      <c r="BH122" s="1279"/>
      <c r="BI122" s="1279"/>
      <c r="BJ122" s="1279"/>
      <c r="BK122" s="1279"/>
      <c r="BL122" s="1279"/>
      <c r="BM122" s="1279"/>
      <c r="BN122" s="1279"/>
      <c r="BO122" s="1279"/>
      <c r="BP122" s="1279"/>
      <c r="BQ122" s="1279"/>
      <c r="BR122" s="1279"/>
      <c r="BS122" s="1279"/>
      <c r="BT122" s="1454"/>
      <c r="BU122" s="1279"/>
      <c r="BV122" s="1279"/>
      <c r="BW122" s="1279"/>
      <c r="BX122" s="1279"/>
      <c r="BY122" s="1454"/>
      <c r="BZ122" s="1454"/>
      <c r="CA122" s="1454"/>
      <c r="CB122" s="1454"/>
      <c r="CC122" s="1454"/>
      <c r="CD122" s="1454"/>
    </row>
  </sheetData>
  <sheetProtection sheet="1" formatCells="0" formatColumns="0" formatRows="0" selectLockedCells="1"/>
  <mergeCells count="43">
    <mergeCell ref="BY5:CD5"/>
    <mergeCell ref="CE5:CJ5"/>
    <mergeCell ref="A51:B54"/>
    <mergeCell ref="C51:R53"/>
    <mergeCell ref="C54:R54"/>
    <mergeCell ref="T6:T7"/>
    <mergeCell ref="BD5:BH6"/>
    <mergeCell ref="BJ5:BN6"/>
    <mergeCell ref="BQ5:BR5"/>
    <mergeCell ref="BS5:BX5"/>
    <mergeCell ref="A47:B49"/>
    <mergeCell ref="C47:R49"/>
    <mergeCell ref="D6:F6"/>
    <mergeCell ref="G6:I6"/>
    <mergeCell ref="J6:J7"/>
    <mergeCell ref="A6:A7"/>
    <mergeCell ref="B6:B7"/>
    <mergeCell ref="C6:C7"/>
    <mergeCell ref="T4:BB4"/>
    <mergeCell ref="K6:K7"/>
    <mergeCell ref="L6:L7"/>
    <mergeCell ref="H1:I1"/>
    <mergeCell ref="H2:I2"/>
    <mergeCell ref="A4:R4"/>
    <mergeCell ref="A5:R5"/>
    <mergeCell ref="T5:BB5"/>
    <mergeCell ref="A1:B3"/>
    <mergeCell ref="T1:U3"/>
    <mergeCell ref="O1:P3"/>
    <mergeCell ref="BD1:BN4"/>
    <mergeCell ref="X61:Y61"/>
    <mergeCell ref="M6:M7"/>
    <mergeCell ref="N6:N7"/>
    <mergeCell ref="O6:P6"/>
    <mergeCell ref="U6:Z6"/>
    <mergeCell ref="P44:P45"/>
    <mergeCell ref="R44:R45"/>
    <mergeCell ref="Q6:R6"/>
    <mergeCell ref="V1:BB3"/>
    <mergeCell ref="AI6:AN6"/>
    <mergeCell ref="AP6:AU6"/>
    <mergeCell ref="AW6:BB6"/>
    <mergeCell ref="AB6:AG6"/>
  </mergeCells>
  <dataValidations count="2">
    <dataValidation type="list" allowBlank="1" sqref="L8:L42">
      <formula1>CM$6:CM$10</formula1>
    </dataValidation>
    <dataValidation type="list" allowBlank="1" sqref="J8:J42">
      <formula1>CM$17:CM$20</formula1>
    </dataValidation>
  </dataValidations>
  <pageMargins left="0.7" right="0.7" top="0.75" bottom="0.75" header="0.3" footer="0.3"/>
  <pageSetup paperSize="9" scale="49" fitToHeight="0" orientation="landscape" r:id="rId1"/>
  <colBreaks count="3" manualBreakCount="3">
    <brk id="18" max="31" man="1"/>
    <brk id="54" max="31" man="1"/>
    <brk id="67" max="3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AC8:AC42 V8:V42 AJ8:AJ42 AQ8:AQ42 AX8:AX42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X127"/>
  <sheetViews>
    <sheetView zoomScale="90" zoomScaleNormal="90" zoomScalePageLayoutView="60" workbookViewId="0">
      <selection activeCell="C8" sqref="C8"/>
    </sheetView>
  </sheetViews>
  <sheetFormatPr baseColWidth="10" defaultRowHeight="15"/>
  <cols>
    <col min="1" max="1" width="19.5703125" style="175" customWidth="1"/>
    <col min="2" max="2" width="12.5703125" style="1007" customWidth="1"/>
    <col min="3" max="3" width="42.7109375" style="1007" customWidth="1"/>
    <col min="4" max="4" width="10.42578125" style="175" customWidth="1"/>
    <col min="5" max="5" width="11" style="1007" customWidth="1"/>
    <col min="6" max="6" width="11.140625" style="1007" customWidth="1"/>
    <col min="7" max="7" width="8.42578125" style="1007" customWidth="1"/>
    <col min="8" max="8" width="10.140625" style="1007" customWidth="1"/>
    <col min="9" max="9" width="13.42578125" style="1007" customWidth="1"/>
    <col min="10" max="10" width="17.42578125" style="1007" customWidth="1"/>
    <col min="11" max="11" width="6.28515625" style="1007" customWidth="1"/>
    <col min="12" max="12" width="16.140625" style="1007" customWidth="1"/>
    <col min="13" max="13" width="10.85546875" style="175" customWidth="1"/>
    <col min="14" max="14" width="12.7109375" style="282" customWidth="1"/>
    <col min="15" max="15" width="10.85546875" style="1007" customWidth="1"/>
    <col min="16" max="16" width="11.7109375" style="1007" customWidth="1"/>
    <col min="17" max="17" width="2.5703125" style="1007" customWidth="1"/>
    <col min="18" max="18" width="15" style="1007" customWidth="1"/>
    <col min="19" max="19" width="11.42578125" style="1007" customWidth="1"/>
    <col min="20" max="20" width="9.5703125" style="1007" customWidth="1"/>
    <col min="21" max="21" width="13.140625" style="1007" customWidth="1"/>
    <col min="22" max="22" width="7.28515625" style="1016" customWidth="1"/>
    <col min="23" max="25" width="7.140625" style="1016" customWidth="1"/>
    <col min="26" max="26" width="1.28515625" style="1016" customWidth="1"/>
    <col min="27" max="27" width="9.42578125" style="1016" customWidth="1"/>
    <col min="28" max="28" width="13.140625" style="1016" customWidth="1"/>
    <col min="29" max="32" width="7.28515625" style="1016" customWidth="1"/>
    <col min="33" max="33" width="1.5703125" style="1016" customWidth="1"/>
    <col min="34" max="34" width="9.5703125" style="1016" customWidth="1"/>
    <col min="35" max="35" width="13.140625" style="1016" customWidth="1"/>
    <col min="36" max="36" width="7.28515625" style="1016" customWidth="1"/>
    <col min="37" max="39" width="7.140625" style="1016" customWidth="1"/>
    <col min="40" max="40" width="1.85546875" style="1016" customWidth="1"/>
    <col min="41" max="46" width="3" style="1016" customWidth="1"/>
    <col min="47" max="47" width="1.5703125" style="1016" customWidth="1"/>
    <col min="48" max="54" width="2.5703125" style="1016" customWidth="1"/>
    <col min="55" max="55" width="7.28515625" style="1089" customWidth="1"/>
    <col min="56" max="57" width="7.140625" style="1016" customWidth="1"/>
    <col min="58" max="58" width="9.140625" style="1082" customWidth="1"/>
    <col min="59" max="59" width="7.5703125" style="1016" customWidth="1"/>
    <col min="60" max="60" width="2.140625" style="1016" customWidth="1"/>
    <col min="61" max="61" width="7.28515625" style="1089" customWidth="1"/>
    <col min="62" max="63" width="7.140625" style="1016" customWidth="1"/>
    <col min="64" max="64" width="8.85546875" style="1089" customWidth="1"/>
    <col min="65" max="65" width="8" style="1016" customWidth="1"/>
    <col min="66" max="66" width="5.7109375" style="1007" customWidth="1"/>
    <col min="67" max="67" width="50.7109375" style="1007" customWidth="1"/>
    <col min="68" max="68" width="10" style="1007" customWidth="1"/>
    <col min="69" max="69" width="11.7109375" style="1007" customWidth="1"/>
    <col min="70" max="70" width="12" style="1007" customWidth="1"/>
    <col min="71" max="71" width="27.5703125" style="1007" customWidth="1"/>
    <col min="72" max="16384" width="11.42578125" style="1007"/>
  </cols>
  <sheetData>
    <row r="1" spans="1:76" ht="15.75" customHeight="1">
      <c r="A1" s="313"/>
      <c r="B1" s="506"/>
      <c r="C1" s="534" t="str">
        <f>'DüV-N-Ackerbau'!C1</f>
        <v>Karl vom Land</v>
      </c>
      <c r="D1" s="534"/>
      <c r="E1" s="534" t="str">
        <f>'DüV-N-Ackerbau'!F1</f>
        <v>Erntejahr</v>
      </c>
      <c r="F1" s="507"/>
      <c r="G1" s="1145"/>
      <c r="H1" s="2447" t="s">
        <v>34</v>
      </c>
      <c r="I1" s="2448"/>
      <c r="J1" s="1145"/>
      <c r="K1" s="1145"/>
      <c r="L1" s="1145"/>
      <c r="M1" s="1145"/>
      <c r="N1" s="637"/>
      <c r="O1" s="1145"/>
      <c r="P1" s="1445"/>
      <c r="Q1" s="1444"/>
      <c r="R1" s="1005"/>
      <c r="S1" s="1005"/>
      <c r="T1" s="1005"/>
      <c r="U1" s="1005"/>
      <c r="V1" s="1017"/>
      <c r="W1" s="1017"/>
      <c r="X1" s="1017"/>
      <c r="Y1" s="1017"/>
      <c r="Z1" s="1017"/>
      <c r="AA1" s="1017"/>
      <c r="AB1" s="1017"/>
      <c r="AC1" s="1017"/>
      <c r="AD1" s="1017"/>
      <c r="AE1" s="1017"/>
      <c r="AF1" s="1017"/>
      <c r="AG1" s="1017"/>
      <c r="AH1" s="1017"/>
      <c r="AI1" s="1017"/>
      <c r="AJ1" s="1017"/>
      <c r="AK1" s="1017"/>
      <c r="AL1" s="1017"/>
      <c r="AM1" s="1017"/>
      <c r="AN1" s="1017"/>
      <c r="AO1" s="1017"/>
      <c r="AP1" s="1017"/>
      <c r="AQ1" s="1017"/>
      <c r="AR1" s="1017"/>
      <c r="AS1" s="1017"/>
      <c r="AT1" s="1017"/>
      <c r="AU1" s="1017"/>
      <c r="AV1" s="1017"/>
      <c r="AW1" s="1017"/>
      <c r="AX1" s="1017"/>
      <c r="AY1" s="1017"/>
      <c r="AZ1" s="1017"/>
      <c r="BA1" s="1017"/>
      <c r="BB1" s="1017"/>
      <c r="BC1" s="1121"/>
      <c r="BD1" s="1017"/>
      <c r="BE1" s="1017"/>
      <c r="BF1" s="1081"/>
      <c r="BG1" s="1017"/>
      <c r="BH1" s="1017"/>
      <c r="BI1" s="1121"/>
      <c r="BJ1" s="1017"/>
      <c r="BK1" s="1017"/>
      <c r="BL1" s="1088"/>
      <c r="BM1" s="1017"/>
      <c r="BN1" s="1005"/>
    </row>
    <row r="2" spans="1:76" ht="24.75" customHeight="1">
      <c r="A2" s="315"/>
      <c r="B2" s="114"/>
      <c r="C2" s="412" t="str">
        <f>'DüV-N-Ackerbau'!C2</f>
        <v>Höfen 1</v>
      </c>
      <c r="D2" s="114"/>
      <c r="E2" s="412">
        <f>'DüV-N-Ackerbau'!G1</f>
        <v>2022</v>
      </c>
      <c r="F2" s="114"/>
      <c r="G2" s="131"/>
      <c r="H2" s="2451" t="s">
        <v>36</v>
      </c>
      <c r="I2" s="2452"/>
      <c r="J2" s="1146"/>
      <c r="K2" s="1146"/>
      <c r="L2" s="1146"/>
      <c r="M2" s="1146"/>
      <c r="N2" s="634"/>
      <c r="O2" s="1146"/>
      <c r="P2" s="1444"/>
      <c r="Q2" s="1444"/>
      <c r="R2" s="1005"/>
      <c r="S2" s="1005"/>
      <c r="T2" s="1005"/>
      <c r="U2" s="1005"/>
      <c r="V2" s="1017"/>
      <c r="W2" s="1017"/>
      <c r="X2" s="1017"/>
      <c r="Y2" s="1017"/>
      <c r="Z2" s="1017"/>
      <c r="AA2" s="1017"/>
      <c r="AB2" s="1017"/>
      <c r="AC2" s="1017"/>
      <c r="AD2" s="1017"/>
      <c r="AE2" s="1017"/>
      <c r="AF2" s="1017"/>
      <c r="AG2" s="1017"/>
      <c r="AH2" s="1017"/>
      <c r="AI2" s="1017"/>
      <c r="AJ2" s="1017"/>
      <c r="AK2" s="1017"/>
      <c r="AL2" s="1017"/>
      <c r="AM2" s="1017"/>
      <c r="AN2" s="1017"/>
      <c r="AO2" s="1017"/>
      <c r="AP2" s="1017"/>
      <c r="AQ2" s="1017"/>
      <c r="AR2" s="1017"/>
      <c r="AS2" s="1017"/>
      <c r="AT2" s="1017"/>
      <c r="AU2" s="1017"/>
      <c r="AV2" s="1017"/>
      <c r="AW2" s="1017"/>
      <c r="AX2" s="1017"/>
      <c r="AY2" s="1017"/>
      <c r="AZ2" s="1017"/>
      <c r="BA2" s="1017"/>
      <c r="BB2" s="1017"/>
      <c r="BC2" s="2514" t="s">
        <v>1154</v>
      </c>
      <c r="BD2" s="2514"/>
      <c r="BE2" s="2514"/>
      <c r="BF2" s="2514"/>
      <c r="BG2" s="2514"/>
      <c r="BH2" s="2514"/>
      <c r="BI2" s="2514"/>
      <c r="BJ2" s="2514"/>
      <c r="BK2" s="2514"/>
      <c r="BL2" s="2514"/>
      <c r="BM2" s="2514"/>
      <c r="BN2" s="1121"/>
    </row>
    <row r="3" spans="1:76" ht="24.75" customHeight="1" thickBot="1">
      <c r="A3" s="1176"/>
      <c r="B3" s="1177"/>
      <c r="C3" s="1178" t="str">
        <f>'DüV-N-Ackerbau'!C3</f>
        <v>12345 Auf dem Feld</v>
      </c>
      <c r="D3" s="1177"/>
      <c r="E3" s="1177"/>
      <c r="F3" s="1177"/>
      <c r="G3" s="1147"/>
      <c r="H3" s="1147"/>
      <c r="I3" s="1147"/>
      <c r="J3" s="1147"/>
      <c r="K3" s="1147"/>
      <c r="L3" s="1148"/>
      <c r="M3" s="1179"/>
      <c r="N3" s="1179"/>
      <c r="O3" s="1179"/>
      <c r="P3" s="1179"/>
      <c r="Q3" s="1446"/>
      <c r="R3" s="1149"/>
      <c r="S3" s="1149"/>
      <c r="T3" s="1149"/>
      <c r="U3" s="1149"/>
      <c r="V3" s="1149"/>
      <c r="W3" s="1149"/>
      <c r="X3" s="1149"/>
      <c r="Y3" s="1149"/>
      <c r="Z3" s="1149"/>
      <c r="AA3" s="1149"/>
      <c r="AB3" s="1149"/>
      <c r="AC3" s="1149"/>
      <c r="AD3" s="1149"/>
      <c r="AE3" s="1149"/>
      <c r="AF3" s="1017"/>
      <c r="AG3" s="1017"/>
      <c r="AH3" s="1017"/>
      <c r="AI3" s="1017"/>
      <c r="AJ3" s="1017"/>
      <c r="AK3" s="1017"/>
      <c r="AL3" s="1017"/>
      <c r="AM3" s="1017"/>
      <c r="AN3" s="1017"/>
      <c r="AO3" s="1017"/>
      <c r="AP3" s="1017"/>
      <c r="AQ3" s="1017"/>
      <c r="AR3" s="1017"/>
      <c r="AS3" s="1017"/>
      <c r="AT3" s="1017"/>
      <c r="AU3" s="1017"/>
      <c r="AV3" s="1017"/>
      <c r="AW3" s="1017"/>
      <c r="AX3" s="1017"/>
      <c r="AY3" s="1017"/>
      <c r="AZ3" s="1017"/>
      <c r="BA3" s="1017"/>
      <c r="BB3" s="1017"/>
      <c r="BC3" s="2514"/>
      <c r="BD3" s="2514"/>
      <c r="BE3" s="2514"/>
      <c r="BF3" s="2514"/>
      <c r="BG3" s="2514"/>
      <c r="BH3" s="2514"/>
      <c r="BI3" s="2514"/>
      <c r="BJ3" s="2514"/>
      <c r="BK3" s="2514"/>
      <c r="BL3" s="2514"/>
      <c r="BM3" s="2514"/>
      <c r="BN3" s="1121"/>
    </row>
    <row r="4" spans="1:76" ht="34.5" customHeight="1" thickBot="1">
      <c r="A4" s="2716" t="s">
        <v>1210</v>
      </c>
      <c r="B4" s="2675"/>
      <c r="C4" s="2675"/>
      <c r="D4" s="2675"/>
      <c r="E4" s="2675"/>
      <c r="F4" s="2675"/>
      <c r="G4" s="2675"/>
      <c r="H4" s="2675"/>
      <c r="I4" s="2675"/>
      <c r="J4" s="2675"/>
      <c r="K4" s="2675"/>
      <c r="L4" s="2675"/>
      <c r="M4" s="2675"/>
      <c r="N4" s="2675"/>
      <c r="O4" s="2717"/>
      <c r="P4" s="2718"/>
      <c r="Q4" s="1005"/>
      <c r="R4" s="2725" t="s">
        <v>1150</v>
      </c>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7"/>
      <c r="BB4" s="1017"/>
      <c r="BC4" s="2514"/>
      <c r="BD4" s="2514"/>
      <c r="BE4" s="2514"/>
      <c r="BF4" s="2514"/>
      <c r="BG4" s="2514"/>
      <c r="BH4" s="2514"/>
      <c r="BI4" s="2514"/>
      <c r="BJ4" s="2514"/>
      <c r="BK4" s="2514"/>
      <c r="BL4" s="2514"/>
      <c r="BM4" s="2514"/>
      <c r="BN4" s="1121"/>
    </row>
    <row r="5" spans="1:76" ht="19.5" customHeight="1" thickBot="1">
      <c r="A5" s="2539" t="s">
        <v>1151</v>
      </c>
      <c r="B5" s="2672"/>
      <c r="C5" s="2672"/>
      <c r="D5" s="2672"/>
      <c r="E5" s="2672"/>
      <c r="F5" s="2672"/>
      <c r="G5" s="2672"/>
      <c r="H5" s="2672"/>
      <c r="I5" s="2672"/>
      <c r="J5" s="2672"/>
      <c r="K5" s="2672"/>
      <c r="L5" s="2672"/>
      <c r="M5" s="2672"/>
      <c r="N5" s="2672"/>
      <c r="O5" s="2672"/>
      <c r="P5" s="2673"/>
      <c r="Q5" s="1006"/>
      <c r="R5" s="2728" t="s">
        <v>1018</v>
      </c>
      <c r="S5" s="2729"/>
      <c r="T5" s="2729"/>
      <c r="U5" s="2729"/>
      <c r="V5" s="2729"/>
      <c r="W5" s="2729"/>
      <c r="X5" s="2729"/>
      <c r="Y5" s="2729"/>
      <c r="Z5" s="2729"/>
      <c r="AA5" s="2729"/>
      <c r="AB5" s="2729"/>
      <c r="AC5" s="2729"/>
      <c r="AD5" s="2729"/>
      <c r="AE5" s="2729"/>
      <c r="AF5" s="2729"/>
      <c r="AG5" s="2729"/>
      <c r="AH5" s="2729"/>
      <c r="AI5" s="2729"/>
      <c r="AJ5" s="2729"/>
      <c r="AK5" s="2729"/>
      <c r="AL5" s="2729"/>
      <c r="AM5" s="2729"/>
      <c r="AN5" s="2729"/>
      <c r="AO5" s="2729"/>
      <c r="AP5" s="2729"/>
      <c r="AQ5" s="2729"/>
      <c r="AR5" s="2729"/>
      <c r="AS5" s="2729"/>
      <c r="AT5" s="2729"/>
      <c r="AU5" s="2729"/>
      <c r="AV5" s="2729"/>
      <c r="AW5" s="2729"/>
      <c r="AX5" s="2729"/>
      <c r="AY5" s="2729"/>
      <c r="AZ5" s="2729"/>
      <c r="BA5" s="2730"/>
      <c r="BB5" s="1024"/>
      <c r="BC5" s="2714" t="s">
        <v>1065</v>
      </c>
      <c r="BD5" s="2715"/>
      <c r="BE5" s="2715"/>
      <c r="BF5" s="2715"/>
      <c r="BG5" s="2715"/>
      <c r="BH5" s="1123"/>
      <c r="BI5" s="2724" t="s">
        <v>1076</v>
      </c>
      <c r="BJ5" s="2542"/>
      <c r="BK5" s="2542"/>
      <c r="BL5" s="2542"/>
      <c r="BM5" s="2543"/>
      <c r="BN5" s="1120"/>
      <c r="BO5" s="92"/>
      <c r="BP5" s="92"/>
      <c r="BQ5" s="145"/>
      <c r="BS5" s="995"/>
      <c r="BT5" s="996"/>
      <c r="BU5" s="997"/>
      <c r="BV5" s="997"/>
      <c r="BW5" s="998"/>
      <c r="BX5" s="998"/>
    </row>
    <row r="6" spans="1:76" ht="24" customHeight="1">
      <c r="A6" s="2679" t="s">
        <v>1075</v>
      </c>
      <c r="B6" s="2553" t="s">
        <v>562</v>
      </c>
      <c r="C6" s="2690" t="s">
        <v>1115</v>
      </c>
      <c r="D6" s="2719" t="s">
        <v>295</v>
      </c>
      <c r="E6" s="2720"/>
      <c r="F6" s="2721"/>
      <c r="G6" s="2719" t="s">
        <v>296</v>
      </c>
      <c r="H6" s="2720"/>
      <c r="I6" s="2721"/>
      <c r="J6" s="2536" t="s">
        <v>244</v>
      </c>
      <c r="K6" s="2561" t="s">
        <v>163</v>
      </c>
      <c r="L6" s="2722" t="s">
        <v>1055</v>
      </c>
      <c r="M6" s="2499" t="s">
        <v>1013</v>
      </c>
      <c r="N6" s="2500"/>
      <c r="O6" s="2677" t="s">
        <v>1133</v>
      </c>
      <c r="P6" s="2678"/>
      <c r="Q6" s="782"/>
      <c r="R6" s="2501" t="s">
        <v>1134</v>
      </c>
      <c r="S6" s="2515" t="s">
        <v>623</v>
      </c>
      <c r="T6" s="2612" t="s">
        <v>1425</v>
      </c>
      <c r="U6" s="2504"/>
      <c r="V6" s="2504"/>
      <c r="W6" s="2504"/>
      <c r="X6" s="2504"/>
      <c r="Y6" s="2504"/>
      <c r="Z6" s="525"/>
      <c r="AA6" s="2612" t="s">
        <v>1426</v>
      </c>
      <c r="AB6" s="2504"/>
      <c r="AC6" s="2504"/>
      <c r="AD6" s="2504"/>
      <c r="AE6" s="2504"/>
      <c r="AF6" s="2504"/>
      <c r="AG6" s="2099"/>
      <c r="AH6" s="2612" t="s">
        <v>1427</v>
      </c>
      <c r="AI6" s="2504"/>
      <c r="AJ6" s="2504"/>
      <c r="AK6" s="2504"/>
      <c r="AL6" s="2504"/>
      <c r="AM6" s="2504"/>
      <c r="AN6" s="131"/>
      <c r="AO6" s="2612" t="s">
        <v>1428</v>
      </c>
      <c r="AP6" s="2504"/>
      <c r="AQ6" s="2504"/>
      <c r="AR6" s="2504"/>
      <c r="AS6" s="2504"/>
      <c r="AT6" s="2504"/>
      <c r="AU6" s="864"/>
      <c r="AV6" s="2612" t="s">
        <v>1429</v>
      </c>
      <c r="AW6" s="2504"/>
      <c r="AX6" s="2504"/>
      <c r="AY6" s="2504"/>
      <c r="AZ6" s="2504"/>
      <c r="BA6" s="2504"/>
      <c r="BB6" s="1019"/>
      <c r="BC6" s="2514"/>
      <c r="BD6" s="2514"/>
      <c r="BE6" s="2514"/>
      <c r="BF6" s="2514"/>
      <c r="BG6" s="2514"/>
      <c r="BH6" s="1122"/>
      <c r="BI6" s="2487"/>
      <c r="BJ6" s="2544"/>
      <c r="BK6" s="2544"/>
      <c r="BL6" s="2544"/>
      <c r="BM6" s="2488"/>
      <c r="BN6" s="1120"/>
      <c r="BO6" s="645" t="s">
        <v>242</v>
      </c>
      <c r="BP6" s="645" t="s">
        <v>33</v>
      </c>
      <c r="BQ6" s="645" t="s">
        <v>11</v>
      </c>
      <c r="BR6" s="646" t="s">
        <v>600</v>
      </c>
      <c r="BS6" s="998"/>
      <c r="BT6" s="999"/>
      <c r="BU6" s="1000"/>
      <c r="BV6" s="998"/>
      <c r="BW6" s="998"/>
      <c r="BX6" s="998"/>
    </row>
    <row r="7" spans="1:76" s="1010" customFormat="1" ht="49.5" customHeight="1" thickBot="1">
      <c r="A7" s="2680"/>
      <c r="B7" s="2554"/>
      <c r="C7" s="2535"/>
      <c r="D7" s="561" t="s">
        <v>85</v>
      </c>
      <c r="E7" s="510" t="s">
        <v>11</v>
      </c>
      <c r="F7" s="562" t="s">
        <v>297</v>
      </c>
      <c r="G7" s="1009" t="s">
        <v>85</v>
      </c>
      <c r="H7" s="559" t="s">
        <v>301</v>
      </c>
      <c r="I7" s="568" t="s">
        <v>299</v>
      </c>
      <c r="J7" s="2444"/>
      <c r="K7" s="2440"/>
      <c r="L7" s="2723"/>
      <c r="M7" s="660" t="s">
        <v>322</v>
      </c>
      <c r="N7" s="641" t="s">
        <v>604</v>
      </c>
      <c r="O7" s="644" t="s">
        <v>599</v>
      </c>
      <c r="P7" s="641" t="s">
        <v>604</v>
      </c>
      <c r="Q7" s="980"/>
      <c r="R7" s="2502"/>
      <c r="S7" s="2490"/>
      <c r="T7" s="2092" t="s">
        <v>839</v>
      </c>
      <c r="U7" s="2090" t="s">
        <v>819</v>
      </c>
      <c r="V7" s="2095" t="s">
        <v>33</v>
      </c>
      <c r="W7" s="2091" t="s">
        <v>1062</v>
      </c>
      <c r="X7" s="2095" t="s">
        <v>1063</v>
      </c>
      <c r="Y7" s="2091" t="s">
        <v>1064</v>
      </c>
      <c r="Z7" s="1421"/>
      <c r="AA7" s="2092" t="s">
        <v>839</v>
      </c>
      <c r="AB7" s="2090" t="s">
        <v>819</v>
      </c>
      <c r="AC7" s="2095" t="s">
        <v>33</v>
      </c>
      <c r="AD7" s="2091" t="s">
        <v>1062</v>
      </c>
      <c r="AE7" s="2095" t="s">
        <v>1063</v>
      </c>
      <c r="AF7" s="2091" t="s">
        <v>1064</v>
      </c>
      <c r="AG7" s="279"/>
      <c r="AH7" s="2092" t="s">
        <v>839</v>
      </c>
      <c r="AI7" s="2090" t="s">
        <v>819</v>
      </c>
      <c r="AJ7" s="2095" t="s">
        <v>33</v>
      </c>
      <c r="AK7" s="2091" t="s">
        <v>1062</v>
      </c>
      <c r="AL7" s="2095" t="s">
        <v>1063</v>
      </c>
      <c r="AM7" s="2091" t="s">
        <v>1064</v>
      </c>
      <c r="AN7" s="279"/>
      <c r="AO7" s="2092" t="s">
        <v>839</v>
      </c>
      <c r="AP7" s="2090" t="s">
        <v>819</v>
      </c>
      <c r="AQ7" s="2095" t="s">
        <v>33</v>
      </c>
      <c r="AR7" s="2091" t="s">
        <v>1062</v>
      </c>
      <c r="AS7" s="2095" t="s">
        <v>1063</v>
      </c>
      <c r="AT7" s="2091" t="s">
        <v>1064</v>
      </c>
      <c r="AU7" s="279"/>
      <c r="AV7" s="2092" t="s">
        <v>839</v>
      </c>
      <c r="AW7" s="2090" t="s">
        <v>819</v>
      </c>
      <c r="AX7" s="2095" t="s">
        <v>33</v>
      </c>
      <c r="AY7" s="2091" t="s">
        <v>1062</v>
      </c>
      <c r="AZ7" s="2095" t="s">
        <v>1063</v>
      </c>
      <c r="BA7" s="2091" t="s">
        <v>1064</v>
      </c>
      <c r="BB7" s="782"/>
      <c r="BC7" s="1134" t="s">
        <v>1080</v>
      </c>
      <c r="BD7" s="1125" t="s">
        <v>1066</v>
      </c>
      <c r="BE7" s="1125" t="s">
        <v>1067</v>
      </c>
      <c r="BF7" s="906" t="s">
        <v>1241</v>
      </c>
      <c r="BG7" s="1125" t="s">
        <v>284</v>
      </c>
      <c r="BH7" s="782"/>
      <c r="BI7" s="1806" t="s">
        <v>1080</v>
      </c>
      <c r="BJ7" s="1168" t="s">
        <v>1307</v>
      </c>
      <c r="BK7" s="1168" t="s">
        <v>1308</v>
      </c>
      <c r="BL7" s="906" t="s">
        <v>1241</v>
      </c>
      <c r="BM7" s="1125" t="s">
        <v>284</v>
      </c>
      <c r="BN7" s="782"/>
      <c r="BO7" s="994" t="s">
        <v>31</v>
      </c>
      <c r="BP7" s="647">
        <v>0</v>
      </c>
      <c r="BQ7" s="647">
        <v>0</v>
      </c>
      <c r="BR7" s="646">
        <v>0</v>
      </c>
      <c r="BS7" s="998"/>
      <c r="BT7" s="1000"/>
      <c r="BU7" s="1001"/>
      <c r="BV7" s="998"/>
      <c r="BW7" s="1002"/>
      <c r="BX7" s="1002"/>
    </row>
    <row r="8" spans="1:76" ht="23.25" customHeight="1">
      <c r="A8" s="513" t="s">
        <v>1140</v>
      </c>
      <c r="B8" s="1704">
        <v>0</v>
      </c>
      <c r="C8" s="1430" t="s">
        <v>31</v>
      </c>
      <c r="D8" s="563">
        <f t="shared" ref="D8:D42" si="0">VLOOKUP(C8,BO$7:BQ$23,2,FALSE)</f>
        <v>0</v>
      </c>
      <c r="E8" s="517">
        <f t="shared" ref="E8:E42" si="1">VLOOKUP(C8,BO$7:BQ$23,3,FALSE)</f>
        <v>0</v>
      </c>
      <c r="F8" s="564">
        <f>D8*E8/6.25</f>
        <v>0</v>
      </c>
      <c r="G8" s="1719">
        <v>0</v>
      </c>
      <c r="H8" s="1714">
        <v>0</v>
      </c>
      <c r="I8" s="569">
        <f>G8*H8/6.25</f>
        <v>0</v>
      </c>
      <c r="J8" s="589">
        <v>0</v>
      </c>
      <c r="K8" s="744">
        <f>IF(J8="Reinbestand",I8,J8*3)</f>
        <v>0</v>
      </c>
      <c r="L8" s="1721">
        <v>0</v>
      </c>
      <c r="M8" s="741">
        <f t="shared" ref="M8:M42" si="2">IF(I8-K8-L8&lt;0,0,I8-K8-L8)</f>
        <v>0</v>
      </c>
      <c r="N8" s="653">
        <f t="shared" ref="N8:N42" si="3">IF(M8&lt;0,0,M8*B8)</f>
        <v>0</v>
      </c>
      <c r="O8" s="655">
        <f t="shared" ref="O8:O42" si="4">G8*VLOOKUP(C8,BO$7:BR$21,4,FALSE)</f>
        <v>0</v>
      </c>
      <c r="P8" s="591">
        <f t="shared" ref="P8:P42" si="5">B8*O8</f>
        <v>0</v>
      </c>
      <c r="Q8" s="634"/>
      <c r="R8" s="1281" t="str">
        <f>A8</f>
        <v>Fläche eins</v>
      </c>
      <c r="S8" s="1281" t="str">
        <f>C8</f>
        <v>keine</v>
      </c>
      <c r="T8" s="1329"/>
      <c r="U8" s="1330" t="s">
        <v>795</v>
      </c>
      <c r="V8" s="1424">
        <v>0</v>
      </c>
      <c r="W8" s="1033">
        <f>VLOOKUP(U8,Düngemittel!$B$6:$E$64,2,FALSE)*(VLOOKUP(U8,Düngemittel!$B$6:$E$64,3,FALSE))/100*V8</f>
        <v>0</v>
      </c>
      <c r="X8" s="1033">
        <f>VLOOKUP(U8,Düngemittel!$B$6:$E$64,2,FALSE)*V8</f>
        <v>0</v>
      </c>
      <c r="Y8" s="1033">
        <f>VLOOKUP(U8,Düngemittel!$B$6:$E$64,4,FALSE)*V8</f>
        <v>0</v>
      </c>
      <c r="Z8" s="92"/>
      <c r="AA8" s="1329"/>
      <c r="AB8" s="1330" t="s">
        <v>795</v>
      </c>
      <c r="AC8" s="1424">
        <v>0</v>
      </c>
      <c r="AD8" s="1033">
        <f>VLOOKUP(AB8,Düngemittel!$B$6:$E$64,2,FALSE)*(VLOOKUP(AB8,Düngemittel!$B$6:$E$64,3,FALSE))/100*AC8</f>
        <v>0</v>
      </c>
      <c r="AE8" s="1033">
        <f>VLOOKUP(AB8,Düngemittel!$B$6:$E$64,2,FALSE)*AC8</f>
        <v>0</v>
      </c>
      <c r="AF8" s="1033">
        <f>VLOOKUP(AB8,Düngemittel!$B$6:$E$64,4,FALSE)*AC8</f>
        <v>0</v>
      </c>
      <c r="AG8" s="92"/>
      <c r="AH8" s="1329"/>
      <c r="AI8" s="1330" t="s">
        <v>795</v>
      </c>
      <c r="AJ8" s="1424">
        <v>0</v>
      </c>
      <c r="AK8" s="1033">
        <f>VLOOKUP(AI8,Düngemittel!$B$6:$E$64,2,FALSE)*(VLOOKUP(AI8,Düngemittel!$B$6:$E$64,3,FALSE))/100*AJ8</f>
        <v>0</v>
      </c>
      <c r="AL8" s="1033">
        <f>VLOOKUP(AI8,Düngemittel!$B$6:$E$64,2,FALSE)*AJ8</f>
        <v>0</v>
      </c>
      <c r="AM8" s="1033">
        <f>VLOOKUP(AI8,Düngemittel!$B$6:$E$64,4,FALSE)*AJ8</f>
        <v>0</v>
      </c>
      <c r="AN8" s="92"/>
      <c r="AO8" s="1329"/>
      <c r="AP8" s="1330" t="s">
        <v>795</v>
      </c>
      <c r="AQ8" s="1424">
        <v>0</v>
      </c>
      <c r="AR8" s="1033">
        <f>VLOOKUP(AP8,Düngemittel!$B$6:$E$64,2,FALSE)*(VLOOKUP(AP8,Düngemittel!$B$6:$E$64,3,FALSE))/100*AQ8</f>
        <v>0</v>
      </c>
      <c r="AS8" s="1033">
        <f>VLOOKUP(AP8,Düngemittel!$B$6:$E$64,2,FALSE)*AQ8</f>
        <v>0</v>
      </c>
      <c r="AT8" s="1033">
        <f>VLOOKUP(AP8,Düngemittel!$B$6:$E$64,4,FALSE)*AQ8</f>
        <v>0</v>
      </c>
      <c r="AU8" s="92"/>
      <c r="AV8" s="1329"/>
      <c r="AW8" s="1330" t="s">
        <v>795</v>
      </c>
      <c r="AX8" s="1424">
        <v>0</v>
      </c>
      <c r="AY8" s="1033">
        <f>VLOOKUP(AW8,Düngemittel!$B$6:$E$64,2,FALSE)*(VLOOKUP(AW8,Düngemittel!$B$6:$E$64,3,FALSE))/100*AX8</f>
        <v>0</v>
      </c>
      <c r="AZ8" s="1033">
        <f>VLOOKUP(AW8,Düngemittel!$B$6:$E$64,2,FALSE)*AX8</f>
        <v>0</v>
      </c>
      <c r="BA8" s="1033">
        <f>VLOOKUP(AW8,Düngemittel!$B$6:$E$64,4,FALSE)*AX8</f>
        <v>0</v>
      </c>
      <c r="BB8" s="863"/>
      <c r="BC8" s="1282">
        <f>IF(W8&lt;X8,0,W8)+IF(AD8&lt;AE8,0,AD8)+IF(AK8&lt;AL8,0,AK8)+IF(AR8&lt;AS8,0,AR8)+IF(AY8&lt;AZ8,0,AY8)</f>
        <v>0</v>
      </c>
      <c r="BD8" s="1126">
        <f>SUM(W8+AD8+AK8+AR8+AY8)</f>
        <v>0</v>
      </c>
      <c r="BE8" s="1283">
        <f>SUM(X8+AE8+AL8+AS8+AZ8)</f>
        <v>0</v>
      </c>
      <c r="BF8" s="1151">
        <f>IF(W8&lt;X8,X8,0)+IF(AD8&lt;AE8,AE8,0)+IF(AK8&lt;AL8,AL8,0)+IF(AR8&lt;AS8,AS8,0)+IF(AY8&lt;AZ8,AZ8,0)</f>
        <v>0</v>
      </c>
      <c r="BG8" s="1126">
        <f>SUM(Y8+AF8+AM8+AT8+BA8)</f>
        <v>0</v>
      </c>
      <c r="BH8" s="1152"/>
      <c r="BI8" s="1282">
        <f>BC8*$B8</f>
        <v>0</v>
      </c>
      <c r="BJ8" s="1282">
        <f t="shared" ref="BJ8:BM8" si="6">BD8*$B8</f>
        <v>0</v>
      </c>
      <c r="BK8" s="1282">
        <f t="shared" si="6"/>
        <v>0</v>
      </c>
      <c r="BL8" s="1282">
        <f t="shared" si="6"/>
        <v>0</v>
      </c>
      <c r="BM8" s="1282">
        <f t="shared" si="6"/>
        <v>0</v>
      </c>
      <c r="BN8" s="1119"/>
      <c r="BO8" s="991" t="s">
        <v>239</v>
      </c>
      <c r="BP8" s="646">
        <v>150</v>
      </c>
      <c r="BQ8" s="646">
        <v>16.600000000000001</v>
      </c>
      <c r="BR8" s="648">
        <v>0.8</v>
      </c>
      <c r="BS8" s="998"/>
      <c r="BT8" s="999"/>
      <c r="BU8" s="1001"/>
      <c r="BV8" s="998"/>
      <c r="BW8" s="998"/>
      <c r="BX8" s="998"/>
    </row>
    <row r="9" spans="1:76" ht="23.25" customHeight="1">
      <c r="A9" s="468" t="s">
        <v>567</v>
      </c>
      <c r="B9" s="1705">
        <v>0</v>
      </c>
      <c r="C9" s="1431" t="s">
        <v>31</v>
      </c>
      <c r="D9" s="565">
        <f t="shared" si="0"/>
        <v>0</v>
      </c>
      <c r="E9" s="335">
        <f t="shared" si="1"/>
        <v>0</v>
      </c>
      <c r="F9" s="566">
        <f t="shared" ref="F9:F19" si="7">D9*E9/6.25</f>
        <v>0</v>
      </c>
      <c r="G9" s="1720">
        <v>0</v>
      </c>
      <c r="H9" s="1437">
        <v>0</v>
      </c>
      <c r="I9" s="570">
        <f t="shared" ref="I9:I19" si="8">G9*H9/6.25</f>
        <v>0</v>
      </c>
      <c r="J9" s="590">
        <v>0</v>
      </c>
      <c r="K9" s="743">
        <f t="shared" ref="K9:K19" si="9">IF(J9="Reinbestand",I9,J9*3)</f>
        <v>0</v>
      </c>
      <c r="L9" s="1703">
        <v>0</v>
      </c>
      <c r="M9" s="742">
        <f t="shared" si="2"/>
        <v>0</v>
      </c>
      <c r="N9" s="592">
        <f t="shared" si="3"/>
        <v>0</v>
      </c>
      <c r="O9" s="656">
        <f t="shared" si="4"/>
        <v>0</v>
      </c>
      <c r="P9" s="653">
        <f t="shared" si="5"/>
        <v>0</v>
      </c>
      <c r="Q9" s="634"/>
      <c r="R9" s="1281" t="str">
        <f t="shared" ref="R9:R42" si="10">A9</f>
        <v>Schlag 2</v>
      </c>
      <c r="S9" s="1281" t="str">
        <f t="shared" ref="S9:S42" si="11">C9</f>
        <v>keine</v>
      </c>
      <c r="T9" s="1329"/>
      <c r="U9" s="1330" t="s">
        <v>795</v>
      </c>
      <c r="V9" s="1424">
        <v>0</v>
      </c>
      <c r="W9" s="1033">
        <f>VLOOKUP(U9,Düngemittel!$B$6:$E$64,2,FALSE)*(VLOOKUP(U9,Düngemittel!$B$6:$E$64,3,FALSE))/100*V9</f>
        <v>0</v>
      </c>
      <c r="X9" s="1033">
        <f>VLOOKUP(U9,Düngemittel!$B$6:$E$64,2,FALSE)*V9</f>
        <v>0</v>
      </c>
      <c r="Y9" s="1033">
        <f>VLOOKUP(U9,Düngemittel!$B$6:$E$64,4,FALSE)*V9</f>
        <v>0</v>
      </c>
      <c r="Z9" s="2089"/>
      <c r="AA9" s="1329"/>
      <c r="AB9" s="1330" t="s">
        <v>795</v>
      </c>
      <c r="AC9" s="1424">
        <v>0</v>
      </c>
      <c r="AD9" s="1033">
        <f>VLOOKUP(AB9,Düngemittel!$B$6:$E$64,2,FALSE)*(VLOOKUP(AB9,Düngemittel!$B$6:$E$64,3,FALSE))/100*AC9</f>
        <v>0</v>
      </c>
      <c r="AE9" s="1033">
        <f>VLOOKUP(AB9,Düngemittel!$B$6:$E$64,2,FALSE)*AC9</f>
        <v>0</v>
      </c>
      <c r="AF9" s="1033">
        <f>VLOOKUP(AB9,Düngemittel!$B$6:$E$64,4,FALSE)*AC9</f>
        <v>0</v>
      </c>
      <c r="AG9" s="2089"/>
      <c r="AH9" s="1329"/>
      <c r="AI9" s="1330" t="s">
        <v>795</v>
      </c>
      <c r="AJ9" s="1424">
        <v>0</v>
      </c>
      <c r="AK9" s="1033">
        <f>VLOOKUP(AI9,Düngemittel!$B$6:$E$64,2,FALSE)*(VLOOKUP(AI9,Düngemittel!$B$6:$E$64,3,FALSE))/100*AJ9</f>
        <v>0</v>
      </c>
      <c r="AL9" s="1033">
        <f>VLOOKUP(AI9,Düngemittel!$B$6:$E$64,2,FALSE)*AJ9</f>
        <v>0</v>
      </c>
      <c r="AM9" s="1033">
        <f>VLOOKUP(AI9,Düngemittel!$B$6:$E$64,4,FALSE)*AJ9</f>
        <v>0</v>
      </c>
      <c r="AN9" s="2089"/>
      <c r="AO9" s="1329"/>
      <c r="AP9" s="1330" t="s">
        <v>795</v>
      </c>
      <c r="AQ9" s="1424">
        <v>0</v>
      </c>
      <c r="AR9" s="1033">
        <f>VLOOKUP(AP9,Düngemittel!$B$6:$E$64,2,FALSE)*(VLOOKUP(AP9,Düngemittel!$B$6:$E$64,3,FALSE))/100*AQ9</f>
        <v>0</v>
      </c>
      <c r="AS9" s="1033">
        <f>VLOOKUP(AP9,Düngemittel!$B$6:$E$64,2,FALSE)*AQ9</f>
        <v>0</v>
      </c>
      <c r="AT9" s="1033">
        <f>VLOOKUP(AP9,Düngemittel!$B$6:$E$64,4,FALSE)*AQ9</f>
        <v>0</v>
      </c>
      <c r="AU9" s="2089"/>
      <c r="AV9" s="1329"/>
      <c r="AW9" s="1330" t="s">
        <v>795</v>
      </c>
      <c r="AX9" s="1424">
        <v>0</v>
      </c>
      <c r="AY9" s="1033">
        <f>VLOOKUP(AW9,Düngemittel!$B$6:$E$64,2,FALSE)*(VLOOKUP(AW9,Düngemittel!$B$6:$E$64,3,FALSE))/100*AX9</f>
        <v>0</v>
      </c>
      <c r="AZ9" s="1033">
        <f>VLOOKUP(AW9,Düngemittel!$B$6:$E$64,2,FALSE)*AX9</f>
        <v>0</v>
      </c>
      <c r="BA9" s="1033">
        <f>VLOOKUP(AW9,Düngemittel!$B$6:$E$64,4,FALSE)*AX9</f>
        <v>0</v>
      </c>
      <c r="BB9" s="863"/>
      <c r="BC9" s="1282">
        <f t="shared" ref="BC9:BC42" si="12">IF(W9&lt;X9,0,W9)+IF(AD9&lt;AE9,0,AD9)+IF(AK9&lt;AL9,0,AK9)+IF(AR9&lt;AS9,0,AR9)+IF(AY9&lt;AZ9,0,AY9)</f>
        <v>0</v>
      </c>
      <c r="BD9" s="1126">
        <f t="shared" ref="BD9:BE42" si="13">SUM(W9+AD9+AK9+AR9+AY9)</f>
        <v>0</v>
      </c>
      <c r="BE9" s="1283">
        <f t="shared" si="13"/>
        <v>0</v>
      </c>
      <c r="BF9" s="1151">
        <f t="shared" ref="BF9:BF42" si="14">IF(W9&lt;X9,X9,0)+IF(AD9&lt;AE9,AE9,0)+IF(AK9&lt;AL9,AL9,0)+IF(AR9&lt;AS9,AS9,0)+IF(AY9&lt;AZ9,AZ9,0)</f>
        <v>0</v>
      </c>
      <c r="BG9" s="1126">
        <f t="shared" ref="BG9:BG42" si="15">SUM(Y9+AF9+AM9+AT9+BA9)</f>
        <v>0</v>
      </c>
      <c r="BH9" s="1152"/>
      <c r="BI9" s="1282">
        <f t="shared" ref="BI9:BI42" si="16">BC9*$B9</f>
        <v>0</v>
      </c>
      <c r="BJ9" s="1282">
        <f t="shared" ref="BJ9:BJ42" si="17">BD9*$B9</f>
        <v>0</v>
      </c>
      <c r="BK9" s="1282">
        <f t="shared" ref="BK9:BK42" si="18">BE9*$B9</f>
        <v>0</v>
      </c>
      <c r="BL9" s="1282">
        <f t="shared" ref="BL9:BL42" si="19">BF9*$B9</f>
        <v>0</v>
      </c>
      <c r="BM9" s="1282">
        <f t="shared" ref="BM9:BM42" si="20">BG9*$B9</f>
        <v>0</v>
      </c>
      <c r="BN9" s="1119"/>
      <c r="BO9" s="991" t="s">
        <v>240</v>
      </c>
      <c r="BP9" s="646">
        <v>120</v>
      </c>
      <c r="BQ9" s="646">
        <v>16.2</v>
      </c>
      <c r="BR9" s="646">
        <v>0.8</v>
      </c>
      <c r="BS9" s="998"/>
      <c r="BT9" s="999"/>
      <c r="BU9" s="1001"/>
      <c r="BV9" s="998"/>
      <c r="BW9" s="998"/>
      <c r="BX9" s="998"/>
    </row>
    <row r="10" spans="1:76" ht="23.25" customHeight="1">
      <c r="A10" s="468" t="s">
        <v>564</v>
      </c>
      <c r="B10" s="1705">
        <v>0</v>
      </c>
      <c r="C10" s="1431" t="s">
        <v>31</v>
      </c>
      <c r="D10" s="565">
        <f t="shared" si="0"/>
        <v>0</v>
      </c>
      <c r="E10" s="335">
        <f t="shared" si="1"/>
        <v>0</v>
      </c>
      <c r="F10" s="566">
        <f t="shared" si="7"/>
        <v>0</v>
      </c>
      <c r="G10" s="1720">
        <v>0</v>
      </c>
      <c r="H10" s="1437">
        <v>0</v>
      </c>
      <c r="I10" s="570">
        <f t="shared" si="8"/>
        <v>0</v>
      </c>
      <c r="J10" s="590">
        <v>0</v>
      </c>
      <c r="K10" s="743">
        <f t="shared" si="9"/>
        <v>0</v>
      </c>
      <c r="L10" s="1703">
        <v>0</v>
      </c>
      <c r="M10" s="742">
        <f t="shared" si="2"/>
        <v>0</v>
      </c>
      <c r="N10" s="592">
        <f t="shared" si="3"/>
        <v>0</v>
      </c>
      <c r="O10" s="657">
        <f t="shared" si="4"/>
        <v>0</v>
      </c>
      <c r="P10" s="592">
        <f t="shared" si="5"/>
        <v>0</v>
      </c>
      <c r="Q10" s="634"/>
      <c r="R10" s="1281" t="str">
        <f t="shared" si="10"/>
        <v>Fläche 3</v>
      </c>
      <c r="S10" s="1281" t="str">
        <f t="shared" si="11"/>
        <v>keine</v>
      </c>
      <c r="T10" s="1329"/>
      <c r="U10" s="1330" t="s">
        <v>795</v>
      </c>
      <c r="V10" s="1424">
        <v>0</v>
      </c>
      <c r="W10" s="1033">
        <f>VLOOKUP(U10,Düngemittel!$B$6:$E$64,2,FALSE)*(VLOOKUP(U10,Düngemittel!$B$6:$E$64,3,FALSE))/100*V10</f>
        <v>0</v>
      </c>
      <c r="X10" s="1033">
        <f>VLOOKUP(U10,Düngemittel!$B$6:$E$64,2,FALSE)*V10</f>
        <v>0</v>
      </c>
      <c r="Y10" s="1033">
        <f>VLOOKUP(U10,Düngemittel!$B$6:$E$64,4,FALSE)*V10</f>
        <v>0</v>
      </c>
      <c r="Z10" s="2089"/>
      <c r="AA10" s="1329"/>
      <c r="AB10" s="1330" t="s">
        <v>795</v>
      </c>
      <c r="AC10" s="1424">
        <v>0</v>
      </c>
      <c r="AD10" s="1033">
        <f>VLOOKUP(AB10,Düngemittel!$B$6:$E$64,2,FALSE)*(VLOOKUP(AB10,Düngemittel!$B$6:$E$64,3,FALSE))/100*AC10</f>
        <v>0</v>
      </c>
      <c r="AE10" s="1033">
        <f>VLOOKUP(AB10,Düngemittel!$B$6:$E$64,2,FALSE)*AC10</f>
        <v>0</v>
      </c>
      <c r="AF10" s="1033">
        <f>VLOOKUP(AB10,Düngemittel!$B$6:$E$64,4,FALSE)*AC10</f>
        <v>0</v>
      </c>
      <c r="AG10" s="2089"/>
      <c r="AH10" s="1329"/>
      <c r="AI10" s="1330" t="s">
        <v>795</v>
      </c>
      <c r="AJ10" s="1424">
        <v>0</v>
      </c>
      <c r="AK10" s="1033">
        <f>VLOOKUP(AI10,Düngemittel!$B$6:$E$64,2,FALSE)*(VLOOKUP(AI10,Düngemittel!$B$6:$E$64,3,FALSE))/100*AJ10</f>
        <v>0</v>
      </c>
      <c r="AL10" s="1033">
        <f>VLOOKUP(AI10,Düngemittel!$B$6:$E$64,2,FALSE)*AJ10</f>
        <v>0</v>
      </c>
      <c r="AM10" s="1033">
        <f>VLOOKUP(AI10,Düngemittel!$B$6:$E$64,4,FALSE)*AJ10</f>
        <v>0</v>
      </c>
      <c r="AN10" s="2089"/>
      <c r="AO10" s="1329"/>
      <c r="AP10" s="1330" t="s">
        <v>795</v>
      </c>
      <c r="AQ10" s="1424">
        <v>0</v>
      </c>
      <c r="AR10" s="1033">
        <f>VLOOKUP(AP10,Düngemittel!$B$6:$E$64,2,FALSE)*(VLOOKUP(AP10,Düngemittel!$B$6:$E$64,3,FALSE))/100*AQ10</f>
        <v>0</v>
      </c>
      <c r="AS10" s="1033">
        <f>VLOOKUP(AP10,Düngemittel!$B$6:$E$64,2,FALSE)*AQ10</f>
        <v>0</v>
      </c>
      <c r="AT10" s="1033">
        <f>VLOOKUP(AP10,Düngemittel!$B$6:$E$64,4,FALSE)*AQ10</f>
        <v>0</v>
      </c>
      <c r="AU10" s="2089"/>
      <c r="AV10" s="1329"/>
      <c r="AW10" s="1330" t="s">
        <v>795</v>
      </c>
      <c r="AX10" s="1424">
        <v>0</v>
      </c>
      <c r="AY10" s="1033">
        <f>VLOOKUP(AW10,Düngemittel!$B$6:$E$64,2,FALSE)*(VLOOKUP(AW10,Düngemittel!$B$6:$E$64,3,FALSE))/100*AX10</f>
        <v>0</v>
      </c>
      <c r="AZ10" s="1033">
        <f>VLOOKUP(AW10,Düngemittel!$B$6:$E$64,2,FALSE)*AX10</f>
        <v>0</v>
      </c>
      <c r="BA10" s="1033">
        <f>VLOOKUP(AW10,Düngemittel!$B$6:$E$64,4,FALSE)*AX10</f>
        <v>0</v>
      </c>
      <c r="BB10" s="863"/>
      <c r="BC10" s="1282">
        <f t="shared" si="12"/>
        <v>0</v>
      </c>
      <c r="BD10" s="1126">
        <f t="shared" si="13"/>
        <v>0</v>
      </c>
      <c r="BE10" s="1283">
        <f t="shared" si="13"/>
        <v>0</v>
      </c>
      <c r="BF10" s="1151">
        <f t="shared" si="14"/>
        <v>0</v>
      </c>
      <c r="BG10" s="1126">
        <f t="shared" si="15"/>
        <v>0</v>
      </c>
      <c r="BH10" s="1152"/>
      <c r="BI10" s="1282">
        <f t="shared" si="16"/>
        <v>0</v>
      </c>
      <c r="BJ10" s="1282">
        <f t="shared" si="17"/>
        <v>0</v>
      </c>
      <c r="BK10" s="1282">
        <f t="shared" si="18"/>
        <v>0</v>
      </c>
      <c r="BL10" s="1282">
        <f t="shared" si="19"/>
        <v>0</v>
      </c>
      <c r="BM10" s="1282">
        <f t="shared" si="20"/>
        <v>0</v>
      </c>
      <c r="BN10" s="1119"/>
      <c r="BO10" s="992" t="s">
        <v>732</v>
      </c>
      <c r="BP10" s="803">
        <v>120</v>
      </c>
      <c r="BQ10" s="803">
        <v>16.2</v>
      </c>
      <c r="BR10" s="803">
        <v>0.8</v>
      </c>
      <c r="BS10" s="998"/>
      <c r="BT10" s="999"/>
      <c r="BU10" s="1001"/>
      <c r="BV10" s="998"/>
      <c r="BW10" s="998"/>
      <c r="BX10" s="998"/>
    </row>
    <row r="11" spans="1:76" ht="23.25" customHeight="1">
      <c r="A11" s="468">
        <v>4</v>
      </c>
      <c r="B11" s="1705">
        <v>0</v>
      </c>
      <c r="C11" s="815" t="s">
        <v>31</v>
      </c>
      <c r="D11" s="565">
        <f t="shared" si="0"/>
        <v>0</v>
      </c>
      <c r="E11" s="335">
        <f t="shared" si="1"/>
        <v>0</v>
      </c>
      <c r="F11" s="566">
        <f t="shared" si="7"/>
        <v>0</v>
      </c>
      <c r="G11" s="1720">
        <v>0</v>
      </c>
      <c r="H11" s="1437">
        <v>0</v>
      </c>
      <c r="I11" s="570">
        <f t="shared" si="8"/>
        <v>0</v>
      </c>
      <c r="J11" s="596">
        <v>0</v>
      </c>
      <c r="K11" s="743">
        <f t="shared" si="9"/>
        <v>0</v>
      </c>
      <c r="L11" s="1703">
        <v>0</v>
      </c>
      <c r="M11" s="742">
        <f t="shared" si="2"/>
        <v>0</v>
      </c>
      <c r="N11" s="592">
        <f t="shared" si="3"/>
        <v>0</v>
      </c>
      <c r="O11" s="657">
        <f t="shared" si="4"/>
        <v>0</v>
      </c>
      <c r="P11" s="592">
        <f t="shared" si="5"/>
        <v>0</v>
      </c>
      <c r="Q11" s="634"/>
      <c r="R11" s="1281">
        <f t="shared" si="10"/>
        <v>4</v>
      </c>
      <c r="S11" s="1281" t="str">
        <f t="shared" si="11"/>
        <v>keine</v>
      </c>
      <c r="T11" s="1329"/>
      <c r="U11" s="1330" t="s">
        <v>795</v>
      </c>
      <c r="V11" s="1424">
        <v>0</v>
      </c>
      <c r="W11" s="1033">
        <f>VLOOKUP(U11,Düngemittel!$B$6:$E$64,2,FALSE)*(VLOOKUP(U11,Düngemittel!$B$6:$E$64,3,FALSE))/100*V11</f>
        <v>0</v>
      </c>
      <c r="X11" s="1033">
        <f>VLOOKUP(U11,Düngemittel!$B$6:$E$64,2,FALSE)*V11</f>
        <v>0</v>
      </c>
      <c r="Y11" s="1033">
        <f>VLOOKUP(U11,Düngemittel!$B$6:$E$64,4,FALSE)*V11</f>
        <v>0</v>
      </c>
      <c r="Z11" s="2089"/>
      <c r="AA11" s="1329"/>
      <c r="AB11" s="1330" t="s">
        <v>795</v>
      </c>
      <c r="AC11" s="1424">
        <v>0</v>
      </c>
      <c r="AD11" s="1033">
        <f>VLOOKUP(AB11,Düngemittel!$B$6:$E$64,2,FALSE)*(VLOOKUP(AB11,Düngemittel!$B$6:$E$64,3,FALSE))/100*AC11</f>
        <v>0</v>
      </c>
      <c r="AE11" s="1033">
        <f>VLOOKUP(AB11,Düngemittel!$B$6:$E$64,2,FALSE)*AC11</f>
        <v>0</v>
      </c>
      <c r="AF11" s="1033">
        <f>VLOOKUP(AB11,Düngemittel!$B$6:$E$64,4,FALSE)*AC11</f>
        <v>0</v>
      </c>
      <c r="AG11" s="2089"/>
      <c r="AH11" s="1329"/>
      <c r="AI11" s="1330" t="s">
        <v>795</v>
      </c>
      <c r="AJ11" s="1424">
        <v>0</v>
      </c>
      <c r="AK11" s="1033">
        <f>VLOOKUP(AI11,Düngemittel!$B$6:$E$64,2,FALSE)*(VLOOKUP(AI11,Düngemittel!$B$6:$E$64,3,FALSE))/100*AJ11</f>
        <v>0</v>
      </c>
      <c r="AL11" s="1033">
        <f>VLOOKUP(AI11,Düngemittel!$B$6:$E$64,2,FALSE)*AJ11</f>
        <v>0</v>
      </c>
      <c r="AM11" s="1033">
        <f>VLOOKUP(AI11,Düngemittel!$B$6:$E$64,4,FALSE)*AJ11</f>
        <v>0</v>
      </c>
      <c r="AN11" s="2089"/>
      <c r="AO11" s="1329"/>
      <c r="AP11" s="1330" t="s">
        <v>795</v>
      </c>
      <c r="AQ11" s="1424">
        <v>0</v>
      </c>
      <c r="AR11" s="1033">
        <f>VLOOKUP(AP11,Düngemittel!$B$6:$E$64,2,FALSE)*(VLOOKUP(AP11,Düngemittel!$B$6:$E$64,3,FALSE))/100*AQ11</f>
        <v>0</v>
      </c>
      <c r="AS11" s="1033">
        <f>VLOOKUP(AP11,Düngemittel!$B$6:$E$64,2,FALSE)*AQ11</f>
        <v>0</v>
      </c>
      <c r="AT11" s="1033">
        <f>VLOOKUP(AP11,Düngemittel!$B$6:$E$64,4,FALSE)*AQ11</f>
        <v>0</v>
      </c>
      <c r="AU11" s="2089"/>
      <c r="AV11" s="1329"/>
      <c r="AW11" s="1330" t="s">
        <v>795</v>
      </c>
      <c r="AX11" s="1424">
        <v>0</v>
      </c>
      <c r="AY11" s="1033">
        <f>VLOOKUP(AW11,Düngemittel!$B$6:$E$64,2,FALSE)*(VLOOKUP(AW11,Düngemittel!$B$6:$E$64,3,FALSE))/100*AX11</f>
        <v>0</v>
      </c>
      <c r="AZ11" s="1033">
        <f>VLOOKUP(AW11,Düngemittel!$B$6:$E$64,2,FALSE)*AX11</f>
        <v>0</v>
      </c>
      <c r="BA11" s="1033">
        <f>VLOOKUP(AW11,Düngemittel!$B$6:$E$64,4,FALSE)*AX11</f>
        <v>0</v>
      </c>
      <c r="BB11" s="863"/>
      <c r="BC11" s="1282">
        <f t="shared" si="12"/>
        <v>0</v>
      </c>
      <c r="BD11" s="1126">
        <f t="shared" si="13"/>
        <v>0</v>
      </c>
      <c r="BE11" s="1283">
        <f t="shared" si="13"/>
        <v>0</v>
      </c>
      <c r="BF11" s="1151">
        <f t="shared" si="14"/>
        <v>0</v>
      </c>
      <c r="BG11" s="1126">
        <f t="shared" si="15"/>
        <v>0</v>
      </c>
      <c r="BH11" s="1152"/>
      <c r="BI11" s="1282">
        <f t="shared" si="16"/>
        <v>0</v>
      </c>
      <c r="BJ11" s="1282">
        <f t="shared" si="17"/>
        <v>0</v>
      </c>
      <c r="BK11" s="1282">
        <f t="shared" si="18"/>
        <v>0</v>
      </c>
      <c r="BL11" s="1282">
        <f t="shared" si="19"/>
        <v>0</v>
      </c>
      <c r="BM11" s="1282">
        <f t="shared" si="20"/>
        <v>0</v>
      </c>
      <c r="BN11" s="1119"/>
      <c r="BO11" s="992" t="s">
        <v>734</v>
      </c>
      <c r="BP11" s="803">
        <v>65</v>
      </c>
      <c r="BQ11" s="803">
        <v>16.2</v>
      </c>
      <c r="BR11" s="803">
        <v>0.8</v>
      </c>
      <c r="BS11" s="998"/>
      <c r="BT11" s="999"/>
      <c r="BU11" s="1001"/>
      <c r="BV11" s="998"/>
      <c r="BW11" s="998"/>
      <c r="BX11" s="998"/>
    </row>
    <row r="12" spans="1:76" ht="23.25" customHeight="1">
      <c r="A12" s="468">
        <v>5</v>
      </c>
      <c r="B12" s="1705">
        <v>0</v>
      </c>
      <c r="C12" s="796" t="s">
        <v>31</v>
      </c>
      <c r="D12" s="565">
        <f t="shared" si="0"/>
        <v>0</v>
      </c>
      <c r="E12" s="335">
        <f t="shared" si="1"/>
        <v>0</v>
      </c>
      <c r="F12" s="566">
        <f t="shared" si="7"/>
        <v>0</v>
      </c>
      <c r="G12" s="1720">
        <v>0</v>
      </c>
      <c r="H12" s="1437">
        <v>0</v>
      </c>
      <c r="I12" s="570">
        <f t="shared" si="8"/>
        <v>0</v>
      </c>
      <c r="J12" s="590">
        <v>0</v>
      </c>
      <c r="K12" s="743">
        <f t="shared" si="9"/>
        <v>0</v>
      </c>
      <c r="L12" s="1703">
        <v>0</v>
      </c>
      <c r="M12" s="742">
        <f t="shared" si="2"/>
        <v>0</v>
      </c>
      <c r="N12" s="592">
        <f t="shared" si="3"/>
        <v>0</v>
      </c>
      <c r="O12" s="657">
        <f t="shared" si="4"/>
        <v>0</v>
      </c>
      <c r="P12" s="592">
        <f t="shared" si="5"/>
        <v>0</v>
      </c>
      <c r="Q12" s="634"/>
      <c r="R12" s="1281">
        <f t="shared" si="10"/>
        <v>5</v>
      </c>
      <c r="S12" s="1281" t="str">
        <f t="shared" si="11"/>
        <v>keine</v>
      </c>
      <c r="T12" s="1329"/>
      <c r="U12" s="1330" t="s">
        <v>795</v>
      </c>
      <c r="V12" s="1424">
        <v>0</v>
      </c>
      <c r="W12" s="1033">
        <f>VLOOKUP(U12,Düngemittel!$B$6:$E$64,2,FALSE)*(VLOOKUP(U12,Düngemittel!$B$6:$E$64,3,FALSE))/100*V12</f>
        <v>0</v>
      </c>
      <c r="X12" s="1033">
        <f>VLOOKUP(U12,Düngemittel!$B$6:$E$64,2,FALSE)*V12</f>
        <v>0</v>
      </c>
      <c r="Y12" s="1033">
        <f>VLOOKUP(U12,Düngemittel!$B$6:$E$64,4,FALSE)*V12</f>
        <v>0</v>
      </c>
      <c r="Z12" s="2089"/>
      <c r="AA12" s="1329"/>
      <c r="AB12" s="1330" t="s">
        <v>795</v>
      </c>
      <c r="AC12" s="1424">
        <v>0</v>
      </c>
      <c r="AD12" s="1033">
        <f>VLOOKUP(AB12,Düngemittel!$B$6:$E$64,2,FALSE)*(VLOOKUP(AB12,Düngemittel!$B$6:$E$64,3,FALSE))/100*AC12</f>
        <v>0</v>
      </c>
      <c r="AE12" s="1033">
        <f>VLOOKUP(AB12,Düngemittel!$B$6:$E$64,2,FALSE)*AC12</f>
        <v>0</v>
      </c>
      <c r="AF12" s="1033">
        <f>VLOOKUP(AB12,Düngemittel!$B$6:$E$64,4,FALSE)*AC12</f>
        <v>0</v>
      </c>
      <c r="AG12" s="2089"/>
      <c r="AH12" s="1329"/>
      <c r="AI12" s="1330" t="s">
        <v>795</v>
      </c>
      <c r="AJ12" s="1424">
        <v>0</v>
      </c>
      <c r="AK12" s="1033">
        <f>VLOOKUP(AI12,Düngemittel!$B$6:$E$64,2,FALSE)*(VLOOKUP(AI12,Düngemittel!$B$6:$E$64,3,FALSE))/100*AJ12</f>
        <v>0</v>
      </c>
      <c r="AL12" s="1033">
        <f>VLOOKUP(AI12,Düngemittel!$B$6:$E$64,2,FALSE)*AJ12</f>
        <v>0</v>
      </c>
      <c r="AM12" s="1033">
        <f>VLOOKUP(AI12,Düngemittel!$B$6:$E$64,4,FALSE)*AJ12</f>
        <v>0</v>
      </c>
      <c r="AN12" s="2089"/>
      <c r="AO12" s="1329"/>
      <c r="AP12" s="1330" t="s">
        <v>795</v>
      </c>
      <c r="AQ12" s="1424">
        <v>0</v>
      </c>
      <c r="AR12" s="1033">
        <f>VLOOKUP(AP12,Düngemittel!$B$6:$E$64,2,FALSE)*(VLOOKUP(AP12,Düngemittel!$B$6:$E$64,3,FALSE))/100*AQ12</f>
        <v>0</v>
      </c>
      <c r="AS12" s="1033">
        <f>VLOOKUP(AP12,Düngemittel!$B$6:$E$64,2,FALSE)*AQ12</f>
        <v>0</v>
      </c>
      <c r="AT12" s="1033">
        <f>VLOOKUP(AP12,Düngemittel!$B$6:$E$64,4,FALSE)*AQ12</f>
        <v>0</v>
      </c>
      <c r="AU12" s="2089"/>
      <c r="AV12" s="1329"/>
      <c r="AW12" s="1330" t="s">
        <v>795</v>
      </c>
      <c r="AX12" s="1424">
        <v>0</v>
      </c>
      <c r="AY12" s="1033">
        <f>VLOOKUP(AW12,Düngemittel!$B$6:$E$64,2,FALSE)*(VLOOKUP(AW12,Düngemittel!$B$6:$E$64,3,FALSE))/100*AX12</f>
        <v>0</v>
      </c>
      <c r="AZ12" s="1033">
        <f>VLOOKUP(AW12,Düngemittel!$B$6:$E$64,2,FALSE)*AX12</f>
        <v>0</v>
      </c>
      <c r="BA12" s="1033">
        <f>VLOOKUP(AW12,Düngemittel!$B$6:$E$64,4,FALSE)*AX12</f>
        <v>0</v>
      </c>
      <c r="BB12" s="863"/>
      <c r="BC12" s="1282">
        <f t="shared" si="12"/>
        <v>0</v>
      </c>
      <c r="BD12" s="1126">
        <f t="shared" si="13"/>
        <v>0</v>
      </c>
      <c r="BE12" s="1283">
        <f t="shared" si="13"/>
        <v>0</v>
      </c>
      <c r="BF12" s="1151">
        <f t="shared" si="14"/>
        <v>0</v>
      </c>
      <c r="BG12" s="1126">
        <f t="shared" si="15"/>
        <v>0</v>
      </c>
      <c r="BH12" s="1152"/>
      <c r="BI12" s="1282">
        <f t="shared" si="16"/>
        <v>0</v>
      </c>
      <c r="BJ12" s="1282">
        <f t="shared" si="17"/>
        <v>0</v>
      </c>
      <c r="BK12" s="1282">
        <f t="shared" si="18"/>
        <v>0</v>
      </c>
      <c r="BL12" s="1282">
        <f t="shared" si="19"/>
        <v>0</v>
      </c>
      <c r="BM12" s="1282">
        <f t="shared" si="20"/>
        <v>0</v>
      </c>
      <c r="BN12" s="1119"/>
      <c r="BO12" s="992" t="s">
        <v>736</v>
      </c>
      <c r="BP12" s="803">
        <v>75</v>
      </c>
      <c r="BQ12" s="803">
        <v>16.2</v>
      </c>
      <c r="BR12" s="803">
        <v>0.8</v>
      </c>
      <c r="BS12" s="998"/>
      <c r="BT12" s="999"/>
      <c r="BU12" s="1001"/>
      <c r="BV12" s="998"/>
      <c r="BW12" s="998"/>
      <c r="BX12" s="998"/>
    </row>
    <row r="13" spans="1:76" ht="23.25" customHeight="1">
      <c r="A13" s="468">
        <v>6</v>
      </c>
      <c r="B13" s="1705">
        <v>0</v>
      </c>
      <c r="C13" s="796" t="s">
        <v>31</v>
      </c>
      <c r="D13" s="565">
        <f t="shared" si="0"/>
        <v>0</v>
      </c>
      <c r="E13" s="335">
        <f t="shared" si="1"/>
        <v>0</v>
      </c>
      <c r="F13" s="566">
        <f t="shared" ref="F13:F17" si="21">D13*E13/6.25</f>
        <v>0</v>
      </c>
      <c r="G13" s="1720">
        <v>0</v>
      </c>
      <c r="H13" s="1437">
        <v>0</v>
      </c>
      <c r="I13" s="570">
        <f t="shared" ref="I13:I17" si="22">G13*H13/6.25</f>
        <v>0</v>
      </c>
      <c r="J13" s="590">
        <v>0</v>
      </c>
      <c r="K13" s="743">
        <f t="shared" ref="K13:K17" si="23">IF(J13="Reinbestand",I13,J13*3)</f>
        <v>0</v>
      </c>
      <c r="L13" s="1703">
        <v>0</v>
      </c>
      <c r="M13" s="742">
        <f t="shared" si="2"/>
        <v>0</v>
      </c>
      <c r="N13" s="592">
        <f t="shared" si="3"/>
        <v>0</v>
      </c>
      <c r="O13" s="657">
        <f t="shared" si="4"/>
        <v>0</v>
      </c>
      <c r="P13" s="592">
        <f t="shared" si="5"/>
        <v>0</v>
      </c>
      <c r="Q13" s="634"/>
      <c r="R13" s="1281">
        <f t="shared" si="10"/>
        <v>6</v>
      </c>
      <c r="S13" s="1281" t="str">
        <f t="shared" si="11"/>
        <v>keine</v>
      </c>
      <c r="T13" s="1329"/>
      <c r="U13" s="1330" t="s">
        <v>795</v>
      </c>
      <c r="V13" s="1424">
        <v>0</v>
      </c>
      <c r="W13" s="1033">
        <f>VLOOKUP(U13,Düngemittel!$B$6:$E$64,2,FALSE)*(VLOOKUP(U13,Düngemittel!$B$6:$E$64,3,FALSE))/100*V13</f>
        <v>0</v>
      </c>
      <c r="X13" s="1033">
        <f>VLOOKUP(U13,Düngemittel!$B$6:$E$64,2,FALSE)*V13</f>
        <v>0</v>
      </c>
      <c r="Y13" s="1033">
        <f>VLOOKUP(U13,Düngemittel!$B$6:$E$64,4,FALSE)*V13</f>
        <v>0</v>
      </c>
      <c r="Z13" s="2089"/>
      <c r="AA13" s="1329"/>
      <c r="AB13" s="1330" t="s">
        <v>795</v>
      </c>
      <c r="AC13" s="1424">
        <v>0</v>
      </c>
      <c r="AD13" s="1033">
        <f>VLOOKUP(AB13,Düngemittel!$B$6:$E$64,2,FALSE)*(VLOOKUP(AB13,Düngemittel!$B$6:$E$64,3,FALSE))/100*AC13</f>
        <v>0</v>
      </c>
      <c r="AE13" s="1033">
        <f>VLOOKUP(AB13,Düngemittel!$B$6:$E$64,2,FALSE)*AC13</f>
        <v>0</v>
      </c>
      <c r="AF13" s="1033">
        <f>VLOOKUP(AB13,Düngemittel!$B$6:$E$64,4,FALSE)*AC13</f>
        <v>0</v>
      </c>
      <c r="AG13" s="2089"/>
      <c r="AH13" s="1329"/>
      <c r="AI13" s="1330" t="s">
        <v>795</v>
      </c>
      <c r="AJ13" s="1424">
        <v>0</v>
      </c>
      <c r="AK13" s="1033">
        <f>VLOOKUP(AI13,Düngemittel!$B$6:$E$64,2,FALSE)*(VLOOKUP(AI13,Düngemittel!$B$6:$E$64,3,FALSE))/100*AJ13</f>
        <v>0</v>
      </c>
      <c r="AL13" s="1033">
        <f>VLOOKUP(AI13,Düngemittel!$B$6:$E$64,2,FALSE)*AJ13</f>
        <v>0</v>
      </c>
      <c r="AM13" s="1033">
        <f>VLOOKUP(AI13,Düngemittel!$B$6:$E$64,4,FALSE)*AJ13</f>
        <v>0</v>
      </c>
      <c r="AN13" s="2089"/>
      <c r="AO13" s="1329"/>
      <c r="AP13" s="1330" t="s">
        <v>795</v>
      </c>
      <c r="AQ13" s="1424">
        <v>0</v>
      </c>
      <c r="AR13" s="1033">
        <f>VLOOKUP(AP13,Düngemittel!$B$6:$E$64,2,FALSE)*(VLOOKUP(AP13,Düngemittel!$B$6:$E$64,3,FALSE))/100*AQ13</f>
        <v>0</v>
      </c>
      <c r="AS13" s="1033">
        <f>VLOOKUP(AP13,Düngemittel!$B$6:$E$64,2,FALSE)*AQ13</f>
        <v>0</v>
      </c>
      <c r="AT13" s="1033">
        <f>VLOOKUP(AP13,Düngemittel!$B$6:$E$64,4,FALSE)*AQ13</f>
        <v>0</v>
      </c>
      <c r="AU13" s="2089"/>
      <c r="AV13" s="1329"/>
      <c r="AW13" s="1330" t="s">
        <v>795</v>
      </c>
      <c r="AX13" s="1424">
        <v>0</v>
      </c>
      <c r="AY13" s="1033">
        <f>VLOOKUP(AW13,Düngemittel!$B$6:$E$64,2,FALSE)*(VLOOKUP(AW13,Düngemittel!$B$6:$E$64,3,FALSE))/100*AX13</f>
        <v>0</v>
      </c>
      <c r="AZ13" s="1033">
        <f>VLOOKUP(AW13,Düngemittel!$B$6:$E$64,2,FALSE)*AX13</f>
        <v>0</v>
      </c>
      <c r="BA13" s="1033">
        <f>VLOOKUP(AW13,Düngemittel!$B$6:$E$64,4,FALSE)*AX13</f>
        <v>0</v>
      </c>
      <c r="BB13" s="863"/>
      <c r="BC13" s="1282">
        <f t="shared" si="12"/>
        <v>0</v>
      </c>
      <c r="BD13" s="1126">
        <f t="shared" si="13"/>
        <v>0</v>
      </c>
      <c r="BE13" s="1283">
        <f t="shared" si="13"/>
        <v>0</v>
      </c>
      <c r="BF13" s="1151">
        <f t="shared" si="14"/>
        <v>0</v>
      </c>
      <c r="BG13" s="1126">
        <f t="shared" si="15"/>
        <v>0</v>
      </c>
      <c r="BH13" s="1152"/>
      <c r="BI13" s="1282">
        <f t="shared" si="16"/>
        <v>0</v>
      </c>
      <c r="BJ13" s="1282">
        <f t="shared" si="17"/>
        <v>0</v>
      </c>
      <c r="BK13" s="1282">
        <f t="shared" si="18"/>
        <v>0</v>
      </c>
      <c r="BL13" s="1282">
        <f t="shared" si="19"/>
        <v>0</v>
      </c>
      <c r="BM13" s="1282">
        <f t="shared" si="20"/>
        <v>0</v>
      </c>
      <c r="BN13" s="1119"/>
      <c r="BO13" s="991" t="s">
        <v>243</v>
      </c>
      <c r="BP13" s="646">
        <v>120</v>
      </c>
      <c r="BQ13" s="646">
        <v>18.2</v>
      </c>
      <c r="BR13" s="646">
        <v>0.75</v>
      </c>
      <c r="BS13" s="998"/>
      <c r="BT13" s="999"/>
      <c r="BU13" s="1003"/>
      <c r="BV13" s="998"/>
      <c r="BW13" s="998"/>
      <c r="BX13" s="998"/>
    </row>
    <row r="14" spans="1:76" ht="23.25" customHeight="1">
      <c r="A14" s="468">
        <v>7</v>
      </c>
      <c r="B14" s="1705">
        <v>0</v>
      </c>
      <c r="C14" s="796" t="s">
        <v>31</v>
      </c>
      <c r="D14" s="565">
        <f t="shared" si="0"/>
        <v>0</v>
      </c>
      <c r="E14" s="335">
        <f t="shared" si="1"/>
        <v>0</v>
      </c>
      <c r="F14" s="566">
        <f t="shared" si="21"/>
        <v>0</v>
      </c>
      <c r="G14" s="1720">
        <v>0</v>
      </c>
      <c r="H14" s="1437">
        <v>0</v>
      </c>
      <c r="I14" s="570">
        <f t="shared" si="22"/>
        <v>0</v>
      </c>
      <c r="J14" s="590">
        <v>0</v>
      </c>
      <c r="K14" s="743">
        <f t="shared" si="23"/>
        <v>0</v>
      </c>
      <c r="L14" s="1703">
        <v>0</v>
      </c>
      <c r="M14" s="742">
        <f t="shared" si="2"/>
        <v>0</v>
      </c>
      <c r="N14" s="592">
        <f t="shared" si="3"/>
        <v>0</v>
      </c>
      <c r="O14" s="657">
        <f t="shared" si="4"/>
        <v>0</v>
      </c>
      <c r="P14" s="592">
        <f t="shared" si="5"/>
        <v>0</v>
      </c>
      <c r="Q14" s="634"/>
      <c r="R14" s="1281">
        <f t="shared" si="10"/>
        <v>7</v>
      </c>
      <c r="S14" s="1281" t="str">
        <f t="shared" si="11"/>
        <v>keine</v>
      </c>
      <c r="T14" s="1329"/>
      <c r="U14" s="1330" t="s">
        <v>795</v>
      </c>
      <c r="V14" s="1424">
        <v>0</v>
      </c>
      <c r="W14" s="1033">
        <f>VLOOKUP(U14,Düngemittel!$B$6:$E$64,2,FALSE)*(VLOOKUP(U14,Düngemittel!$B$6:$E$64,3,FALSE))/100*V14</f>
        <v>0</v>
      </c>
      <c r="X14" s="1033">
        <f>VLOOKUP(U14,Düngemittel!$B$6:$E$64,2,FALSE)*V14</f>
        <v>0</v>
      </c>
      <c r="Y14" s="1033">
        <f>VLOOKUP(U14,Düngemittel!$B$6:$E$64,4,FALSE)*V14</f>
        <v>0</v>
      </c>
      <c r="Z14" s="2089"/>
      <c r="AA14" s="1329"/>
      <c r="AB14" s="1330" t="s">
        <v>795</v>
      </c>
      <c r="AC14" s="1424">
        <v>0</v>
      </c>
      <c r="AD14" s="1033">
        <f>VLOOKUP(AB14,Düngemittel!$B$6:$E$64,2,FALSE)*(VLOOKUP(AB14,Düngemittel!$B$6:$E$64,3,FALSE))/100*AC14</f>
        <v>0</v>
      </c>
      <c r="AE14" s="1033">
        <f>VLOOKUP(AB14,Düngemittel!$B$6:$E$64,2,FALSE)*AC14</f>
        <v>0</v>
      </c>
      <c r="AF14" s="1033">
        <f>VLOOKUP(AB14,Düngemittel!$B$6:$E$64,4,FALSE)*AC14</f>
        <v>0</v>
      </c>
      <c r="AG14" s="2089"/>
      <c r="AH14" s="1329"/>
      <c r="AI14" s="1330" t="s">
        <v>795</v>
      </c>
      <c r="AJ14" s="1424">
        <v>0</v>
      </c>
      <c r="AK14" s="1033">
        <f>VLOOKUP(AI14,Düngemittel!$B$6:$E$64,2,FALSE)*(VLOOKUP(AI14,Düngemittel!$B$6:$E$64,3,FALSE))/100*AJ14</f>
        <v>0</v>
      </c>
      <c r="AL14" s="1033">
        <f>VLOOKUP(AI14,Düngemittel!$B$6:$E$64,2,FALSE)*AJ14</f>
        <v>0</v>
      </c>
      <c r="AM14" s="1033">
        <f>VLOOKUP(AI14,Düngemittel!$B$6:$E$64,4,FALSE)*AJ14</f>
        <v>0</v>
      </c>
      <c r="AN14" s="2089"/>
      <c r="AO14" s="1329"/>
      <c r="AP14" s="1330" t="s">
        <v>795</v>
      </c>
      <c r="AQ14" s="1424">
        <v>0</v>
      </c>
      <c r="AR14" s="1033">
        <f>VLOOKUP(AP14,Düngemittel!$B$6:$E$64,2,FALSE)*(VLOOKUP(AP14,Düngemittel!$B$6:$E$64,3,FALSE))/100*AQ14</f>
        <v>0</v>
      </c>
      <c r="AS14" s="1033">
        <f>VLOOKUP(AP14,Düngemittel!$B$6:$E$64,2,FALSE)*AQ14</f>
        <v>0</v>
      </c>
      <c r="AT14" s="1033">
        <f>VLOOKUP(AP14,Düngemittel!$B$6:$E$64,4,FALSE)*AQ14</f>
        <v>0</v>
      </c>
      <c r="AU14" s="2089"/>
      <c r="AV14" s="1329"/>
      <c r="AW14" s="1330" t="s">
        <v>795</v>
      </c>
      <c r="AX14" s="1424">
        <v>0</v>
      </c>
      <c r="AY14" s="1033">
        <f>VLOOKUP(AW14,Düngemittel!$B$6:$E$64,2,FALSE)*(VLOOKUP(AW14,Düngemittel!$B$6:$E$64,3,FALSE))/100*AX14</f>
        <v>0</v>
      </c>
      <c r="AZ14" s="1033">
        <f>VLOOKUP(AW14,Düngemittel!$B$6:$E$64,2,FALSE)*AX14</f>
        <v>0</v>
      </c>
      <c r="BA14" s="1033">
        <f>VLOOKUP(AW14,Düngemittel!$B$6:$E$64,4,FALSE)*AX14</f>
        <v>0</v>
      </c>
      <c r="BB14" s="863"/>
      <c r="BC14" s="1282">
        <f t="shared" si="12"/>
        <v>0</v>
      </c>
      <c r="BD14" s="1126">
        <f t="shared" si="13"/>
        <v>0</v>
      </c>
      <c r="BE14" s="1283">
        <f t="shared" si="13"/>
        <v>0</v>
      </c>
      <c r="BF14" s="1151">
        <f t="shared" si="14"/>
        <v>0</v>
      </c>
      <c r="BG14" s="1126">
        <f t="shared" si="15"/>
        <v>0</v>
      </c>
      <c r="BH14" s="1152"/>
      <c r="BI14" s="1282">
        <f t="shared" si="16"/>
        <v>0</v>
      </c>
      <c r="BJ14" s="1282">
        <f t="shared" si="17"/>
        <v>0</v>
      </c>
      <c r="BK14" s="1282">
        <f t="shared" si="18"/>
        <v>0</v>
      </c>
      <c r="BL14" s="1282">
        <f t="shared" si="19"/>
        <v>0</v>
      </c>
      <c r="BM14" s="1282">
        <f t="shared" si="20"/>
        <v>0</v>
      </c>
      <c r="BN14" s="1119"/>
      <c r="BO14" s="991" t="s">
        <v>241</v>
      </c>
      <c r="BP14" s="646">
        <v>110</v>
      </c>
      <c r="BQ14" s="646">
        <v>20.5</v>
      </c>
      <c r="BR14" s="646">
        <v>0.7</v>
      </c>
      <c r="BS14" s="998"/>
      <c r="BT14" s="998"/>
      <c r="BU14" s="998"/>
      <c r="BV14" s="998"/>
      <c r="BW14" s="998"/>
      <c r="BX14" s="998"/>
    </row>
    <row r="15" spans="1:76" ht="23.25" customHeight="1">
      <c r="A15" s="468">
        <v>8</v>
      </c>
      <c r="B15" s="1705">
        <v>0</v>
      </c>
      <c r="C15" s="796" t="s">
        <v>31</v>
      </c>
      <c r="D15" s="565">
        <f t="shared" si="0"/>
        <v>0</v>
      </c>
      <c r="E15" s="335">
        <f t="shared" si="1"/>
        <v>0</v>
      </c>
      <c r="F15" s="566">
        <f t="shared" si="21"/>
        <v>0</v>
      </c>
      <c r="G15" s="1720">
        <v>0</v>
      </c>
      <c r="H15" s="1437">
        <v>0</v>
      </c>
      <c r="I15" s="570">
        <f t="shared" si="22"/>
        <v>0</v>
      </c>
      <c r="J15" s="590">
        <v>0</v>
      </c>
      <c r="K15" s="743">
        <f t="shared" si="23"/>
        <v>0</v>
      </c>
      <c r="L15" s="1703">
        <v>0</v>
      </c>
      <c r="M15" s="742">
        <f t="shared" si="2"/>
        <v>0</v>
      </c>
      <c r="N15" s="592">
        <f t="shared" si="3"/>
        <v>0</v>
      </c>
      <c r="O15" s="657">
        <f t="shared" si="4"/>
        <v>0</v>
      </c>
      <c r="P15" s="592">
        <f t="shared" si="5"/>
        <v>0</v>
      </c>
      <c r="Q15" s="634"/>
      <c r="R15" s="1281">
        <f t="shared" si="10"/>
        <v>8</v>
      </c>
      <c r="S15" s="1281" t="str">
        <f t="shared" si="11"/>
        <v>keine</v>
      </c>
      <c r="T15" s="1329"/>
      <c r="U15" s="1330" t="s">
        <v>795</v>
      </c>
      <c r="V15" s="1424">
        <v>0</v>
      </c>
      <c r="W15" s="1033">
        <f>VLOOKUP(U15,Düngemittel!$B$6:$E$64,2,FALSE)*(VLOOKUP(U15,Düngemittel!$B$6:$E$64,3,FALSE))/100*V15</f>
        <v>0</v>
      </c>
      <c r="X15" s="1033">
        <f>VLOOKUP(U15,Düngemittel!$B$6:$E$64,2,FALSE)*V15</f>
        <v>0</v>
      </c>
      <c r="Y15" s="1033">
        <f>VLOOKUP(U15,Düngemittel!$B$6:$E$64,4,FALSE)*V15</f>
        <v>0</v>
      </c>
      <c r="Z15" s="2089"/>
      <c r="AA15" s="1329"/>
      <c r="AB15" s="1330" t="s">
        <v>795</v>
      </c>
      <c r="AC15" s="1424">
        <v>0</v>
      </c>
      <c r="AD15" s="1033">
        <f>VLOOKUP(AB15,Düngemittel!$B$6:$E$64,2,FALSE)*(VLOOKUP(AB15,Düngemittel!$B$6:$E$64,3,FALSE))/100*AC15</f>
        <v>0</v>
      </c>
      <c r="AE15" s="1033">
        <f>VLOOKUP(AB15,Düngemittel!$B$6:$E$64,2,FALSE)*AC15</f>
        <v>0</v>
      </c>
      <c r="AF15" s="1033">
        <f>VLOOKUP(AB15,Düngemittel!$B$6:$E$64,4,FALSE)*AC15</f>
        <v>0</v>
      </c>
      <c r="AG15" s="2089"/>
      <c r="AH15" s="1329"/>
      <c r="AI15" s="1330" t="s">
        <v>795</v>
      </c>
      <c r="AJ15" s="1424">
        <v>0</v>
      </c>
      <c r="AK15" s="1033">
        <f>VLOOKUP(AI15,Düngemittel!$B$6:$E$64,2,FALSE)*(VLOOKUP(AI15,Düngemittel!$B$6:$E$64,3,FALSE))/100*AJ15</f>
        <v>0</v>
      </c>
      <c r="AL15" s="1033">
        <f>VLOOKUP(AI15,Düngemittel!$B$6:$E$64,2,FALSE)*AJ15</f>
        <v>0</v>
      </c>
      <c r="AM15" s="1033">
        <f>VLOOKUP(AI15,Düngemittel!$B$6:$E$64,4,FALSE)*AJ15</f>
        <v>0</v>
      </c>
      <c r="AN15" s="2089"/>
      <c r="AO15" s="1329"/>
      <c r="AP15" s="1330" t="s">
        <v>795</v>
      </c>
      <c r="AQ15" s="1424">
        <v>0</v>
      </c>
      <c r="AR15" s="1033">
        <f>VLOOKUP(AP15,Düngemittel!$B$6:$E$64,2,FALSE)*(VLOOKUP(AP15,Düngemittel!$B$6:$E$64,3,FALSE))/100*AQ15</f>
        <v>0</v>
      </c>
      <c r="AS15" s="1033">
        <f>VLOOKUP(AP15,Düngemittel!$B$6:$E$64,2,FALSE)*AQ15</f>
        <v>0</v>
      </c>
      <c r="AT15" s="1033">
        <f>VLOOKUP(AP15,Düngemittel!$B$6:$E$64,4,FALSE)*AQ15</f>
        <v>0</v>
      </c>
      <c r="AU15" s="2089"/>
      <c r="AV15" s="1329"/>
      <c r="AW15" s="1330" t="s">
        <v>795</v>
      </c>
      <c r="AX15" s="1424">
        <v>0</v>
      </c>
      <c r="AY15" s="1033">
        <f>VLOOKUP(AW15,Düngemittel!$B$6:$E$64,2,FALSE)*(VLOOKUP(AW15,Düngemittel!$B$6:$E$64,3,FALSE))/100*AX15</f>
        <v>0</v>
      </c>
      <c r="AZ15" s="1033">
        <f>VLOOKUP(AW15,Düngemittel!$B$6:$E$64,2,FALSE)*AX15</f>
        <v>0</v>
      </c>
      <c r="BA15" s="1033">
        <f>VLOOKUP(AW15,Düngemittel!$B$6:$E$64,4,FALSE)*AX15</f>
        <v>0</v>
      </c>
      <c r="BB15" s="863"/>
      <c r="BC15" s="1282">
        <f t="shared" si="12"/>
        <v>0</v>
      </c>
      <c r="BD15" s="1126">
        <f t="shared" si="13"/>
        <v>0</v>
      </c>
      <c r="BE15" s="1283">
        <f t="shared" si="13"/>
        <v>0</v>
      </c>
      <c r="BF15" s="1151">
        <f t="shared" si="14"/>
        <v>0</v>
      </c>
      <c r="BG15" s="1126">
        <f t="shared" si="15"/>
        <v>0</v>
      </c>
      <c r="BH15" s="1152"/>
      <c r="BI15" s="1282">
        <f t="shared" si="16"/>
        <v>0</v>
      </c>
      <c r="BJ15" s="1282">
        <f t="shared" si="17"/>
        <v>0</v>
      </c>
      <c r="BK15" s="1282">
        <f t="shared" si="18"/>
        <v>0</v>
      </c>
      <c r="BL15" s="1282">
        <f t="shared" si="19"/>
        <v>0</v>
      </c>
      <c r="BM15" s="1282">
        <f t="shared" si="20"/>
        <v>0</v>
      </c>
      <c r="BN15" s="1119"/>
      <c r="BO15" s="991" t="s">
        <v>243</v>
      </c>
      <c r="BP15" s="646">
        <v>120</v>
      </c>
      <c r="BQ15" s="646">
        <v>18.2</v>
      </c>
      <c r="BR15" s="646">
        <v>0.75</v>
      </c>
      <c r="BS15" s="998"/>
      <c r="BT15" s="998"/>
      <c r="BU15" s="998"/>
      <c r="BV15" s="998"/>
      <c r="BW15" s="998"/>
      <c r="BX15" s="998"/>
    </row>
    <row r="16" spans="1:76" ht="23.25" customHeight="1">
      <c r="A16" s="468">
        <v>9</v>
      </c>
      <c r="B16" s="1705">
        <v>0</v>
      </c>
      <c r="C16" s="796" t="s">
        <v>31</v>
      </c>
      <c r="D16" s="565">
        <f t="shared" si="0"/>
        <v>0</v>
      </c>
      <c r="E16" s="335">
        <f t="shared" si="1"/>
        <v>0</v>
      </c>
      <c r="F16" s="566">
        <f t="shared" si="21"/>
        <v>0</v>
      </c>
      <c r="G16" s="1720">
        <v>0</v>
      </c>
      <c r="H16" s="1437">
        <v>0</v>
      </c>
      <c r="I16" s="570">
        <f t="shared" si="22"/>
        <v>0</v>
      </c>
      <c r="J16" s="590">
        <v>0</v>
      </c>
      <c r="K16" s="743">
        <f t="shared" si="23"/>
        <v>0</v>
      </c>
      <c r="L16" s="1703">
        <v>0</v>
      </c>
      <c r="M16" s="742">
        <f t="shared" si="2"/>
        <v>0</v>
      </c>
      <c r="N16" s="592">
        <f t="shared" si="3"/>
        <v>0</v>
      </c>
      <c r="O16" s="657">
        <f t="shared" si="4"/>
        <v>0</v>
      </c>
      <c r="P16" s="592">
        <f t="shared" si="5"/>
        <v>0</v>
      </c>
      <c r="Q16" s="634"/>
      <c r="R16" s="1281">
        <f t="shared" si="10"/>
        <v>9</v>
      </c>
      <c r="S16" s="1281" t="str">
        <f t="shared" si="11"/>
        <v>keine</v>
      </c>
      <c r="T16" s="1329"/>
      <c r="U16" s="1330" t="s">
        <v>795</v>
      </c>
      <c r="V16" s="1424">
        <v>0</v>
      </c>
      <c r="W16" s="1033">
        <f>VLOOKUP(U16,Düngemittel!$B$6:$E$64,2,FALSE)*(VLOOKUP(U16,Düngemittel!$B$6:$E$64,3,FALSE))/100*V16</f>
        <v>0</v>
      </c>
      <c r="X16" s="1033">
        <f>VLOOKUP(U16,Düngemittel!$B$6:$E$64,2,FALSE)*V16</f>
        <v>0</v>
      </c>
      <c r="Y16" s="1033">
        <f>VLOOKUP(U16,Düngemittel!$B$6:$E$64,4,FALSE)*V16</f>
        <v>0</v>
      </c>
      <c r="Z16" s="2089"/>
      <c r="AA16" s="1329"/>
      <c r="AB16" s="1330" t="s">
        <v>795</v>
      </c>
      <c r="AC16" s="1424">
        <v>0</v>
      </c>
      <c r="AD16" s="1033">
        <f>VLOOKUP(AB16,Düngemittel!$B$6:$E$64,2,FALSE)*(VLOOKUP(AB16,Düngemittel!$B$6:$E$64,3,FALSE))/100*AC16</f>
        <v>0</v>
      </c>
      <c r="AE16" s="1033">
        <f>VLOOKUP(AB16,Düngemittel!$B$6:$E$64,2,FALSE)*AC16</f>
        <v>0</v>
      </c>
      <c r="AF16" s="1033">
        <f>VLOOKUP(AB16,Düngemittel!$B$6:$E$64,4,FALSE)*AC16</f>
        <v>0</v>
      </c>
      <c r="AG16" s="2089"/>
      <c r="AH16" s="1329"/>
      <c r="AI16" s="1330" t="s">
        <v>795</v>
      </c>
      <c r="AJ16" s="1424">
        <v>0</v>
      </c>
      <c r="AK16" s="1033">
        <f>VLOOKUP(AI16,Düngemittel!$B$6:$E$64,2,FALSE)*(VLOOKUP(AI16,Düngemittel!$B$6:$E$64,3,FALSE))/100*AJ16</f>
        <v>0</v>
      </c>
      <c r="AL16" s="1033">
        <f>VLOOKUP(AI16,Düngemittel!$B$6:$E$64,2,FALSE)*AJ16</f>
        <v>0</v>
      </c>
      <c r="AM16" s="1033">
        <f>VLOOKUP(AI16,Düngemittel!$B$6:$E$64,4,FALSE)*AJ16</f>
        <v>0</v>
      </c>
      <c r="AN16" s="2089"/>
      <c r="AO16" s="1329"/>
      <c r="AP16" s="1330" t="s">
        <v>795</v>
      </c>
      <c r="AQ16" s="1424">
        <v>0</v>
      </c>
      <c r="AR16" s="1033">
        <f>VLOOKUP(AP16,Düngemittel!$B$6:$E$64,2,FALSE)*(VLOOKUP(AP16,Düngemittel!$B$6:$E$64,3,FALSE))/100*AQ16</f>
        <v>0</v>
      </c>
      <c r="AS16" s="1033">
        <f>VLOOKUP(AP16,Düngemittel!$B$6:$E$64,2,FALSE)*AQ16</f>
        <v>0</v>
      </c>
      <c r="AT16" s="1033">
        <f>VLOOKUP(AP16,Düngemittel!$B$6:$E$64,4,FALSE)*AQ16</f>
        <v>0</v>
      </c>
      <c r="AU16" s="2089"/>
      <c r="AV16" s="1329"/>
      <c r="AW16" s="1330" t="s">
        <v>795</v>
      </c>
      <c r="AX16" s="1424">
        <v>0</v>
      </c>
      <c r="AY16" s="1033">
        <f>VLOOKUP(AW16,Düngemittel!$B$6:$E$64,2,FALSE)*(VLOOKUP(AW16,Düngemittel!$B$6:$E$64,3,FALSE))/100*AX16</f>
        <v>0</v>
      </c>
      <c r="AZ16" s="1033">
        <f>VLOOKUP(AW16,Düngemittel!$B$6:$E$64,2,FALSE)*AX16</f>
        <v>0</v>
      </c>
      <c r="BA16" s="1033">
        <f>VLOOKUP(AW16,Düngemittel!$B$6:$E$64,4,FALSE)*AX16</f>
        <v>0</v>
      </c>
      <c r="BB16" s="863"/>
      <c r="BC16" s="1282">
        <f t="shared" si="12"/>
        <v>0</v>
      </c>
      <c r="BD16" s="1126">
        <f t="shared" si="13"/>
        <v>0</v>
      </c>
      <c r="BE16" s="1283">
        <f t="shared" si="13"/>
        <v>0</v>
      </c>
      <c r="BF16" s="1151">
        <f t="shared" si="14"/>
        <v>0</v>
      </c>
      <c r="BG16" s="1126">
        <f t="shared" si="15"/>
        <v>0</v>
      </c>
      <c r="BH16" s="1152"/>
      <c r="BI16" s="1282">
        <f t="shared" si="16"/>
        <v>0</v>
      </c>
      <c r="BJ16" s="1282">
        <f t="shared" si="17"/>
        <v>0</v>
      </c>
      <c r="BK16" s="1282">
        <f t="shared" si="18"/>
        <v>0</v>
      </c>
      <c r="BL16" s="1282">
        <f t="shared" si="19"/>
        <v>0</v>
      </c>
      <c r="BM16" s="1282">
        <f t="shared" si="20"/>
        <v>0</v>
      </c>
      <c r="BN16" s="1119"/>
      <c r="BO16" s="991" t="s">
        <v>241</v>
      </c>
      <c r="BP16" s="646">
        <v>110</v>
      </c>
      <c r="BQ16" s="646">
        <v>20.5</v>
      </c>
      <c r="BR16" s="646">
        <v>0.7</v>
      </c>
      <c r="BS16" s="998"/>
      <c r="BT16" s="998"/>
      <c r="BU16" s="998"/>
      <c r="BV16" s="998"/>
      <c r="BW16" s="998"/>
      <c r="BX16" s="998"/>
    </row>
    <row r="17" spans="1:76" ht="23.25" customHeight="1">
      <c r="A17" s="468">
        <v>10</v>
      </c>
      <c r="B17" s="1705">
        <v>0</v>
      </c>
      <c r="C17" s="796" t="s">
        <v>31</v>
      </c>
      <c r="D17" s="565">
        <f t="shared" si="0"/>
        <v>0</v>
      </c>
      <c r="E17" s="335">
        <f t="shared" si="1"/>
        <v>0</v>
      </c>
      <c r="F17" s="566">
        <f t="shared" si="21"/>
        <v>0</v>
      </c>
      <c r="G17" s="1720">
        <v>0</v>
      </c>
      <c r="H17" s="1437">
        <v>0</v>
      </c>
      <c r="I17" s="570">
        <f t="shared" si="22"/>
        <v>0</v>
      </c>
      <c r="J17" s="590">
        <v>0</v>
      </c>
      <c r="K17" s="743">
        <f t="shared" si="23"/>
        <v>0</v>
      </c>
      <c r="L17" s="1703">
        <v>0</v>
      </c>
      <c r="M17" s="742">
        <f t="shared" si="2"/>
        <v>0</v>
      </c>
      <c r="N17" s="592">
        <f t="shared" si="3"/>
        <v>0</v>
      </c>
      <c r="O17" s="657">
        <f t="shared" si="4"/>
        <v>0</v>
      </c>
      <c r="P17" s="592">
        <f t="shared" si="5"/>
        <v>0</v>
      </c>
      <c r="Q17" s="634"/>
      <c r="R17" s="1281">
        <f t="shared" si="10"/>
        <v>10</v>
      </c>
      <c r="S17" s="1281" t="str">
        <f t="shared" si="11"/>
        <v>keine</v>
      </c>
      <c r="T17" s="1329"/>
      <c r="U17" s="1330" t="s">
        <v>795</v>
      </c>
      <c r="V17" s="1424">
        <v>0</v>
      </c>
      <c r="W17" s="1033">
        <f>VLOOKUP(U17,Düngemittel!$B$6:$E$64,2,FALSE)*(VLOOKUP(U17,Düngemittel!$B$6:$E$64,3,FALSE))/100*V17</f>
        <v>0</v>
      </c>
      <c r="X17" s="1033">
        <f>VLOOKUP(U17,Düngemittel!$B$6:$E$64,2,FALSE)*V17</f>
        <v>0</v>
      </c>
      <c r="Y17" s="1033">
        <f>VLOOKUP(U17,Düngemittel!$B$6:$E$64,4,FALSE)*V17</f>
        <v>0</v>
      </c>
      <c r="Z17" s="2089"/>
      <c r="AA17" s="1329"/>
      <c r="AB17" s="1330" t="s">
        <v>795</v>
      </c>
      <c r="AC17" s="1424">
        <v>0</v>
      </c>
      <c r="AD17" s="1033">
        <f>VLOOKUP(AB17,Düngemittel!$B$6:$E$64,2,FALSE)*(VLOOKUP(AB17,Düngemittel!$B$6:$E$64,3,FALSE))/100*AC17</f>
        <v>0</v>
      </c>
      <c r="AE17" s="1033">
        <f>VLOOKUP(AB17,Düngemittel!$B$6:$E$64,2,FALSE)*AC17</f>
        <v>0</v>
      </c>
      <c r="AF17" s="1033">
        <f>VLOOKUP(AB17,Düngemittel!$B$6:$E$64,4,FALSE)*AC17</f>
        <v>0</v>
      </c>
      <c r="AG17" s="2089"/>
      <c r="AH17" s="1329"/>
      <c r="AI17" s="1330" t="s">
        <v>795</v>
      </c>
      <c r="AJ17" s="1424">
        <v>0</v>
      </c>
      <c r="AK17" s="1033">
        <f>VLOOKUP(AI17,Düngemittel!$B$6:$E$64,2,FALSE)*(VLOOKUP(AI17,Düngemittel!$B$6:$E$64,3,FALSE))/100*AJ17</f>
        <v>0</v>
      </c>
      <c r="AL17" s="1033">
        <f>VLOOKUP(AI17,Düngemittel!$B$6:$E$64,2,FALSE)*AJ17</f>
        <v>0</v>
      </c>
      <c r="AM17" s="1033">
        <f>VLOOKUP(AI17,Düngemittel!$B$6:$E$64,4,FALSE)*AJ17</f>
        <v>0</v>
      </c>
      <c r="AN17" s="2089"/>
      <c r="AO17" s="1329"/>
      <c r="AP17" s="1330" t="s">
        <v>795</v>
      </c>
      <c r="AQ17" s="1424">
        <v>0</v>
      </c>
      <c r="AR17" s="1033">
        <f>VLOOKUP(AP17,Düngemittel!$B$6:$E$64,2,FALSE)*(VLOOKUP(AP17,Düngemittel!$B$6:$E$64,3,FALSE))/100*AQ17</f>
        <v>0</v>
      </c>
      <c r="AS17" s="1033">
        <f>VLOOKUP(AP17,Düngemittel!$B$6:$E$64,2,FALSE)*AQ17</f>
        <v>0</v>
      </c>
      <c r="AT17" s="1033">
        <f>VLOOKUP(AP17,Düngemittel!$B$6:$E$64,4,FALSE)*AQ17</f>
        <v>0</v>
      </c>
      <c r="AU17" s="2089"/>
      <c r="AV17" s="1329"/>
      <c r="AW17" s="1330" t="s">
        <v>795</v>
      </c>
      <c r="AX17" s="1424">
        <v>0</v>
      </c>
      <c r="AY17" s="1033">
        <f>VLOOKUP(AW17,Düngemittel!$B$6:$E$64,2,FALSE)*(VLOOKUP(AW17,Düngemittel!$B$6:$E$64,3,FALSE))/100*AX17</f>
        <v>0</v>
      </c>
      <c r="AZ17" s="1033">
        <f>VLOOKUP(AW17,Düngemittel!$B$6:$E$64,2,FALSE)*AX17</f>
        <v>0</v>
      </c>
      <c r="BA17" s="1033">
        <f>VLOOKUP(AW17,Düngemittel!$B$6:$E$64,4,FALSE)*AX17</f>
        <v>0</v>
      </c>
      <c r="BB17" s="863"/>
      <c r="BC17" s="1282">
        <f t="shared" si="12"/>
        <v>0</v>
      </c>
      <c r="BD17" s="1126">
        <f t="shared" si="13"/>
        <v>0</v>
      </c>
      <c r="BE17" s="1283">
        <f t="shared" si="13"/>
        <v>0</v>
      </c>
      <c r="BF17" s="1151">
        <f t="shared" si="14"/>
        <v>0</v>
      </c>
      <c r="BG17" s="1126">
        <f t="shared" si="15"/>
        <v>0</v>
      </c>
      <c r="BH17" s="1152"/>
      <c r="BI17" s="1282">
        <f t="shared" si="16"/>
        <v>0</v>
      </c>
      <c r="BJ17" s="1282">
        <f t="shared" si="17"/>
        <v>0</v>
      </c>
      <c r="BK17" s="1282">
        <f t="shared" si="18"/>
        <v>0</v>
      </c>
      <c r="BL17" s="1282">
        <f t="shared" si="19"/>
        <v>0</v>
      </c>
      <c r="BM17" s="1282">
        <f t="shared" si="20"/>
        <v>0</v>
      </c>
      <c r="BN17" s="1119"/>
      <c r="BO17" s="1004"/>
      <c r="BP17" s="112"/>
      <c r="BQ17" s="112"/>
      <c r="BS17" s="998"/>
      <c r="BT17" s="998"/>
      <c r="BU17" s="998"/>
      <c r="BV17" s="998"/>
      <c r="BW17" s="998"/>
      <c r="BX17" s="998"/>
    </row>
    <row r="18" spans="1:76" ht="23.25" customHeight="1">
      <c r="A18" s="468">
        <v>11</v>
      </c>
      <c r="B18" s="1705">
        <v>0</v>
      </c>
      <c r="C18" s="796" t="s">
        <v>31</v>
      </c>
      <c r="D18" s="565">
        <f t="shared" si="0"/>
        <v>0</v>
      </c>
      <c r="E18" s="335">
        <f t="shared" si="1"/>
        <v>0</v>
      </c>
      <c r="F18" s="566">
        <f t="shared" si="7"/>
        <v>0</v>
      </c>
      <c r="G18" s="1720">
        <v>0</v>
      </c>
      <c r="H18" s="1437">
        <v>0</v>
      </c>
      <c r="I18" s="570">
        <f t="shared" si="8"/>
        <v>0</v>
      </c>
      <c r="J18" s="590">
        <v>0</v>
      </c>
      <c r="K18" s="743">
        <f t="shared" si="9"/>
        <v>0</v>
      </c>
      <c r="L18" s="1703">
        <v>0</v>
      </c>
      <c r="M18" s="742">
        <f t="shared" si="2"/>
        <v>0</v>
      </c>
      <c r="N18" s="592">
        <f t="shared" si="3"/>
        <v>0</v>
      </c>
      <c r="O18" s="657">
        <f t="shared" si="4"/>
        <v>0</v>
      </c>
      <c r="P18" s="592">
        <f t="shared" si="5"/>
        <v>0</v>
      </c>
      <c r="Q18" s="634"/>
      <c r="R18" s="1281">
        <f t="shared" si="10"/>
        <v>11</v>
      </c>
      <c r="S18" s="1281" t="str">
        <f t="shared" si="11"/>
        <v>keine</v>
      </c>
      <c r="T18" s="1329"/>
      <c r="U18" s="1330" t="s">
        <v>795</v>
      </c>
      <c r="V18" s="1424">
        <v>0</v>
      </c>
      <c r="W18" s="1033">
        <f>VLOOKUP(U18,Düngemittel!$B$6:$E$64,2,FALSE)*(VLOOKUP(U18,Düngemittel!$B$6:$E$64,3,FALSE))/100*V18</f>
        <v>0</v>
      </c>
      <c r="X18" s="1033">
        <f>VLOOKUP(U18,Düngemittel!$B$6:$E$64,2,FALSE)*V18</f>
        <v>0</v>
      </c>
      <c r="Y18" s="1033">
        <f>VLOOKUP(U18,Düngemittel!$B$6:$E$64,4,FALSE)*V18</f>
        <v>0</v>
      </c>
      <c r="Z18" s="2089"/>
      <c r="AA18" s="1329"/>
      <c r="AB18" s="1330" t="s">
        <v>795</v>
      </c>
      <c r="AC18" s="1424">
        <v>0</v>
      </c>
      <c r="AD18" s="1033">
        <f>VLOOKUP(AB18,Düngemittel!$B$6:$E$64,2,FALSE)*(VLOOKUP(AB18,Düngemittel!$B$6:$E$64,3,FALSE))/100*AC18</f>
        <v>0</v>
      </c>
      <c r="AE18" s="1033">
        <f>VLOOKUP(AB18,Düngemittel!$B$6:$E$64,2,FALSE)*AC18</f>
        <v>0</v>
      </c>
      <c r="AF18" s="1033">
        <f>VLOOKUP(AB18,Düngemittel!$B$6:$E$64,4,FALSE)*AC18</f>
        <v>0</v>
      </c>
      <c r="AG18" s="2089"/>
      <c r="AH18" s="1329"/>
      <c r="AI18" s="1330" t="s">
        <v>795</v>
      </c>
      <c r="AJ18" s="1424">
        <v>0</v>
      </c>
      <c r="AK18" s="1033">
        <f>VLOOKUP(AI18,Düngemittel!$B$6:$E$64,2,FALSE)*(VLOOKUP(AI18,Düngemittel!$B$6:$E$64,3,FALSE))/100*AJ18</f>
        <v>0</v>
      </c>
      <c r="AL18" s="1033">
        <f>VLOOKUP(AI18,Düngemittel!$B$6:$E$64,2,FALSE)*AJ18</f>
        <v>0</v>
      </c>
      <c r="AM18" s="1033">
        <f>VLOOKUP(AI18,Düngemittel!$B$6:$E$64,4,FALSE)*AJ18</f>
        <v>0</v>
      </c>
      <c r="AN18" s="2089"/>
      <c r="AO18" s="1329"/>
      <c r="AP18" s="1330" t="s">
        <v>795</v>
      </c>
      <c r="AQ18" s="1424">
        <v>0</v>
      </c>
      <c r="AR18" s="1033">
        <f>VLOOKUP(AP18,Düngemittel!$B$6:$E$64,2,FALSE)*(VLOOKUP(AP18,Düngemittel!$B$6:$E$64,3,FALSE))/100*AQ18</f>
        <v>0</v>
      </c>
      <c r="AS18" s="1033">
        <f>VLOOKUP(AP18,Düngemittel!$B$6:$E$64,2,FALSE)*AQ18</f>
        <v>0</v>
      </c>
      <c r="AT18" s="1033">
        <f>VLOOKUP(AP18,Düngemittel!$B$6:$E$64,4,FALSE)*AQ18</f>
        <v>0</v>
      </c>
      <c r="AU18" s="2089"/>
      <c r="AV18" s="1329"/>
      <c r="AW18" s="1330" t="s">
        <v>795</v>
      </c>
      <c r="AX18" s="1424">
        <v>0</v>
      </c>
      <c r="AY18" s="1033">
        <f>VLOOKUP(AW18,Düngemittel!$B$6:$E$64,2,FALSE)*(VLOOKUP(AW18,Düngemittel!$B$6:$E$64,3,FALSE))/100*AX18</f>
        <v>0</v>
      </c>
      <c r="AZ18" s="1033">
        <f>VLOOKUP(AW18,Düngemittel!$B$6:$E$64,2,FALSE)*AX18</f>
        <v>0</v>
      </c>
      <c r="BA18" s="1033">
        <f>VLOOKUP(AW18,Düngemittel!$B$6:$E$64,4,FALSE)*AX18</f>
        <v>0</v>
      </c>
      <c r="BB18" s="863"/>
      <c r="BC18" s="1282">
        <f t="shared" si="12"/>
        <v>0</v>
      </c>
      <c r="BD18" s="1126">
        <f t="shared" si="13"/>
        <v>0</v>
      </c>
      <c r="BE18" s="1283">
        <f t="shared" si="13"/>
        <v>0</v>
      </c>
      <c r="BF18" s="1151">
        <f t="shared" si="14"/>
        <v>0</v>
      </c>
      <c r="BG18" s="1126">
        <f t="shared" si="15"/>
        <v>0</v>
      </c>
      <c r="BH18" s="1152"/>
      <c r="BI18" s="1282">
        <f t="shared" si="16"/>
        <v>0</v>
      </c>
      <c r="BJ18" s="1282">
        <f t="shared" si="17"/>
        <v>0</v>
      </c>
      <c r="BK18" s="1282">
        <f t="shared" si="18"/>
        <v>0</v>
      </c>
      <c r="BL18" s="1282">
        <f t="shared" si="19"/>
        <v>0</v>
      </c>
      <c r="BM18" s="1282">
        <f t="shared" si="20"/>
        <v>0</v>
      </c>
      <c r="BN18" s="1119"/>
      <c r="BO18" s="993"/>
      <c r="BP18" s="803"/>
      <c r="BQ18" s="803"/>
      <c r="BR18" s="803"/>
      <c r="BS18" s="998"/>
      <c r="BT18" s="999"/>
      <c r="BU18" s="1003"/>
      <c r="BV18" s="998"/>
      <c r="BW18" s="998"/>
      <c r="BX18" s="998"/>
    </row>
    <row r="19" spans="1:76" ht="23.25" customHeight="1">
      <c r="A19" s="468">
        <v>12</v>
      </c>
      <c r="B19" s="1705">
        <v>0</v>
      </c>
      <c r="C19" s="796" t="s">
        <v>31</v>
      </c>
      <c r="D19" s="565">
        <f t="shared" si="0"/>
        <v>0</v>
      </c>
      <c r="E19" s="335">
        <f t="shared" si="1"/>
        <v>0</v>
      </c>
      <c r="F19" s="566">
        <f t="shared" si="7"/>
        <v>0</v>
      </c>
      <c r="G19" s="1720">
        <v>0</v>
      </c>
      <c r="H19" s="1437">
        <v>0</v>
      </c>
      <c r="I19" s="570">
        <f t="shared" si="8"/>
        <v>0</v>
      </c>
      <c r="J19" s="590">
        <v>0</v>
      </c>
      <c r="K19" s="743">
        <f t="shared" si="9"/>
        <v>0</v>
      </c>
      <c r="L19" s="1703">
        <v>0</v>
      </c>
      <c r="M19" s="742">
        <f t="shared" si="2"/>
        <v>0</v>
      </c>
      <c r="N19" s="592">
        <f t="shared" si="3"/>
        <v>0</v>
      </c>
      <c r="O19" s="657">
        <f t="shared" si="4"/>
        <v>0</v>
      </c>
      <c r="P19" s="592">
        <f t="shared" si="5"/>
        <v>0</v>
      </c>
      <c r="Q19" s="634"/>
      <c r="R19" s="1281">
        <f t="shared" si="10"/>
        <v>12</v>
      </c>
      <c r="S19" s="1281" t="str">
        <f t="shared" si="11"/>
        <v>keine</v>
      </c>
      <c r="T19" s="1329"/>
      <c r="U19" s="1330" t="s">
        <v>795</v>
      </c>
      <c r="V19" s="1424">
        <v>0</v>
      </c>
      <c r="W19" s="1033">
        <f>VLOOKUP(U19,Düngemittel!$B$6:$E$64,2,FALSE)*(VLOOKUP(U19,Düngemittel!$B$6:$E$64,3,FALSE))/100*V19</f>
        <v>0</v>
      </c>
      <c r="X19" s="1033">
        <f>VLOOKUP(U19,Düngemittel!$B$6:$E$64,2,FALSE)*V19</f>
        <v>0</v>
      </c>
      <c r="Y19" s="1033">
        <f>VLOOKUP(U19,Düngemittel!$B$6:$E$64,4,FALSE)*V19</f>
        <v>0</v>
      </c>
      <c r="Z19" s="2089"/>
      <c r="AA19" s="1329"/>
      <c r="AB19" s="1330" t="s">
        <v>795</v>
      </c>
      <c r="AC19" s="1424">
        <v>0</v>
      </c>
      <c r="AD19" s="1033">
        <f>VLOOKUP(AB19,Düngemittel!$B$6:$E$64,2,FALSE)*(VLOOKUP(AB19,Düngemittel!$B$6:$E$64,3,FALSE))/100*AC19</f>
        <v>0</v>
      </c>
      <c r="AE19" s="1033">
        <f>VLOOKUP(AB19,Düngemittel!$B$6:$E$64,2,FALSE)*AC19</f>
        <v>0</v>
      </c>
      <c r="AF19" s="1033">
        <f>VLOOKUP(AB19,Düngemittel!$B$6:$E$64,4,FALSE)*AC19</f>
        <v>0</v>
      </c>
      <c r="AG19" s="2089"/>
      <c r="AH19" s="1329"/>
      <c r="AI19" s="1330" t="s">
        <v>795</v>
      </c>
      <c r="AJ19" s="1424">
        <v>0</v>
      </c>
      <c r="AK19" s="1033">
        <f>VLOOKUP(AI19,Düngemittel!$B$6:$E$64,2,FALSE)*(VLOOKUP(AI19,Düngemittel!$B$6:$E$64,3,FALSE))/100*AJ19</f>
        <v>0</v>
      </c>
      <c r="AL19" s="1033">
        <f>VLOOKUP(AI19,Düngemittel!$B$6:$E$64,2,FALSE)*AJ19</f>
        <v>0</v>
      </c>
      <c r="AM19" s="1033">
        <f>VLOOKUP(AI19,Düngemittel!$B$6:$E$64,4,FALSE)*AJ19</f>
        <v>0</v>
      </c>
      <c r="AN19" s="2089"/>
      <c r="AO19" s="1329"/>
      <c r="AP19" s="1330" t="s">
        <v>795</v>
      </c>
      <c r="AQ19" s="1424">
        <v>0</v>
      </c>
      <c r="AR19" s="1033">
        <f>VLOOKUP(AP19,Düngemittel!$B$6:$E$64,2,FALSE)*(VLOOKUP(AP19,Düngemittel!$B$6:$E$64,3,FALSE))/100*AQ19</f>
        <v>0</v>
      </c>
      <c r="AS19" s="1033">
        <f>VLOOKUP(AP19,Düngemittel!$B$6:$E$64,2,FALSE)*AQ19</f>
        <v>0</v>
      </c>
      <c r="AT19" s="1033">
        <f>VLOOKUP(AP19,Düngemittel!$B$6:$E$64,4,FALSE)*AQ19</f>
        <v>0</v>
      </c>
      <c r="AU19" s="2089"/>
      <c r="AV19" s="1329"/>
      <c r="AW19" s="1330" t="s">
        <v>795</v>
      </c>
      <c r="AX19" s="1424">
        <v>0</v>
      </c>
      <c r="AY19" s="1033">
        <f>VLOOKUP(AW19,Düngemittel!$B$6:$E$64,2,FALSE)*(VLOOKUP(AW19,Düngemittel!$B$6:$E$64,3,FALSE))/100*AX19</f>
        <v>0</v>
      </c>
      <c r="AZ19" s="1033">
        <f>VLOOKUP(AW19,Düngemittel!$B$6:$E$64,2,FALSE)*AX19</f>
        <v>0</v>
      </c>
      <c r="BA19" s="1033">
        <f>VLOOKUP(AW19,Düngemittel!$B$6:$E$64,4,FALSE)*AX19</f>
        <v>0</v>
      </c>
      <c r="BB19" s="863"/>
      <c r="BC19" s="1282">
        <f t="shared" si="12"/>
        <v>0</v>
      </c>
      <c r="BD19" s="1126">
        <f t="shared" si="13"/>
        <v>0</v>
      </c>
      <c r="BE19" s="1283">
        <f t="shared" si="13"/>
        <v>0</v>
      </c>
      <c r="BF19" s="1151">
        <f t="shared" si="14"/>
        <v>0</v>
      </c>
      <c r="BG19" s="1126">
        <f t="shared" si="15"/>
        <v>0</v>
      </c>
      <c r="BH19" s="1152"/>
      <c r="BI19" s="1282">
        <f t="shared" si="16"/>
        <v>0</v>
      </c>
      <c r="BJ19" s="1282">
        <f t="shared" si="17"/>
        <v>0</v>
      </c>
      <c r="BK19" s="1282">
        <f t="shared" si="18"/>
        <v>0</v>
      </c>
      <c r="BL19" s="1282">
        <f t="shared" si="19"/>
        <v>0</v>
      </c>
      <c r="BM19" s="1282">
        <f t="shared" si="20"/>
        <v>0</v>
      </c>
      <c r="BN19" s="1119"/>
      <c r="BS19" s="998"/>
      <c r="BT19" s="998"/>
      <c r="BU19" s="998"/>
      <c r="BV19" s="998"/>
      <c r="BW19" s="998"/>
      <c r="BX19" s="998"/>
    </row>
    <row r="20" spans="1:76" ht="23.25" customHeight="1">
      <c r="A20" s="468">
        <v>13</v>
      </c>
      <c r="B20" s="1705">
        <v>0</v>
      </c>
      <c r="C20" s="796" t="s">
        <v>31</v>
      </c>
      <c r="D20" s="565">
        <f t="shared" si="0"/>
        <v>0</v>
      </c>
      <c r="E20" s="335">
        <f t="shared" si="1"/>
        <v>0</v>
      </c>
      <c r="F20" s="566">
        <f t="shared" ref="F20:F25" si="24">D20*E20/6.25</f>
        <v>0</v>
      </c>
      <c r="G20" s="1720">
        <v>0</v>
      </c>
      <c r="H20" s="1437">
        <v>0</v>
      </c>
      <c r="I20" s="570">
        <f t="shared" ref="I20:I25" si="25">G20*H20/6.25</f>
        <v>0</v>
      </c>
      <c r="J20" s="590">
        <v>0</v>
      </c>
      <c r="K20" s="743">
        <f t="shared" ref="K20:K25" si="26">IF(J20="Reinbestand",I20,J20*3)</f>
        <v>0</v>
      </c>
      <c r="L20" s="1703">
        <v>0</v>
      </c>
      <c r="M20" s="742">
        <f t="shared" si="2"/>
        <v>0</v>
      </c>
      <c r="N20" s="592">
        <f t="shared" si="3"/>
        <v>0</v>
      </c>
      <c r="O20" s="657">
        <f t="shared" si="4"/>
        <v>0</v>
      </c>
      <c r="P20" s="592">
        <f t="shared" si="5"/>
        <v>0</v>
      </c>
      <c r="Q20" s="634"/>
      <c r="R20" s="1281">
        <f t="shared" si="10"/>
        <v>13</v>
      </c>
      <c r="S20" s="1281" t="str">
        <f t="shared" si="11"/>
        <v>keine</v>
      </c>
      <c r="T20" s="1329"/>
      <c r="U20" s="1330" t="s">
        <v>795</v>
      </c>
      <c r="V20" s="1424">
        <v>0</v>
      </c>
      <c r="W20" s="1033">
        <f>VLOOKUP(U20,Düngemittel!$B$6:$E$64,2,FALSE)*(VLOOKUP(U20,Düngemittel!$B$6:$E$64,3,FALSE))/100*V20</f>
        <v>0</v>
      </c>
      <c r="X20" s="1033">
        <f>VLOOKUP(U20,Düngemittel!$B$6:$E$64,2,FALSE)*V20</f>
        <v>0</v>
      </c>
      <c r="Y20" s="1033">
        <f>VLOOKUP(U20,Düngemittel!$B$6:$E$64,4,FALSE)*V20</f>
        <v>0</v>
      </c>
      <c r="Z20" s="2089"/>
      <c r="AA20" s="1329"/>
      <c r="AB20" s="1330" t="s">
        <v>795</v>
      </c>
      <c r="AC20" s="1424">
        <v>0</v>
      </c>
      <c r="AD20" s="1033">
        <f>VLOOKUP(AB20,Düngemittel!$B$6:$E$64,2,FALSE)*(VLOOKUP(AB20,Düngemittel!$B$6:$E$64,3,FALSE))/100*AC20</f>
        <v>0</v>
      </c>
      <c r="AE20" s="1033">
        <f>VLOOKUP(AB20,Düngemittel!$B$6:$E$64,2,FALSE)*AC20</f>
        <v>0</v>
      </c>
      <c r="AF20" s="1033">
        <f>VLOOKUP(AB20,Düngemittel!$B$6:$E$64,4,FALSE)*AC20</f>
        <v>0</v>
      </c>
      <c r="AG20" s="2089"/>
      <c r="AH20" s="1329"/>
      <c r="AI20" s="1330" t="s">
        <v>795</v>
      </c>
      <c r="AJ20" s="1424">
        <v>0</v>
      </c>
      <c r="AK20" s="1033">
        <f>VLOOKUP(AI20,Düngemittel!$B$6:$E$64,2,FALSE)*(VLOOKUP(AI20,Düngemittel!$B$6:$E$64,3,FALSE))/100*AJ20</f>
        <v>0</v>
      </c>
      <c r="AL20" s="1033">
        <f>VLOOKUP(AI20,Düngemittel!$B$6:$E$64,2,FALSE)*AJ20</f>
        <v>0</v>
      </c>
      <c r="AM20" s="1033">
        <f>VLOOKUP(AI20,Düngemittel!$B$6:$E$64,4,FALSE)*AJ20</f>
        <v>0</v>
      </c>
      <c r="AN20" s="2089"/>
      <c r="AO20" s="1329"/>
      <c r="AP20" s="1330" t="s">
        <v>795</v>
      </c>
      <c r="AQ20" s="1424">
        <v>0</v>
      </c>
      <c r="AR20" s="1033">
        <f>VLOOKUP(AP20,Düngemittel!$B$6:$E$64,2,FALSE)*(VLOOKUP(AP20,Düngemittel!$B$6:$E$64,3,FALSE))/100*AQ20</f>
        <v>0</v>
      </c>
      <c r="AS20" s="1033">
        <f>VLOOKUP(AP20,Düngemittel!$B$6:$E$64,2,FALSE)*AQ20</f>
        <v>0</v>
      </c>
      <c r="AT20" s="1033">
        <f>VLOOKUP(AP20,Düngemittel!$B$6:$E$64,4,FALSE)*AQ20</f>
        <v>0</v>
      </c>
      <c r="AU20" s="2089"/>
      <c r="AV20" s="1329"/>
      <c r="AW20" s="1330" t="s">
        <v>795</v>
      </c>
      <c r="AX20" s="1424">
        <v>0</v>
      </c>
      <c r="AY20" s="1033">
        <f>VLOOKUP(AW20,Düngemittel!$B$6:$E$64,2,FALSE)*(VLOOKUP(AW20,Düngemittel!$B$6:$E$64,3,FALSE))/100*AX20</f>
        <v>0</v>
      </c>
      <c r="AZ20" s="1033">
        <f>VLOOKUP(AW20,Düngemittel!$B$6:$E$64,2,FALSE)*AX20</f>
        <v>0</v>
      </c>
      <c r="BA20" s="1033">
        <f>VLOOKUP(AW20,Düngemittel!$B$6:$E$64,4,FALSE)*AX20</f>
        <v>0</v>
      </c>
      <c r="BB20" s="863"/>
      <c r="BC20" s="1282">
        <f t="shared" si="12"/>
        <v>0</v>
      </c>
      <c r="BD20" s="1126">
        <f t="shared" si="13"/>
        <v>0</v>
      </c>
      <c r="BE20" s="1283">
        <f t="shared" si="13"/>
        <v>0</v>
      </c>
      <c r="BF20" s="1151">
        <f t="shared" si="14"/>
        <v>0</v>
      </c>
      <c r="BG20" s="1126">
        <f t="shared" si="15"/>
        <v>0</v>
      </c>
      <c r="BH20" s="1152"/>
      <c r="BI20" s="1282">
        <f t="shared" si="16"/>
        <v>0</v>
      </c>
      <c r="BJ20" s="1282">
        <f t="shared" si="17"/>
        <v>0</v>
      </c>
      <c r="BK20" s="1282">
        <f t="shared" si="18"/>
        <v>0</v>
      </c>
      <c r="BL20" s="1282">
        <f t="shared" si="19"/>
        <v>0</v>
      </c>
      <c r="BM20" s="1282">
        <f t="shared" si="20"/>
        <v>0</v>
      </c>
      <c r="BN20" s="1119"/>
      <c r="BS20" s="998"/>
      <c r="BT20" s="998"/>
      <c r="BU20" s="998"/>
      <c r="BV20" s="998"/>
      <c r="BW20" s="998"/>
      <c r="BX20" s="998"/>
    </row>
    <row r="21" spans="1:76" ht="23.25" customHeight="1">
      <c r="A21" s="468">
        <v>14</v>
      </c>
      <c r="B21" s="1705">
        <v>0</v>
      </c>
      <c r="C21" s="796" t="s">
        <v>31</v>
      </c>
      <c r="D21" s="565">
        <f t="shared" si="0"/>
        <v>0</v>
      </c>
      <c r="E21" s="335">
        <f t="shared" si="1"/>
        <v>0</v>
      </c>
      <c r="F21" s="566">
        <f t="shared" si="24"/>
        <v>0</v>
      </c>
      <c r="G21" s="1720">
        <v>0</v>
      </c>
      <c r="H21" s="1437">
        <v>0</v>
      </c>
      <c r="I21" s="570">
        <f t="shared" si="25"/>
        <v>0</v>
      </c>
      <c r="J21" s="590">
        <v>0</v>
      </c>
      <c r="K21" s="743">
        <f t="shared" si="26"/>
        <v>0</v>
      </c>
      <c r="L21" s="1703">
        <v>0</v>
      </c>
      <c r="M21" s="742">
        <f t="shared" si="2"/>
        <v>0</v>
      </c>
      <c r="N21" s="592">
        <f t="shared" si="3"/>
        <v>0</v>
      </c>
      <c r="O21" s="657">
        <f t="shared" si="4"/>
        <v>0</v>
      </c>
      <c r="P21" s="592">
        <f t="shared" si="5"/>
        <v>0</v>
      </c>
      <c r="Q21" s="634"/>
      <c r="R21" s="1281">
        <f t="shared" si="10"/>
        <v>14</v>
      </c>
      <c r="S21" s="1281" t="str">
        <f t="shared" si="11"/>
        <v>keine</v>
      </c>
      <c r="T21" s="1329"/>
      <c r="U21" s="1330" t="s">
        <v>795</v>
      </c>
      <c r="V21" s="1424">
        <v>0</v>
      </c>
      <c r="W21" s="1033">
        <f>VLOOKUP(U21,Düngemittel!$B$6:$E$64,2,FALSE)*(VLOOKUP(U21,Düngemittel!$B$6:$E$64,3,FALSE))/100*V21</f>
        <v>0</v>
      </c>
      <c r="X21" s="1033">
        <f>VLOOKUP(U21,Düngemittel!$B$6:$E$64,2,FALSE)*V21</f>
        <v>0</v>
      </c>
      <c r="Y21" s="1033">
        <f>VLOOKUP(U21,Düngemittel!$B$6:$E$64,4,FALSE)*V21</f>
        <v>0</v>
      </c>
      <c r="Z21" s="2089"/>
      <c r="AA21" s="1329"/>
      <c r="AB21" s="1330" t="s">
        <v>795</v>
      </c>
      <c r="AC21" s="1424">
        <v>0</v>
      </c>
      <c r="AD21" s="1033">
        <f>VLOOKUP(AB21,Düngemittel!$B$6:$E$64,2,FALSE)*(VLOOKUP(AB21,Düngemittel!$B$6:$E$64,3,FALSE))/100*AC21</f>
        <v>0</v>
      </c>
      <c r="AE21" s="1033">
        <f>VLOOKUP(AB21,Düngemittel!$B$6:$E$64,2,FALSE)*AC21</f>
        <v>0</v>
      </c>
      <c r="AF21" s="1033">
        <f>VLOOKUP(AB21,Düngemittel!$B$6:$E$64,4,FALSE)*AC21</f>
        <v>0</v>
      </c>
      <c r="AG21" s="2089"/>
      <c r="AH21" s="1329"/>
      <c r="AI21" s="1330" t="s">
        <v>795</v>
      </c>
      <c r="AJ21" s="1424">
        <v>0</v>
      </c>
      <c r="AK21" s="1033">
        <f>VLOOKUP(AI21,Düngemittel!$B$6:$E$64,2,FALSE)*(VLOOKUP(AI21,Düngemittel!$B$6:$E$64,3,FALSE))/100*AJ21</f>
        <v>0</v>
      </c>
      <c r="AL21" s="1033">
        <f>VLOOKUP(AI21,Düngemittel!$B$6:$E$64,2,FALSE)*AJ21</f>
        <v>0</v>
      </c>
      <c r="AM21" s="1033">
        <f>VLOOKUP(AI21,Düngemittel!$B$6:$E$64,4,FALSE)*AJ21</f>
        <v>0</v>
      </c>
      <c r="AN21" s="2089"/>
      <c r="AO21" s="1329"/>
      <c r="AP21" s="1330" t="s">
        <v>795</v>
      </c>
      <c r="AQ21" s="1424">
        <v>0</v>
      </c>
      <c r="AR21" s="1033">
        <f>VLOOKUP(AP21,Düngemittel!$B$6:$E$64,2,FALSE)*(VLOOKUP(AP21,Düngemittel!$B$6:$E$64,3,FALSE))/100*AQ21</f>
        <v>0</v>
      </c>
      <c r="AS21" s="1033">
        <f>VLOOKUP(AP21,Düngemittel!$B$6:$E$64,2,FALSE)*AQ21</f>
        <v>0</v>
      </c>
      <c r="AT21" s="1033">
        <f>VLOOKUP(AP21,Düngemittel!$B$6:$E$64,4,FALSE)*AQ21</f>
        <v>0</v>
      </c>
      <c r="AU21" s="2089"/>
      <c r="AV21" s="1329"/>
      <c r="AW21" s="1330" t="s">
        <v>795</v>
      </c>
      <c r="AX21" s="1424">
        <v>0</v>
      </c>
      <c r="AY21" s="1033">
        <f>VLOOKUP(AW21,Düngemittel!$B$6:$E$64,2,FALSE)*(VLOOKUP(AW21,Düngemittel!$B$6:$E$64,3,FALSE))/100*AX21</f>
        <v>0</v>
      </c>
      <c r="AZ21" s="1033">
        <f>VLOOKUP(AW21,Düngemittel!$B$6:$E$64,2,FALSE)*AX21</f>
        <v>0</v>
      </c>
      <c r="BA21" s="1033">
        <f>VLOOKUP(AW21,Düngemittel!$B$6:$E$64,4,FALSE)*AX21</f>
        <v>0</v>
      </c>
      <c r="BB21" s="863"/>
      <c r="BC21" s="1282">
        <f t="shared" si="12"/>
        <v>0</v>
      </c>
      <c r="BD21" s="1126">
        <f t="shared" si="13"/>
        <v>0</v>
      </c>
      <c r="BE21" s="1283">
        <f t="shared" si="13"/>
        <v>0</v>
      </c>
      <c r="BF21" s="1151">
        <f t="shared" si="14"/>
        <v>0</v>
      </c>
      <c r="BG21" s="1126">
        <f t="shared" si="15"/>
        <v>0</v>
      </c>
      <c r="BH21" s="1152"/>
      <c r="BI21" s="1282">
        <f t="shared" si="16"/>
        <v>0</v>
      </c>
      <c r="BJ21" s="1282">
        <f t="shared" si="17"/>
        <v>0</v>
      </c>
      <c r="BK21" s="1282">
        <f t="shared" si="18"/>
        <v>0</v>
      </c>
      <c r="BL21" s="1282">
        <f t="shared" si="19"/>
        <v>0</v>
      </c>
      <c r="BM21" s="1282">
        <f t="shared" si="20"/>
        <v>0</v>
      </c>
      <c r="BN21" s="1119"/>
      <c r="BO21" s="1004"/>
      <c r="BP21" s="112"/>
      <c r="BQ21" s="112"/>
      <c r="BR21" s="646"/>
      <c r="BS21" s="998"/>
      <c r="BT21" s="998"/>
      <c r="BU21" s="998"/>
      <c r="BV21" s="998"/>
      <c r="BW21" s="998"/>
      <c r="BX21" s="998"/>
    </row>
    <row r="22" spans="1:76" ht="23.25" customHeight="1">
      <c r="A22" s="468">
        <v>15</v>
      </c>
      <c r="B22" s="1705">
        <v>0</v>
      </c>
      <c r="C22" s="796" t="s">
        <v>31</v>
      </c>
      <c r="D22" s="565">
        <f t="shared" si="0"/>
        <v>0</v>
      </c>
      <c r="E22" s="335">
        <f t="shared" si="1"/>
        <v>0</v>
      </c>
      <c r="F22" s="566">
        <f t="shared" si="24"/>
        <v>0</v>
      </c>
      <c r="G22" s="1720">
        <v>0</v>
      </c>
      <c r="H22" s="1437">
        <v>0</v>
      </c>
      <c r="I22" s="570">
        <f t="shared" si="25"/>
        <v>0</v>
      </c>
      <c r="J22" s="590">
        <v>0</v>
      </c>
      <c r="K22" s="743">
        <f t="shared" si="26"/>
        <v>0</v>
      </c>
      <c r="L22" s="1703">
        <v>0</v>
      </c>
      <c r="M22" s="742">
        <f t="shared" si="2"/>
        <v>0</v>
      </c>
      <c r="N22" s="592">
        <f t="shared" si="3"/>
        <v>0</v>
      </c>
      <c r="O22" s="657">
        <f t="shared" si="4"/>
        <v>0</v>
      </c>
      <c r="P22" s="592">
        <f t="shared" si="5"/>
        <v>0</v>
      </c>
      <c r="Q22" s="634"/>
      <c r="R22" s="1281">
        <f t="shared" si="10"/>
        <v>15</v>
      </c>
      <c r="S22" s="1281" t="str">
        <f t="shared" si="11"/>
        <v>keine</v>
      </c>
      <c r="T22" s="1329"/>
      <c r="U22" s="1330" t="s">
        <v>795</v>
      </c>
      <c r="V22" s="1424">
        <v>0</v>
      </c>
      <c r="W22" s="1033">
        <f>VLOOKUP(U22,Düngemittel!$B$6:$E$64,2,FALSE)*(VLOOKUP(U22,Düngemittel!$B$6:$E$64,3,FALSE))/100*V22</f>
        <v>0</v>
      </c>
      <c r="X22" s="1033">
        <f>VLOOKUP(U22,Düngemittel!$B$6:$E$64,2,FALSE)*V22</f>
        <v>0</v>
      </c>
      <c r="Y22" s="1033">
        <f>VLOOKUP(U22,Düngemittel!$B$6:$E$64,4,FALSE)*V22</f>
        <v>0</v>
      </c>
      <c r="Z22" s="2089"/>
      <c r="AA22" s="1329"/>
      <c r="AB22" s="1330" t="s">
        <v>795</v>
      </c>
      <c r="AC22" s="1424">
        <v>0</v>
      </c>
      <c r="AD22" s="1033">
        <f>VLOOKUP(AB22,Düngemittel!$B$6:$E$64,2,FALSE)*(VLOOKUP(AB22,Düngemittel!$B$6:$E$64,3,FALSE))/100*AC22</f>
        <v>0</v>
      </c>
      <c r="AE22" s="1033">
        <f>VLOOKUP(AB22,Düngemittel!$B$6:$E$64,2,FALSE)*AC22</f>
        <v>0</v>
      </c>
      <c r="AF22" s="1033">
        <f>VLOOKUP(AB22,Düngemittel!$B$6:$E$64,4,FALSE)*AC22</f>
        <v>0</v>
      </c>
      <c r="AG22" s="2089"/>
      <c r="AH22" s="1329"/>
      <c r="AI22" s="1330" t="s">
        <v>795</v>
      </c>
      <c r="AJ22" s="1424">
        <v>0</v>
      </c>
      <c r="AK22" s="1033">
        <f>VLOOKUP(AI22,Düngemittel!$B$6:$E$64,2,FALSE)*(VLOOKUP(AI22,Düngemittel!$B$6:$E$64,3,FALSE))/100*AJ22</f>
        <v>0</v>
      </c>
      <c r="AL22" s="1033">
        <f>VLOOKUP(AI22,Düngemittel!$B$6:$E$64,2,FALSE)*AJ22</f>
        <v>0</v>
      </c>
      <c r="AM22" s="1033">
        <f>VLOOKUP(AI22,Düngemittel!$B$6:$E$64,4,FALSE)*AJ22</f>
        <v>0</v>
      </c>
      <c r="AN22" s="2089"/>
      <c r="AO22" s="1329"/>
      <c r="AP22" s="1330" t="s">
        <v>795</v>
      </c>
      <c r="AQ22" s="1424">
        <v>0</v>
      </c>
      <c r="AR22" s="1033">
        <f>VLOOKUP(AP22,Düngemittel!$B$6:$E$64,2,FALSE)*(VLOOKUP(AP22,Düngemittel!$B$6:$E$64,3,FALSE))/100*AQ22</f>
        <v>0</v>
      </c>
      <c r="AS22" s="1033">
        <f>VLOOKUP(AP22,Düngemittel!$B$6:$E$64,2,FALSE)*AQ22</f>
        <v>0</v>
      </c>
      <c r="AT22" s="1033">
        <f>VLOOKUP(AP22,Düngemittel!$B$6:$E$64,4,FALSE)*AQ22</f>
        <v>0</v>
      </c>
      <c r="AU22" s="2089"/>
      <c r="AV22" s="1329"/>
      <c r="AW22" s="1330" t="s">
        <v>795</v>
      </c>
      <c r="AX22" s="1424">
        <v>0</v>
      </c>
      <c r="AY22" s="1033">
        <f>VLOOKUP(AW22,Düngemittel!$B$6:$E$64,2,FALSE)*(VLOOKUP(AW22,Düngemittel!$B$6:$E$64,3,FALSE))/100*AX22</f>
        <v>0</v>
      </c>
      <c r="AZ22" s="1033">
        <f>VLOOKUP(AW22,Düngemittel!$B$6:$E$64,2,FALSE)*AX22</f>
        <v>0</v>
      </c>
      <c r="BA22" s="1033">
        <f>VLOOKUP(AW22,Düngemittel!$B$6:$E$64,4,FALSE)*AX22</f>
        <v>0</v>
      </c>
      <c r="BB22" s="863"/>
      <c r="BC22" s="1282">
        <f t="shared" si="12"/>
        <v>0</v>
      </c>
      <c r="BD22" s="1126">
        <f t="shared" si="13"/>
        <v>0</v>
      </c>
      <c r="BE22" s="1283">
        <f t="shared" si="13"/>
        <v>0</v>
      </c>
      <c r="BF22" s="1151">
        <f t="shared" si="14"/>
        <v>0</v>
      </c>
      <c r="BG22" s="1126">
        <f t="shared" si="15"/>
        <v>0</v>
      </c>
      <c r="BH22" s="1152"/>
      <c r="BI22" s="1282">
        <f t="shared" si="16"/>
        <v>0</v>
      </c>
      <c r="BJ22" s="1282">
        <f t="shared" si="17"/>
        <v>0</v>
      </c>
      <c r="BK22" s="1282">
        <f t="shared" si="18"/>
        <v>0</v>
      </c>
      <c r="BL22" s="1282">
        <f t="shared" si="19"/>
        <v>0</v>
      </c>
      <c r="BM22" s="1282">
        <f t="shared" si="20"/>
        <v>0</v>
      </c>
      <c r="BN22" s="1119"/>
      <c r="BO22" s="1004"/>
      <c r="BP22" s="112"/>
      <c r="BQ22" s="112"/>
      <c r="BS22" s="998"/>
      <c r="BT22" s="998"/>
      <c r="BU22" s="998"/>
      <c r="BV22" s="998"/>
      <c r="BW22" s="998"/>
      <c r="BX22" s="998"/>
    </row>
    <row r="23" spans="1:76" ht="23.25" customHeight="1">
      <c r="A23" s="468">
        <v>16</v>
      </c>
      <c r="B23" s="1705">
        <v>0</v>
      </c>
      <c r="C23" s="796" t="s">
        <v>31</v>
      </c>
      <c r="D23" s="565">
        <f t="shared" si="0"/>
        <v>0</v>
      </c>
      <c r="E23" s="335">
        <f t="shared" si="1"/>
        <v>0</v>
      </c>
      <c r="F23" s="566">
        <f t="shared" si="24"/>
        <v>0</v>
      </c>
      <c r="G23" s="1720">
        <v>0</v>
      </c>
      <c r="H23" s="1437">
        <v>0</v>
      </c>
      <c r="I23" s="570">
        <f t="shared" si="25"/>
        <v>0</v>
      </c>
      <c r="J23" s="590">
        <v>0</v>
      </c>
      <c r="K23" s="743">
        <f t="shared" si="26"/>
        <v>0</v>
      </c>
      <c r="L23" s="1703">
        <v>0</v>
      </c>
      <c r="M23" s="742">
        <f t="shared" si="2"/>
        <v>0</v>
      </c>
      <c r="N23" s="592">
        <f t="shared" si="3"/>
        <v>0</v>
      </c>
      <c r="O23" s="657">
        <f t="shared" si="4"/>
        <v>0</v>
      </c>
      <c r="P23" s="592">
        <f t="shared" si="5"/>
        <v>0</v>
      </c>
      <c r="Q23" s="634"/>
      <c r="R23" s="1281">
        <f t="shared" si="10"/>
        <v>16</v>
      </c>
      <c r="S23" s="1281" t="str">
        <f t="shared" si="11"/>
        <v>keine</v>
      </c>
      <c r="T23" s="1329"/>
      <c r="U23" s="1330" t="s">
        <v>795</v>
      </c>
      <c r="V23" s="1424">
        <v>0</v>
      </c>
      <c r="W23" s="1033">
        <f>VLOOKUP(U23,Düngemittel!$B$6:$E$64,2,FALSE)*(VLOOKUP(U23,Düngemittel!$B$6:$E$64,3,FALSE))/100*V23</f>
        <v>0</v>
      </c>
      <c r="X23" s="1033">
        <f>VLOOKUP(U23,Düngemittel!$B$6:$E$64,2,FALSE)*V23</f>
        <v>0</v>
      </c>
      <c r="Y23" s="1033">
        <f>VLOOKUP(U23,Düngemittel!$B$6:$E$64,4,FALSE)*V23</f>
        <v>0</v>
      </c>
      <c r="Z23" s="2089"/>
      <c r="AA23" s="1329"/>
      <c r="AB23" s="1330" t="s">
        <v>795</v>
      </c>
      <c r="AC23" s="1424">
        <v>0</v>
      </c>
      <c r="AD23" s="1033">
        <f>VLOOKUP(AB23,Düngemittel!$B$6:$E$64,2,FALSE)*(VLOOKUP(AB23,Düngemittel!$B$6:$E$64,3,FALSE))/100*AC23</f>
        <v>0</v>
      </c>
      <c r="AE23" s="1033">
        <f>VLOOKUP(AB23,Düngemittel!$B$6:$E$64,2,FALSE)*AC23</f>
        <v>0</v>
      </c>
      <c r="AF23" s="1033">
        <f>VLOOKUP(AB23,Düngemittel!$B$6:$E$64,4,FALSE)*AC23</f>
        <v>0</v>
      </c>
      <c r="AG23" s="2089"/>
      <c r="AH23" s="1329"/>
      <c r="AI23" s="1330" t="s">
        <v>795</v>
      </c>
      <c r="AJ23" s="1424">
        <v>0</v>
      </c>
      <c r="AK23" s="1033">
        <f>VLOOKUP(AI23,Düngemittel!$B$6:$E$64,2,FALSE)*(VLOOKUP(AI23,Düngemittel!$B$6:$E$64,3,FALSE))/100*AJ23</f>
        <v>0</v>
      </c>
      <c r="AL23" s="1033">
        <f>VLOOKUP(AI23,Düngemittel!$B$6:$E$64,2,FALSE)*AJ23</f>
        <v>0</v>
      </c>
      <c r="AM23" s="1033">
        <f>VLOOKUP(AI23,Düngemittel!$B$6:$E$64,4,FALSE)*AJ23</f>
        <v>0</v>
      </c>
      <c r="AN23" s="2089"/>
      <c r="AO23" s="1329"/>
      <c r="AP23" s="1330" t="s">
        <v>795</v>
      </c>
      <c r="AQ23" s="1424">
        <v>0</v>
      </c>
      <c r="AR23" s="1033">
        <f>VLOOKUP(AP23,Düngemittel!$B$6:$E$64,2,FALSE)*(VLOOKUP(AP23,Düngemittel!$B$6:$E$64,3,FALSE))/100*AQ23</f>
        <v>0</v>
      </c>
      <c r="AS23" s="1033">
        <f>VLOOKUP(AP23,Düngemittel!$B$6:$E$64,2,FALSE)*AQ23</f>
        <v>0</v>
      </c>
      <c r="AT23" s="1033">
        <f>VLOOKUP(AP23,Düngemittel!$B$6:$E$64,4,FALSE)*AQ23</f>
        <v>0</v>
      </c>
      <c r="AU23" s="2089"/>
      <c r="AV23" s="1329"/>
      <c r="AW23" s="1330" t="s">
        <v>795</v>
      </c>
      <c r="AX23" s="1424">
        <v>0</v>
      </c>
      <c r="AY23" s="1033">
        <f>VLOOKUP(AW23,Düngemittel!$B$6:$E$64,2,FALSE)*(VLOOKUP(AW23,Düngemittel!$B$6:$E$64,3,FALSE))/100*AX23</f>
        <v>0</v>
      </c>
      <c r="AZ23" s="1033">
        <f>VLOOKUP(AW23,Düngemittel!$B$6:$E$64,2,FALSE)*AX23</f>
        <v>0</v>
      </c>
      <c r="BA23" s="1033">
        <f>VLOOKUP(AW23,Düngemittel!$B$6:$E$64,4,FALSE)*AX23</f>
        <v>0</v>
      </c>
      <c r="BB23" s="863"/>
      <c r="BC23" s="1282">
        <f t="shared" si="12"/>
        <v>0</v>
      </c>
      <c r="BD23" s="1126">
        <f t="shared" si="13"/>
        <v>0</v>
      </c>
      <c r="BE23" s="1283">
        <f t="shared" si="13"/>
        <v>0</v>
      </c>
      <c r="BF23" s="1151">
        <f t="shared" si="14"/>
        <v>0</v>
      </c>
      <c r="BG23" s="1126">
        <f t="shared" si="15"/>
        <v>0</v>
      </c>
      <c r="BH23" s="1152"/>
      <c r="BI23" s="1282">
        <f t="shared" si="16"/>
        <v>0</v>
      </c>
      <c r="BJ23" s="1282">
        <f t="shared" si="17"/>
        <v>0</v>
      </c>
      <c r="BK23" s="1282">
        <f t="shared" si="18"/>
        <v>0</v>
      </c>
      <c r="BL23" s="1282">
        <f t="shared" si="19"/>
        <v>0</v>
      </c>
      <c r="BM23" s="1282">
        <f t="shared" si="20"/>
        <v>0</v>
      </c>
      <c r="BN23" s="1119"/>
      <c r="BO23" s="1004"/>
      <c r="BP23" s="112"/>
      <c r="BQ23" s="112"/>
      <c r="BS23" s="998"/>
      <c r="BT23" s="998"/>
      <c r="BU23" s="998"/>
      <c r="BV23" s="998"/>
      <c r="BW23" s="998"/>
      <c r="BX23" s="998"/>
    </row>
    <row r="24" spans="1:76" ht="23.25" customHeight="1">
      <c r="A24" s="468">
        <v>17</v>
      </c>
      <c r="B24" s="1705">
        <v>0</v>
      </c>
      <c r="C24" s="796" t="s">
        <v>31</v>
      </c>
      <c r="D24" s="565">
        <f t="shared" si="0"/>
        <v>0</v>
      </c>
      <c r="E24" s="335">
        <f t="shared" si="1"/>
        <v>0</v>
      </c>
      <c r="F24" s="566">
        <f t="shared" si="24"/>
        <v>0</v>
      </c>
      <c r="G24" s="1720">
        <v>0</v>
      </c>
      <c r="H24" s="1437">
        <v>0</v>
      </c>
      <c r="I24" s="570">
        <f t="shared" si="25"/>
        <v>0</v>
      </c>
      <c r="J24" s="590">
        <v>0</v>
      </c>
      <c r="K24" s="743">
        <f t="shared" si="26"/>
        <v>0</v>
      </c>
      <c r="L24" s="1703">
        <v>0</v>
      </c>
      <c r="M24" s="742">
        <f t="shared" si="2"/>
        <v>0</v>
      </c>
      <c r="N24" s="592">
        <f t="shared" si="3"/>
        <v>0</v>
      </c>
      <c r="O24" s="657">
        <f t="shared" si="4"/>
        <v>0</v>
      </c>
      <c r="P24" s="592">
        <f t="shared" si="5"/>
        <v>0</v>
      </c>
      <c r="Q24" s="636"/>
      <c r="R24" s="1281">
        <f t="shared" si="10"/>
        <v>17</v>
      </c>
      <c r="S24" s="1281" t="str">
        <f t="shared" si="11"/>
        <v>keine</v>
      </c>
      <c r="T24" s="1329"/>
      <c r="U24" s="1330" t="s">
        <v>795</v>
      </c>
      <c r="V24" s="1424">
        <v>0</v>
      </c>
      <c r="W24" s="1033">
        <f>VLOOKUP(U24,Düngemittel!$B$6:$E$64,2,FALSE)*(VLOOKUP(U24,Düngemittel!$B$6:$E$64,3,FALSE))/100*V24</f>
        <v>0</v>
      </c>
      <c r="X24" s="1033">
        <f>VLOOKUP(U24,Düngemittel!$B$6:$E$64,2,FALSE)*V24</f>
        <v>0</v>
      </c>
      <c r="Y24" s="1033">
        <f>VLOOKUP(U24,Düngemittel!$B$6:$E$64,4,FALSE)*V24</f>
        <v>0</v>
      </c>
      <c r="Z24" s="2089"/>
      <c r="AA24" s="1329"/>
      <c r="AB24" s="1330" t="s">
        <v>795</v>
      </c>
      <c r="AC24" s="1424">
        <v>0</v>
      </c>
      <c r="AD24" s="1033">
        <f>VLOOKUP(AB24,Düngemittel!$B$6:$E$64,2,FALSE)*(VLOOKUP(AB24,Düngemittel!$B$6:$E$64,3,FALSE))/100*AC24</f>
        <v>0</v>
      </c>
      <c r="AE24" s="1033">
        <f>VLOOKUP(AB24,Düngemittel!$B$6:$E$64,2,FALSE)*AC24</f>
        <v>0</v>
      </c>
      <c r="AF24" s="1033">
        <f>VLOOKUP(AB24,Düngemittel!$B$6:$E$64,4,FALSE)*AC24</f>
        <v>0</v>
      </c>
      <c r="AG24" s="2089"/>
      <c r="AH24" s="1329"/>
      <c r="AI24" s="1330" t="s">
        <v>795</v>
      </c>
      <c r="AJ24" s="1424">
        <v>0</v>
      </c>
      <c r="AK24" s="1033">
        <f>VLOOKUP(AI24,Düngemittel!$B$6:$E$64,2,FALSE)*(VLOOKUP(AI24,Düngemittel!$B$6:$E$64,3,FALSE))/100*AJ24</f>
        <v>0</v>
      </c>
      <c r="AL24" s="1033">
        <f>VLOOKUP(AI24,Düngemittel!$B$6:$E$64,2,FALSE)*AJ24</f>
        <v>0</v>
      </c>
      <c r="AM24" s="1033">
        <f>VLOOKUP(AI24,Düngemittel!$B$6:$E$64,4,FALSE)*AJ24</f>
        <v>0</v>
      </c>
      <c r="AN24" s="2089"/>
      <c r="AO24" s="1329"/>
      <c r="AP24" s="1330" t="s">
        <v>795</v>
      </c>
      <c r="AQ24" s="1424">
        <v>0</v>
      </c>
      <c r="AR24" s="1033">
        <f>VLOOKUP(AP24,Düngemittel!$B$6:$E$64,2,FALSE)*(VLOOKUP(AP24,Düngemittel!$B$6:$E$64,3,FALSE))/100*AQ24</f>
        <v>0</v>
      </c>
      <c r="AS24" s="1033">
        <f>VLOOKUP(AP24,Düngemittel!$B$6:$E$64,2,FALSE)*AQ24</f>
        <v>0</v>
      </c>
      <c r="AT24" s="1033">
        <f>VLOOKUP(AP24,Düngemittel!$B$6:$E$64,4,FALSE)*AQ24</f>
        <v>0</v>
      </c>
      <c r="AU24" s="2089"/>
      <c r="AV24" s="1329"/>
      <c r="AW24" s="1330" t="s">
        <v>795</v>
      </c>
      <c r="AX24" s="1424">
        <v>0</v>
      </c>
      <c r="AY24" s="1033">
        <f>VLOOKUP(AW24,Düngemittel!$B$6:$E$64,2,FALSE)*(VLOOKUP(AW24,Düngemittel!$B$6:$E$64,3,FALSE))/100*AX24</f>
        <v>0</v>
      </c>
      <c r="AZ24" s="1033">
        <f>VLOOKUP(AW24,Düngemittel!$B$6:$E$64,2,FALSE)*AX24</f>
        <v>0</v>
      </c>
      <c r="BA24" s="1033">
        <f>VLOOKUP(AW24,Düngemittel!$B$6:$E$64,4,FALSE)*AX24</f>
        <v>0</v>
      </c>
      <c r="BB24" s="863"/>
      <c r="BC24" s="1282">
        <f t="shared" si="12"/>
        <v>0</v>
      </c>
      <c r="BD24" s="1126">
        <f t="shared" si="13"/>
        <v>0</v>
      </c>
      <c r="BE24" s="1283">
        <f t="shared" si="13"/>
        <v>0</v>
      </c>
      <c r="BF24" s="1151">
        <f t="shared" si="14"/>
        <v>0</v>
      </c>
      <c r="BG24" s="1126">
        <f t="shared" si="15"/>
        <v>0</v>
      </c>
      <c r="BH24" s="1152"/>
      <c r="BI24" s="1282">
        <f t="shared" si="16"/>
        <v>0</v>
      </c>
      <c r="BJ24" s="1282">
        <f t="shared" si="17"/>
        <v>0</v>
      </c>
      <c r="BK24" s="1282">
        <f t="shared" si="18"/>
        <v>0</v>
      </c>
      <c r="BL24" s="1282">
        <f t="shared" si="19"/>
        <v>0</v>
      </c>
      <c r="BM24" s="1282">
        <f t="shared" si="20"/>
        <v>0</v>
      </c>
      <c r="BN24" s="1119"/>
      <c r="BO24" s="993" t="s">
        <v>745</v>
      </c>
      <c r="BS24" s="998"/>
      <c r="BT24" s="1000" t="s">
        <v>84</v>
      </c>
      <c r="BU24" s="1001"/>
      <c r="BV24" s="998"/>
      <c r="BW24" s="998"/>
      <c r="BX24" s="998"/>
    </row>
    <row r="25" spans="1:76" ht="23.25" customHeight="1">
      <c r="A25" s="468">
        <v>18</v>
      </c>
      <c r="B25" s="1705">
        <v>0</v>
      </c>
      <c r="C25" s="796" t="s">
        <v>31</v>
      </c>
      <c r="D25" s="565">
        <f t="shared" si="0"/>
        <v>0</v>
      </c>
      <c r="E25" s="335">
        <f t="shared" si="1"/>
        <v>0</v>
      </c>
      <c r="F25" s="566">
        <f t="shared" si="24"/>
        <v>0</v>
      </c>
      <c r="G25" s="1720">
        <v>0</v>
      </c>
      <c r="H25" s="1437">
        <v>0</v>
      </c>
      <c r="I25" s="570">
        <f t="shared" si="25"/>
        <v>0</v>
      </c>
      <c r="J25" s="590">
        <v>0</v>
      </c>
      <c r="K25" s="743">
        <f t="shared" si="26"/>
        <v>0</v>
      </c>
      <c r="L25" s="1703">
        <v>0</v>
      </c>
      <c r="M25" s="742">
        <f t="shared" si="2"/>
        <v>0</v>
      </c>
      <c r="N25" s="592">
        <f t="shared" si="3"/>
        <v>0</v>
      </c>
      <c r="O25" s="657">
        <f t="shared" si="4"/>
        <v>0</v>
      </c>
      <c r="P25" s="592">
        <f t="shared" si="5"/>
        <v>0</v>
      </c>
      <c r="Q25" s="1005"/>
      <c r="R25" s="1281">
        <f t="shared" si="10"/>
        <v>18</v>
      </c>
      <c r="S25" s="1281" t="str">
        <f t="shared" si="11"/>
        <v>keine</v>
      </c>
      <c r="T25" s="1329"/>
      <c r="U25" s="1330" t="s">
        <v>795</v>
      </c>
      <c r="V25" s="1424">
        <v>0</v>
      </c>
      <c r="W25" s="1033">
        <f>VLOOKUP(U25,Düngemittel!$B$6:$E$64,2,FALSE)*(VLOOKUP(U25,Düngemittel!$B$6:$E$64,3,FALSE))/100*V25</f>
        <v>0</v>
      </c>
      <c r="X25" s="1033">
        <f>VLOOKUP(U25,Düngemittel!$B$6:$E$64,2,FALSE)*V25</f>
        <v>0</v>
      </c>
      <c r="Y25" s="1033">
        <f>VLOOKUP(U25,Düngemittel!$B$6:$E$64,4,FALSE)*V25</f>
        <v>0</v>
      </c>
      <c r="Z25" s="2089"/>
      <c r="AA25" s="1329"/>
      <c r="AB25" s="1330" t="s">
        <v>795</v>
      </c>
      <c r="AC25" s="1424">
        <v>0</v>
      </c>
      <c r="AD25" s="1033">
        <f>VLOOKUP(AB25,Düngemittel!$B$6:$E$64,2,FALSE)*(VLOOKUP(AB25,Düngemittel!$B$6:$E$64,3,FALSE))/100*AC25</f>
        <v>0</v>
      </c>
      <c r="AE25" s="1033">
        <f>VLOOKUP(AB25,Düngemittel!$B$6:$E$64,2,FALSE)*AC25</f>
        <v>0</v>
      </c>
      <c r="AF25" s="1033">
        <f>VLOOKUP(AB25,Düngemittel!$B$6:$E$64,4,FALSE)*AC25</f>
        <v>0</v>
      </c>
      <c r="AG25" s="2089"/>
      <c r="AH25" s="1329"/>
      <c r="AI25" s="1330" t="s">
        <v>795</v>
      </c>
      <c r="AJ25" s="1424">
        <v>0</v>
      </c>
      <c r="AK25" s="1033">
        <f>VLOOKUP(AI25,Düngemittel!$B$6:$E$64,2,FALSE)*(VLOOKUP(AI25,Düngemittel!$B$6:$E$64,3,FALSE))/100*AJ25</f>
        <v>0</v>
      </c>
      <c r="AL25" s="1033">
        <f>VLOOKUP(AI25,Düngemittel!$B$6:$E$64,2,FALSE)*AJ25</f>
        <v>0</v>
      </c>
      <c r="AM25" s="1033">
        <f>VLOOKUP(AI25,Düngemittel!$B$6:$E$64,4,FALSE)*AJ25</f>
        <v>0</v>
      </c>
      <c r="AN25" s="2089"/>
      <c r="AO25" s="1329"/>
      <c r="AP25" s="1330" t="s">
        <v>795</v>
      </c>
      <c r="AQ25" s="1424">
        <v>0</v>
      </c>
      <c r="AR25" s="1033">
        <f>VLOOKUP(AP25,Düngemittel!$B$6:$E$64,2,FALSE)*(VLOOKUP(AP25,Düngemittel!$B$6:$E$64,3,FALSE))/100*AQ25</f>
        <v>0</v>
      </c>
      <c r="AS25" s="1033">
        <f>VLOOKUP(AP25,Düngemittel!$B$6:$E$64,2,FALSE)*AQ25</f>
        <v>0</v>
      </c>
      <c r="AT25" s="1033">
        <f>VLOOKUP(AP25,Düngemittel!$B$6:$E$64,4,FALSE)*AQ25</f>
        <v>0</v>
      </c>
      <c r="AU25" s="2089"/>
      <c r="AV25" s="1329"/>
      <c r="AW25" s="1330" t="s">
        <v>795</v>
      </c>
      <c r="AX25" s="1424">
        <v>0</v>
      </c>
      <c r="AY25" s="1033">
        <f>VLOOKUP(AW25,Düngemittel!$B$6:$E$64,2,FALSE)*(VLOOKUP(AW25,Düngemittel!$B$6:$E$64,3,FALSE))/100*AX25</f>
        <v>0</v>
      </c>
      <c r="AZ25" s="1033">
        <f>VLOOKUP(AW25,Düngemittel!$B$6:$E$64,2,FALSE)*AX25</f>
        <v>0</v>
      </c>
      <c r="BA25" s="1033">
        <f>VLOOKUP(AW25,Düngemittel!$B$6:$E$64,4,FALSE)*AX25</f>
        <v>0</v>
      </c>
      <c r="BB25" s="863"/>
      <c r="BC25" s="1282">
        <f t="shared" si="12"/>
        <v>0</v>
      </c>
      <c r="BD25" s="1126">
        <f t="shared" si="13"/>
        <v>0</v>
      </c>
      <c r="BE25" s="1283">
        <f t="shared" si="13"/>
        <v>0</v>
      </c>
      <c r="BF25" s="1151">
        <f t="shared" si="14"/>
        <v>0</v>
      </c>
      <c r="BG25" s="1126">
        <f t="shared" si="15"/>
        <v>0</v>
      </c>
      <c r="BH25" s="1152"/>
      <c r="BI25" s="1282">
        <f t="shared" si="16"/>
        <v>0</v>
      </c>
      <c r="BJ25" s="1282">
        <f t="shared" si="17"/>
        <v>0</v>
      </c>
      <c r="BK25" s="1282">
        <f t="shared" si="18"/>
        <v>0</v>
      </c>
      <c r="BL25" s="1282">
        <f t="shared" si="19"/>
        <v>0</v>
      </c>
      <c r="BM25" s="1282">
        <f t="shared" si="20"/>
        <v>0</v>
      </c>
      <c r="BN25" s="1119"/>
      <c r="BO25" s="1013"/>
      <c r="BS25" s="998"/>
      <c r="BT25" s="999" t="s">
        <v>90</v>
      </c>
      <c r="BU25" s="1001">
        <v>0</v>
      </c>
      <c r="BV25" s="998"/>
      <c r="BW25" s="998"/>
      <c r="BX25" s="998"/>
    </row>
    <row r="26" spans="1:76" ht="23.25" customHeight="1">
      <c r="A26" s="468">
        <v>19</v>
      </c>
      <c r="B26" s="1705">
        <v>0</v>
      </c>
      <c r="C26" s="796" t="s">
        <v>31</v>
      </c>
      <c r="D26" s="565">
        <f t="shared" si="0"/>
        <v>0</v>
      </c>
      <c r="E26" s="335">
        <f t="shared" si="1"/>
        <v>0</v>
      </c>
      <c r="F26" s="566">
        <f t="shared" ref="F26:F42" si="27">D26*E26/6.25</f>
        <v>0</v>
      </c>
      <c r="G26" s="1720">
        <v>0</v>
      </c>
      <c r="H26" s="1437">
        <v>0</v>
      </c>
      <c r="I26" s="570">
        <f t="shared" ref="I26:I42" si="28">G26*H26/6.25</f>
        <v>0</v>
      </c>
      <c r="J26" s="590">
        <v>0</v>
      </c>
      <c r="K26" s="743">
        <f t="shared" ref="K26:K42" si="29">IF(J26="Reinbestand",I26,J26*3)</f>
        <v>0</v>
      </c>
      <c r="L26" s="1703">
        <v>0</v>
      </c>
      <c r="M26" s="742">
        <f t="shared" si="2"/>
        <v>0</v>
      </c>
      <c r="N26" s="592">
        <f t="shared" si="3"/>
        <v>0</v>
      </c>
      <c r="O26" s="657">
        <f t="shared" si="4"/>
        <v>0</v>
      </c>
      <c r="P26" s="592">
        <f t="shared" si="5"/>
        <v>0</v>
      </c>
      <c r="Q26" s="981"/>
      <c r="R26" s="1281">
        <f t="shared" si="10"/>
        <v>19</v>
      </c>
      <c r="S26" s="1281" t="str">
        <f t="shared" si="11"/>
        <v>keine</v>
      </c>
      <c r="T26" s="1329"/>
      <c r="U26" s="1330" t="s">
        <v>795</v>
      </c>
      <c r="V26" s="1424">
        <v>0</v>
      </c>
      <c r="W26" s="1033">
        <f>VLOOKUP(U26,Düngemittel!$B$6:$E$64,2,FALSE)*(VLOOKUP(U26,Düngemittel!$B$6:$E$64,3,FALSE))/100*V26</f>
        <v>0</v>
      </c>
      <c r="X26" s="1033">
        <f>VLOOKUP(U26,Düngemittel!$B$6:$E$64,2,FALSE)*V26</f>
        <v>0</v>
      </c>
      <c r="Y26" s="1033">
        <f>VLOOKUP(U26,Düngemittel!$B$6:$E$64,4,FALSE)*V26</f>
        <v>0</v>
      </c>
      <c r="Z26" s="2089"/>
      <c r="AA26" s="1329"/>
      <c r="AB26" s="1330" t="s">
        <v>795</v>
      </c>
      <c r="AC26" s="1424">
        <v>0</v>
      </c>
      <c r="AD26" s="1033">
        <f>VLOOKUP(AB26,Düngemittel!$B$6:$E$64,2,FALSE)*(VLOOKUP(AB26,Düngemittel!$B$6:$E$64,3,FALSE))/100*AC26</f>
        <v>0</v>
      </c>
      <c r="AE26" s="1033">
        <f>VLOOKUP(AB26,Düngemittel!$B$6:$E$64,2,FALSE)*AC26</f>
        <v>0</v>
      </c>
      <c r="AF26" s="1033">
        <f>VLOOKUP(AB26,Düngemittel!$B$6:$E$64,4,FALSE)*AC26</f>
        <v>0</v>
      </c>
      <c r="AG26" s="2089"/>
      <c r="AH26" s="1329"/>
      <c r="AI26" s="1330" t="s">
        <v>795</v>
      </c>
      <c r="AJ26" s="1424">
        <v>0</v>
      </c>
      <c r="AK26" s="1033">
        <f>VLOOKUP(AI26,Düngemittel!$B$6:$E$64,2,FALSE)*(VLOOKUP(AI26,Düngemittel!$B$6:$E$64,3,FALSE))/100*AJ26</f>
        <v>0</v>
      </c>
      <c r="AL26" s="1033">
        <f>VLOOKUP(AI26,Düngemittel!$B$6:$E$64,2,FALSE)*AJ26</f>
        <v>0</v>
      </c>
      <c r="AM26" s="1033">
        <f>VLOOKUP(AI26,Düngemittel!$B$6:$E$64,4,FALSE)*AJ26</f>
        <v>0</v>
      </c>
      <c r="AN26" s="2089"/>
      <c r="AO26" s="1329"/>
      <c r="AP26" s="1330" t="s">
        <v>795</v>
      </c>
      <c r="AQ26" s="1424">
        <v>0</v>
      </c>
      <c r="AR26" s="1033">
        <f>VLOOKUP(AP26,Düngemittel!$B$6:$E$64,2,FALSE)*(VLOOKUP(AP26,Düngemittel!$B$6:$E$64,3,FALSE))/100*AQ26</f>
        <v>0</v>
      </c>
      <c r="AS26" s="1033">
        <f>VLOOKUP(AP26,Düngemittel!$B$6:$E$64,2,FALSE)*AQ26</f>
        <v>0</v>
      </c>
      <c r="AT26" s="1033">
        <f>VLOOKUP(AP26,Düngemittel!$B$6:$E$64,4,FALSE)*AQ26</f>
        <v>0</v>
      </c>
      <c r="AU26" s="2089"/>
      <c r="AV26" s="1329"/>
      <c r="AW26" s="1330" t="s">
        <v>795</v>
      </c>
      <c r="AX26" s="1424">
        <v>0</v>
      </c>
      <c r="AY26" s="1033">
        <f>VLOOKUP(AW26,Düngemittel!$B$6:$E$64,2,FALSE)*(VLOOKUP(AW26,Düngemittel!$B$6:$E$64,3,FALSE))/100*AX26</f>
        <v>0</v>
      </c>
      <c r="AZ26" s="1033">
        <f>VLOOKUP(AW26,Düngemittel!$B$6:$E$64,2,FALSE)*AX26</f>
        <v>0</v>
      </c>
      <c r="BA26" s="1033">
        <f>VLOOKUP(AW26,Düngemittel!$B$6:$E$64,4,FALSE)*AX26</f>
        <v>0</v>
      </c>
      <c r="BB26" s="863"/>
      <c r="BC26" s="1282">
        <f t="shared" si="12"/>
        <v>0</v>
      </c>
      <c r="BD26" s="1126">
        <f t="shared" si="13"/>
        <v>0</v>
      </c>
      <c r="BE26" s="1283">
        <f t="shared" si="13"/>
        <v>0</v>
      </c>
      <c r="BF26" s="1151">
        <f t="shared" si="14"/>
        <v>0</v>
      </c>
      <c r="BG26" s="1126">
        <f t="shared" si="15"/>
        <v>0</v>
      </c>
      <c r="BH26" s="1152"/>
      <c r="BI26" s="1282">
        <f t="shared" si="16"/>
        <v>0</v>
      </c>
      <c r="BJ26" s="1282">
        <f t="shared" si="17"/>
        <v>0</v>
      </c>
      <c r="BK26" s="1282">
        <f t="shared" si="18"/>
        <v>0</v>
      </c>
      <c r="BL26" s="1282">
        <f t="shared" si="19"/>
        <v>0</v>
      </c>
      <c r="BM26" s="1282">
        <f t="shared" si="20"/>
        <v>0</v>
      </c>
      <c r="BN26" s="1119"/>
      <c r="BO26" s="1013"/>
      <c r="BS26" s="998"/>
      <c r="BT26" s="999" t="s">
        <v>88</v>
      </c>
      <c r="BU26" s="1001">
        <v>20</v>
      </c>
      <c r="BV26" s="998"/>
      <c r="BW26" s="998"/>
      <c r="BX26" s="998"/>
    </row>
    <row r="27" spans="1:76" ht="23.25" customHeight="1">
      <c r="A27" s="468">
        <v>20</v>
      </c>
      <c r="B27" s="1705">
        <v>0</v>
      </c>
      <c r="C27" s="796" t="s">
        <v>31</v>
      </c>
      <c r="D27" s="565">
        <f t="shared" si="0"/>
        <v>0</v>
      </c>
      <c r="E27" s="335">
        <f t="shared" si="1"/>
        <v>0</v>
      </c>
      <c r="F27" s="566">
        <f t="shared" si="27"/>
        <v>0</v>
      </c>
      <c r="G27" s="1720">
        <v>0</v>
      </c>
      <c r="H27" s="1437">
        <v>0</v>
      </c>
      <c r="I27" s="570">
        <f t="shared" si="28"/>
        <v>0</v>
      </c>
      <c r="J27" s="590">
        <v>0</v>
      </c>
      <c r="K27" s="743">
        <f t="shared" si="29"/>
        <v>0</v>
      </c>
      <c r="L27" s="1703">
        <v>0</v>
      </c>
      <c r="M27" s="742">
        <f t="shared" si="2"/>
        <v>0</v>
      </c>
      <c r="N27" s="592">
        <f t="shared" si="3"/>
        <v>0</v>
      </c>
      <c r="O27" s="657">
        <f t="shared" si="4"/>
        <v>0</v>
      </c>
      <c r="P27" s="592">
        <f t="shared" si="5"/>
        <v>0</v>
      </c>
      <c r="Q27" s="782"/>
      <c r="R27" s="1281">
        <f t="shared" si="10"/>
        <v>20</v>
      </c>
      <c r="S27" s="1281" t="str">
        <f t="shared" si="11"/>
        <v>keine</v>
      </c>
      <c r="T27" s="1329"/>
      <c r="U27" s="1330" t="s">
        <v>795</v>
      </c>
      <c r="V27" s="1424">
        <v>0</v>
      </c>
      <c r="W27" s="1033">
        <f>VLOOKUP(U27,Düngemittel!$B$6:$E$64,2,FALSE)*(VLOOKUP(U27,Düngemittel!$B$6:$E$64,3,FALSE))/100*V27</f>
        <v>0</v>
      </c>
      <c r="X27" s="1033">
        <f>VLOOKUP(U27,Düngemittel!$B$6:$E$64,2,FALSE)*V27</f>
        <v>0</v>
      </c>
      <c r="Y27" s="1033">
        <f>VLOOKUP(U27,Düngemittel!$B$6:$E$64,4,FALSE)*V27</f>
        <v>0</v>
      </c>
      <c r="Z27" s="2089"/>
      <c r="AA27" s="1329"/>
      <c r="AB27" s="1330" t="s">
        <v>795</v>
      </c>
      <c r="AC27" s="1424">
        <v>0</v>
      </c>
      <c r="AD27" s="1033">
        <f>VLOOKUP(AB27,Düngemittel!$B$6:$E$64,2,FALSE)*(VLOOKUP(AB27,Düngemittel!$B$6:$E$64,3,FALSE))/100*AC27</f>
        <v>0</v>
      </c>
      <c r="AE27" s="1033">
        <f>VLOOKUP(AB27,Düngemittel!$B$6:$E$64,2,FALSE)*AC27</f>
        <v>0</v>
      </c>
      <c r="AF27" s="1033">
        <f>VLOOKUP(AB27,Düngemittel!$B$6:$E$64,4,FALSE)*AC27</f>
        <v>0</v>
      </c>
      <c r="AG27" s="2089"/>
      <c r="AH27" s="1329"/>
      <c r="AI27" s="1330" t="s">
        <v>795</v>
      </c>
      <c r="AJ27" s="1424">
        <v>0</v>
      </c>
      <c r="AK27" s="1033">
        <f>VLOOKUP(AI27,Düngemittel!$B$6:$E$64,2,FALSE)*(VLOOKUP(AI27,Düngemittel!$B$6:$E$64,3,FALSE))/100*AJ27</f>
        <v>0</v>
      </c>
      <c r="AL27" s="1033">
        <f>VLOOKUP(AI27,Düngemittel!$B$6:$E$64,2,FALSE)*AJ27</f>
        <v>0</v>
      </c>
      <c r="AM27" s="1033">
        <f>VLOOKUP(AI27,Düngemittel!$B$6:$E$64,4,FALSE)*AJ27</f>
        <v>0</v>
      </c>
      <c r="AN27" s="2089"/>
      <c r="AO27" s="1329"/>
      <c r="AP27" s="1330" t="s">
        <v>795</v>
      </c>
      <c r="AQ27" s="1424">
        <v>0</v>
      </c>
      <c r="AR27" s="1033">
        <f>VLOOKUP(AP27,Düngemittel!$B$6:$E$64,2,FALSE)*(VLOOKUP(AP27,Düngemittel!$B$6:$E$64,3,FALSE))/100*AQ27</f>
        <v>0</v>
      </c>
      <c r="AS27" s="1033">
        <f>VLOOKUP(AP27,Düngemittel!$B$6:$E$64,2,FALSE)*AQ27</f>
        <v>0</v>
      </c>
      <c r="AT27" s="1033">
        <f>VLOOKUP(AP27,Düngemittel!$B$6:$E$64,4,FALSE)*AQ27</f>
        <v>0</v>
      </c>
      <c r="AU27" s="2089"/>
      <c r="AV27" s="1329"/>
      <c r="AW27" s="1330" t="s">
        <v>795</v>
      </c>
      <c r="AX27" s="1424">
        <v>0</v>
      </c>
      <c r="AY27" s="1033">
        <f>VLOOKUP(AW27,Düngemittel!$B$6:$E$64,2,FALSE)*(VLOOKUP(AW27,Düngemittel!$B$6:$E$64,3,FALSE))/100*AX27</f>
        <v>0</v>
      </c>
      <c r="AZ27" s="1033">
        <f>VLOOKUP(AW27,Düngemittel!$B$6:$E$64,2,FALSE)*AX27</f>
        <v>0</v>
      </c>
      <c r="BA27" s="1033">
        <f>VLOOKUP(AW27,Düngemittel!$B$6:$E$64,4,FALSE)*AX27</f>
        <v>0</v>
      </c>
      <c r="BB27" s="863"/>
      <c r="BC27" s="1282">
        <f t="shared" si="12"/>
        <v>0</v>
      </c>
      <c r="BD27" s="1126">
        <f t="shared" si="13"/>
        <v>0</v>
      </c>
      <c r="BE27" s="1283">
        <f t="shared" si="13"/>
        <v>0</v>
      </c>
      <c r="BF27" s="1151">
        <f t="shared" si="14"/>
        <v>0</v>
      </c>
      <c r="BG27" s="1126">
        <f t="shared" si="15"/>
        <v>0</v>
      </c>
      <c r="BH27" s="1152"/>
      <c r="BI27" s="1282">
        <f t="shared" si="16"/>
        <v>0</v>
      </c>
      <c r="BJ27" s="1282">
        <f t="shared" si="17"/>
        <v>0</v>
      </c>
      <c r="BK27" s="1282">
        <f t="shared" si="18"/>
        <v>0</v>
      </c>
      <c r="BL27" s="1282">
        <f t="shared" si="19"/>
        <v>0</v>
      </c>
      <c r="BM27" s="1282">
        <f t="shared" si="20"/>
        <v>0</v>
      </c>
      <c r="BN27" s="1119"/>
      <c r="BS27" s="998"/>
      <c r="BT27" s="999" t="s">
        <v>89</v>
      </c>
      <c r="BU27" s="1001">
        <v>40</v>
      </c>
      <c r="BV27" s="998"/>
      <c r="BW27" s="998"/>
      <c r="BX27" s="998"/>
    </row>
    <row r="28" spans="1:76" ht="23.25" customHeight="1">
      <c r="A28" s="468">
        <v>21</v>
      </c>
      <c r="B28" s="1705">
        <v>0</v>
      </c>
      <c r="C28" s="796" t="s">
        <v>31</v>
      </c>
      <c r="D28" s="565">
        <f t="shared" si="0"/>
        <v>0</v>
      </c>
      <c r="E28" s="335">
        <f t="shared" si="1"/>
        <v>0</v>
      </c>
      <c r="F28" s="566">
        <f t="shared" si="27"/>
        <v>0</v>
      </c>
      <c r="G28" s="1720">
        <v>0</v>
      </c>
      <c r="H28" s="1437">
        <v>0</v>
      </c>
      <c r="I28" s="570">
        <f t="shared" si="28"/>
        <v>0</v>
      </c>
      <c r="J28" s="590">
        <v>0</v>
      </c>
      <c r="K28" s="743">
        <f t="shared" si="29"/>
        <v>0</v>
      </c>
      <c r="L28" s="1703">
        <v>0</v>
      </c>
      <c r="M28" s="742">
        <f t="shared" si="2"/>
        <v>0</v>
      </c>
      <c r="N28" s="592">
        <f t="shared" si="3"/>
        <v>0</v>
      </c>
      <c r="O28" s="657">
        <f t="shared" si="4"/>
        <v>0</v>
      </c>
      <c r="P28" s="592">
        <f t="shared" si="5"/>
        <v>0</v>
      </c>
      <c r="Q28" s="980"/>
      <c r="R28" s="1281">
        <f t="shared" si="10"/>
        <v>21</v>
      </c>
      <c r="S28" s="1281" t="str">
        <f t="shared" si="11"/>
        <v>keine</v>
      </c>
      <c r="T28" s="1329"/>
      <c r="U28" s="1330" t="s">
        <v>795</v>
      </c>
      <c r="V28" s="1424">
        <v>0</v>
      </c>
      <c r="W28" s="1033">
        <f>VLOOKUP(U28,Düngemittel!$B$6:$E$64,2,FALSE)*(VLOOKUP(U28,Düngemittel!$B$6:$E$64,3,FALSE))/100*V28</f>
        <v>0</v>
      </c>
      <c r="X28" s="1033">
        <f>VLOOKUP(U28,Düngemittel!$B$6:$E$64,2,FALSE)*V28</f>
        <v>0</v>
      </c>
      <c r="Y28" s="1033">
        <f>VLOOKUP(U28,Düngemittel!$B$6:$E$64,4,FALSE)*V28</f>
        <v>0</v>
      </c>
      <c r="Z28" s="142"/>
      <c r="AA28" s="1329"/>
      <c r="AB28" s="1330" t="s">
        <v>795</v>
      </c>
      <c r="AC28" s="1424">
        <v>0</v>
      </c>
      <c r="AD28" s="1033">
        <f>VLOOKUP(AB28,Düngemittel!$B$6:$E$64,2,FALSE)*(VLOOKUP(AB28,Düngemittel!$B$6:$E$64,3,FALSE))/100*AC28</f>
        <v>0</v>
      </c>
      <c r="AE28" s="1033">
        <f>VLOOKUP(AB28,Düngemittel!$B$6:$E$64,2,FALSE)*AC28</f>
        <v>0</v>
      </c>
      <c r="AF28" s="1033">
        <f>VLOOKUP(AB28,Düngemittel!$B$6:$E$64,4,FALSE)*AC28</f>
        <v>0</v>
      </c>
      <c r="AG28" s="142"/>
      <c r="AH28" s="1329"/>
      <c r="AI28" s="1330" t="s">
        <v>795</v>
      </c>
      <c r="AJ28" s="1424">
        <v>0</v>
      </c>
      <c r="AK28" s="1033">
        <f>VLOOKUP(AI28,Düngemittel!$B$6:$E$64,2,FALSE)*(VLOOKUP(AI28,Düngemittel!$B$6:$E$64,3,FALSE))/100*AJ28</f>
        <v>0</v>
      </c>
      <c r="AL28" s="1033">
        <f>VLOOKUP(AI28,Düngemittel!$B$6:$E$64,2,FALSE)*AJ28</f>
        <v>0</v>
      </c>
      <c r="AM28" s="1033">
        <f>VLOOKUP(AI28,Düngemittel!$B$6:$E$64,4,FALSE)*AJ28</f>
        <v>0</v>
      </c>
      <c r="AN28" s="142"/>
      <c r="AO28" s="1329"/>
      <c r="AP28" s="1330" t="s">
        <v>795</v>
      </c>
      <c r="AQ28" s="1424">
        <v>0</v>
      </c>
      <c r="AR28" s="1033">
        <f>VLOOKUP(AP28,Düngemittel!$B$6:$E$64,2,FALSE)*(VLOOKUP(AP28,Düngemittel!$B$6:$E$64,3,FALSE))/100*AQ28</f>
        <v>0</v>
      </c>
      <c r="AS28" s="1033">
        <f>VLOOKUP(AP28,Düngemittel!$B$6:$E$64,2,FALSE)*AQ28</f>
        <v>0</v>
      </c>
      <c r="AT28" s="1033">
        <f>VLOOKUP(AP28,Düngemittel!$B$6:$E$64,4,FALSE)*AQ28</f>
        <v>0</v>
      </c>
      <c r="AU28" s="142"/>
      <c r="AV28" s="1329"/>
      <c r="AW28" s="1330" t="s">
        <v>795</v>
      </c>
      <c r="AX28" s="1424">
        <v>0</v>
      </c>
      <c r="AY28" s="1033">
        <f>VLOOKUP(AW28,Düngemittel!$B$6:$E$64,2,FALSE)*(VLOOKUP(AW28,Düngemittel!$B$6:$E$64,3,FALSE))/100*AX28</f>
        <v>0</v>
      </c>
      <c r="AZ28" s="1033">
        <f>VLOOKUP(AW28,Düngemittel!$B$6:$E$64,2,FALSE)*AX28</f>
        <v>0</v>
      </c>
      <c r="BA28" s="1033">
        <f>VLOOKUP(AW28,Düngemittel!$B$6:$E$64,4,FALSE)*AX28</f>
        <v>0</v>
      </c>
      <c r="BB28" s="863"/>
      <c r="BC28" s="1282">
        <f t="shared" si="12"/>
        <v>0</v>
      </c>
      <c r="BD28" s="1126">
        <f t="shared" si="13"/>
        <v>0</v>
      </c>
      <c r="BE28" s="1283">
        <f t="shared" si="13"/>
        <v>0</v>
      </c>
      <c r="BF28" s="1151">
        <f t="shared" si="14"/>
        <v>0</v>
      </c>
      <c r="BG28" s="1126">
        <f t="shared" si="15"/>
        <v>0</v>
      </c>
      <c r="BH28" s="1152"/>
      <c r="BI28" s="1282">
        <f t="shared" si="16"/>
        <v>0</v>
      </c>
      <c r="BJ28" s="1282">
        <f t="shared" si="17"/>
        <v>0</v>
      </c>
      <c r="BK28" s="1282">
        <f t="shared" si="18"/>
        <v>0</v>
      </c>
      <c r="BL28" s="1282">
        <f t="shared" si="19"/>
        <v>0</v>
      </c>
      <c r="BM28" s="1282">
        <f t="shared" si="20"/>
        <v>0</v>
      </c>
      <c r="BN28" s="1119"/>
      <c r="BO28" s="1013"/>
      <c r="BP28" s="1008"/>
      <c r="BQ28" s="1008"/>
      <c r="BR28" s="1008"/>
      <c r="BS28" s="998"/>
      <c r="BT28" s="999" t="s">
        <v>227</v>
      </c>
      <c r="BU28" s="1001">
        <v>60</v>
      </c>
      <c r="BV28" s="998"/>
      <c r="BW28" s="998"/>
      <c r="BX28" s="998"/>
    </row>
    <row r="29" spans="1:76" ht="24" customHeight="1">
      <c r="A29" s="468">
        <v>22</v>
      </c>
      <c r="B29" s="1705">
        <v>0</v>
      </c>
      <c r="C29" s="796" t="s">
        <v>31</v>
      </c>
      <c r="D29" s="565">
        <f t="shared" si="0"/>
        <v>0</v>
      </c>
      <c r="E29" s="335">
        <f t="shared" si="1"/>
        <v>0</v>
      </c>
      <c r="F29" s="566">
        <f t="shared" si="27"/>
        <v>0</v>
      </c>
      <c r="G29" s="1720">
        <v>0</v>
      </c>
      <c r="H29" s="1437">
        <v>0</v>
      </c>
      <c r="I29" s="570">
        <f t="shared" si="28"/>
        <v>0</v>
      </c>
      <c r="J29" s="590">
        <v>0</v>
      </c>
      <c r="K29" s="743">
        <f t="shared" si="29"/>
        <v>0</v>
      </c>
      <c r="L29" s="1703">
        <v>0</v>
      </c>
      <c r="M29" s="742">
        <f t="shared" si="2"/>
        <v>0</v>
      </c>
      <c r="N29" s="592">
        <f t="shared" si="3"/>
        <v>0</v>
      </c>
      <c r="O29" s="657">
        <f t="shared" si="4"/>
        <v>0</v>
      </c>
      <c r="P29" s="592">
        <f t="shared" si="5"/>
        <v>0</v>
      </c>
      <c r="Q29" s="978"/>
      <c r="R29" s="1281">
        <f t="shared" si="10"/>
        <v>22</v>
      </c>
      <c r="S29" s="1281" t="str">
        <f t="shared" si="11"/>
        <v>keine</v>
      </c>
      <c r="T29" s="1329"/>
      <c r="U29" s="1330" t="s">
        <v>795</v>
      </c>
      <c r="V29" s="1424">
        <v>0</v>
      </c>
      <c r="W29" s="1033">
        <f>VLOOKUP(U29,Düngemittel!$B$6:$E$64,2,FALSE)*(VLOOKUP(U29,Düngemittel!$B$6:$E$64,3,FALSE))/100*V29</f>
        <v>0</v>
      </c>
      <c r="X29" s="1033">
        <f>VLOOKUP(U29,Düngemittel!$B$6:$E$64,2,FALSE)*V29</f>
        <v>0</v>
      </c>
      <c r="Y29" s="1033">
        <f>VLOOKUP(U29,Düngemittel!$B$6:$E$64,4,FALSE)*V29</f>
        <v>0</v>
      </c>
      <c r="Z29" s="2089"/>
      <c r="AA29" s="1329"/>
      <c r="AB29" s="1330" t="s">
        <v>795</v>
      </c>
      <c r="AC29" s="1424">
        <v>0</v>
      </c>
      <c r="AD29" s="1033">
        <f>VLOOKUP(AB29,Düngemittel!$B$6:$E$64,2,FALSE)*(VLOOKUP(AB29,Düngemittel!$B$6:$E$64,3,FALSE))/100*AC29</f>
        <v>0</v>
      </c>
      <c r="AE29" s="1033">
        <f>VLOOKUP(AB29,Düngemittel!$B$6:$E$64,2,FALSE)*AC29</f>
        <v>0</v>
      </c>
      <c r="AF29" s="1033">
        <f>VLOOKUP(AB29,Düngemittel!$B$6:$E$64,4,FALSE)*AC29</f>
        <v>0</v>
      </c>
      <c r="AG29" s="2089"/>
      <c r="AH29" s="1329"/>
      <c r="AI29" s="1330" t="s">
        <v>795</v>
      </c>
      <c r="AJ29" s="1424">
        <v>0</v>
      </c>
      <c r="AK29" s="1033">
        <f>VLOOKUP(AI29,Düngemittel!$B$6:$E$64,2,FALSE)*(VLOOKUP(AI29,Düngemittel!$B$6:$E$64,3,FALSE))/100*AJ29</f>
        <v>0</v>
      </c>
      <c r="AL29" s="1033">
        <f>VLOOKUP(AI29,Düngemittel!$B$6:$E$64,2,FALSE)*AJ29</f>
        <v>0</v>
      </c>
      <c r="AM29" s="1033">
        <f>VLOOKUP(AI29,Düngemittel!$B$6:$E$64,4,FALSE)*AJ29</f>
        <v>0</v>
      </c>
      <c r="AN29" s="2089"/>
      <c r="AO29" s="1329"/>
      <c r="AP29" s="1330" t="s">
        <v>795</v>
      </c>
      <c r="AQ29" s="1424">
        <v>0</v>
      </c>
      <c r="AR29" s="1033">
        <f>VLOOKUP(AP29,Düngemittel!$B$6:$E$64,2,FALSE)*(VLOOKUP(AP29,Düngemittel!$B$6:$E$64,3,FALSE))/100*AQ29</f>
        <v>0</v>
      </c>
      <c r="AS29" s="1033">
        <f>VLOOKUP(AP29,Düngemittel!$B$6:$E$64,2,FALSE)*AQ29</f>
        <v>0</v>
      </c>
      <c r="AT29" s="1033">
        <f>VLOOKUP(AP29,Düngemittel!$B$6:$E$64,4,FALSE)*AQ29</f>
        <v>0</v>
      </c>
      <c r="AU29" s="2089"/>
      <c r="AV29" s="1329"/>
      <c r="AW29" s="1330" t="s">
        <v>795</v>
      </c>
      <c r="AX29" s="1424">
        <v>0</v>
      </c>
      <c r="AY29" s="1033">
        <f>VLOOKUP(AW29,Düngemittel!$B$6:$E$64,2,FALSE)*(VLOOKUP(AW29,Düngemittel!$B$6:$E$64,3,FALSE))/100*AX29</f>
        <v>0</v>
      </c>
      <c r="AZ29" s="1033">
        <f>VLOOKUP(AW29,Düngemittel!$B$6:$E$64,2,FALSE)*AX29</f>
        <v>0</v>
      </c>
      <c r="BA29" s="1033">
        <f>VLOOKUP(AW29,Düngemittel!$B$6:$E$64,4,FALSE)*AX29</f>
        <v>0</v>
      </c>
      <c r="BB29" s="863"/>
      <c r="BC29" s="1282">
        <f t="shared" si="12"/>
        <v>0</v>
      </c>
      <c r="BD29" s="1126">
        <f t="shared" si="13"/>
        <v>0</v>
      </c>
      <c r="BE29" s="1283">
        <f t="shared" si="13"/>
        <v>0</v>
      </c>
      <c r="BF29" s="1151">
        <f t="shared" si="14"/>
        <v>0</v>
      </c>
      <c r="BG29" s="1126">
        <f t="shared" si="15"/>
        <v>0</v>
      </c>
      <c r="BH29" s="1152"/>
      <c r="BI29" s="1282">
        <f t="shared" si="16"/>
        <v>0</v>
      </c>
      <c r="BJ29" s="1282">
        <f t="shared" si="17"/>
        <v>0</v>
      </c>
      <c r="BK29" s="1282">
        <f t="shared" si="18"/>
        <v>0</v>
      </c>
      <c r="BL29" s="1282">
        <f t="shared" si="19"/>
        <v>0</v>
      </c>
      <c r="BM29" s="1282">
        <f t="shared" si="20"/>
        <v>0</v>
      </c>
      <c r="BN29" s="1119"/>
      <c r="BO29" s="1013"/>
      <c r="BQ29" s="1008"/>
      <c r="BR29" s="1008"/>
      <c r="BS29" s="480"/>
    </row>
    <row r="30" spans="1:76" s="1421" customFormat="1" ht="24" customHeight="1">
      <c r="A30" s="468">
        <v>23</v>
      </c>
      <c r="B30" s="1705">
        <v>0</v>
      </c>
      <c r="C30" s="796" t="s">
        <v>31</v>
      </c>
      <c r="D30" s="565">
        <f t="shared" ref="D30:D40" si="30">VLOOKUP(C30,BO$7:BQ$23,2,FALSE)</f>
        <v>0</v>
      </c>
      <c r="E30" s="335">
        <f t="shared" ref="E30:E40" si="31">VLOOKUP(C30,BO$7:BQ$23,3,FALSE)</f>
        <v>0</v>
      </c>
      <c r="F30" s="566">
        <f t="shared" ref="F30:F40" si="32">D30*E30/6.25</f>
        <v>0</v>
      </c>
      <c r="G30" s="1720">
        <v>0</v>
      </c>
      <c r="H30" s="1437">
        <v>0</v>
      </c>
      <c r="I30" s="570">
        <f t="shared" ref="I30:I40" si="33">G30*H30/6.25</f>
        <v>0</v>
      </c>
      <c r="J30" s="590">
        <v>1</v>
      </c>
      <c r="K30" s="743">
        <f t="shared" ref="K30:K40" si="34">IF(J30="Reinbestand",I30,J30*3)</f>
        <v>3</v>
      </c>
      <c r="L30" s="1703">
        <v>0</v>
      </c>
      <c r="M30" s="742">
        <f t="shared" ref="M30:M40" si="35">IF(I30-K30-L30&lt;0,0,I30-K30-L30)</f>
        <v>0</v>
      </c>
      <c r="N30" s="592">
        <f t="shared" ref="N30:N40" si="36">IF(M30&lt;0,0,M30*B30)</f>
        <v>0</v>
      </c>
      <c r="O30" s="657">
        <f t="shared" ref="O30:O40" si="37">G30*VLOOKUP(C30,BO$7:BR$21,4,FALSE)</f>
        <v>0</v>
      </c>
      <c r="P30" s="592">
        <f t="shared" ref="P30:P40" si="38">B30*O30</f>
        <v>0</v>
      </c>
      <c r="Q30" s="978"/>
      <c r="R30" s="1281">
        <f t="shared" ref="R30:R40" si="39">A30</f>
        <v>23</v>
      </c>
      <c r="S30" s="1281" t="str">
        <f t="shared" ref="S30:S40" si="40">C30</f>
        <v>keine</v>
      </c>
      <c r="T30" s="1329"/>
      <c r="U30" s="1330" t="s">
        <v>795</v>
      </c>
      <c r="V30" s="1424">
        <v>0</v>
      </c>
      <c r="W30" s="1033">
        <f>VLOOKUP(U30,Düngemittel!$B$6:$E$64,2,FALSE)*(VLOOKUP(U30,Düngemittel!$B$6:$E$64,3,FALSE))/100*V30</f>
        <v>0</v>
      </c>
      <c r="X30" s="1033">
        <f>VLOOKUP(U30,Düngemittel!$B$6:$E$64,2,FALSE)*V30</f>
        <v>0</v>
      </c>
      <c r="Y30" s="1033">
        <f>VLOOKUP(U30,Düngemittel!$B$6:$E$64,4,FALSE)*V30</f>
        <v>0</v>
      </c>
      <c r="Z30" s="2324"/>
      <c r="AA30" s="1329"/>
      <c r="AB30" s="1330" t="s">
        <v>795</v>
      </c>
      <c r="AC30" s="1424">
        <v>0</v>
      </c>
      <c r="AD30" s="1033">
        <f>VLOOKUP(AB30,Düngemittel!$B$6:$E$64,2,FALSE)*(VLOOKUP(AB30,Düngemittel!$B$6:$E$64,3,FALSE))/100*AC30</f>
        <v>0</v>
      </c>
      <c r="AE30" s="1033">
        <f>VLOOKUP(AB30,Düngemittel!$B$6:$E$64,2,FALSE)*AC30</f>
        <v>0</v>
      </c>
      <c r="AF30" s="1033">
        <f>VLOOKUP(AB30,Düngemittel!$B$6:$E$64,4,FALSE)*AC30</f>
        <v>0</v>
      </c>
      <c r="AG30" s="2324"/>
      <c r="AH30" s="1329"/>
      <c r="AI30" s="1330" t="s">
        <v>795</v>
      </c>
      <c r="AJ30" s="1424">
        <v>0</v>
      </c>
      <c r="AK30" s="1033">
        <f>VLOOKUP(AI30,Düngemittel!$B$6:$E$64,2,FALSE)*(VLOOKUP(AI30,Düngemittel!$B$6:$E$64,3,FALSE))/100*AJ30</f>
        <v>0</v>
      </c>
      <c r="AL30" s="1033">
        <f>VLOOKUP(AI30,Düngemittel!$B$6:$E$64,2,FALSE)*AJ30</f>
        <v>0</v>
      </c>
      <c r="AM30" s="1033">
        <f>VLOOKUP(AI30,Düngemittel!$B$6:$E$64,4,FALSE)*AJ30</f>
        <v>0</v>
      </c>
      <c r="AN30" s="2324"/>
      <c r="AO30" s="1329"/>
      <c r="AP30" s="1330" t="s">
        <v>795</v>
      </c>
      <c r="AQ30" s="1424">
        <v>0</v>
      </c>
      <c r="AR30" s="1033">
        <f>VLOOKUP(AP30,Düngemittel!$B$6:$E$64,2,FALSE)*(VLOOKUP(AP30,Düngemittel!$B$6:$E$64,3,FALSE))/100*AQ30</f>
        <v>0</v>
      </c>
      <c r="AS30" s="1033">
        <f>VLOOKUP(AP30,Düngemittel!$B$6:$E$64,2,FALSE)*AQ30</f>
        <v>0</v>
      </c>
      <c r="AT30" s="1033">
        <f>VLOOKUP(AP30,Düngemittel!$B$6:$E$64,4,FALSE)*AQ30</f>
        <v>0</v>
      </c>
      <c r="AU30" s="2324"/>
      <c r="AV30" s="1329"/>
      <c r="AW30" s="1330" t="s">
        <v>795</v>
      </c>
      <c r="AX30" s="1424">
        <v>0</v>
      </c>
      <c r="AY30" s="1033">
        <f>VLOOKUP(AW30,Düngemittel!$B$6:$E$64,2,FALSE)*(VLOOKUP(AW30,Düngemittel!$B$6:$E$64,3,FALSE))/100*AX30</f>
        <v>0</v>
      </c>
      <c r="AZ30" s="1033">
        <f>VLOOKUP(AW30,Düngemittel!$B$6:$E$64,2,FALSE)*AX30</f>
        <v>0</v>
      </c>
      <c r="BA30" s="1033">
        <f>VLOOKUP(AW30,Düngemittel!$B$6:$E$64,4,FALSE)*AX30</f>
        <v>0</v>
      </c>
      <c r="BB30" s="863"/>
      <c r="BC30" s="1282">
        <f t="shared" ref="BC30:BC40" si="41">IF(W30&lt;X30,0,W30)+IF(AD30&lt;AE30,0,AD30)+IF(AK30&lt;AL30,0,AK30)+IF(AR30&lt;AS30,0,AR30)+IF(AY30&lt;AZ30,0,AY30)</f>
        <v>0</v>
      </c>
      <c r="BD30" s="2326">
        <f t="shared" ref="BD30:BD40" si="42">SUM(W30+AD30+AK30+AR30+AY30)</f>
        <v>0</v>
      </c>
      <c r="BE30" s="1283">
        <f t="shared" ref="BE30:BE40" si="43">SUM(X30+AE30+AL30+AS30+AZ30)</f>
        <v>0</v>
      </c>
      <c r="BF30" s="1151">
        <f t="shared" ref="BF30:BF40" si="44">IF(W30&lt;X30,X30,0)+IF(AD30&lt;AE30,AE30,0)+IF(AK30&lt;AL30,AL30,0)+IF(AR30&lt;AS30,AS30,0)+IF(AY30&lt;AZ30,AZ30,0)</f>
        <v>0</v>
      </c>
      <c r="BG30" s="2326">
        <f t="shared" ref="BG30:BG40" si="45">SUM(Y30+AF30+AM30+AT30+BA30)</f>
        <v>0</v>
      </c>
      <c r="BH30" s="1152"/>
      <c r="BI30" s="1282">
        <f t="shared" ref="BI30:BI40" si="46">BC30*$B30</f>
        <v>0</v>
      </c>
      <c r="BJ30" s="1282">
        <f t="shared" ref="BJ30:BJ40" si="47">BD30*$B30</f>
        <v>0</v>
      </c>
      <c r="BK30" s="1282">
        <f t="shared" ref="BK30:BK40" si="48">BE30*$B30</f>
        <v>0</v>
      </c>
      <c r="BL30" s="1282">
        <f t="shared" ref="BL30:BL40" si="49">BF30*$B30</f>
        <v>0</v>
      </c>
      <c r="BM30" s="1282">
        <f t="shared" ref="BM30:BM40" si="50">BG30*$B30</f>
        <v>0</v>
      </c>
      <c r="BN30" s="1119"/>
      <c r="BO30" s="2327"/>
      <c r="BQ30" s="2325"/>
      <c r="BR30" s="2325"/>
      <c r="BS30" s="480"/>
    </row>
    <row r="31" spans="1:76" s="1421" customFormat="1" ht="24" customHeight="1">
      <c r="A31" s="468">
        <v>24</v>
      </c>
      <c r="B31" s="1705">
        <v>0</v>
      </c>
      <c r="C31" s="796" t="s">
        <v>31</v>
      </c>
      <c r="D31" s="565">
        <f t="shared" si="30"/>
        <v>0</v>
      </c>
      <c r="E31" s="335">
        <f t="shared" si="31"/>
        <v>0</v>
      </c>
      <c r="F31" s="566">
        <f t="shared" si="32"/>
        <v>0</v>
      </c>
      <c r="G31" s="1720">
        <v>0</v>
      </c>
      <c r="H31" s="1437">
        <v>0</v>
      </c>
      <c r="I31" s="570">
        <f t="shared" si="33"/>
        <v>0</v>
      </c>
      <c r="J31" s="590">
        <v>2</v>
      </c>
      <c r="K31" s="743">
        <f t="shared" si="34"/>
        <v>6</v>
      </c>
      <c r="L31" s="1703">
        <v>0</v>
      </c>
      <c r="M31" s="742">
        <f t="shared" si="35"/>
        <v>0</v>
      </c>
      <c r="N31" s="592">
        <f t="shared" si="36"/>
        <v>0</v>
      </c>
      <c r="O31" s="657">
        <f t="shared" si="37"/>
        <v>0</v>
      </c>
      <c r="P31" s="592">
        <f t="shared" si="38"/>
        <v>0</v>
      </c>
      <c r="Q31" s="978"/>
      <c r="R31" s="1281">
        <f t="shared" si="39"/>
        <v>24</v>
      </c>
      <c r="S31" s="1281" t="str">
        <f t="shared" si="40"/>
        <v>keine</v>
      </c>
      <c r="T31" s="1329"/>
      <c r="U31" s="1330" t="s">
        <v>795</v>
      </c>
      <c r="V31" s="1424">
        <v>0</v>
      </c>
      <c r="W31" s="1033">
        <f>VLOOKUP(U31,Düngemittel!$B$6:$E$64,2,FALSE)*(VLOOKUP(U31,Düngemittel!$B$6:$E$64,3,FALSE))/100*V31</f>
        <v>0</v>
      </c>
      <c r="X31" s="1033">
        <f>VLOOKUP(U31,Düngemittel!$B$6:$E$64,2,FALSE)*V31</f>
        <v>0</v>
      </c>
      <c r="Y31" s="1033">
        <f>VLOOKUP(U31,Düngemittel!$B$6:$E$64,4,FALSE)*V31</f>
        <v>0</v>
      </c>
      <c r="Z31" s="2324"/>
      <c r="AA31" s="1329"/>
      <c r="AB31" s="1330" t="s">
        <v>795</v>
      </c>
      <c r="AC31" s="1424">
        <v>0</v>
      </c>
      <c r="AD31" s="1033">
        <f>VLOOKUP(AB31,Düngemittel!$B$6:$E$64,2,FALSE)*(VLOOKUP(AB31,Düngemittel!$B$6:$E$64,3,FALSE))/100*AC31</f>
        <v>0</v>
      </c>
      <c r="AE31" s="1033">
        <f>VLOOKUP(AB31,Düngemittel!$B$6:$E$64,2,FALSE)*AC31</f>
        <v>0</v>
      </c>
      <c r="AF31" s="1033">
        <f>VLOOKUP(AB31,Düngemittel!$B$6:$E$64,4,FALSE)*AC31</f>
        <v>0</v>
      </c>
      <c r="AG31" s="2324"/>
      <c r="AH31" s="1329"/>
      <c r="AI31" s="1330" t="s">
        <v>795</v>
      </c>
      <c r="AJ31" s="1424">
        <v>0</v>
      </c>
      <c r="AK31" s="1033">
        <f>VLOOKUP(AI31,Düngemittel!$B$6:$E$64,2,FALSE)*(VLOOKUP(AI31,Düngemittel!$B$6:$E$64,3,FALSE))/100*AJ31</f>
        <v>0</v>
      </c>
      <c r="AL31" s="1033">
        <f>VLOOKUP(AI31,Düngemittel!$B$6:$E$64,2,FALSE)*AJ31</f>
        <v>0</v>
      </c>
      <c r="AM31" s="1033">
        <f>VLOOKUP(AI31,Düngemittel!$B$6:$E$64,4,FALSE)*AJ31</f>
        <v>0</v>
      </c>
      <c r="AN31" s="2324"/>
      <c r="AO31" s="1329"/>
      <c r="AP31" s="1330" t="s">
        <v>795</v>
      </c>
      <c r="AQ31" s="1424">
        <v>0</v>
      </c>
      <c r="AR31" s="1033">
        <f>VLOOKUP(AP31,Düngemittel!$B$6:$E$64,2,FALSE)*(VLOOKUP(AP31,Düngemittel!$B$6:$E$64,3,FALSE))/100*AQ31</f>
        <v>0</v>
      </c>
      <c r="AS31" s="1033">
        <f>VLOOKUP(AP31,Düngemittel!$B$6:$E$64,2,FALSE)*AQ31</f>
        <v>0</v>
      </c>
      <c r="AT31" s="1033">
        <f>VLOOKUP(AP31,Düngemittel!$B$6:$E$64,4,FALSE)*AQ31</f>
        <v>0</v>
      </c>
      <c r="AU31" s="2324"/>
      <c r="AV31" s="1329"/>
      <c r="AW31" s="1330" t="s">
        <v>795</v>
      </c>
      <c r="AX31" s="1424">
        <v>0</v>
      </c>
      <c r="AY31" s="1033">
        <f>VLOOKUP(AW31,Düngemittel!$B$6:$E$64,2,FALSE)*(VLOOKUP(AW31,Düngemittel!$B$6:$E$64,3,FALSE))/100*AX31</f>
        <v>0</v>
      </c>
      <c r="AZ31" s="1033">
        <f>VLOOKUP(AW31,Düngemittel!$B$6:$E$64,2,FALSE)*AX31</f>
        <v>0</v>
      </c>
      <c r="BA31" s="1033">
        <f>VLOOKUP(AW31,Düngemittel!$B$6:$E$64,4,FALSE)*AX31</f>
        <v>0</v>
      </c>
      <c r="BB31" s="863"/>
      <c r="BC31" s="1282">
        <f t="shared" si="41"/>
        <v>0</v>
      </c>
      <c r="BD31" s="2326">
        <f t="shared" si="42"/>
        <v>0</v>
      </c>
      <c r="BE31" s="1283">
        <f t="shared" si="43"/>
        <v>0</v>
      </c>
      <c r="BF31" s="1151">
        <f t="shared" si="44"/>
        <v>0</v>
      </c>
      <c r="BG31" s="2326">
        <f t="shared" si="45"/>
        <v>0</v>
      </c>
      <c r="BH31" s="1152"/>
      <c r="BI31" s="1282">
        <f t="shared" si="46"/>
        <v>0</v>
      </c>
      <c r="BJ31" s="1282">
        <f t="shared" si="47"/>
        <v>0</v>
      </c>
      <c r="BK31" s="1282">
        <f t="shared" si="48"/>
        <v>0</v>
      </c>
      <c r="BL31" s="1282">
        <f t="shared" si="49"/>
        <v>0</v>
      </c>
      <c r="BM31" s="1282">
        <f t="shared" si="50"/>
        <v>0</v>
      </c>
      <c r="BN31" s="1119"/>
      <c r="BO31" s="2327"/>
      <c r="BQ31" s="2325"/>
      <c r="BR31" s="2325"/>
      <c r="BS31" s="480"/>
    </row>
    <row r="32" spans="1:76" s="1421" customFormat="1" ht="24" customHeight="1">
      <c r="A32" s="468">
        <v>25</v>
      </c>
      <c r="B32" s="1705">
        <v>0</v>
      </c>
      <c r="C32" s="796" t="s">
        <v>31</v>
      </c>
      <c r="D32" s="565">
        <f t="shared" si="30"/>
        <v>0</v>
      </c>
      <c r="E32" s="335">
        <f t="shared" si="31"/>
        <v>0</v>
      </c>
      <c r="F32" s="566">
        <f t="shared" si="32"/>
        <v>0</v>
      </c>
      <c r="G32" s="1720">
        <v>0</v>
      </c>
      <c r="H32" s="1437">
        <v>0</v>
      </c>
      <c r="I32" s="570">
        <f t="shared" si="33"/>
        <v>0</v>
      </c>
      <c r="J32" s="590">
        <v>3</v>
      </c>
      <c r="K32" s="743">
        <f t="shared" si="34"/>
        <v>9</v>
      </c>
      <c r="L32" s="1703">
        <v>0</v>
      </c>
      <c r="M32" s="742">
        <f t="shared" si="35"/>
        <v>0</v>
      </c>
      <c r="N32" s="592">
        <f t="shared" si="36"/>
        <v>0</v>
      </c>
      <c r="O32" s="657">
        <f t="shared" si="37"/>
        <v>0</v>
      </c>
      <c r="P32" s="592">
        <f t="shared" si="38"/>
        <v>0</v>
      </c>
      <c r="Q32" s="978"/>
      <c r="R32" s="1281">
        <f t="shared" si="39"/>
        <v>25</v>
      </c>
      <c r="S32" s="1281" t="str">
        <f t="shared" si="40"/>
        <v>keine</v>
      </c>
      <c r="T32" s="1329"/>
      <c r="U32" s="1330" t="s">
        <v>795</v>
      </c>
      <c r="V32" s="1424">
        <v>0</v>
      </c>
      <c r="W32" s="1033">
        <f>VLOOKUP(U32,Düngemittel!$B$6:$E$64,2,FALSE)*(VLOOKUP(U32,Düngemittel!$B$6:$E$64,3,FALSE))/100*V32</f>
        <v>0</v>
      </c>
      <c r="X32" s="1033">
        <f>VLOOKUP(U32,Düngemittel!$B$6:$E$64,2,FALSE)*V32</f>
        <v>0</v>
      </c>
      <c r="Y32" s="1033">
        <f>VLOOKUP(U32,Düngemittel!$B$6:$E$64,4,FALSE)*V32</f>
        <v>0</v>
      </c>
      <c r="Z32" s="2324"/>
      <c r="AA32" s="1329"/>
      <c r="AB32" s="1330" t="s">
        <v>795</v>
      </c>
      <c r="AC32" s="1424">
        <v>0</v>
      </c>
      <c r="AD32" s="1033">
        <f>VLOOKUP(AB32,Düngemittel!$B$6:$E$64,2,FALSE)*(VLOOKUP(AB32,Düngemittel!$B$6:$E$64,3,FALSE))/100*AC32</f>
        <v>0</v>
      </c>
      <c r="AE32" s="1033">
        <f>VLOOKUP(AB32,Düngemittel!$B$6:$E$64,2,FALSE)*AC32</f>
        <v>0</v>
      </c>
      <c r="AF32" s="1033">
        <f>VLOOKUP(AB32,Düngemittel!$B$6:$E$64,4,FALSE)*AC32</f>
        <v>0</v>
      </c>
      <c r="AG32" s="2324"/>
      <c r="AH32" s="1329"/>
      <c r="AI32" s="1330" t="s">
        <v>795</v>
      </c>
      <c r="AJ32" s="1424">
        <v>0</v>
      </c>
      <c r="AK32" s="1033">
        <f>VLOOKUP(AI32,Düngemittel!$B$6:$E$64,2,FALSE)*(VLOOKUP(AI32,Düngemittel!$B$6:$E$64,3,FALSE))/100*AJ32</f>
        <v>0</v>
      </c>
      <c r="AL32" s="1033">
        <f>VLOOKUP(AI32,Düngemittel!$B$6:$E$64,2,FALSE)*AJ32</f>
        <v>0</v>
      </c>
      <c r="AM32" s="1033">
        <f>VLOOKUP(AI32,Düngemittel!$B$6:$E$64,4,FALSE)*AJ32</f>
        <v>0</v>
      </c>
      <c r="AN32" s="2324"/>
      <c r="AO32" s="1329"/>
      <c r="AP32" s="1330" t="s">
        <v>795</v>
      </c>
      <c r="AQ32" s="1424">
        <v>0</v>
      </c>
      <c r="AR32" s="1033">
        <f>VLOOKUP(AP32,Düngemittel!$B$6:$E$64,2,FALSE)*(VLOOKUP(AP32,Düngemittel!$B$6:$E$64,3,FALSE))/100*AQ32</f>
        <v>0</v>
      </c>
      <c r="AS32" s="1033">
        <f>VLOOKUP(AP32,Düngemittel!$B$6:$E$64,2,FALSE)*AQ32</f>
        <v>0</v>
      </c>
      <c r="AT32" s="1033">
        <f>VLOOKUP(AP32,Düngemittel!$B$6:$E$64,4,FALSE)*AQ32</f>
        <v>0</v>
      </c>
      <c r="AU32" s="2324"/>
      <c r="AV32" s="1329"/>
      <c r="AW32" s="1330" t="s">
        <v>795</v>
      </c>
      <c r="AX32" s="1424">
        <v>0</v>
      </c>
      <c r="AY32" s="1033">
        <f>VLOOKUP(AW32,Düngemittel!$B$6:$E$64,2,FALSE)*(VLOOKUP(AW32,Düngemittel!$B$6:$E$64,3,FALSE))/100*AX32</f>
        <v>0</v>
      </c>
      <c r="AZ32" s="1033">
        <f>VLOOKUP(AW32,Düngemittel!$B$6:$E$64,2,FALSE)*AX32</f>
        <v>0</v>
      </c>
      <c r="BA32" s="1033">
        <f>VLOOKUP(AW32,Düngemittel!$B$6:$E$64,4,FALSE)*AX32</f>
        <v>0</v>
      </c>
      <c r="BB32" s="863"/>
      <c r="BC32" s="1282">
        <f t="shared" si="41"/>
        <v>0</v>
      </c>
      <c r="BD32" s="2326">
        <f t="shared" si="42"/>
        <v>0</v>
      </c>
      <c r="BE32" s="1283">
        <f t="shared" si="43"/>
        <v>0</v>
      </c>
      <c r="BF32" s="1151">
        <f t="shared" si="44"/>
        <v>0</v>
      </c>
      <c r="BG32" s="2326">
        <f t="shared" si="45"/>
        <v>0</v>
      </c>
      <c r="BH32" s="1152"/>
      <c r="BI32" s="1282">
        <f t="shared" si="46"/>
        <v>0</v>
      </c>
      <c r="BJ32" s="1282">
        <f t="shared" si="47"/>
        <v>0</v>
      </c>
      <c r="BK32" s="1282">
        <f t="shared" si="48"/>
        <v>0</v>
      </c>
      <c r="BL32" s="1282">
        <f t="shared" si="49"/>
        <v>0</v>
      </c>
      <c r="BM32" s="1282">
        <f t="shared" si="50"/>
        <v>0</v>
      </c>
      <c r="BN32" s="1119"/>
      <c r="BO32" s="2327"/>
      <c r="BQ32" s="2325"/>
      <c r="BR32" s="2325"/>
      <c r="BS32" s="480"/>
    </row>
    <row r="33" spans="1:71" s="1421" customFormat="1" ht="24" customHeight="1">
      <c r="A33" s="468">
        <v>26</v>
      </c>
      <c r="B33" s="1705">
        <v>0</v>
      </c>
      <c r="C33" s="796" t="s">
        <v>31</v>
      </c>
      <c r="D33" s="565">
        <f t="shared" si="30"/>
        <v>0</v>
      </c>
      <c r="E33" s="335">
        <f t="shared" si="31"/>
        <v>0</v>
      </c>
      <c r="F33" s="566">
        <f t="shared" si="32"/>
        <v>0</v>
      </c>
      <c r="G33" s="1720">
        <v>0</v>
      </c>
      <c r="H33" s="1437">
        <v>0</v>
      </c>
      <c r="I33" s="570">
        <f t="shared" si="33"/>
        <v>0</v>
      </c>
      <c r="J33" s="590">
        <v>4</v>
      </c>
      <c r="K33" s="743">
        <f t="shared" si="34"/>
        <v>12</v>
      </c>
      <c r="L33" s="1703">
        <v>0</v>
      </c>
      <c r="M33" s="742">
        <f t="shared" si="35"/>
        <v>0</v>
      </c>
      <c r="N33" s="592">
        <f t="shared" si="36"/>
        <v>0</v>
      </c>
      <c r="O33" s="657">
        <f t="shared" si="37"/>
        <v>0</v>
      </c>
      <c r="P33" s="592">
        <f t="shared" si="38"/>
        <v>0</v>
      </c>
      <c r="Q33" s="978"/>
      <c r="R33" s="1281">
        <f t="shared" si="39"/>
        <v>26</v>
      </c>
      <c r="S33" s="1281" t="str">
        <f t="shared" si="40"/>
        <v>keine</v>
      </c>
      <c r="T33" s="1329"/>
      <c r="U33" s="1330" t="s">
        <v>795</v>
      </c>
      <c r="V33" s="1424">
        <v>0</v>
      </c>
      <c r="W33" s="1033">
        <f>VLOOKUP(U33,Düngemittel!$B$6:$E$64,2,FALSE)*(VLOOKUP(U33,Düngemittel!$B$6:$E$64,3,FALSE))/100*V33</f>
        <v>0</v>
      </c>
      <c r="X33" s="1033">
        <f>VLOOKUP(U33,Düngemittel!$B$6:$E$64,2,FALSE)*V33</f>
        <v>0</v>
      </c>
      <c r="Y33" s="1033">
        <f>VLOOKUP(U33,Düngemittel!$B$6:$E$64,4,FALSE)*V33</f>
        <v>0</v>
      </c>
      <c r="Z33" s="2324"/>
      <c r="AA33" s="1329"/>
      <c r="AB33" s="1330" t="s">
        <v>795</v>
      </c>
      <c r="AC33" s="1424">
        <v>0</v>
      </c>
      <c r="AD33" s="1033">
        <f>VLOOKUP(AB33,Düngemittel!$B$6:$E$64,2,FALSE)*(VLOOKUP(AB33,Düngemittel!$B$6:$E$64,3,FALSE))/100*AC33</f>
        <v>0</v>
      </c>
      <c r="AE33" s="1033">
        <f>VLOOKUP(AB33,Düngemittel!$B$6:$E$64,2,FALSE)*AC33</f>
        <v>0</v>
      </c>
      <c r="AF33" s="1033">
        <f>VLOOKUP(AB33,Düngemittel!$B$6:$E$64,4,FALSE)*AC33</f>
        <v>0</v>
      </c>
      <c r="AG33" s="2324"/>
      <c r="AH33" s="1329"/>
      <c r="AI33" s="1330" t="s">
        <v>795</v>
      </c>
      <c r="AJ33" s="1424">
        <v>0</v>
      </c>
      <c r="AK33" s="1033">
        <f>VLOOKUP(AI33,Düngemittel!$B$6:$E$64,2,FALSE)*(VLOOKUP(AI33,Düngemittel!$B$6:$E$64,3,FALSE))/100*AJ33</f>
        <v>0</v>
      </c>
      <c r="AL33" s="1033">
        <f>VLOOKUP(AI33,Düngemittel!$B$6:$E$64,2,FALSE)*AJ33</f>
        <v>0</v>
      </c>
      <c r="AM33" s="1033">
        <f>VLOOKUP(AI33,Düngemittel!$B$6:$E$64,4,FALSE)*AJ33</f>
        <v>0</v>
      </c>
      <c r="AN33" s="2324"/>
      <c r="AO33" s="1329"/>
      <c r="AP33" s="1330" t="s">
        <v>795</v>
      </c>
      <c r="AQ33" s="1424">
        <v>0</v>
      </c>
      <c r="AR33" s="1033">
        <f>VLOOKUP(AP33,Düngemittel!$B$6:$E$64,2,FALSE)*(VLOOKUP(AP33,Düngemittel!$B$6:$E$64,3,FALSE))/100*AQ33</f>
        <v>0</v>
      </c>
      <c r="AS33" s="1033">
        <f>VLOOKUP(AP33,Düngemittel!$B$6:$E$64,2,FALSE)*AQ33</f>
        <v>0</v>
      </c>
      <c r="AT33" s="1033">
        <f>VLOOKUP(AP33,Düngemittel!$B$6:$E$64,4,FALSE)*AQ33</f>
        <v>0</v>
      </c>
      <c r="AU33" s="2324"/>
      <c r="AV33" s="1329"/>
      <c r="AW33" s="1330" t="s">
        <v>795</v>
      </c>
      <c r="AX33" s="1424">
        <v>0</v>
      </c>
      <c r="AY33" s="1033">
        <f>VLOOKUP(AW33,Düngemittel!$B$6:$E$64,2,FALSE)*(VLOOKUP(AW33,Düngemittel!$B$6:$E$64,3,FALSE))/100*AX33</f>
        <v>0</v>
      </c>
      <c r="AZ33" s="1033">
        <f>VLOOKUP(AW33,Düngemittel!$B$6:$E$64,2,FALSE)*AX33</f>
        <v>0</v>
      </c>
      <c r="BA33" s="1033">
        <f>VLOOKUP(AW33,Düngemittel!$B$6:$E$64,4,FALSE)*AX33</f>
        <v>0</v>
      </c>
      <c r="BB33" s="863"/>
      <c r="BC33" s="1282">
        <f t="shared" si="41"/>
        <v>0</v>
      </c>
      <c r="BD33" s="2326">
        <f t="shared" si="42"/>
        <v>0</v>
      </c>
      <c r="BE33" s="1283">
        <f t="shared" si="43"/>
        <v>0</v>
      </c>
      <c r="BF33" s="1151">
        <f t="shared" si="44"/>
        <v>0</v>
      </c>
      <c r="BG33" s="2326">
        <f t="shared" si="45"/>
        <v>0</v>
      </c>
      <c r="BH33" s="1152"/>
      <c r="BI33" s="1282">
        <f t="shared" si="46"/>
        <v>0</v>
      </c>
      <c r="BJ33" s="1282">
        <f t="shared" si="47"/>
        <v>0</v>
      </c>
      <c r="BK33" s="1282">
        <f t="shared" si="48"/>
        <v>0</v>
      </c>
      <c r="BL33" s="1282">
        <f t="shared" si="49"/>
        <v>0</v>
      </c>
      <c r="BM33" s="1282">
        <f t="shared" si="50"/>
        <v>0</v>
      </c>
      <c r="BN33" s="1119"/>
      <c r="BO33" s="2327"/>
      <c r="BQ33" s="2325"/>
      <c r="BR33" s="2325"/>
      <c r="BS33" s="480"/>
    </row>
    <row r="34" spans="1:71" s="1421" customFormat="1" ht="24" customHeight="1">
      <c r="A34" s="468">
        <v>27</v>
      </c>
      <c r="B34" s="1705">
        <v>0</v>
      </c>
      <c r="C34" s="796" t="s">
        <v>31</v>
      </c>
      <c r="D34" s="565">
        <f t="shared" si="30"/>
        <v>0</v>
      </c>
      <c r="E34" s="335">
        <f t="shared" si="31"/>
        <v>0</v>
      </c>
      <c r="F34" s="566">
        <f t="shared" si="32"/>
        <v>0</v>
      </c>
      <c r="G34" s="1720">
        <v>0</v>
      </c>
      <c r="H34" s="1437">
        <v>0</v>
      </c>
      <c r="I34" s="570">
        <f t="shared" si="33"/>
        <v>0</v>
      </c>
      <c r="J34" s="590">
        <v>5</v>
      </c>
      <c r="K34" s="743">
        <f t="shared" si="34"/>
        <v>15</v>
      </c>
      <c r="L34" s="1703">
        <v>0</v>
      </c>
      <c r="M34" s="742">
        <f t="shared" si="35"/>
        <v>0</v>
      </c>
      <c r="N34" s="592">
        <f t="shared" si="36"/>
        <v>0</v>
      </c>
      <c r="O34" s="657">
        <f t="shared" si="37"/>
        <v>0</v>
      </c>
      <c r="P34" s="592">
        <f t="shared" si="38"/>
        <v>0</v>
      </c>
      <c r="Q34" s="978"/>
      <c r="R34" s="1281">
        <f t="shared" si="39"/>
        <v>27</v>
      </c>
      <c r="S34" s="1281" t="str">
        <f t="shared" si="40"/>
        <v>keine</v>
      </c>
      <c r="T34" s="1329"/>
      <c r="U34" s="1330" t="s">
        <v>795</v>
      </c>
      <c r="V34" s="1424">
        <v>0</v>
      </c>
      <c r="W34" s="1033">
        <f>VLOOKUP(U34,Düngemittel!$B$6:$E$64,2,FALSE)*(VLOOKUP(U34,Düngemittel!$B$6:$E$64,3,FALSE))/100*V34</f>
        <v>0</v>
      </c>
      <c r="X34" s="1033">
        <f>VLOOKUP(U34,Düngemittel!$B$6:$E$64,2,FALSE)*V34</f>
        <v>0</v>
      </c>
      <c r="Y34" s="1033">
        <f>VLOOKUP(U34,Düngemittel!$B$6:$E$64,4,FALSE)*V34</f>
        <v>0</v>
      </c>
      <c r="Z34" s="2324"/>
      <c r="AA34" s="1329"/>
      <c r="AB34" s="1330" t="s">
        <v>795</v>
      </c>
      <c r="AC34" s="1424">
        <v>0</v>
      </c>
      <c r="AD34" s="1033">
        <f>VLOOKUP(AB34,Düngemittel!$B$6:$E$64,2,FALSE)*(VLOOKUP(AB34,Düngemittel!$B$6:$E$64,3,FALSE))/100*AC34</f>
        <v>0</v>
      </c>
      <c r="AE34" s="1033">
        <f>VLOOKUP(AB34,Düngemittel!$B$6:$E$64,2,FALSE)*AC34</f>
        <v>0</v>
      </c>
      <c r="AF34" s="1033">
        <f>VLOOKUP(AB34,Düngemittel!$B$6:$E$64,4,FALSE)*AC34</f>
        <v>0</v>
      </c>
      <c r="AG34" s="2324"/>
      <c r="AH34" s="1329"/>
      <c r="AI34" s="1330" t="s">
        <v>795</v>
      </c>
      <c r="AJ34" s="1424">
        <v>0</v>
      </c>
      <c r="AK34" s="1033">
        <f>VLOOKUP(AI34,Düngemittel!$B$6:$E$64,2,FALSE)*(VLOOKUP(AI34,Düngemittel!$B$6:$E$64,3,FALSE))/100*AJ34</f>
        <v>0</v>
      </c>
      <c r="AL34" s="1033">
        <f>VLOOKUP(AI34,Düngemittel!$B$6:$E$64,2,FALSE)*AJ34</f>
        <v>0</v>
      </c>
      <c r="AM34" s="1033">
        <f>VLOOKUP(AI34,Düngemittel!$B$6:$E$64,4,FALSE)*AJ34</f>
        <v>0</v>
      </c>
      <c r="AN34" s="2324"/>
      <c r="AO34" s="1329"/>
      <c r="AP34" s="1330" t="s">
        <v>795</v>
      </c>
      <c r="AQ34" s="1424">
        <v>0</v>
      </c>
      <c r="AR34" s="1033">
        <f>VLOOKUP(AP34,Düngemittel!$B$6:$E$64,2,FALSE)*(VLOOKUP(AP34,Düngemittel!$B$6:$E$64,3,FALSE))/100*AQ34</f>
        <v>0</v>
      </c>
      <c r="AS34" s="1033">
        <f>VLOOKUP(AP34,Düngemittel!$B$6:$E$64,2,FALSE)*AQ34</f>
        <v>0</v>
      </c>
      <c r="AT34" s="1033">
        <f>VLOOKUP(AP34,Düngemittel!$B$6:$E$64,4,FALSE)*AQ34</f>
        <v>0</v>
      </c>
      <c r="AU34" s="2324"/>
      <c r="AV34" s="1329"/>
      <c r="AW34" s="1330" t="s">
        <v>795</v>
      </c>
      <c r="AX34" s="1424">
        <v>0</v>
      </c>
      <c r="AY34" s="1033">
        <f>VLOOKUP(AW34,Düngemittel!$B$6:$E$64,2,FALSE)*(VLOOKUP(AW34,Düngemittel!$B$6:$E$64,3,FALSE))/100*AX34</f>
        <v>0</v>
      </c>
      <c r="AZ34" s="1033">
        <f>VLOOKUP(AW34,Düngemittel!$B$6:$E$64,2,FALSE)*AX34</f>
        <v>0</v>
      </c>
      <c r="BA34" s="1033">
        <f>VLOOKUP(AW34,Düngemittel!$B$6:$E$64,4,FALSE)*AX34</f>
        <v>0</v>
      </c>
      <c r="BB34" s="863"/>
      <c r="BC34" s="1282">
        <f t="shared" si="41"/>
        <v>0</v>
      </c>
      <c r="BD34" s="2326">
        <f t="shared" si="42"/>
        <v>0</v>
      </c>
      <c r="BE34" s="1283">
        <f t="shared" si="43"/>
        <v>0</v>
      </c>
      <c r="BF34" s="1151">
        <f t="shared" si="44"/>
        <v>0</v>
      </c>
      <c r="BG34" s="2326">
        <f t="shared" si="45"/>
        <v>0</v>
      </c>
      <c r="BH34" s="1152"/>
      <c r="BI34" s="1282">
        <f t="shared" si="46"/>
        <v>0</v>
      </c>
      <c r="BJ34" s="1282">
        <f t="shared" si="47"/>
        <v>0</v>
      </c>
      <c r="BK34" s="1282">
        <f t="shared" si="48"/>
        <v>0</v>
      </c>
      <c r="BL34" s="1282">
        <f t="shared" si="49"/>
        <v>0</v>
      </c>
      <c r="BM34" s="1282">
        <f t="shared" si="50"/>
        <v>0</v>
      </c>
      <c r="BN34" s="1119"/>
      <c r="BO34" s="2327"/>
      <c r="BQ34" s="2325"/>
      <c r="BR34" s="2325"/>
      <c r="BS34" s="480"/>
    </row>
    <row r="35" spans="1:71" s="1421" customFormat="1" ht="24" customHeight="1">
      <c r="A35" s="468">
        <v>28</v>
      </c>
      <c r="B35" s="1705">
        <v>0</v>
      </c>
      <c r="C35" s="796" t="s">
        <v>31</v>
      </c>
      <c r="D35" s="565">
        <f t="shared" si="30"/>
        <v>0</v>
      </c>
      <c r="E35" s="335">
        <f t="shared" si="31"/>
        <v>0</v>
      </c>
      <c r="F35" s="566">
        <f t="shared" si="32"/>
        <v>0</v>
      </c>
      <c r="G35" s="1720">
        <v>0</v>
      </c>
      <c r="H35" s="1437">
        <v>0</v>
      </c>
      <c r="I35" s="570">
        <f t="shared" si="33"/>
        <v>0</v>
      </c>
      <c r="J35" s="590">
        <v>6</v>
      </c>
      <c r="K35" s="743">
        <f t="shared" si="34"/>
        <v>18</v>
      </c>
      <c r="L35" s="1703">
        <v>0</v>
      </c>
      <c r="M35" s="742">
        <f t="shared" si="35"/>
        <v>0</v>
      </c>
      <c r="N35" s="592">
        <f t="shared" si="36"/>
        <v>0</v>
      </c>
      <c r="O35" s="657">
        <f t="shared" si="37"/>
        <v>0</v>
      </c>
      <c r="P35" s="592">
        <f t="shared" si="38"/>
        <v>0</v>
      </c>
      <c r="Q35" s="978"/>
      <c r="R35" s="1281">
        <f t="shared" si="39"/>
        <v>28</v>
      </c>
      <c r="S35" s="1281" t="str">
        <f t="shared" si="40"/>
        <v>keine</v>
      </c>
      <c r="T35" s="1329"/>
      <c r="U35" s="1330" t="s">
        <v>795</v>
      </c>
      <c r="V35" s="1424">
        <v>0</v>
      </c>
      <c r="W35" s="1033">
        <f>VLOOKUP(U35,Düngemittel!$B$6:$E$64,2,FALSE)*(VLOOKUP(U35,Düngemittel!$B$6:$E$64,3,FALSE))/100*V35</f>
        <v>0</v>
      </c>
      <c r="X35" s="1033">
        <f>VLOOKUP(U35,Düngemittel!$B$6:$E$64,2,FALSE)*V35</f>
        <v>0</v>
      </c>
      <c r="Y35" s="1033">
        <f>VLOOKUP(U35,Düngemittel!$B$6:$E$64,4,FALSE)*V35</f>
        <v>0</v>
      </c>
      <c r="Z35" s="2324"/>
      <c r="AA35" s="1329"/>
      <c r="AB35" s="1330" t="s">
        <v>795</v>
      </c>
      <c r="AC35" s="1424">
        <v>0</v>
      </c>
      <c r="AD35" s="1033">
        <f>VLOOKUP(AB35,Düngemittel!$B$6:$E$64,2,FALSE)*(VLOOKUP(AB35,Düngemittel!$B$6:$E$64,3,FALSE))/100*AC35</f>
        <v>0</v>
      </c>
      <c r="AE35" s="1033">
        <f>VLOOKUP(AB35,Düngemittel!$B$6:$E$64,2,FALSE)*AC35</f>
        <v>0</v>
      </c>
      <c r="AF35" s="1033">
        <f>VLOOKUP(AB35,Düngemittel!$B$6:$E$64,4,FALSE)*AC35</f>
        <v>0</v>
      </c>
      <c r="AG35" s="2324"/>
      <c r="AH35" s="1329"/>
      <c r="AI35" s="1330" t="s">
        <v>795</v>
      </c>
      <c r="AJ35" s="1424">
        <v>0</v>
      </c>
      <c r="AK35" s="1033">
        <f>VLOOKUP(AI35,Düngemittel!$B$6:$E$64,2,FALSE)*(VLOOKUP(AI35,Düngemittel!$B$6:$E$64,3,FALSE))/100*AJ35</f>
        <v>0</v>
      </c>
      <c r="AL35" s="1033">
        <f>VLOOKUP(AI35,Düngemittel!$B$6:$E$64,2,FALSE)*AJ35</f>
        <v>0</v>
      </c>
      <c r="AM35" s="1033">
        <f>VLOOKUP(AI35,Düngemittel!$B$6:$E$64,4,FALSE)*AJ35</f>
        <v>0</v>
      </c>
      <c r="AN35" s="2324"/>
      <c r="AO35" s="1329"/>
      <c r="AP35" s="1330" t="s">
        <v>795</v>
      </c>
      <c r="AQ35" s="1424">
        <v>0</v>
      </c>
      <c r="AR35" s="1033">
        <f>VLOOKUP(AP35,Düngemittel!$B$6:$E$64,2,FALSE)*(VLOOKUP(AP35,Düngemittel!$B$6:$E$64,3,FALSE))/100*AQ35</f>
        <v>0</v>
      </c>
      <c r="AS35" s="1033">
        <f>VLOOKUP(AP35,Düngemittel!$B$6:$E$64,2,FALSE)*AQ35</f>
        <v>0</v>
      </c>
      <c r="AT35" s="1033">
        <f>VLOOKUP(AP35,Düngemittel!$B$6:$E$64,4,FALSE)*AQ35</f>
        <v>0</v>
      </c>
      <c r="AU35" s="2324"/>
      <c r="AV35" s="1329"/>
      <c r="AW35" s="1330" t="s">
        <v>795</v>
      </c>
      <c r="AX35" s="1424">
        <v>0</v>
      </c>
      <c r="AY35" s="1033">
        <f>VLOOKUP(AW35,Düngemittel!$B$6:$E$64,2,FALSE)*(VLOOKUP(AW35,Düngemittel!$B$6:$E$64,3,FALSE))/100*AX35</f>
        <v>0</v>
      </c>
      <c r="AZ35" s="1033">
        <f>VLOOKUP(AW35,Düngemittel!$B$6:$E$64,2,FALSE)*AX35</f>
        <v>0</v>
      </c>
      <c r="BA35" s="1033">
        <f>VLOOKUP(AW35,Düngemittel!$B$6:$E$64,4,FALSE)*AX35</f>
        <v>0</v>
      </c>
      <c r="BB35" s="863"/>
      <c r="BC35" s="1282">
        <f t="shared" si="41"/>
        <v>0</v>
      </c>
      <c r="BD35" s="2326">
        <f t="shared" si="42"/>
        <v>0</v>
      </c>
      <c r="BE35" s="1283">
        <f t="shared" si="43"/>
        <v>0</v>
      </c>
      <c r="BF35" s="1151">
        <f t="shared" si="44"/>
        <v>0</v>
      </c>
      <c r="BG35" s="2326">
        <f t="shared" si="45"/>
        <v>0</v>
      </c>
      <c r="BH35" s="1152"/>
      <c r="BI35" s="1282">
        <f t="shared" si="46"/>
        <v>0</v>
      </c>
      <c r="BJ35" s="1282">
        <f t="shared" si="47"/>
        <v>0</v>
      </c>
      <c r="BK35" s="1282">
        <f t="shared" si="48"/>
        <v>0</v>
      </c>
      <c r="BL35" s="1282">
        <f t="shared" si="49"/>
        <v>0</v>
      </c>
      <c r="BM35" s="1282">
        <f t="shared" si="50"/>
        <v>0</v>
      </c>
      <c r="BN35" s="1119"/>
      <c r="BO35" s="2327"/>
      <c r="BQ35" s="2325"/>
      <c r="BR35" s="2325"/>
      <c r="BS35" s="480"/>
    </row>
    <row r="36" spans="1:71" s="1421" customFormat="1" ht="24" customHeight="1">
      <c r="A36" s="468">
        <v>29</v>
      </c>
      <c r="B36" s="1705">
        <v>0</v>
      </c>
      <c r="C36" s="796" t="s">
        <v>31</v>
      </c>
      <c r="D36" s="565">
        <f t="shared" si="30"/>
        <v>0</v>
      </c>
      <c r="E36" s="335">
        <f t="shared" si="31"/>
        <v>0</v>
      </c>
      <c r="F36" s="566">
        <f t="shared" si="32"/>
        <v>0</v>
      </c>
      <c r="G36" s="1720">
        <v>0</v>
      </c>
      <c r="H36" s="1437">
        <v>0</v>
      </c>
      <c r="I36" s="570">
        <f t="shared" si="33"/>
        <v>0</v>
      </c>
      <c r="J36" s="590">
        <v>7</v>
      </c>
      <c r="K36" s="743">
        <f t="shared" si="34"/>
        <v>21</v>
      </c>
      <c r="L36" s="1703">
        <v>0</v>
      </c>
      <c r="M36" s="742">
        <f t="shared" si="35"/>
        <v>0</v>
      </c>
      <c r="N36" s="592">
        <f t="shared" si="36"/>
        <v>0</v>
      </c>
      <c r="O36" s="657">
        <f t="shared" si="37"/>
        <v>0</v>
      </c>
      <c r="P36" s="592">
        <f t="shared" si="38"/>
        <v>0</v>
      </c>
      <c r="Q36" s="978"/>
      <c r="R36" s="1281">
        <f t="shared" si="39"/>
        <v>29</v>
      </c>
      <c r="S36" s="1281" t="str">
        <f t="shared" si="40"/>
        <v>keine</v>
      </c>
      <c r="T36" s="1329"/>
      <c r="U36" s="1330" t="s">
        <v>795</v>
      </c>
      <c r="V36" s="1424">
        <v>0</v>
      </c>
      <c r="W36" s="1033">
        <f>VLOOKUP(U36,Düngemittel!$B$6:$E$64,2,FALSE)*(VLOOKUP(U36,Düngemittel!$B$6:$E$64,3,FALSE))/100*V36</f>
        <v>0</v>
      </c>
      <c r="X36" s="1033">
        <f>VLOOKUP(U36,Düngemittel!$B$6:$E$64,2,FALSE)*V36</f>
        <v>0</v>
      </c>
      <c r="Y36" s="1033">
        <f>VLOOKUP(U36,Düngemittel!$B$6:$E$64,4,FALSE)*V36</f>
        <v>0</v>
      </c>
      <c r="Z36" s="2324"/>
      <c r="AA36" s="1329"/>
      <c r="AB36" s="1330" t="s">
        <v>795</v>
      </c>
      <c r="AC36" s="1424">
        <v>0</v>
      </c>
      <c r="AD36" s="1033">
        <f>VLOOKUP(AB36,Düngemittel!$B$6:$E$64,2,FALSE)*(VLOOKUP(AB36,Düngemittel!$B$6:$E$64,3,FALSE))/100*AC36</f>
        <v>0</v>
      </c>
      <c r="AE36" s="1033">
        <f>VLOOKUP(AB36,Düngemittel!$B$6:$E$64,2,FALSE)*AC36</f>
        <v>0</v>
      </c>
      <c r="AF36" s="1033">
        <f>VLOOKUP(AB36,Düngemittel!$B$6:$E$64,4,FALSE)*AC36</f>
        <v>0</v>
      </c>
      <c r="AG36" s="2324"/>
      <c r="AH36" s="1329"/>
      <c r="AI36" s="1330" t="s">
        <v>795</v>
      </c>
      <c r="AJ36" s="1424">
        <v>0</v>
      </c>
      <c r="AK36" s="1033">
        <f>VLOOKUP(AI36,Düngemittel!$B$6:$E$64,2,FALSE)*(VLOOKUP(AI36,Düngemittel!$B$6:$E$64,3,FALSE))/100*AJ36</f>
        <v>0</v>
      </c>
      <c r="AL36" s="1033">
        <f>VLOOKUP(AI36,Düngemittel!$B$6:$E$64,2,FALSE)*AJ36</f>
        <v>0</v>
      </c>
      <c r="AM36" s="1033">
        <f>VLOOKUP(AI36,Düngemittel!$B$6:$E$64,4,FALSE)*AJ36</f>
        <v>0</v>
      </c>
      <c r="AN36" s="2324"/>
      <c r="AO36" s="1329"/>
      <c r="AP36" s="1330" t="s">
        <v>795</v>
      </c>
      <c r="AQ36" s="1424">
        <v>0</v>
      </c>
      <c r="AR36" s="1033">
        <f>VLOOKUP(AP36,Düngemittel!$B$6:$E$64,2,FALSE)*(VLOOKUP(AP36,Düngemittel!$B$6:$E$64,3,FALSE))/100*AQ36</f>
        <v>0</v>
      </c>
      <c r="AS36" s="1033">
        <f>VLOOKUP(AP36,Düngemittel!$B$6:$E$64,2,FALSE)*AQ36</f>
        <v>0</v>
      </c>
      <c r="AT36" s="1033">
        <f>VLOOKUP(AP36,Düngemittel!$B$6:$E$64,4,FALSE)*AQ36</f>
        <v>0</v>
      </c>
      <c r="AU36" s="2324"/>
      <c r="AV36" s="1329"/>
      <c r="AW36" s="1330" t="s">
        <v>795</v>
      </c>
      <c r="AX36" s="1424">
        <v>0</v>
      </c>
      <c r="AY36" s="1033">
        <f>VLOOKUP(AW36,Düngemittel!$B$6:$E$64,2,FALSE)*(VLOOKUP(AW36,Düngemittel!$B$6:$E$64,3,FALSE))/100*AX36</f>
        <v>0</v>
      </c>
      <c r="AZ36" s="1033">
        <f>VLOOKUP(AW36,Düngemittel!$B$6:$E$64,2,FALSE)*AX36</f>
        <v>0</v>
      </c>
      <c r="BA36" s="1033">
        <f>VLOOKUP(AW36,Düngemittel!$B$6:$E$64,4,FALSE)*AX36</f>
        <v>0</v>
      </c>
      <c r="BB36" s="863"/>
      <c r="BC36" s="1282">
        <f t="shared" si="41"/>
        <v>0</v>
      </c>
      <c r="BD36" s="2326">
        <f t="shared" si="42"/>
        <v>0</v>
      </c>
      <c r="BE36" s="1283">
        <f t="shared" si="43"/>
        <v>0</v>
      </c>
      <c r="BF36" s="1151">
        <f t="shared" si="44"/>
        <v>0</v>
      </c>
      <c r="BG36" s="2326">
        <f t="shared" si="45"/>
        <v>0</v>
      </c>
      <c r="BH36" s="1152"/>
      <c r="BI36" s="1282">
        <f t="shared" si="46"/>
        <v>0</v>
      </c>
      <c r="BJ36" s="1282">
        <f t="shared" si="47"/>
        <v>0</v>
      </c>
      <c r="BK36" s="1282">
        <f t="shared" si="48"/>
        <v>0</v>
      </c>
      <c r="BL36" s="1282">
        <f t="shared" si="49"/>
        <v>0</v>
      </c>
      <c r="BM36" s="1282">
        <f t="shared" si="50"/>
        <v>0</v>
      </c>
      <c r="BN36" s="1119"/>
      <c r="BO36" s="2327"/>
      <c r="BQ36" s="2325"/>
      <c r="BR36" s="2325"/>
      <c r="BS36" s="480"/>
    </row>
    <row r="37" spans="1:71" s="1421" customFormat="1" ht="24" customHeight="1">
      <c r="A37" s="468">
        <v>30</v>
      </c>
      <c r="B37" s="1705">
        <v>0</v>
      </c>
      <c r="C37" s="796" t="s">
        <v>31</v>
      </c>
      <c r="D37" s="565">
        <f t="shared" si="30"/>
        <v>0</v>
      </c>
      <c r="E37" s="335">
        <f t="shared" si="31"/>
        <v>0</v>
      </c>
      <c r="F37" s="566">
        <f t="shared" si="32"/>
        <v>0</v>
      </c>
      <c r="G37" s="1720">
        <v>0</v>
      </c>
      <c r="H37" s="1437">
        <v>0</v>
      </c>
      <c r="I37" s="570">
        <f t="shared" si="33"/>
        <v>0</v>
      </c>
      <c r="J37" s="590">
        <v>8</v>
      </c>
      <c r="K37" s="743">
        <f t="shared" si="34"/>
        <v>24</v>
      </c>
      <c r="L37" s="1703">
        <v>0</v>
      </c>
      <c r="M37" s="742">
        <f t="shared" si="35"/>
        <v>0</v>
      </c>
      <c r="N37" s="592">
        <f t="shared" si="36"/>
        <v>0</v>
      </c>
      <c r="O37" s="657">
        <f t="shared" si="37"/>
        <v>0</v>
      </c>
      <c r="P37" s="592">
        <f t="shared" si="38"/>
        <v>0</v>
      </c>
      <c r="Q37" s="978"/>
      <c r="R37" s="1281">
        <f t="shared" si="39"/>
        <v>30</v>
      </c>
      <c r="S37" s="1281" t="str">
        <f t="shared" si="40"/>
        <v>keine</v>
      </c>
      <c r="T37" s="1329"/>
      <c r="U37" s="1330" t="s">
        <v>795</v>
      </c>
      <c r="V37" s="1424">
        <v>0</v>
      </c>
      <c r="W37" s="1033">
        <f>VLOOKUP(U37,Düngemittel!$B$6:$E$64,2,FALSE)*(VLOOKUP(U37,Düngemittel!$B$6:$E$64,3,FALSE))/100*V37</f>
        <v>0</v>
      </c>
      <c r="X37" s="1033">
        <f>VLOOKUP(U37,Düngemittel!$B$6:$E$64,2,FALSE)*V37</f>
        <v>0</v>
      </c>
      <c r="Y37" s="1033">
        <f>VLOOKUP(U37,Düngemittel!$B$6:$E$64,4,FALSE)*V37</f>
        <v>0</v>
      </c>
      <c r="Z37" s="2324"/>
      <c r="AA37" s="1329"/>
      <c r="AB37" s="1330" t="s">
        <v>795</v>
      </c>
      <c r="AC37" s="1424">
        <v>0</v>
      </c>
      <c r="AD37" s="1033">
        <f>VLOOKUP(AB37,Düngemittel!$B$6:$E$64,2,FALSE)*(VLOOKUP(AB37,Düngemittel!$B$6:$E$64,3,FALSE))/100*AC37</f>
        <v>0</v>
      </c>
      <c r="AE37" s="1033">
        <f>VLOOKUP(AB37,Düngemittel!$B$6:$E$64,2,FALSE)*AC37</f>
        <v>0</v>
      </c>
      <c r="AF37" s="1033">
        <f>VLOOKUP(AB37,Düngemittel!$B$6:$E$64,4,FALSE)*AC37</f>
        <v>0</v>
      </c>
      <c r="AG37" s="2324"/>
      <c r="AH37" s="1329"/>
      <c r="AI37" s="1330" t="s">
        <v>795</v>
      </c>
      <c r="AJ37" s="1424">
        <v>0</v>
      </c>
      <c r="AK37" s="1033">
        <f>VLOOKUP(AI37,Düngemittel!$B$6:$E$64,2,FALSE)*(VLOOKUP(AI37,Düngemittel!$B$6:$E$64,3,FALSE))/100*AJ37</f>
        <v>0</v>
      </c>
      <c r="AL37" s="1033">
        <f>VLOOKUP(AI37,Düngemittel!$B$6:$E$64,2,FALSE)*AJ37</f>
        <v>0</v>
      </c>
      <c r="AM37" s="1033">
        <f>VLOOKUP(AI37,Düngemittel!$B$6:$E$64,4,FALSE)*AJ37</f>
        <v>0</v>
      </c>
      <c r="AN37" s="2324"/>
      <c r="AO37" s="1329"/>
      <c r="AP37" s="1330" t="s">
        <v>795</v>
      </c>
      <c r="AQ37" s="1424">
        <v>0</v>
      </c>
      <c r="AR37" s="1033">
        <f>VLOOKUP(AP37,Düngemittel!$B$6:$E$64,2,FALSE)*(VLOOKUP(AP37,Düngemittel!$B$6:$E$64,3,FALSE))/100*AQ37</f>
        <v>0</v>
      </c>
      <c r="AS37" s="1033">
        <f>VLOOKUP(AP37,Düngemittel!$B$6:$E$64,2,FALSE)*AQ37</f>
        <v>0</v>
      </c>
      <c r="AT37" s="1033">
        <f>VLOOKUP(AP37,Düngemittel!$B$6:$E$64,4,FALSE)*AQ37</f>
        <v>0</v>
      </c>
      <c r="AU37" s="2324"/>
      <c r="AV37" s="1329"/>
      <c r="AW37" s="1330" t="s">
        <v>795</v>
      </c>
      <c r="AX37" s="1424">
        <v>0</v>
      </c>
      <c r="AY37" s="1033">
        <f>VLOOKUP(AW37,Düngemittel!$B$6:$E$64,2,FALSE)*(VLOOKUP(AW37,Düngemittel!$B$6:$E$64,3,FALSE))/100*AX37</f>
        <v>0</v>
      </c>
      <c r="AZ37" s="1033">
        <f>VLOOKUP(AW37,Düngemittel!$B$6:$E$64,2,FALSE)*AX37</f>
        <v>0</v>
      </c>
      <c r="BA37" s="1033">
        <f>VLOOKUP(AW37,Düngemittel!$B$6:$E$64,4,FALSE)*AX37</f>
        <v>0</v>
      </c>
      <c r="BB37" s="863"/>
      <c r="BC37" s="1282">
        <f t="shared" si="41"/>
        <v>0</v>
      </c>
      <c r="BD37" s="2326">
        <f t="shared" si="42"/>
        <v>0</v>
      </c>
      <c r="BE37" s="1283">
        <f t="shared" si="43"/>
        <v>0</v>
      </c>
      <c r="BF37" s="1151">
        <f t="shared" si="44"/>
        <v>0</v>
      </c>
      <c r="BG37" s="2326">
        <f t="shared" si="45"/>
        <v>0</v>
      </c>
      <c r="BH37" s="1152"/>
      <c r="BI37" s="1282">
        <f t="shared" si="46"/>
        <v>0</v>
      </c>
      <c r="BJ37" s="1282">
        <f t="shared" si="47"/>
        <v>0</v>
      </c>
      <c r="BK37" s="1282">
        <f t="shared" si="48"/>
        <v>0</v>
      </c>
      <c r="BL37" s="1282">
        <f t="shared" si="49"/>
        <v>0</v>
      </c>
      <c r="BM37" s="1282">
        <f t="shared" si="50"/>
        <v>0</v>
      </c>
      <c r="BN37" s="1119"/>
      <c r="BO37" s="2327"/>
      <c r="BQ37" s="2325"/>
      <c r="BR37" s="2325"/>
      <c r="BS37" s="480"/>
    </row>
    <row r="38" spans="1:71" s="1421" customFormat="1" ht="24" customHeight="1">
      <c r="A38" s="468">
        <v>31</v>
      </c>
      <c r="B38" s="1705">
        <v>0</v>
      </c>
      <c r="C38" s="796" t="s">
        <v>31</v>
      </c>
      <c r="D38" s="565">
        <f t="shared" si="30"/>
        <v>0</v>
      </c>
      <c r="E38" s="335">
        <f t="shared" si="31"/>
        <v>0</v>
      </c>
      <c r="F38" s="566">
        <f t="shared" si="32"/>
        <v>0</v>
      </c>
      <c r="G38" s="1720">
        <v>0</v>
      </c>
      <c r="H38" s="1437">
        <v>0</v>
      </c>
      <c r="I38" s="570">
        <f t="shared" si="33"/>
        <v>0</v>
      </c>
      <c r="J38" s="590">
        <v>9</v>
      </c>
      <c r="K38" s="743">
        <f t="shared" si="34"/>
        <v>27</v>
      </c>
      <c r="L38" s="1703">
        <v>0</v>
      </c>
      <c r="M38" s="742">
        <f t="shared" si="35"/>
        <v>0</v>
      </c>
      <c r="N38" s="592">
        <f t="shared" si="36"/>
        <v>0</v>
      </c>
      <c r="O38" s="657">
        <f t="shared" si="37"/>
        <v>0</v>
      </c>
      <c r="P38" s="592">
        <f t="shared" si="38"/>
        <v>0</v>
      </c>
      <c r="Q38" s="978"/>
      <c r="R38" s="1281">
        <f t="shared" si="39"/>
        <v>31</v>
      </c>
      <c r="S38" s="1281" t="str">
        <f t="shared" si="40"/>
        <v>keine</v>
      </c>
      <c r="T38" s="1329"/>
      <c r="U38" s="1330" t="s">
        <v>795</v>
      </c>
      <c r="V38" s="1424">
        <v>0</v>
      </c>
      <c r="W38" s="1033">
        <f>VLOOKUP(U38,Düngemittel!$B$6:$E$64,2,FALSE)*(VLOOKUP(U38,Düngemittel!$B$6:$E$64,3,FALSE))/100*V38</f>
        <v>0</v>
      </c>
      <c r="X38" s="1033">
        <f>VLOOKUP(U38,Düngemittel!$B$6:$E$64,2,FALSE)*V38</f>
        <v>0</v>
      </c>
      <c r="Y38" s="1033">
        <f>VLOOKUP(U38,Düngemittel!$B$6:$E$64,4,FALSE)*V38</f>
        <v>0</v>
      </c>
      <c r="Z38" s="2324"/>
      <c r="AA38" s="1329"/>
      <c r="AB38" s="1330" t="s">
        <v>795</v>
      </c>
      <c r="AC38" s="1424">
        <v>0</v>
      </c>
      <c r="AD38" s="1033">
        <f>VLOOKUP(AB38,Düngemittel!$B$6:$E$64,2,FALSE)*(VLOOKUP(AB38,Düngemittel!$B$6:$E$64,3,FALSE))/100*AC38</f>
        <v>0</v>
      </c>
      <c r="AE38" s="1033">
        <f>VLOOKUP(AB38,Düngemittel!$B$6:$E$64,2,FALSE)*AC38</f>
        <v>0</v>
      </c>
      <c r="AF38" s="1033">
        <f>VLOOKUP(AB38,Düngemittel!$B$6:$E$64,4,FALSE)*AC38</f>
        <v>0</v>
      </c>
      <c r="AG38" s="2324"/>
      <c r="AH38" s="1329"/>
      <c r="AI38" s="1330" t="s">
        <v>795</v>
      </c>
      <c r="AJ38" s="1424">
        <v>0</v>
      </c>
      <c r="AK38" s="1033">
        <f>VLOOKUP(AI38,Düngemittel!$B$6:$E$64,2,FALSE)*(VLOOKUP(AI38,Düngemittel!$B$6:$E$64,3,FALSE))/100*AJ38</f>
        <v>0</v>
      </c>
      <c r="AL38" s="1033">
        <f>VLOOKUP(AI38,Düngemittel!$B$6:$E$64,2,FALSE)*AJ38</f>
        <v>0</v>
      </c>
      <c r="AM38" s="1033">
        <f>VLOOKUP(AI38,Düngemittel!$B$6:$E$64,4,FALSE)*AJ38</f>
        <v>0</v>
      </c>
      <c r="AN38" s="2324"/>
      <c r="AO38" s="1329"/>
      <c r="AP38" s="1330" t="s">
        <v>795</v>
      </c>
      <c r="AQ38" s="1424">
        <v>0</v>
      </c>
      <c r="AR38" s="1033">
        <f>VLOOKUP(AP38,Düngemittel!$B$6:$E$64,2,FALSE)*(VLOOKUP(AP38,Düngemittel!$B$6:$E$64,3,FALSE))/100*AQ38</f>
        <v>0</v>
      </c>
      <c r="AS38" s="1033">
        <f>VLOOKUP(AP38,Düngemittel!$B$6:$E$64,2,FALSE)*AQ38</f>
        <v>0</v>
      </c>
      <c r="AT38" s="1033">
        <f>VLOOKUP(AP38,Düngemittel!$B$6:$E$64,4,FALSE)*AQ38</f>
        <v>0</v>
      </c>
      <c r="AU38" s="2324"/>
      <c r="AV38" s="1329"/>
      <c r="AW38" s="1330" t="s">
        <v>795</v>
      </c>
      <c r="AX38" s="1424">
        <v>0</v>
      </c>
      <c r="AY38" s="1033">
        <f>VLOOKUP(AW38,Düngemittel!$B$6:$E$64,2,FALSE)*(VLOOKUP(AW38,Düngemittel!$B$6:$E$64,3,FALSE))/100*AX38</f>
        <v>0</v>
      </c>
      <c r="AZ38" s="1033">
        <f>VLOOKUP(AW38,Düngemittel!$B$6:$E$64,2,FALSE)*AX38</f>
        <v>0</v>
      </c>
      <c r="BA38" s="1033">
        <f>VLOOKUP(AW38,Düngemittel!$B$6:$E$64,4,FALSE)*AX38</f>
        <v>0</v>
      </c>
      <c r="BB38" s="863"/>
      <c r="BC38" s="1282">
        <f t="shared" si="41"/>
        <v>0</v>
      </c>
      <c r="BD38" s="2326">
        <f t="shared" si="42"/>
        <v>0</v>
      </c>
      <c r="BE38" s="1283">
        <f t="shared" si="43"/>
        <v>0</v>
      </c>
      <c r="BF38" s="1151">
        <f t="shared" si="44"/>
        <v>0</v>
      </c>
      <c r="BG38" s="2326">
        <f t="shared" si="45"/>
        <v>0</v>
      </c>
      <c r="BH38" s="1152"/>
      <c r="BI38" s="1282">
        <f t="shared" si="46"/>
        <v>0</v>
      </c>
      <c r="BJ38" s="1282">
        <f t="shared" si="47"/>
        <v>0</v>
      </c>
      <c r="BK38" s="1282">
        <f t="shared" si="48"/>
        <v>0</v>
      </c>
      <c r="BL38" s="1282">
        <f t="shared" si="49"/>
        <v>0</v>
      </c>
      <c r="BM38" s="1282">
        <f t="shared" si="50"/>
        <v>0</v>
      </c>
      <c r="BN38" s="1119"/>
      <c r="BO38" s="2327"/>
      <c r="BQ38" s="2325"/>
      <c r="BR38" s="2325"/>
      <c r="BS38" s="480"/>
    </row>
    <row r="39" spans="1:71" s="1421" customFormat="1" ht="24" customHeight="1">
      <c r="A39" s="468">
        <v>32</v>
      </c>
      <c r="B39" s="1705">
        <v>0</v>
      </c>
      <c r="C39" s="796" t="s">
        <v>31</v>
      </c>
      <c r="D39" s="565">
        <f t="shared" si="30"/>
        <v>0</v>
      </c>
      <c r="E39" s="335">
        <f t="shared" si="31"/>
        <v>0</v>
      </c>
      <c r="F39" s="566">
        <f t="shared" si="32"/>
        <v>0</v>
      </c>
      <c r="G39" s="1720">
        <v>0</v>
      </c>
      <c r="H39" s="1437">
        <v>0</v>
      </c>
      <c r="I39" s="570">
        <f t="shared" si="33"/>
        <v>0</v>
      </c>
      <c r="J39" s="590">
        <v>10</v>
      </c>
      <c r="K39" s="743">
        <f t="shared" si="34"/>
        <v>30</v>
      </c>
      <c r="L39" s="1703">
        <v>0</v>
      </c>
      <c r="M39" s="742">
        <f t="shared" si="35"/>
        <v>0</v>
      </c>
      <c r="N39" s="592">
        <f t="shared" si="36"/>
        <v>0</v>
      </c>
      <c r="O39" s="657">
        <f t="shared" si="37"/>
        <v>0</v>
      </c>
      <c r="P39" s="592">
        <f t="shared" si="38"/>
        <v>0</v>
      </c>
      <c r="Q39" s="978"/>
      <c r="R39" s="1281">
        <f t="shared" si="39"/>
        <v>32</v>
      </c>
      <c r="S39" s="1281" t="str">
        <f t="shared" si="40"/>
        <v>keine</v>
      </c>
      <c r="T39" s="1329"/>
      <c r="U39" s="1330" t="s">
        <v>795</v>
      </c>
      <c r="V39" s="1424">
        <v>0</v>
      </c>
      <c r="W39" s="1033">
        <f>VLOOKUP(U39,Düngemittel!$B$6:$E$64,2,FALSE)*(VLOOKUP(U39,Düngemittel!$B$6:$E$64,3,FALSE))/100*V39</f>
        <v>0</v>
      </c>
      <c r="X39" s="1033">
        <f>VLOOKUP(U39,Düngemittel!$B$6:$E$64,2,FALSE)*V39</f>
        <v>0</v>
      </c>
      <c r="Y39" s="1033">
        <f>VLOOKUP(U39,Düngemittel!$B$6:$E$64,4,FALSE)*V39</f>
        <v>0</v>
      </c>
      <c r="Z39" s="2324"/>
      <c r="AA39" s="1329"/>
      <c r="AB39" s="1330" t="s">
        <v>795</v>
      </c>
      <c r="AC39" s="1424">
        <v>0</v>
      </c>
      <c r="AD39" s="1033">
        <f>VLOOKUP(AB39,Düngemittel!$B$6:$E$64,2,FALSE)*(VLOOKUP(AB39,Düngemittel!$B$6:$E$64,3,FALSE))/100*AC39</f>
        <v>0</v>
      </c>
      <c r="AE39" s="1033">
        <f>VLOOKUP(AB39,Düngemittel!$B$6:$E$64,2,FALSE)*AC39</f>
        <v>0</v>
      </c>
      <c r="AF39" s="1033">
        <f>VLOOKUP(AB39,Düngemittel!$B$6:$E$64,4,FALSE)*AC39</f>
        <v>0</v>
      </c>
      <c r="AG39" s="2324"/>
      <c r="AH39" s="1329"/>
      <c r="AI39" s="1330" t="s">
        <v>795</v>
      </c>
      <c r="AJ39" s="1424">
        <v>0</v>
      </c>
      <c r="AK39" s="1033">
        <f>VLOOKUP(AI39,Düngemittel!$B$6:$E$64,2,FALSE)*(VLOOKUP(AI39,Düngemittel!$B$6:$E$64,3,FALSE))/100*AJ39</f>
        <v>0</v>
      </c>
      <c r="AL39" s="1033">
        <f>VLOOKUP(AI39,Düngemittel!$B$6:$E$64,2,FALSE)*AJ39</f>
        <v>0</v>
      </c>
      <c r="AM39" s="1033">
        <f>VLOOKUP(AI39,Düngemittel!$B$6:$E$64,4,FALSE)*AJ39</f>
        <v>0</v>
      </c>
      <c r="AN39" s="2324"/>
      <c r="AO39" s="1329"/>
      <c r="AP39" s="1330" t="s">
        <v>795</v>
      </c>
      <c r="AQ39" s="1424">
        <v>0</v>
      </c>
      <c r="AR39" s="1033">
        <f>VLOOKUP(AP39,Düngemittel!$B$6:$E$64,2,FALSE)*(VLOOKUP(AP39,Düngemittel!$B$6:$E$64,3,FALSE))/100*AQ39</f>
        <v>0</v>
      </c>
      <c r="AS39" s="1033">
        <f>VLOOKUP(AP39,Düngemittel!$B$6:$E$64,2,FALSE)*AQ39</f>
        <v>0</v>
      </c>
      <c r="AT39" s="1033">
        <f>VLOOKUP(AP39,Düngemittel!$B$6:$E$64,4,FALSE)*AQ39</f>
        <v>0</v>
      </c>
      <c r="AU39" s="2324"/>
      <c r="AV39" s="1329"/>
      <c r="AW39" s="1330" t="s">
        <v>795</v>
      </c>
      <c r="AX39" s="1424">
        <v>0</v>
      </c>
      <c r="AY39" s="1033">
        <f>VLOOKUP(AW39,Düngemittel!$B$6:$E$64,2,FALSE)*(VLOOKUP(AW39,Düngemittel!$B$6:$E$64,3,FALSE))/100*AX39</f>
        <v>0</v>
      </c>
      <c r="AZ39" s="1033">
        <f>VLOOKUP(AW39,Düngemittel!$B$6:$E$64,2,FALSE)*AX39</f>
        <v>0</v>
      </c>
      <c r="BA39" s="1033">
        <f>VLOOKUP(AW39,Düngemittel!$B$6:$E$64,4,FALSE)*AX39</f>
        <v>0</v>
      </c>
      <c r="BB39" s="863"/>
      <c r="BC39" s="1282">
        <f t="shared" si="41"/>
        <v>0</v>
      </c>
      <c r="BD39" s="2326">
        <f t="shared" si="42"/>
        <v>0</v>
      </c>
      <c r="BE39" s="1283">
        <f t="shared" si="43"/>
        <v>0</v>
      </c>
      <c r="BF39" s="1151">
        <f t="shared" si="44"/>
        <v>0</v>
      </c>
      <c r="BG39" s="2326">
        <f t="shared" si="45"/>
        <v>0</v>
      </c>
      <c r="BH39" s="1152"/>
      <c r="BI39" s="1282">
        <f t="shared" si="46"/>
        <v>0</v>
      </c>
      <c r="BJ39" s="1282">
        <f t="shared" si="47"/>
        <v>0</v>
      </c>
      <c r="BK39" s="1282">
        <f t="shared" si="48"/>
        <v>0</v>
      </c>
      <c r="BL39" s="1282">
        <f t="shared" si="49"/>
        <v>0</v>
      </c>
      <c r="BM39" s="1282">
        <f t="shared" si="50"/>
        <v>0</v>
      </c>
      <c r="BN39" s="1119"/>
      <c r="BO39" s="2327"/>
      <c r="BQ39" s="2325"/>
      <c r="BR39" s="2325"/>
      <c r="BS39" s="480"/>
    </row>
    <row r="40" spans="1:71" s="1421" customFormat="1" ht="24" customHeight="1">
      <c r="A40" s="468">
        <v>33</v>
      </c>
      <c r="B40" s="1705">
        <v>0</v>
      </c>
      <c r="C40" s="796" t="s">
        <v>31</v>
      </c>
      <c r="D40" s="565">
        <f t="shared" si="30"/>
        <v>0</v>
      </c>
      <c r="E40" s="335">
        <f t="shared" si="31"/>
        <v>0</v>
      </c>
      <c r="F40" s="566">
        <f t="shared" si="32"/>
        <v>0</v>
      </c>
      <c r="G40" s="1720">
        <v>0</v>
      </c>
      <c r="H40" s="1437">
        <v>0</v>
      </c>
      <c r="I40" s="570">
        <f t="shared" si="33"/>
        <v>0</v>
      </c>
      <c r="J40" s="590">
        <v>11</v>
      </c>
      <c r="K40" s="743">
        <f t="shared" si="34"/>
        <v>33</v>
      </c>
      <c r="L40" s="1703">
        <v>0</v>
      </c>
      <c r="M40" s="742">
        <f t="shared" si="35"/>
        <v>0</v>
      </c>
      <c r="N40" s="592">
        <f t="shared" si="36"/>
        <v>0</v>
      </c>
      <c r="O40" s="657">
        <f t="shared" si="37"/>
        <v>0</v>
      </c>
      <c r="P40" s="592">
        <f t="shared" si="38"/>
        <v>0</v>
      </c>
      <c r="Q40" s="978"/>
      <c r="R40" s="1281">
        <f t="shared" si="39"/>
        <v>33</v>
      </c>
      <c r="S40" s="1281" t="str">
        <f t="shared" si="40"/>
        <v>keine</v>
      </c>
      <c r="T40" s="1329"/>
      <c r="U40" s="1330" t="s">
        <v>795</v>
      </c>
      <c r="V40" s="1424">
        <v>0</v>
      </c>
      <c r="W40" s="1033">
        <f>VLOOKUP(U40,Düngemittel!$B$6:$E$64,2,FALSE)*(VLOOKUP(U40,Düngemittel!$B$6:$E$64,3,FALSE))/100*V40</f>
        <v>0</v>
      </c>
      <c r="X40" s="1033">
        <f>VLOOKUP(U40,Düngemittel!$B$6:$E$64,2,FALSE)*V40</f>
        <v>0</v>
      </c>
      <c r="Y40" s="1033">
        <f>VLOOKUP(U40,Düngemittel!$B$6:$E$64,4,FALSE)*V40</f>
        <v>0</v>
      </c>
      <c r="Z40" s="2324"/>
      <c r="AA40" s="1329"/>
      <c r="AB40" s="1330" t="s">
        <v>795</v>
      </c>
      <c r="AC40" s="1424">
        <v>0</v>
      </c>
      <c r="AD40" s="1033">
        <f>VLOOKUP(AB40,Düngemittel!$B$6:$E$64,2,FALSE)*(VLOOKUP(AB40,Düngemittel!$B$6:$E$64,3,FALSE))/100*AC40</f>
        <v>0</v>
      </c>
      <c r="AE40" s="1033">
        <f>VLOOKUP(AB40,Düngemittel!$B$6:$E$64,2,FALSE)*AC40</f>
        <v>0</v>
      </c>
      <c r="AF40" s="1033">
        <f>VLOOKUP(AB40,Düngemittel!$B$6:$E$64,4,FALSE)*AC40</f>
        <v>0</v>
      </c>
      <c r="AG40" s="2324"/>
      <c r="AH40" s="1329"/>
      <c r="AI40" s="1330" t="s">
        <v>795</v>
      </c>
      <c r="AJ40" s="1424">
        <v>0</v>
      </c>
      <c r="AK40" s="1033">
        <f>VLOOKUP(AI40,Düngemittel!$B$6:$E$64,2,FALSE)*(VLOOKUP(AI40,Düngemittel!$B$6:$E$64,3,FALSE))/100*AJ40</f>
        <v>0</v>
      </c>
      <c r="AL40" s="1033">
        <f>VLOOKUP(AI40,Düngemittel!$B$6:$E$64,2,FALSE)*AJ40</f>
        <v>0</v>
      </c>
      <c r="AM40" s="1033">
        <f>VLOOKUP(AI40,Düngemittel!$B$6:$E$64,4,FALSE)*AJ40</f>
        <v>0</v>
      </c>
      <c r="AN40" s="2324"/>
      <c r="AO40" s="1329"/>
      <c r="AP40" s="1330" t="s">
        <v>795</v>
      </c>
      <c r="AQ40" s="1424">
        <v>0</v>
      </c>
      <c r="AR40" s="1033">
        <f>VLOOKUP(AP40,Düngemittel!$B$6:$E$64,2,FALSE)*(VLOOKUP(AP40,Düngemittel!$B$6:$E$64,3,FALSE))/100*AQ40</f>
        <v>0</v>
      </c>
      <c r="AS40" s="1033">
        <f>VLOOKUP(AP40,Düngemittel!$B$6:$E$64,2,FALSE)*AQ40</f>
        <v>0</v>
      </c>
      <c r="AT40" s="1033">
        <f>VLOOKUP(AP40,Düngemittel!$B$6:$E$64,4,FALSE)*AQ40</f>
        <v>0</v>
      </c>
      <c r="AU40" s="2324"/>
      <c r="AV40" s="1329"/>
      <c r="AW40" s="1330" t="s">
        <v>795</v>
      </c>
      <c r="AX40" s="1424">
        <v>0</v>
      </c>
      <c r="AY40" s="1033">
        <f>VLOOKUP(AW40,Düngemittel!$B$6:$E$64,2,FALSE)*(VLOOKUP(AW40,Düngemittel!$B$6:$E$64,3,FALSE))/100*AX40</f>
        <v>0</v>
      </c>
      <c r="AZ40" s="1033">
        <f>VLOOKUP(AW40,Düngemittel!$B$6:$E$64,2,FALSE)*AX40</f>
        <v>0</v>
      </c>
      <c r="BA40" s="1033">
        <f>VLOOKUP(AW40,Düngemittel!$B$6:$E$64,4,FALSE)*AX40</f>
        <v>0</v>
      </c>
      <c r="BB40" s="863"/>
      <c r="BC40" s="1282">
        <f t="shared" si="41"/>
        <v>0</v>
      </c>
      <c r="BD40" s="2326">
        <f t="shared" si="42"/>
        <v>0</v>
      </c>
      <c r="BE40" s="1283">
        <f t="shared" si="43"/>
        <v>0</v>
      </c>
      <c r="BF40" s="1151">
        <f t="shared" si="44"/>
        <v>0</v>
      </c>
      <c r="BG40" s="2326">
        <f t="shared" si="45"/>
        <v>0</v>
      </c>
      <c r="BH40" s="1152"/>
      <c r="BI40" s="1282">
        <f t="shared" si="46"/>
        <v>0</v>
      </c>
      <c r="BJ40" s="1282">
        <f t="shared" si="47"/>
        <v>0</v>
      </c>
      <c r="BK40" s="1282">
        <f t="shared" si="48"/>
        <v>0</v>
      </c>
      <c r="BL40" s="1282">
        <f t="shared" si="49"/>
        <v>0</v>
      </c>
      <c r="BM40" s="1282">
        <f t="shared" si="50"/>
        <v>0</v>
      </c>
      <c r="BN40" s="1119"/>
      <c r="BO40" s="2327"/>
      <c r="BQ40" s="2325"/>
      <c r="BR40" s="2325"/>
      <c r="BS40" s="480"/>
    </row>
    <row r="41" spans="1:71" ht="24" customHeight="1">
      <c r="A41" s="468">
        <v>34</v>
      </c>
      <c r="B41" s="1705">
        <v>0</v>
      </c>
      <c r="C41" s="796" t="s">
        <v>31</v>
      </c>
      <c r="D41" s="565">
        <f t="shared" si="0"/>
        <v>0</v>
      </c>
      <c r="E41" s="335">
        <f t="shared" si="1"/>
        <v>0</v>
      </c>
      <c r="F41" s="566">
        <f t="shared" si="27"/>
        <v>0</v>
      </c>
      <c r="G41" s="1720">
        <v>0</v>
      </c>
      <c r="H41" s="1437">
        <v>0</v>
      </c>
      <c r="I41" s="570">
        <f t="shared" si="28"/>
        <v>0</v>
      </c>
      <c r="J41" s="590">
        <v>0</v>
      </c>
      <c r="K41" s="743">
        <f t="shared" si="29"/>
        <v>0</v>
      </c>
      <c r="L41" s="1703">
        <v>0</v>
      </c>
      <c r="M41" s="742">
        <f t="shared" si="2"/>
        <v>0</v>
      </c>
      <c r="N41" s="592">
        <f t="shared" si="3"/>
        <v>0</v>
      </c>
      <c r="O41" s="657">
        <f t="shared" si="4"/>
        <v>0</v>
      </c>
      <c r="P41" s="592">
        <f t="shared" si="5"/>
        <v>0</v>
      </c>
      <c r="Q41" s="978"/>
      <c r="R41" s="1281">
        <f t="shared" si="10"/>
        <v>34</v>
      </c>
      <c r="S41" s="1281" t="str">
        <f t="shared" si="11"/>
        <v>keine</v>
      </c>
      <c r="T41" s="1329"/>
      <c r="U41" s="1330" t="s">
        <v>795</v>
      </c>
      <c r="V41" s="1424">
        <v>0</v>
      </c>
      <c r="W41" s="1033">
        <f>VLOOKUP(U41,Düngemittel!$B$6:$E$64,2,FALSE)*(VLOOKUP(U41,Düngemittel!$B$6:$E$64,3,FALSE))/100*V41</f>
        <v>0</v>
      </c>
      <c r="X41" s="1033">
        <f>VLOOKUP(U41,Düngemittel!$B$6:$E$64,2,FALSE)*V41</f>
        <v>0</v>
      </c>
      <c r="Y41" s="1033">
        <f>VLOOKUP(U41,Düngemittel!$B$6:$E$64,4,FALSE)*V41</f>
        <v>0</v>
      </c>
      <c r="Z41" s="2089"/>
      <c r="AA41" s="1329"/>
      <c r="AB41" s="1330" t="s">
        <v>795</v>
      </c>
      <c r="AC41" s="1424">
        <v>0</v>
      </c>
      <c r="AD41" s="1033">
        <f>VLOOKUP(AB41,Düngemittel!$B$6:$E$64,2,FALSE)*(VLOOKUP(AB41,Düngemittel!$B$6:$E$64,3,FALSE))/100*AC41</f>
        <v>0</v>
      </c>
      <c r="AE41" s="1033">
        <f>VLOOKUP(AB41,Düngemittel!$B$6:$E$64,2,FALSE)*AC41</f>
        <v>0</v>
      </c>
      <c r="AF41" s="1033">
        <f>VLOOKUP(AB41,Düngemittel!$B$6:$E$64,4,FALSE)*AC41</f>
        <v>0</v>
      </c>
      <c r="AG41" s="2089"/>
      <c r="AH41" s="1329"/>
      <c r="AI41" s="1330" t="s">
        <v>795</v>
      </c>
      <c r="AJ41" s="1424">
        <v>0</v>
      </c>
      <c r="AK41" s="1033">
        <f>VLOOKUP(AI41,Düngemittel!$B$6:$E$64,2,FALSE)*(VLOOKUP(AI41,Düngemittel!$B$6:$E$64,3,FALSE))/100*AJ41</f>
        <v>0</v>
      </c>
      <c r="AL41" s="1033">
        <f>VLOOKUP(AI41,Düngemittel!$B$6:$E$64,2,FALSE)*AJ41</f>
        <v>0</v>
      </c>
      <c r="AM41" s="1033">
        <f>VLOOKUP(AI41,Düngemittel!$B$6:$E$64,4,FALSE)*AJ41</f>
        <v>0</v>
      </c>
      <c r="AN41" s="2089"/>
      <c r="AO41" s="1329"/>
      <c r="AP41" s="1330" t="s">
        <v>795</v>
      </c>
      <c r="AQ41" s="1424">
        <v>0</v>
      </c>
      <c r="AR41" s="1033">
        <f>VLOOKUP(AP41,Düngemittel!$B$6:$E$64,2,FALSE)*(VLOOKUP(AP41,Düngemittel!$B$6:$E$64,3,FALSE))/100*AQ41</f>
        <v>0</v>
      </c>
      <c r="AS41" s="1033">
        <f>VLOOKUP(AP41,Düngemittel!$B$6:$E$64,2,FALSE)*AQ41</f>
        <v>0</v>
      </c>
      <c r="AT41" s="1033">
        <f>VLOOKUP(AP41,Düngemittel!$B$6:$E$64,4,FALSE)*AQ41</f>
        <v>0</v>
      </c>
      <c r="AU41" s="2089"/>
      <c r="AV41" s="1329"/>
      <c r="AW41" s="1330" t="s">
        <v>795</v>
      </c>
      <c r="AX41" s="1424">
        <v>0</v>
      </c>
      <c r="AY41" s="1033">
        <f>VLOOKUP(AW41,Düngemittel!$B$6:$E$64,2,FALSE)*(VLOOKUP(AW41,Düngemittel!$B$6:$E$64,3,FALSE))/100*AX41</f>
        <v>0</v>
      </c>
      <c r="AZ41" s="1033">
        <f>VLOOKUP(AW41,Düngemittel!$B$6:$E$64,2,FALSE)*AX41</f>
        <v>0</v>
      </c>
      <c r="BA41" s="1033">
        <f>VLOOKUP(AW41,Düngemittel!$B$6:$E$64,4,FALSE)*AX41</f>
        <v>0</v>
      </c>
      <c r="BB41" s="863"/>
      <c r="BC41" s="1282">
        <f t="shared" si="12"/>
        <v>0</v>
      </c>
      <c r="BD41" s="1126">
        <f t="shared" si="13"/>
        <v>0</v>
      </c>
      <c r="BE41" s="1283">
        <f t="shared" si="13"/>
        <v>0</v>
      </c>
      <c r="BF41" s="1151">
        <f t="shared" si="14"/>
        <v>0</v>
      </c>
      <c r="BG41" s="1126">
        <f t="shared" si="15"/>
        <v>0</v>
      </c>
      <c r="BH41" s="1152"/>
      <c r="BI41" s="1282">
        <f t="shared" si="16"/>
        <v>0</v>
      </c>
      <c r="BJ41" s="1282">
        <f t="shared" si="17"/>
        <v>0</v>
      </c>
      <c r="BK41" s="1282">
        <f t="shared" si="18"/>
        <v>0</v>
      </c>
      <c r="BL41" s="1282">
        <f t="shared" si="19"/>
        <v>0</v>
      </c>
      <c r="BM41" s="1282">
        <f t="shared" si="20"/>
        <v>0</v>
      </c>
      <c r="BN41" s="1119"/>
      <c r="BO41" s="1012"/>
      <c r="BQ41" s="1008"/>
    </row>
    <row r="42" spans="1:71" ht="24" customHeight="1" thickBot="1">
      <c r="A42" s="468">
        <v>35</v>
      </c>
      <c r="B42" s="1705">
        <v>0</v>
      </c>
      <c r="C42" s="796" t="s">
        <v>31</v>
      </c>
      <c r="D42" s="565">
        <f t="shared" si="0"/>
        <v>0</v>
      </c>
      <c r="E42" s="335">
        <f t="shared" si="1"/>
        <v>0</v>
      </c>
      <c r="F42" s="566">
        <f t="shared" si="27"/>
        <v>0</v>
      </c>
      <c r="G42" s="1720">
        <v>0</v>
      </c>
      <c r="H42" s="1437">
        <v>0</v>
      </c>
      <c r="I42" s="570">
        <f t="shared" si="28"/>
        <v>0</v>
      </c>
      <c r="J42" s="590">
        <v>0</v>
      </c>
      <c r="K42" s="743">
        <f t="shared" si="29"/>
        <v>0</v>
      </c>
      <c r="L42" s="1703">
        <v>0</v>
      </c>
      <c r="M42" s="742">
        <f t="shared" si="2"/>
        <v>0</v>
      </c>
      <c r="N42" s="592">
        <f t="shared" si="3"/>
        <v>0</v>
      </c>
      <c r="O42" s="657">
        <f t="shared" si="4"/>
        <v>0</v>
      </c>
      <c r="P42" s="592">
        <f t="shared" si="5"/>
        <v>0</v>
      </c>
      <c r="Q42" s="978"/>
      <c r="R42" s="1281">
        <f t="shared" si="10"/>
        <v>35</v>
      </c>
      <c r="S42" s="1281" t="str">
        <f t="shared" si="11"/>
        <v>keine</v>
      </c>
      <c r="T42" s="1329"/>
      <c r="U42" s="1330" t="s">
        <v>795</v>
      </c>
      <c r="V42" s="1424">
        <v>0</v>
      </c>
      <c r="W42" s="1033">
        <f>VLOOKUP(U42,Düngemittel!$B$6:$E$64,2,FALSE)*(VLOOKUP(U42,Düngemittel!$B$6:$E$64,3,FALSE))/100*V42</f>
        <v>0</v>
      </c>
      <c r="X42" s="1033">
        <f>VLOOKUP(U42,Düngemittel!$B$6:$E$64,2,FALSE)*V42</f>
        <v>0</v>
      </c>
      <c r="Y42" s="1033">
        <f>VLOOKUP(U42,Düngemittel!$B$6:$E$64,4,FALSE)*V42</f>
        <v>0</v>
      </c>
      <c r="Z42" s="2089"/>
      <c r="AA42" s="1329"/>
      <c r="AB42" s="1330" t="s">
        <v>795</v>
      </c>
      <c r="AC42" s="1424">
        <v>0</v>
      </c>
      <c r="AD42" s="1033">
        <f>VLOOKUP(AB42,Düngemittel!$B$6:$E$64,2,FALSE)*(VLOOKUP(AB42,Düngemittel!$B$6:$E$64,3,FALSE))/100*AC42</f>
        <v>0</v>
      </c>
      <c r="AE42" s="1033">
        <f>VLOOKUP(AB42,Düngemittel!$B$6:$E$64,2,FALSE)*AC42</f>
        <v>0</v>
      </c>
      <c r="AF42" s="1033">
        <f>VLOOKUP(AB42,Düngemittel!$B$6:$E$64,4,FALSE)*AC42</f>
        <v>0</v>
      </c>
      <c r="AG42" s="2089"/>
      <c r="AH42" s="1329"/>
      <c r="AI42" s="1330" t="s">
        <v>795</v>
      </c>
      <c r="AJ42" s="1424">
        <v>0</v>
      </c>
      <c r="AK42" s="1033">
        <f>VLOOKUP(AI42,Düngemittel!$B$6:$E$64,2,FALSE)*(VLOOKUP(AI42,Düngemittel!$B$6:$E$64,3,FALSE))/100*AJ42</f>
        <v>0</v>
      </c>
      <c r="AL42" s="1033">
        <f>VLOOKUP(AI42,Düngemittel!$B$6:$E$64,2,FALSE)*AJ42</f>
        <v>0</v>
      </c>
      <c r="AM42" s="1033">
        <f>VLOOKUP(AI42,Düngemittel!$B$6:$E$64,4,FALSE)*AJ42</f>
        <v>0</v>
      </c>
      <c r="AN42" s="2089"/>
      <c r="AO42" s="1329"/>
      <c r="AP42" s="1330" t="s">
        <v>795</v>
      </c>
      <c r="AQ42" s="1424">
        <v>0</v>
      </c>
      <c r="AR42" s="1033">
        <f>VLOOKUP(AP42,Düngemittel!$B$6:$E$64,2,FALSE)*(VLOOKUP(AP42,Düngemittel!$B$6:$E$64,3,FALSE))/100*AQ42</f>
        <v>0</v>
      </c>
      <c r="AS42" s="1033">
        <f>VLOOKUP(AP42,Düngemittel!$B$6:$E$64,2,FALSE)*AQ42</f>
        <v>0</v>
      </c>
      <c r="AT42" s="1033">
        <f>VLOOKUP(AP42,Düngemittel!$B$6:$E$64,4,FALSE)*AQ42</f>
        <v>0</v>
      </c>
      <c r="AU42" s="2089"/>
      <c r="AV42" s="1329"/>
      <c r="AW42" s="1330" t="s">
        <v>795</v>
      </c>
      <c r="AX42" s="1424">
        <v>0</v>
      </c>
      <c r="AY42" s="1033">
        <f>VLOOKUP(AW42,Düngemittel!$B$6:$E$64,2,FALSE)*(VLOOKUP(AW42,Düngemittel!$B$6:$E$64,3,FALSE))/100*AX42</f>
        <v>0</v>
      </c>
      <c r="AZ42" s="1033">
        <f>VLOOKUP(AW42,Düngemittel!$B$6:$E$64,2,FALSE)*AX42</f>
        <v>0</v>
      </c>
      <c r="BA42" s="1033">
        <f>VLOOKUP(AW42,Düngemittel!$B$6:$E$64,4,FALSE)*AX42</f>
        <v>0</v>
      </c>
      <c r="BB42" s="863"/>
      <c r="BC42" s="1282">
        <f t="shared" si="12"/>
        <v>0</v>
      </c>
      <c r="BD42" s="1126">
        <f t="shared" si="13"/>
        <v>0</v>
      </c>
      <c r="BE42" s="1283">
        <f t="shared" si="13"/>
        <v>0</v>
      </c>
      <c r="BF42" s="1151">
        <f t="shared" si="14"/>
        <v>0</v>
      </c>
      <c r="BG42" s="1126">
        <f t="shared" si="15"/>
        <v>0</v>
      </c>
      <c r="BH42" s="1152"/>
      <c r="BI42" s="1282">
        <f t="shared" si="16"/>
        <v>0</v>
      </c>
      <c r="BJ42" s="1282">
        <f t="shared" si="17"/>
        <v>0</v>
      </c>
      <c r="BK42" s="1282">
        <f t="shared" si="18"/>
        <v>0</v>
      </c>
      <c r="BL42" s="1282">
        <f t="shared" si="19"/>
        <v>0</v>
      </c>
      <c r="BM42" s="1282">
        <f t="shared" si="20"/>
        <v>0</v>
      </c>
      <c r="BN42" s="1119"/>
      <c r="BO42" s="1012"/>
      <c r="BQ42" s="990"/>
    </row>
    <row r="43" spans="1:71" ht="23.25" customHeight="1" thickBot="1">
      <c r="A43" s="567" t="s">
        <v>286</v>
      </c>
      <c r="B43" s="1131">
        <f>SUM(B8:B42)</f>
        <v>0</v>
      </c>
      <c r="C43" s="1206" t="s">
        <v>1114</v>
      </c>
      <c r="D43" s="1207"/>
      <c r="E43" s="1208"/>
      <c r="F43" s="1175"/>
      <c r="G43" s="509"/>
      <c r="H43" s="509"/>
      <c r="I43" s="509"/>
      <c r="J43" s="509"/>
      <c r="K43" s="1175"/>
      <c r="L43" s="1175"/>
      <c r="M43" s="519" t="s">
        <v>1022</v>
      </c>
      <c r="N43" s="514">
        <f>SUM(N8:N42)</f>
        <v>0</v>
      </c>
      <c r="O43" s="654"/>
      <c r="P43" s="514">
        <f>SUM(P8:P42)</f>
        <v>0</v>
      </c>
      <c r="Q43" s="636"/>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c r="AU43" s="978"/>
      <c r="AV43" s="978"/>
      <c r="AW43" s="978"/>
      <c r="AX43" s="978"/>
      <c r="AY43" s="978"/>
      <c r="AZ43" s="978"/>
      <c r="BA43" s="978"/>
      <c r="BB43" s="978"/>
      <c r="BC43" s="1070"/>
      <c r="BD43" s="1091"/>
      <c r="BE43" s="1091"/>
      <c r="BF43" s="492"/>
      <c r="BG43" s="1091"/>
      <c r="BH43" s="316"/>
      <c r="BI43" s="1127">
        <f>SUM(BI8:BI42)</f>
        <v>0</v>
      </c>
      <c r="BJ43" s="1452">
        <f t="shared" ref="BJ43:BM43" si="51">SUM(BJ8:BJ42)</f>
        <v>0</v>
      </c>
      <c r="BK43" s="1452">
        <f t="shared" si="51"/>
        <v>0</v>
      </c>
      <c r="BL43" s="1452">
        <f t="shared" si="51"/>
        <v>0</v>
      </c>
      <c r="BM43" s="1452">
        <f t="shared" si="51"/>
        <v>0</v>
      </c>
      <c r="BN43" s="1143" t="s">
        <v>1081</v>
      </c>
      <c r="BR43" s="146"/>
    </row>
    <row r="44" spans="1:71" ht="24" customHeight="1">
      <c r="A44" s="1032"/>
      <c r="B44" s="1132"/>
      <c r="C44" s="92"/>
      <c r="D44" s="1005"/>
      <c r="E44" s="131"/>
      <c r="F44" s="1005"/>
      <c r="G44" s="92"/>
      <c r="H44" s="92"/>
      <c r="I44" s="92"/>
      <c r="J44" s="92"/>
      <c r="K44" s="1005"/>
      <c r="L44" s="1005"/>
      <c r="M44" s="49"/>
      <c r="N44" s="2493" t="s">
        <v>1100</v>
      </c>
      <c r="O44" s="1164"/>
      <c r="P44" s="2493" t="s">
        <v>1101</v>
      </c>
      <c r="Q44" s="1005"/>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c r="AY44" s="978"/>
      <c r="AZ44" s="978"/>
      <c r="BA44" s="978"/>
      <c r="BB44" s="978"/>
      <c r="BC44" s="622" t="e">
        <f>BI44</f>
        <v>#DIV/0!</v>
      </c>
      <c r="BD44" s="622" t="e">
        <f t="shared" ref="BD44:BG44" si="52">BJ44</f>
        <v>#DIV/0!</v>
      </c>
      <c r="BE44" s="622" t="e">
        <f t="shared" si="52"/>
        <v>#DIV/0!</v>
      </c>
      <c r="BF44" s="1138" t="e">
        <f t="shared" si="52"/>
        <v>#DIV/0!</v>
      </c>
      <c r="BG44" s="622" t="e">
        <f t="shared" si="52"/>
        <v>#DIV/0!</v>
      </c>
      <c r="BH44" s="316"/>
      <c r="BI44" s="622" t="e">
        <f>BI43/$B43</f>
        <v>#DIV/0!</v>
      </c>
      <c r="BJ44" s="622" t="e">
        <f>BJ43/$B43</f>
        <v>#DIV/0!</v>
      </c>
      <c r="BK44" s="622" t="e">
        <f>BK43/$B43</f>
        <v>#DIV/0!</v>
      </c>
      <c r="BL44" s="1138" t="e">
        <f>BL43/$B43</f>
        <v>#DIV/0!</v>
      </c>
      <c r="BM44" s="1127" t="e">
        <f>BM43/$B43</f>
        <v>#DIV/0!</v>
      </c>
      <c r="BN44" s="1143" t="s">
        <v>1060</v>
      </c>
      <c r="BR44" s="146"/>
    </row>
    <row r="45" spans="1:71" s="1054" customFormat="1" ht="54" customHeight="1" thickBot="1">
      <c r="A45" s="1181"/>
      <c r="B45" s="1195"/>
      <c r="C45" s="92"/>
      <c r="D45" s="1053"/>
      <c r="E45" s="131"/>
      <c r="F45" s="1053"/>
      <c r="G45" s="92"/>
      <c r="H45" s="92"/>
      <c r="I45" s="92"/>
      <c r="J45" s="92"/>
      <c r="K45" s="1053"/>
      <c r="L45" s="1164"/>
      <c r="M45" s="316"/>
      <c r="N45" s="2494"/>
      <c r="O45" s="1164"/>
      <c r="P45" s="2494"/>
      <c r="Q45" s="1053"/>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c r="AU45" s="978"/>
      <c r="AV45" s="978"/>
      <c r="AW45" s="978"/>
      <c r="AX45" s="978"/>
      <c r="AY45" s="978"/>
      <c r="AZ45" s="978"/>
      <c r="BA45" s="978"/>
      <c r="BB45" s="978"/>
      <c r="BC45" s="1134" t="s">
        <v>1080</v>
      </c>
      <c r="BD45" s="1210" t="s">
        <v>1066</v>
      </c>
      <c r="BE45" s="1210" t="s">
        <v>1067</v>
      </c>
      <c r="BF45" s="906" t="s">
        <v>1241</v>
      </c>
      <c r="BG45" s="1210" t="s">
        <v>284</v>
      </c>
      <c r="BH45" s="1209"/>
      <c r="BI45" s="1806" t="s">
        <v>1080</v>
      </c>
      <c r="BJ45" s="1168" t="s">
        <v>1307</v>
      </c>
      <c r="BK45" s="1168" t="s">
        <v>1308</v>
      </c>
      <c r="BL45" s="906" t="s">
        <v>1241</v>
      </c>
      <c r="BM45" s="1210" t="s">
        <v>284</v>
      </c>
      <c r="BR45" s="146"/>
    </row>
    <row r="46" spans="1:71" s="1054" customFormat="1" ht="24" customHeight="1">
      <c r="A46" s="175"/>
      <c r="B46" s="175"/>
      <c r="C46" s="1007"/>
      <c r="D46" s="1007"/>
      <c r="E46" s="175"/>
      <c r="F46" s="1007"/>
      <c r="G46" s="1007"/>
      <c r="H46" s="1007"/>
      <c r="I46" s="1007"/>
      <c r="J46" s="185"/>
      <c r="K46" s="1007"/>
      <c r="L46" s="1007"/>
      <c r="M46" s="175"/>
      <c r="N46" s="282"/>
      <c r="O46" s="1005"/>
      <c r="P46" s="1005"/>
      <c r="Q46" s="1053"/>
      <c r="R46" s="978"/>
      <c r="S46" s="978"/>
      <c r="T46" s="978"/>
      <c r="U46" s="978"/>
      <c r="V46" s="978"/>
      <c r="W46" s="978"/>
      <c r="X46" s="978"/>
      <c r="Y46" s="978"/>
      <c r="Z46" s="978"/>
      <c r="AA46" s="978"/>
      <c r="AB46" s="978"/>
      <c r="AC46" s="978"/>
      <c r="AD46" s="978"/>
      <c r="AE46" s="978"/>
      <c r="AF46" s="978"/>
      <c r="AG46" s="978"/>
      <c r="AH46" s="978"/>
      <c r="AI46" s="978"/>
      <c r="AJ46" s="978"/>
      <c r="AK46" s="978"/>
      <c r="AL46" s="978"/>
      <c r="AM46" s="978"/>
      <c r="AN46" s="978"/>
      <c r="AO46" s="978"/>
      <c r="AP46" s="978"/>
      <c r="AQ46" s="978"/>
      <c r="AR46" s="978"/>
      <c r="AS46" s="978"/>
      <c r="AT46" s="978"/>
      <c r="AU46" s="978"/>
      <c r="AV46" s="978"/>
      <c r="AW46" s="978"/>
      <c r="AX46" s="978"/>
      <c r="AY46" s="978"/>
      <c r="AZ46" s="978"/>
      <c r="BA46" s="978"/>
      <c r="BB46" s="978"/>
      <c r="BC46" s="978"/>
      <c r="BD46" s="978"/>
      <c r="BE46" s="978"/>
      <c r="BF46" s="978"/>
      <c r="BG46" s="978"/>
      <c r="BH46" s="979"/>
      <c r="BI46" s="979"/>
      <c r="BJ46" s="95"/>
      <c r="BK46" s="95"/>
      <c r="BL46" s="95"/>
      <c r="BM46" s="95"/>
      <c r="BR46" s="146"/>
    </row>
    <row r="47" spans="1:71" ht="24.75" customHeight="1">
      <c r="A47" s="2664" t="s">
        <v>1068</v>
      </c>
      <c r="B47" s="2665"/>
      <c r="C47" s="2667" t="s">
        <v>1072</v>
      </c>
      <c r="D47" s="2668"/>
      <c r="E47" s="2668"/>
      <c r="F47" s="2668"/>
      <c r="G47" s="2668"/>
      <c r="H47" s="2668"/>
      <c r="I47" s="2668"/>
      <c r="J47" s="2668"/>
      <c r="K47" s="2668"/>
      <c r="L47" s="2542"/>
      <c r="M47" s="2542"/>
      <c r="N47" s="2542"/>
      <c r="O47" s="2470"/>
      <c r="P47" s="2471"/>
      <c r="Q47" s="636"/>
      <c r="R47" s="978"/>
      <c r="S47" s="978"/>
      <c r="T47" s="978"/>
      <c r="U47" s="978"/>
      <c r="V47" s="978"/>
      <c r="W47" s="978"/>
      <c r="X47" s="978"/>
      <c r="Y47" s="978"/>
      <c r="Z47" s="978"/>
      <c r="AA47" s="978"/>
      <c r="AB47" s="978"/>
      <c r="AC47" s="978"/>
      <c r="AD47" s="978"/>
      <c r="AE47" s="978"/>
      <c r="AF47" s="978"/>
      <c r="AG47" s="978"/>
      <c r="AH47" s="978"/>
      <c r="AI47" s="978"/>
      <c r="AJ47" s="978"/>
      <c r="AK47" s="978"/>
      <c r="AL47" s="978"/>
      <c r="AM47" s="978"/>
      <c r="AN47" s="978"/>
      <c r="AO47" s="978"/>
      <c r="AP47" s="978"/>
      <c r="AQ47" s="978"/>
      <c r="AR47" s="978"/>
      <c r="AS47" s="978"/>
      <c r="AT47" s="978"/>
      <c r="AU47" s="978"/>
      <c r="AV47" s="978"/>
      <c r="AW47" s="978"/>
      <c r="AX47" s="978"/>
      <c r="AY47" s="978"/>
      <c r="AZ47" s="978"/>
      <c r="BA47" s="978"/>
      <c r="BB47" s="978"/>
      <c r="BC47" s="978"/>
      <c r="BD47" s="978"/>
      <c r="BE47" s="978"/>
      <c r="BF47" s="978"/>
      <c r="BG47" s="978"/>
      <c r="BH47" s="978"/>
      <c r="BI47" s="978"/>
      <c r="BJ47" s="978"/>
      <c r="BK47" s="978"/>
      <c r="BL47" s="978"/>
      <c r="BM47" s="978"/>
      <c r="BN47" s="488"/>
      <c r="BR47" s="152"/>
    </row>
    <row r="48" spans="1:71" ht="32.25" customHeight="1">
      <c r="A48" s="2665"/>
      <c r="B48" s="2665"/>
      <c r="C48" s="2669"/>
      <c r="D48" s="2670"/>
      <c r="E48" s="2670"/>
      <c r="F48" s="2670"/>
      <c r="G48" s="2670"/>
      <c r="H48" s="2670"/>
      <c r="I48" s="2670"/>
      <c r="J48" s="2670"/>
      <c r="K48" s="2670"/>
      <c r="L48" s="2526"/>
      <c r="M48" s="2526"/>
      <c r="N48" s="2526"/>
      <c r="O48" s="2452"/>
      <c r="P48" s="2475"/>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6"/>
      <c r="BN48" s="1005"/>
      <c r="BO48" s="18"/>
      <c r="BR48" s="152"/>
    </row>
    <row r="49" spans="1:70" ht="30.75" customHeight="1">
      <c r="A49" s="2666"/>
      <c r="B49" s="2666"/>
      <c r="C49" s="2671"/>
      <c r="D49" s="2479"/>
      <c r="E49" s="2479"/>
      <c r="F49" s="2479"/>
      <c r="G49" s="2479"/>
      <c r="H49" s="2479"/>
      <c r="I49" s="2479"/>
      <c r="J49" s="2479"/>
      <c r="K49" s="2479"/>
      <c r="L49" s="2479"/>
      <c r="M49" s="2479"/>
      <c r="N49" s="2479"/>
      <c r="O49" s="2479"/>
      <c r="P49" s="2480"/>
      <c r="Q49" s="636"/>
      <c r="R49" s="1005"/>
      <c r="S49" s="1005"/>
      <c r="T49" s="1005"/>
      <c r="U49" s="1005"/>
      <c r="V49" s="1017"/>
      <c r="W49" s="1017"/>
      <c r="X49" s="1017"/>
      <c r="Y49" s="1017"/>
      <c r="Z49" s="1017"/>
      <c r="AA49" s="1017"/>
      <c r="AB49" s="1017"/>
      <c r="AC49" s="1017"/>
      <c r="AD49" s="1017"/>
      <c r="AE49" s="1017"/>
      <c r="AF49" s="1017"/>
      <c r="AG49" s="1017"/>
      <c r="AH49" s="1017"/>
      <c r="AI49" s="1017"/>
      <c r="AJ49" s="1017"/>
      <c r="AK49" s="1017"/>
      <c r="AL49" s="1017"/>
      <c r="AM49" s="1017"/>
      <c r="AN49" s="1017"/>
      <c r="AO49" s="1017"/>
      <c r="AP49" s="1017"/>
      <c r="AQ49" s="1017"/>
      <c r="AR49" s="1017"/>
      <c r="AS49" s="1017"/>
      <c r="AT49" s="1017"/>
      <c r="AU49" s="1017"/>
      <c r="AV49" s="1017"/>
      <c r="AW49" s="1017"/>
      <c r="AX49" s="1017"/>
      <c r="AY49" s="1017"/>
      <c r="AZ49" s="1017"/>
      <c r="BA49" s="1017"/>
      <c r="BB49" s="1017"/>
      <c r="BC49" s="1121"/>
      <c r="BD49" s="1017"/>
      <c r="BE49" s="1017"/>
      <c r="BF49" s="1081"/>
      <c r="BG49" s="1017"/>
      <c r="BH49" s="1017"/>
      <c r="BI49" s="1121"/>
      <c r="BJ49" s="1017"/>
      <c r="BK49" s="1017"/>
      <c r="BL49" s="1088"/>
      <c r="BM49" s="1017"/>
      <c r="BO49" s="487"/>
      <c r="BP49" s="1160"/>
    </row>
    <row r="50" spans="1:70" ht="30.75" customHeight="1">
      <c r="B50" s="175"/>
      <c r="D50" s="1007"/>
      <c r="E50" s="175"/>
      <c r="J50" s="185"/>
      <c r="O50" s="1005"/>
      <c r="P50" s="1005"/>
      <c r="Q50" s="983"/>
      <c r="R50" s="982"/>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1005"/>
      <c r="BO50" s="1160"/>
      <c r="BP50" s="1160"/>
    </row>
    <row r="51" spans="1:70" ht="19.5" customHeight="1">
      <c r="A51" s="2481" t="s">
        <v>609</v>
      </c>
      <c r="B51" s="2482"/>
      <c r="C51" s="2489" t="s">
        <v>1073</v>
      </c>
      <c r="D51" s="2490"/>
      <c r="E51" s="2490"/>
      <c r="F51" s="2490"/>
      <c r="G51" s="2490"/>
      <c r="H51" s="2490"/>
      <c r="I51" s="2490"/>
      <c r="J51" s="2490"/>
      <c r="K51" s="2490"/>
      <c r="L51" s="2490"/>
      <c r="M51" s="2490"/>
      <c r="N51" s="2490"/>
      <c r="O51" s="2491"/>
      <c r="P51" s="2491"/>
      <c r="Q51" s="488"/>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1005"/>
      <c r="BO51" s="1160"/>
      <c r="BP51" s="1160"/>
    </row>
    <row r="52" spans="1:70" ht="15.75" customHeight="1">
      <c r="A52" s="2483"/>
      <c r="B52" s="2484"/>
      <c r="C52" s="2490"/>
      <c r="D52" s="2490"/>
      <c r="E52" s="2490"/>
      <c r="F52" s="2490"/>
      <c r="G52" s="2490"/>
      <c r="H52" s="2490"/>
      <c r="I52" s="2490"/>
      <c r="J52" s="2490"/>
      <c r="K52" s="2490"/>
      <c r="L52" s="2490"/>
      <c r="M52" s="2490"/>
      <c r="N52" s="2490"/>
      <c r="O52" s="2491"/>
      <c r="P52" s="2491"/>
      <c r="Q52" s="1005"/>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1005"/>
      <c r="BO52" s="1160"/>
      <c r="BP52" s="1160"/>
      <c r="BR52" s="146"/>
    </row>
    <row r="53" spans="1:70" ht="15.75" customHeight="1">
      <c r="A53" s="2485"/>
      <c r="B53" s="2486"/>
      <c r="C53" s="2490"/>
      <c r="D53" s="2490"/>
      <c r="E53" s="2490"/>
      <c r="F53" s="2490"/>
      <c r="G53" s="2490"/>
      <c r="H53" s="2490"/>
      <c r="I53" s="2490"/>
      <c r="J53" s="2490"/>
      <c r="K53" s="2490"/>
      <c r="L53" s="2490"/>
      <c r="M53" s="2490"/>
      <c r="N53" s="2490"/>
      <c r="O53" s="2491"/>
      <c r="P53" s="2491"/>
      <c r="Q53" s="1005"/>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6"/>
      <c r="BN53" s="1005"/>
      <c r="BR53" s="146"/>
    </row>
    <row r="54" spans="1:70" ht="15.75" customHeight="1">
      <c r="A54" s="2487"/>
      <c r="B54" s="2488"/>
      <c r="C54" s="2489" t="s">
        <v>588</v>
      </c>
      <c r="D54" s="2490"/>
      <c r="E54" s="2490"/>
      <c r="F54" s="2490"/>
      <c r="G54" s="2490"/>
      <c r="H54" s="2490"/>
      <c r="I54" s="2490"/>
      <c r="J54" s="2490"/>
      <c r="K54" s="2490"/>
      <c r="L54" s="2490"/>
      <c r="M54" s="2491"/>
      <c r="N54" s="2491"/>
      <c r="O54" s="2491"/>
      <c r="P54" s="2491"/>
      <c r="Q54" s="1005"/>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c r="AU54" s="983"/>
      <c r="AV54" s="983"/>
      <c r="AW54" s="983"/>
      <c r="AX54" s="983"/>
      <c r="AY54" s="983"/>
      <c r="AZ54" s="983"/>
      <c r="BA54" s="983"/>
      <c r="BB54" s="983"/>
      <c r="BC54" s="983"/>
      <c r="BD54" s="983"/>
      <c r="BE54" s="983"/>
      <c r="BF54" s="983"/>
      <c r="BG54" s="983"/>
      <c r="BH54" s="983"/>
      <c r="BI54" s="983"/>
      <c r="BJ54" s="983"/>
      <c r="BK54" s="983"/>
      <c r="BL54" s="983"/>
      <c r="BM54" s="983"/>
      <c r="BN54" s="1005"/>
      <c r="BR54" s="146"/>
    </row>
    <row r="55" spans="1:70" ht="24.75" customHeight="1">
      <c r="O55" s="1005"/>
      <c r="P55" s="1005"/>
      <c r="Q55" s="1005"/>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1005"/>
      <c r="BR55" s="146"/>
    </row>
    <row r="56" spans="1:70" ht="24.75" customHeight="1">
      <c r="O56" s="1005"/>
      <c r="P56" s="1005"/>
      <c r="Q56" s="1005"/>
      <c r="R56" s="1005"/>
      <c r="S56" s="1005"/>
      <c r="T56" s="1005"/>
      <c r="U56" s="1005"/>
      <c r="V56" s="1017"/>
      <c r="W56" s="1017"/>
      <c r="X56" s="1017"/>
      <c r="Y56" s="1017"/>
      <c r="Z56" s="1017"/>
      <c r="AA56" s="1017"/>
      <c r="AB56" s="1017"/>
      <c r="AC56" s="1017"/>
      <c r="AD56" s="1017"/>
      <c r="AE56" s="1017"/>
      <c r="AF56" s="1017"/>
      <c r="AG56" s="1017"/>
      <c r="AH56" s="1017"/>
      <c r="AI56" s="1017"/>
      <c r="AJ56" s="1017"/>
      <c r="AK56" s="1017"/>
      <c r="AL56" s="1017"/>
      <c r="AM56" s="1017"/>
      <c r="AN56" s="1017"/>
      <c r="AO56" s="1017"/>
      <c r="AP56" s="1017"/>
      <c r="AQ56" s="1017"/>
      <c r="AR56" s="1017"/>
      <c r="AS56" s="1017"/>
      <c r="AT56" s="1017"/>
      <c r="AU56" s="1017"/>
      <c r="AV56" s="1017"/>
      <c r="AW56" s="1017"/>
      <c r="AX56" s="1017"/>
      <c r="AY56" s="1017"/>
      <c r="AZ56" s="1017"/>
      <c r="BA56" s="1017"/>
      <c r="BB56" s="1017"/>
      <c r="BC56" s="1121"/>
      <c r="BD56" s="1017"/>
      <c r="BE56" s="1017"/>
      <c r="BF56" s="1081"/>
      <c r="BG56" s="1017"/>
      <c r="BH56" s="1017"/>
      <c r="BI56" s="1121"/>
      <c r="BJ56" s="1017"/>
      <c r="BK56" s="1017"/>
      <c r="BL56" s="1088"/>
      <c r="BM56" s="1017"/>
      <c r="BN56" s="1005"/>
      <c r="BR56" s="146"/>
    </row>
    <row r="57" spans="1:70" ht="24.75" customHeight="1">
      <c r="O57" s="1005"/>
      <c r="Q57" s="200"/>
      <c r="R57" s="1005"/>
      <c r="S57" s="1005"/>
      <c r="T57" s="1005"/>
      <c r="U57" s="1005"/>
      <c r="V57" s="1017"/>
      <c r="W57" s="1017"/>
      <c r="X57" s="1017"/>
      <c r="Y57" s="1017"/>
      <c r="Z57" s="1017"/>
      <c r="AA57" s="1017"/>
      <c r="AB57" s="1017"/>
      <c r="AC57" s="1017"/>
      <c r="AD57" s="1017"/>
      <c r="AE57" s="1017"/>
      <c r="AF57" s="1017"/>
      <c r="AG57" s="1017"/>
      <c r="AH57" s="1017"/>
      <c r="AI57" s="1017"/>
      <c r="AJ57" s="1017"/>
      <c r="AK57" s="1017"/>
      <c r="AL57" s="1017"/>
      <c r="AM57" s="1017"/>
      <c r="AN57" s="1017"/>
      <c r="AO57" s="1017"/>
      <c r="AP57" s="1017"/>
      <c r="AQ57" s="1017"/>
      <c r="AR57" s="1017"/>
      <c r="AS57" s="1017"/>
      <c r="AT57" s="1017"/>
      <c r="AU57" s="1017"/>
      <c r="AV57" s="1017"/>
      <c r="AW57" s="1017"/>
      <c r="AX57" s="1017"/>
      <c r="AY57" s="1017"/>
      <c r="AZ57" s="1017"/>
      <c r="BA57" s="1017"/>
      <c r="BB57" s="1017"/>
      <c r="BC57" s="1121"/>
      <c r="BD57" s="1017"/>
      <c r="BE57" s="1017"/>
      <c r="BF57" s="1081"/>
      <c r="BG57" s="1017"/>
      <c r="BH57" s="1017"/>
      <c r="BI57" s="1121"/>
      <c r="BJ57" s="1017"/>
      <c r="BK57" s="1017"/>
      <c r="BL57" s="1088"/>
      <c r="BM57" s="1017"/>
      <c r="BN57" s="1005"/>
      <c r="BR57" s="146"/>
    </row>
    <row r="58" spans="1:70" ht="24" customHeight="1">
      <c r="O58" s="1011"/>
      <c r="Q58" s="200"/>
      <c r="R58" s="1005"/>
      <c r="S58" s="1005"/>
      <c r="T58" s="1005"/>
      <c r="U58" s="1005"/>
      <c r="V58" s="1017"/>
      <c r="W58" s="1017"/>
      <c r="X58" s="1017"/>
      <c r="Y58" s="1017"/>
      <c r="Z58" s="1017"/>
      <c r="AA58" s="1017"/>
      <c r="AB58" s="1017"/>
      <c r="AC58" s="1017"/>
      <c r="AD58" s="1017"/>
      <c r="AE58" s="1017"/>
      <c r="AF58" s="1017"/>
      <c r="AG58" s="1017"/>
      <c r="AH58" s="1017"/>
      <c r="AI58" s="1017"/>
      <c r="AJ58" s="1017"/>
      <c r="AK58" s="1017"/>
      <c r="AL58" s="1017"/>
      <c r="AM58" s="1017"/>
      <c r="AN58" s="1017"/>
      <c r="AO58" s="1017"/>
      <c r="AP58" s="1017"/>
      <c r="AQ58" s="1017"/>
      <c r="AR58" s="1017"/>
      <c r="AS58" s="1017"/>
      <c r="AT58" s="1017"/>
      <c r="AU58" s="1017"/>
      <c r="AV58" s="1017"/>
      <c r="AW58" s="1017"/>
      <c r="AX58" s="1017"/>
      <c r="AY58" s="1017"/>
      <c r="AZ58" s="1017"/>
      <c r="BA58" s="1017"/>
      <c r="BB58" s="1017"/>
      <c r="BC58" s="1121"/>
      <c r="BD58" s="1017"/>
      <c r="BE58" s="1017"/>
      <c r="BF58" s="1081"/>
      <c r="BG58" s="1017"/>
      <c r="BH58" s="1017"/>
      <c r="BI58" s="1121"/>
      <c r="BJ58" s="1017"/>
      <c r="BK58" s="1017"/>
      <c r="BL58" s="1088"/>
      <c r="BM58" s="1017"/>
      <c r="BN58" s="1005"/>
    </row>
    <row r="59" spans="1:70" ht="10.5" customHeight="1">
      <c r="O59" s="1011"/>
      <c r="Q59" s="200"/>
      <c r="R59" s="1005"/>
      <c r="S59" s="1005"/>
      <c r="T59" s="861"/>
      <c r="U59" s="861"/>
      <c r="V59" s="1017"/>
      <c r="W59" s="1017"/>
      <c r="X59" s="1017"/>
      <c r="Y59" s="1017"/>
      <c r="Z59" s="1017"/>
      <c r="AA59" s="1017"/>
      <c r="AB59" s="1017"/>
      <c r="AC59" s="1017"/>
      <c r="AD59" s="1017"/>
      <c r="AE59" s="1017"/>
      <c r="AF59" s="1017"/>
      <c r="AG59" s="1017"/>
      <c r="AH59" s="1017"/>
      <c r="AI59" s="1017"/>
      <c r="AJ59" s="1017"/>
      <c r="AK59" s="1017"/>
      <c r="AL59" s="1017"/>
      <c r="AM59" s="1017"/>
      <c r="AN59" s="1017"/>
      <c r="AO59" s="1017"/>
      <c r="AP59" s="1017"/>
      <c r="AQ59" s="1017"/>
      <c r="AR59" s="1017"/>
      <c r="AS59" s="1017"/>
      <c r="AT59" s="1017"/>
      <c r="AU59" s="1017"/>
      <c r="AV59" s="1017"/>
      <c r="AW59" s="1017"/>
      <c r="AX59" s="1017"/>
      <c r="AY59" s="1017"/>
      <c r="AZ59" s="1017"/>
      <c r="BA59" s="1017"/>
      <c r="BB59" s="1017"/>
      <c r="BC59" s="1121"/>
      <c r="BD59" s="1017"/>
      <c r="BE59" s="1017"/>
      <c r="BF59" s="1081"/>
      <c r="BG59" s="1017"/>
      <c r="BH59" s="1017"/>
      <c r="BI59" s="1121"/>
      <c r="BJ59" s="1017"/>
      <c r="BK59" s="1017"/>
      <c r="BL59" s="1088"/>
      <c r="BM59" s="1017"/>
      <c r="BN59" s="1017"/>
      <c r="BO59" s="1017"/>
    </row>
    <row r="60" spans="1:70" ht="32.25" customHeight="1">
      <c r="P60" s="1005"/>
      <c r="Q60" s="200"/>
      <c r="R60" s="1005"/>
      <c r="S60" s="1005"/>
      <c r="T60" s="1171"/>
      <c r="U60" s="1171"/>
      <c r="V60" s="1159"/>
      <c r="W60" s="1159"/>
      <c r="X60" s="1159"/>
      <c r="Y60" s="1159"/>
      <c r="Z60" s="1159"/>
      <c r="AA60" s="1159"/>
      <c r="AB60" s="1159"/>
      <c r="AC60" s="1159"/>
      <c r="AD60" s="1159"/>
      <c r="AE60" s="1159"/>
      <c r="AF60" s="1159"/>
      <c r="AG60" s="1159"/>
      <c r="AH60" s="1159"/>
      <c r="AI60" s="1159"/>
      <c r="AJ60" s="1159"/>
      <c r="AK60" s="1159"/>
      <c r="AL60" s="1159"/>
      <c r="AM60" s="1159"/>
      <c r="AN60" s="1159"/>
      <c r="AO60" s="1159"/>
      <c r="AP60" s="1159"/>
      <c r="AQ60" s="1159"/>
      <c r="AR60" s="1159"/>
      <c r="AS60" s="1159"/>
      <c r="AT60" s="1159"/>
      <c r="AU60" s="1159"/>
      <c r="AV60" s="1159"/>
      <c r="AW60" s="1159"/>
      <c r="AX60" s="1159"/>
      <c r="AY60" s="1159"/>
      <c r="AZ60" s="1159"/>
      <c r="BA60" s="1159"/>
      <c r="BB60" s="1159"/>
      <c r="BC60" s="1159"/>
      <c r="BD60" s="1159"/>
      <c r="BE60" s="1159"/>
      <c r="BF60" s="1159"/>
      <c r="BG60" s="1159"/>
      <c r="BH60" s="1159"/>
      <c r="BI60" s="1159"/>
      <c r="BJ60" s="1159"/>
      <c r="BK60" s="1159"/>
      <c r="BL60" s="1159"/>
      <c r="BM60" s="1159"/>
      <c r="BN60" s="1159"/>
      <c r="BO60" s="1159"/>
    </row>
    <row r="61" spans="1:70" ht="32.25" customHeight="1">
      <c r="O61" s="1005"/>
      <c r="P61" s="1005"/>
      <c r="Q61" s="1005"/>
      <c r="R61" s="200"/>
      <c r="S61" s="200"/>
      <c r="T61" s="1159"/>
      <c r="U61" s="1159"/>
      <c r="V61" s="1159"/>
      <c r="W61" s="1159"/>
      <c r="X61" s="1159"/>
      <c r="Y61" s="1159"/>
      <c r="Z61" s="1159"/>
      <c r="AA61" s="1159"/>
      <c r="AB61" s="1159"/>
      <c r="AC61" s="1159"/>
      <c r="AD61" s="1159"/>
      <c r="AE61" s="1159"/>
      <c r="AF61" s="1159"/>
      <c r="AG61" s="1159"/>
      <c r="AH61" s="1159"/>
      <c r="AI61" s="1159"/>
      <c r="AJ61" s="1159"/>
      <c r="AK61" s="1159"/>
      <c r="AL61" s="1159"/>
      <c r="AM61" s="1159"/>
      <c r="AN61" s="1159"/>
      <c r="AO61" s="1159"/>
      <c r="AP61" s="1159"/>
      <c r="AQ61" s="1159"/>
      <c r="AR61" s="1159"/>
      <c r="AS61" s="1159"/>
      <c r="AT61" s="1159"/>
      <c r="AU61" s="1159"/>
      <c r="AV61" s="1159"/>
      <c r="AW61" s="1159"/>
      <c r="AX61" s="1159"/>
      <c r="AY61" s="1159"/>
      <c r="AZ61" s="1159"/>
      <c r="BA61" s="1159"/>
      <c r="BB61" s="1159"/>
      <c r="BC61" s="1159"/>
      <c r="BD61" s="1159"/>
      <c r="BE61" s="1159"/>
      <c r="BF61" s="1159"/>
      <c r="BG61" s="1159"/>
      <c r="BH61" s="1159"/>
      <c r="BI61" s="1159"/>
      <c r="BJ61" s="1159"/>
      <c r="BK61" s="1159"/>
      <c r="BL61" s="1159"/>
      <c r="BM61" s="1159"/>
      <c r="BN61" s="1159"/>
      <c r="BO61" s="1159"/>
    </row>
    <row r="62" spans="1:70" ht="15.75">
      <c r="P62" s="1005"/>
      <c r="Q62" s="1005"/>
      <c r="R62" s="200"/>
      <c r="S62" s="200"/>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c r="AQ62" s="1017"/>
      <c r="AR62" s="1017"/>
      <c r="AS62" s="1017"/>
      <c r="AT62" s="1017"/>
      <c r="AU62" s="1017"/>
      <c r="AV62" s="1017"/>
      <c r="AW62" s="1017"/>
      <c r="AX62" s="1017"/>
      <c r="AY62" s="1017"/>
      <c r="AZ62" s="1017"/>
      <c r="BA62" s="1017"/>
      <c r="BB62" s="1017"/>
      <c r="BC62" s="1121"/>
      <c r="BD62" s="1017"/>
      <c r="BE62" s="1017"/>
      <c r="BF62" s="1081"/>
      <c r="BG62" s="1017"/>
      <c r="BH62" s="1017"/>
      <c r="BI62" s="1121"/>
      <c r="BJ62" s="1017"/>
      <c r="BK62" s="1017"/>
      <c r="BL62" s="1088"/>
      <c r="BM62" s="1017"/>
      <c r="BN62" s="1017"/>
      <c r="BO62" s="1017"/>
    </row>
    <row r="63" spans="1:70" ht="19.5" customHeight="1">
      <c r="R63" s="200"/>
      <c r="S63" s="200"/>
      <c r="T63" s="860"/>
      <c r="U63" s="860"/>
      <c r="V63" s="1169"/>
      <c r="W63" s="2545"/>
      <c r="X63" s="2452"/>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8"/>
      <c r="AY63" s="908"/>
      <c r="AZ63" s="908"/>
      <c r="BA63" s="908"/>
      <c r="BB63" s="908"/>
      <c r="BC63" s="908"/>
      <c r="BD63" s="908"/>
      <c r="BE63" s="908"/>
      <c r="BF63" s="908"/>
      <c r="BG63" s="908"/>
      <c r="BH63" s="908"/>
      <c r="BI63" s="908"/>
      <c r="BJ63" s="908"/>
      <c r="BK63" s="908"/>
      <c r="BL63" s="908"/>
      <c r="BM63" s="908"/>
      <c r="BN63" s="908"/>
      <c r="BO63" s="1016"/>
    </row>
    <row r="64" spans="1:70" ht="15.75">
      <c r="R64" s="200"/>
      <c r="S64" s="200"/>
      <c r="T64" s="860"/>
      <c r="U64" s="860"/>
      <c r="V64" s="1169"/>
      <c r="W64" s="1181"/>
      <c r="X64" s="1181"/>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1016"/>
    </row>
    <row r="65" spans="17:67" ht="15.75">
      <c r="R65" s="1005"/>
      <c r="S65" s="1005"/>
      <c r="T65" s="201"/>
      <c r="U65" s="201"/>
      <c r="V65" s="1169"/>
      <c r="W65" s="1163"/>
      <c r="X65" s="1163"/>
      <c r="Y65" s="1117"/>
      <c r="Z65" s="1117"/>
      <c r="AA65" s="1117"/>
      <c r="AB65" s="1117"/>
      <c r="AC65" s="1025"/>
      <c r="AD65" s="1025"/>
      <c r="AE65" s="1025"/>
      <c r="AF65" s="1025"/>
      <c r="AG65" s="1025"/>
      <c r="AH65" s="1025"/>
      <c r="AI65" s="1025"/>
      <c r="AJ65" s="1025"/>
      <c r="AK65" s="1025"/>
      <c r="AL65" s="1025"/>
      <c r="AM65" s="1025"/>
      <c r="AN65" s="1025"/>
      <c r="AO65" s="1025"/>
      <c r="AP65" s="1025"/>
      <c r="AQ65" s="1025"/>
      <c r="AR65" s="1025"/>
      <c r="AS65" s="1025"/>
      <c r="AT65" s="1025"/>
      <c r="AU65" s="1025"/>
      <c r="AV65" s="1025"/>
      <c r="AW65" s="1025"/>
      <c r="AX65" s="1025"/>
      <c r="AY65" s="1025"/>
      <c r="AZ65" s="1025"/>
      <c r="BA65" s="1025"/>
      <c r="BB65" s="1025"/>
      <c r="BC65" s="1117"/>
      <c r="BD65" s="1025"/>
      <c r="BE65" s="1025"/>
      <c r="BF65" s="1085"/>
      <c r="BG65" s="1025"/>
      <c r="BH65" s="1025"/>
      <c r="BI65" s="1117"/>
      <c r="BJ65" s="1025"/>
      <c r="BK65" s="1025"/>
      <c r="BL65" s="1092"/>
      <c r="BM65" s="1025"/>
      <c r="BN65" s="1025"/>
      <c r="BO65" s="1016"/>
    </row>
    <row r="66" spans="17:67" ht="15.75">
      <c r="Q66" s="1005"/>
      <c r="R66" s="1005"/>
      <c r="S66" s="1005"/>
      <c r="T66" s="201"/>
      <c r="U66" s="201"/>
      <c r="V66" s="1169"/>
      <c r="W66" s="1163"/>
      <c r="X66" s="1163"/>
      <c r="Y66" s="1117"/>
      <c r="Z66" s="1117"/>
      <c r="AA66" s="1117"/>
      <c r="AB66" s="1117"/>
      <c r="AC66" s="1025"/>
      <c r="AD66" s="1025"/>
      <c r="AE66" s="1025"/>
      <c r="AF66" s="1025"/>
      <c r="AG66" s="1025"/>
      <c r="AH66" s="1025"/>
      <c r="AI66" s="1025"/>
      <c r="AJ66" s="1025"/>
      <c r="AK66" s="1025"/>
      <c r="AL66" s="1025"/>
      <c r="AM66" s="1025"/>
      <c r="AN66" s="1025"/>
      <c r="AO66" s="1025"/>
      <c r="AP66" s="1025"/>
      <c r="AQ66" s="1025"/>
      <c r="AR66" s="1025"/>
      <c r="AS66" s="1025"/>
      <c r="AT66" s="1025"/>
      <c r="AU66" s="1025"/>
      <c r="AV66" s="1025"/>
      <c r="AW66" s="1025"/>
      <c r="AX66" s="1025"/>
      <c r="AY66" s="1025"/>
      <c r="AZ66" s="1025"/>
      <c r="BA66" s="1025"/>
      <c r="BB66" s="1025"/>
      <c r="BC66" s="1117"/>
      <c r="BD66" s="1025"/>
      <c r="BE66" s="1025"/>
      <c r="BF66" s="1085"/>
      <c r="BG66" s="1025"/>
      <c r="BH66" s="1025"/>
      <c r="BI66" s="1117"/>
      <c r="BJ66" s="1025"/>
      <c r="BK66" s="1025"/>
      <c r="BL66" s="1092"/>
      <c r="BM66" s="1025"/>
      <c r="BN66" s="1025"/>
      <c r="BO66" s="1016"/>
    </row>
    <row r="67" spans="17:67" ht="15.75">
      <c r="Q67" s="1005"/>
      <c r="T67" s="201"/>
      <c r="U67" s="201"/>
      <c r="V67" s="1169"/>
      <c r="W67" s="1163"/>
      <c r="X67" s="1163"/>
      <c r="Y67" s="1117"/>
      <c r="Z67" s="1117"/>
      <c r="AA67" s="1117"/>
      <c r="AB67" s="1117"/>
      <c r="AC67" s="1025"/>
      <c r="AD67" s="1025"/>
      <c r="AE67" s="1025"/>
      <c r="AF67" s="1025"/>
      <c r="AG67" s="1025"/>
      <c r="AH67" s="1025"/>
      <c r="AI67" s="1025"/>
      <c r="AJ67" s="1025"/>
      <c r="AK67" s="1025"/>
      <c r="AL67" s="1025"/>
      <c r="AM67" s="1025"/>
      <c r="AN67" s="1025"/>
      <c r="AO67" s="1025"/>
      <c r="AP67" s="1025"/>
      <c r="AQ67" s="1025"/>
      <c r="AR67" s="1025"/>
      <c r="AS67" s="1025"/>
      <c r="AT67" s="1025"/>
      <c r="AU67" s="1025"/>
      <c r="AV67" s="1025"/>
      <c r="AW67" s="1025"/>
      <c r="AX67" s="1025"/>
      <c r="AY67" s="1025"/>
      <c r="AZ67" s="1025"/>
      <c r="BA67" s="1025"/>
      <c r="BB67" s="1025"/>
      <c r="BC67" s="1117"/>
      <c r="BD67" s="1025"/>
      <c r="BE67" s="1025"/>
      <c r="BF67" s="1085"/>
      <c r="BG67" s="1025"/>
      <c r="BH67" s="1025"/>
      <c r="BI67" s="1117"/>
      <c r="BJ67" s="1025"/>
      <c r="BK67" s="1025"/>
      <c r="BL67" s="1092"/>
      <c r="BM67" s="1025"/>
      <c r="BN67" s="1025"/>
      <c r="BO67" s="1016"/>
    </row>
    <row r="68" spans="17:67" ht="15.75">
      <c r="Q68" s="1005"/>
      <c r="T68" s="201"/>
      <c r="U68" s="201"/>
      <c r="V68" s="1169"/>
      <c r="W68" s="1163"/>
      <c r="X68" s="1163"/>
      <c r="Y68" s="1117"/>
      <c r="Z68" s="1117"/>
      <c r="AA68" s="1117"/>
      <c r="AB68" s="1117"/>
      <c r="AC68" s="1025"/>
      <c r="AD68" s="1025"/>
      <c r="AE68" s="1025"/>
      <c r="AF68" s="1025"/>
      <c r="AG68" s="1025"/>
      <c r="AH68" s="1025"/>
      <c r="AI68" s="1025"/>
      <c r="AJ68" s="1025"/>
      <c r="AK68" s="1025"/>
      <c r="AL68" s="1025"/>
      <c r="AM68" s="1025"/>
      <c r="AN68" s="1025"/>
      <c r="AO68" s="1025"/>
      <c r="AP68" s="1025"/>
      <c r="AQ68" s="1025"/>
      <c r="AR68" s="1025"/>
      <c r="AS68" s="1025"/>
      <c r="AT68" s="1025"/>
      <c r="AU68" s="1025"/>
      <c r="AV68" s="1025"/>
      <c r="AW68" s="1025"/>
      <c r="AX68" s="1025"/>
      <c r="AY68" s="1025"/>
      <c r="AZ68" s="1025"/>
      <c r="BA68" s="1025"/>
      <c r="BB68" s="1025"/>
      <c r="BC68" s="1117"/>
      <c r="BD68" s="1025"/>
      <c r="BE68" s="1025"/>
      <c r="BF68" s="1085"/>
      <c r="BG68" s="1025"/>
      <c r="BH68" s="1025"/>
      <c r="BI68" s="1117"/>
      <c r="BJ68" s="1025"/>
      <c r="BK68" s="1025"/>
      <c r="BL68" s="1092"/>
      <c r="BM68" s="1025"/>
      <c r="BN68" s="1025"/>
      <c r="BO68" s="1016"/>
    </row>
    <row r="69" spans="17:67" ht="15.75">
      <c r="T69" s="201"/>
      <c r="U69" s="201"/>
      <c r="V69" s="1169"/>
      <c r="W69" s="1163"/>
      <c r="X69" s="1163"/>
      <c r="Y69" s="1117"/>
      <c r="Z69" s="1117"/>
      <c r="AA69" s="1117"/>
      <c r="AB69" s="1117"/>
      <c r="AC69" s="1025"/>
      <c r="AD69" s="1025"/>
      <c r="AE69" s="1025"/>
      <c r="AF69" s="1025"/>
      <c r="AG69" s="1025"/>
      <c r="AH69" s="1025"/>
      <c r="AI69" s="1025"/>
      <c r="AJ69" s="1025"/>
      <c r="AK69" s="1025"/>
      <c r="AL69" s="1025"/>
      <c r="AM69" s="1025"/>
      <c r="AN69" s="1025"/>
      <c r="AO69" s="1025"/>
      <c r="AP69" s="1025"/>
      <c r="AQ69" s="1025"/>
      <c r="AR69" s="1025"/>
      <c r="AS69" s="1025"/>
      <c r="AT69" s="1025"/>
      <c r="AU69" s="1025"/>
      <c r="AV69" s="1025"/>
      <c r="AW69" s="1025"/>
      <c r="AX69" s="1025"/>
      <c r="AY69" s="1025"/>
      <c r="AZ69" s="1025"/>
      <c r="BA69" s="1025"/>
      <c r="BB69" s="1025"/>
      <c r="BC69" s="1117"/>
      <c r="BD69" s="1025"/>
      <c r="BE69" s="1025"/>
      <c r="BF69" s="1085"/>
      <c r="BG69" s="1025"/>
      <c r="BH69" s="1025"/>
      <c r="BI69" s="1117"/>
      <c r="BJ69" s="1025"/>
      <c r="BK69" s="1025"/>
      <c r="BL69" s="1092"/>
      <c r="BM69" s="1025"/>
      <c r="BN69" s="1025"/>
      <c r="BO69" s="1016"/>
    </row>
    <row r="70" spans="17:67" ht="15.75">
      <c r="R70" s="1005"/>
      <c r="S70" s="1005"/>
      <c r="T70" s="201"/>
      <c r="U70" s="201"/>
      <c r="V70" s="1169"/>
      <c r="W70" s="1163"/>
      <c r="X70" s="1163"/>
      <c r="Y70" s="1117"/>
      <c r="Z70" s="1117"/>
      <c r="AA70" s="1117"/>
      <c r="AB70" s="1117"/>
      <c r="AC70" s="1025"/>
      <c r="AD70" s="1025"/>
      <c r="AE70" s="1025"/>
      <c r="AF70" s="1025"/>
      <c r="AG70" s="1025"/>
      <c r="AH70" s="1025"/>
      <c r="AI70" s="1025"/>
      <c r="AJ70" s="1025"/>
      <c r="AK70" s="1025"/>
      <c r="AL70" s="1025"/>
      <c r="AM70" s="1025"/>
      <c r="AN70" s="1025"/>
      <c r="AO70" s="1025"/>
      <c r="AP70" s="1025"/>
      <c r="AQ70" s="1025"/>
      <c r="AR70" s="1025"/>
      <c r="AS70" s="1025"/>
      <c r="AT70" s="1025"/>
      <c r="AU70" s="1025"/>
      <c r="AV70" s="1025"/>
      <c r="AW70" s="1025"/>
      <c r="AX70" s="1025"/>
      <c r="AY70" s="1025"/>
      <c r="AZ70" s="1025"/>
      <c r="BA70" s="1025"/>
      <c r="BB70" s="1025"/>
      <c r="BC70" s="1117"/>
      <c r="BD70" s="1025"/>
      <c r="BE70" s="1025"/>
      <c r="BF70" s="1085"/>
      <c r="BG70" s="1025"/>
      <c r="BH70" s="1025"/>
      <c r="BI70" s="1117"/>
      <c r="BJ70" s="1025"/>
      <c r="BK70" s="1025"/>
      <c r="BL70" s="1092"/>
      <c r="BM70" s="1025"/>
      <c r="BN70" s="1025"/>
      <c r="BO70" s="1016"/>
    </row>
    <row r="71" spans="17:67" ht="15.75">
      <c r="R71" s="1005"/>
      <c r="S71" s="1005"/>
      <c r="T71" s="201"/>
      <c r="U71" s="201"/>
      <c r="V71" s="1169"/>
      <c r="W71" s="1163"/>
      <c r="X71" s="1163"/>
      <c r="Y71" s="1117"/>
      <c r="Z71" s="1117"/>
      <c r="AA71" s="1117"/>
      <c r="AB71" s="1117"/>
      <c r="AC71" s="1025"/>
      <c r="AD71" s="1025"/>
      <c r="AE71" s="1025"/>
      <c r="AF71" s="1025"/>
      <c r="AG71" s="1025"/>
      <c r="AH71" s="1025"/>
      <c r="AI71" s="1025"/>
      <c r="AJ71" s="1025"/>
      <c r="AK71" s="1025"/>
      <c r="AL71" s="1025"/>
      <c r="AM71" s="1025"/>
      <c r="AN71" s="1025"/>
      <c r="AO71" s="1025"/>
      <c r="AP71" s="1025"/>
      <c r="AQ71" s="1025"/>
      <c r="AR71" s="1025"/>
      <c r="AS71" s="1025"/>
      <c r="AT71" s="1025"/>
      <c r="AU71" s="1025"/>
      <c r="AV71" s="1025"/>
      <c r="AW71" s="1025"/>
      <c r="AX71" s="1025"/>
      <c r="AY71" s="1025"/>
      <c r="AZ71" s="1025"/>
      <c r="BA71" s="1025"/>
      <c r="BB71" s="1025"/>
      <c r="BC71" s="1117"/>
      <c r="BD71" s="1025"/>
      <c r="BE71" s="1025"/>
      <c r="BF71" s="1085"/>
      <c r="BG71" s="1025"/>
      <c r="BH71" s="1025"/>
      <c r="BI71" s="1117"/>
      <c r="BJ71" s="1025"/>
      <c r="BK71" s="1025"/>
      <c r="BL71" s="1092"/>
      <c r="BM71" s="1025"/>
      <c r="BN71" s="1025"/>
      <c r="BO71" s="1016"/>
    </row>
    <row r="72" spans="17:67" ht="15.75">
      <c r="R72" s="1005"/>
      <c r="S72" s="1005"/>
      <c r="T72" s="201"/>
      <c r="U72" s="201"/>
      <c r="V72" s="1169"/>
      <c r="W72" s="1163"/>
      <c r="X72" s="1163"/>
      <c r="Y72" s="1117"/>
      <c r="Z72" s="1117"/>
      <c r="AA72" s="1117"/>
      <c r="AB72" s="1117"/>
      <c r="AC72" s="1025"/>
      <c r="AD72" s="1025"/>
      <c r="AE72" s="1025"/>
      <c r="AF72" s="1025"/>
      <c r="AG72" s="1025"/>
      <c r="AH72" s="1025"/>
      <c r="AI72" s="1025"/>
      <c r="AJ72" s="1025"/>
      <c r="AK72" s="1025"/>
      <c r="AL72" s="1025"/>
      <c r="AM72" s="1025"/>
      <c r="AN72" s="1025"/>
      <c r="AO72" s="1025"/>
      <c r="AP72" s="1025"/>
      <c r="AQ72" s="1025"/>
      <c r="AR72" s="1025"/>
      <c r="AS72" s="1025"/>
      <c r="AT72" s="1025"/>
      <c r="AU72" s="1025"/>
      <c r="AV72" s="1025"/>
      <c r="AW72" s="1025"/>
      <c r="AX72" s="1025"/>
      <c r="AY72" s="1025"/>
      <c r="AZ72" s="1025"/>
      <c r="BA72" s="1025"/>
      <c r="BB72" s="1025"/>
      <c r="BC72" s="1117"/>
      <c r="BD72" s="1025"/>
      <c r="BE72" s="1025"/>
      <c r="BF72" s="1085"/>
      <c r="BG72" s="1025"/>
      <c r="BH72" s="1025"/>
      <c r="BI72" s="1117"/>
      <c r="BJ72" s="1025"/>
      <c r="BK72" s="1025"/>
      <c r="BL72" s="1092"/>
      <c r="BM72" s="1025"/>
      <c r="BN72" s="1025"/>
      <c r="BO72" s="1016"/>
    </row>
    <row r="73" spans="17:67" ht="15.75">
      <c r="T73" s="201"/>
      <c r="U73" s="201"/>
      <c r="V73" s="1169"/>
      <c r="W73" s="143"/>
      <c r="X73" s="1163"/>
      <c r="Y73" s="1117"/>
      <c r="Z73" s="1117"/>
      <c r="AA73" s="1117"/>
      <c r="AB73" s="1117"/>
      <c r="AC73" s="1025"/>
      <c r="AD73" s="1025"/>
      <c r="AE73" s="1025"/>
      <c r="AF73" s="1025"/>
      <c r="AG73" s="1025"/>
      <c r="AH73" s="1025"/>
      <c r="AI73" s="1025"/>
      <c r="AJ73" s="1025"/>
      <c r="AK73" s="1025"/>
      <c r="AL73" s="1025"/>
      <c r="AM73" s="1025"/>
      <c r="AN73" s="1025"/>
      <c r="AO73" s="1025"/>
      <c r="AP73" s="1025"/>
      <c r="AQ73" s="1025"/>
      <c r="AR73" s="1025"/>
      <c r="AS73" s="1025"/>
      <c r="AT73" s="1025"/>
      <c r="AU73" s="1025"/>
      <c r="AV73" s="1025"/>
      <c r="AW73" s="1025"/>
      <c r="AX73" s="1025"/>
      <c r="AY73" s="1025"/>
      <c r="AZ73" s="1025"/>
      <c r="BA73" s="1025"/>
      <c r="BB73" s="1025"/>
      <c r="BC73" s="1117"/>
      <c r="BD73" s="1025"/>
      <c r="BE73" s="1025"/>
      <c r="BF73" s="1085"/>
      <c r="BG73" s="1025"/>
      <c r="BH73" s="1025"/>
      <c r="BI73" s="1117"/>
      <c r="BJ73" s="1025"/>
      <c r="BK73" s="1025"/>
      <c r="BL73" s="1092"/>
      <c r="BM73" s="1025"/>
      <c r="BN73" s="1025"/>
      <c r="BO73" s="1016"/>
    </row>
    <row r="74" spans="17:67" ht="15.75">
      <c r="T74" s="201"/>
      <c r="U74" s="201"/>
      <c r="V74" s="1169"/>
      <c r="W74" s="1163"/>
      <c r="X74" s="1163"/>
      <c r="Y74" s="1117"/>
      <c r="Z74" s="1117"/>
      <c r="AA74" s="1117"/>
      <c r="AB74" s="1117"/>
      <c r="AC74" s="1025"/>
      <c r="AD74" s="1025"/>
      <c r="AE74" s="1025"/>
      <c r="AF74" s="1025"/>
      <c r="AG74" s="1025"/>
      <c r="AH74" s="1025"/>
      <c r="AI74" s="1025"/>
      <c r="AJ74" s="1025"/>
      <c r="AK74" s="1025"/>
      <c r="AL74" s="1025"/>
      <c r="AM74" s="1025"/>
      <c r="AN74" s="1025"/>
      <c r="AO74" s="1025"/>
      <c r="AP74" s="1025"/>
      <c r="AQ74" s="1025"/>
      <c r="AR74" s="1025"/>
      <c r="AS74" s="1025"/>
      <c r="AT74" s="1025"/>
      <c r="AU74" s="1025"/>
      <c r="AV74" s="1025"/>
      <c r="AW74" s="1025"/>
      <c r="AX74" s="1025"/>
      <c r="AY74" s="1025"/>
      <c r="AZ74" s="1025"/>
      <c r="BA74" s="1025"/>
      <c r="BB74" s="1025"/>
      <c r="BC74" s="1117"/>
      <c r="BD74" s="1025"/>
      <c r="BE74" s="1025"/>
      <c r="BF74" s="1085"/>
      <c r="BG74" s="1025"/>
      <c r="BH74" s="1025"/>
      <c r="BI74" s="1117"/>
      <c r="BJ74" s="1025"/>
      <c r="BK74" s="1025"/>
      <c r="BL74" s="1092"/>
      <c r="BM74" s="1025"/>
      <c r="BN74" s="1025"/>
      <c r="BO74" s="1016"/>
    </row>
    <row r="75" spans="17:67" ht="15.75">
      <c r="T75" s="201"/>
      <c r="U75" s="201"/>
      <c r="V75" s="1169"/>
      <c r="W75" s="1163"/>
      <c r="X75" s="1163"/>
      <c r="Y75" s="1117"/>
      <c r="Z75" s="1117"/>
      <c r="AA75" s="1117"/>
      <c r="AB75" s="1117"/>
      <c r="AC75" s="1025"/>
      <c r="AD75" s="1025"/>
      <c r="AE75" s="1025"/>
      <c r="AF75" s="1025"/>
      <c r="AG75" s="1025"/>
      <c r="AH75" s="1025"/>
      <c r="AI75" s="1025"/>
      <c r="AJ75" s="1025"/>
      <c r="AK75" s="1025"/>
      <c r="AL75" s="1025"/>
      <c r="AM75" s="1025"/>
      <c r="AN75" s="1025"/>
      <c r="AO75" s="1025"/>
      <c r="AP75" s="1025"/>
      <c r="AQ75" s="1025"/>
      <c r="AR75" s="1025"/>
      <c r="AS75" s="1025"/>
      <c r="AT75" s="1025"/>
      <c r="AU75" s="1025"/>
      <c r="AV75" s="1025"/>
      <c r="AW75" s="1025"/>
      <c r="AX75" s="1025"/>
      <c r="AY75" s="1025"/>
      <c r="AZ75" s="1025"/>
      <c r="BA75" s="1025"/>
      <c r="BB75" s="1025"/>
      <c r="BC75" s="1117"/>
      <c r="BD75" s="1025"/>
      <c r="BE75" s="1025"/>
      <c r="BF75" s="1085"/>
      <c r="BG75" s="1025"/>
      <c r="BH75" s="1025"/>
      <c r="BI75" s="1117"/>
      <c r="BJ75" s="1025"/>
      <c r="BK75" s="1025"/>
      <c r="BL75" s="1092"/>
      <c r="BM75" s="1025"/>
      <c r="BN75" s="1025"/>
      <c r="BO75" s="1016"/>
    </row>
    <row r="76" spans="17:67" ht="15.75">
      <c r="T76" s="201"/>
      <c r="U76" s="201"/>
      <c r="V76" s="1169"/>
      <c r="W76" s="143"/>
      <c r="X76" s="1163"/>
      <c r="Y76" s="1117"/>
      <c r="Z76" s="1117"/>
      <c r="AA76" s="1117"/>
      <c r="AB76" s="1117"/>
      <c r="AC76" s="1025"/>
      <c r="AD76" s="1025"/>
      <c r="AE76" s="1025"/>
      <c r="AF76" s="1025"/>
      <c r="AG76" s="1025"/>
      <c r="AH76" s="1025"/>
      <c r="AI76" s="1025"/>
      <c r="AJ76" s="1025"/>
      <c r="AK76" s="1025"/>
      <c r="AL76" s="1025"/>
      <c r="AM76" s="1025"/>
      <c r="AN76" s="1025"/>
      <c r="AO76" s="1025"/>
      <c r="AP76" s="1025"/>
      <c r="AQ76" s="1025"/>
      <c r="AR76" s="1025"/>
      <c r="AS76" s="1025"/>
      <c r="AT76" s="1025"/>
      <c r="AU76" s="1025"/>
      <c r="AV76" s="1025"/>
      <c r="AW76" s="1025"/>
      <c r="AX76" s="1025"/>
      <c r="AY76" s="1025"/>
      <c r="AZ76" s="1025"/>
      <c r="BA76" s="1025"/>
      <c r="BB76" s="1025"/>
      <c r="BC76" s="1117"/>
      <c r="BD76" s="1025"/>
      <c r="BE76" s="1025"/>
      <c r="BF76" s="1085"/>
      <c r="BG76" s="1025"/>
      <c r="BH76" s="1025"/>
      <c r="BI76" s="1117"/>
      <c r="BJ76" s="1025"/>
      <c r="BK76" s="1025"/>
      <c r="BL76" s="1092"/>
      <c r="BM76" s="1025"/>
      <c r="BN76" s="1025"/>
      <c r="BO76" s="1016"/>
    </row>
    <row r="77" spans="17:67" ht="15.75">
      <c r="T77" s="201"/>
      <c r="U77" s="201"/>
      <c r="V77" s="1169"/>
      <c r="W77" s="1163"/>
      <c r="X77" s="1163"/>
      <c r="Y77" s="1117"/>
      <c r="Z77" s="1117"/>
      <c r="AA77" s="1117"/>
      <c r="AB77" s="1117"/>
      <c r="AC77" s="1025"/>
      <c r="AD77" s="1025"/>
      <c r="AE77" s="1025"/>
      <c r="AF77" s="1025"/>
      <c r="AG77" s="1025"/>
      <c r="AH77" s="1025"/>
      <c r="AI77" s="1025"/>
      <c r="AJ77" s="1025"/>
      <c r="AK77" s="1025"/>
      <c r="AL77" s="1025"/>
      <c r="AM77" s="1025"/>
      <c r="AN77" s="1025"/>
      <c r="AO77" s="1025"/>
      <c r="AP77" s="1025"/>
      <c r="AQ77" s="1025"/>
      <c r="AR77" s="1025"/>
      <c r="AS77" s="1025"/>
      <c r="AT77" s="1025"/>
      <c r="AU77" s="1025"/>
      <c r="AV77" s="1025"/>
      <c r="AW77" s="1025"/>
      <c r="AX77" s="1025"/>
      <c r="AY77" s="1025"/>
      <c r="AZ77" s="1025"/>
      <c r="BA77" s="1025"/>
      <c r="BB77" s="1025"/>
      <c r="BC77" s="1117"/>
      <c r="BD77" s="1025"/>
      <c r="BE77" s="1025"/>
      <c r="BF77" s="1085"/>
      <c r="BG77" s="1025"/>
      <c r="BH77" s="1025"/>
      <c r="BI77" s="1117"/>
      <c r="BJ77" s="1025"/>
      <c r="BK77" s="1025"/>
      <c r="BL77" s="1092"/>
      <c r="BM77" s="1025"/>
      <c r="BN77" s="1025"/>
      <c r="BO77" s="1016"/>
    </row>
    <row r="78" spans="17:67" ht="15.75">
      <c r="T78" s="201"/>
      <c r="U78" s="201"/>
      <c r="V78" s="1169"/>
      <c r="W78" s="1163"/>
      <c r="X78" s="1163"/>
      <c r="Y78" s="1117"/>
      <c r="Z78" s="1117"/>
      <c r="AA78" s="1117"/>
      <c r="AB78" s="1117"/>
      <c r="AC78" s="1025"/>
      <c r="AD78" s="1025"/>
      <c r="AE78" s="1025"/>
      <c r="AF78" s="1025"/>
      <c r="AG78" s="1025"/>
      <c r="AH78" s="1025"/>
      <c r="AI78" s="1025"/>
      <c r="AJ78" s="1025"/>
      <c r="AK78" s="1025"/>
      <c r="AL78" s="1025"/>
      <c r="AM78" s="1025"/>
      <c r="AN78" s="1025"/>
      <c r="AO78" s="1025"/>
      <c r="AP78" s="1025"/>
      <c r="AQ78" s="1025"/>
      <c r="AR78" s="1025"/>
      <c r="AS78" s="1025"/>
      <c r="AT78" s="1025"/>
      <c r="AU78" s="1025"/>
      <c r="AV78" s="1025"/>
      <c r="AW78" s="1025"/>
      <c r="AX78" s="1025"/>
      <c r="AY78" s="1025"/>
      <c r="AZ78" s="1025"/>
      <c r="BA78" s="1025"/>
      <c r="BB78" s="1025"/>
      <c r="BC78" s="1117"/>
      <c r="BD78" s="1025"/>
      <c r="BE78" s="1025"/>
      <c r="BF78" s="1085"/>
      <c r="BG78" s="1025"/>
      <c r="BH78" s="1025"/>
      <c r="BI78" s="1117"/>
      <c r="BJ78" s="1025"/>
      <c r="BK78" s="1025"/>
      <c r="BL78" s="1092"/>
      <c r="BM78" s="1025"/>
      <c r="BN78" s="1025"/>
      <c r="BO78" s="1016"/>
    </row>
    <row r="79" spans="17:67" ht="15.75">
      <c r="T79" s="201"/>
      <c r="U79" s="201"/>
      <c r="V79" s="1169"/>
      <c r="W79" s="1163"/>
      <c r="X79" s="1163"/>
      <c r="Y79" s="1117"/>
      <c r="Z79" s="1117"/>
      <c r="AA79" s="1117"/>
      <c r="AB79" s="1117"/>
      <c r="AC79" s="1025"/>
      <c r="AD79" s="1025"/>
      <c r="AE79" s="1025"/>
      <c r="AF79" s="1025"/>
      <c r="AG79" s="1025"/>
      <c r="AH79" s="1025"/>
      <c r="AI79" s="1025"/>
      <c r="AJ79" s="1025"/>
      <c r="AK79" s="1025"/>
      <c r="AL79" s="1025"/>
      <c r="AM79" s="1025"/>
      <c r="AN79" s="1025"/>
      <c r="AO79" s="1025"/>
      <c r="AP79" s="1025"/>
      <c r="AQ79" s="1025"/>
      <c r="AR79" s="1025"/>
      <c r="AS79" s="1025"/>
      <c r="AT79" s="1025"/>
      <c r="AU79" s="1025"/>
      <c r="AV79" s="1025"/>
      <c r="AW79" s="1025"/>
      <c r="AX79" s="1025"/>
      <c r="AY79" s="1025"/>
      <c r="AZ79" s="1025"/>
      <c r="BA79" s="1025"/>
      <c r="BB79" s="1025"/>
      <c r="BC79" s="1117"/>
      <c r="BD79" s="1025"/>
      <c r="BE79" s="1025"/>
      <c r="BF79" s="1085"/>
      <c r="BG79" s="1025"/>
      <c r="BH79" s="1025"/>
      <c r="BI79" s="1117"/>
      <c r="BJ79" s="1025"/>
      <c r="BK79" s="1025"/>
      <c r="BL79" s="1092"/>
      <c r="BM79" s="1025"/>
      <c r="BN79" s="1025"/>
      <c r="BO79" s="1016"/>
    </row>
    <row r="80" spans="17:67" ht="15.75">
      <c r="T80" s="201"/>
      <c r="U80" s="201"/>
      <c r="V80" s="1169"/>
      <c r="W80" s="1163"/>
      <c r="X80" s="1163"/>
      <c r="Y80" s="1117"/>
      <c r="Z80" s="1117"/>
      <c r="AA80" s="1117"/>
      <c r="AB80" s="1117"/>
      <c r="AC80" s="1025"/>
      <c r="AD80" s="1025"/>
      <c r="AE80" s="1025"/>
      <c r="AF80" s="1025"/>
      <c r="AG80" s="1025"/>
      <c r="AH80" s="1025"/>
      <c r="AI80" s="1025"/>
      <c r="AJ80" s="1025"/>
      <c r="AK80" s="1025"/>
      <c r="AL80" s="1025"/>
      <c r="AM80" s="1025"/>
      <c r="AN80" s="1025"/>
      <c r="AO80" s="1025"/>
      <c r="AP80" s="1025"/>
      <c r="AQ80" s="1025"/>
      <c r="AR80" s="1025"/>
      <c r="AS80" s="1025"/>
      <c r="AT80" s="1025"/>
      <c r="AU80" s="1025"/>
      <c r="AV80" s="1025"/>
      <c r="AW80" s="1025"/>
      <c r="AX80" s="1025"/>
      <c r="AY80" s="1025"/>
      <c r="AZ80" s="1025"/>
      <c r="BA80" s="1025"/>
      <c r="BB80" s="1025"/>
      <c r="BC80" s="1117"/>
      <c r="BD80" s="1025"/>
      <c r="BE80" s="1025"/>
      <c r="BF80" s="1085"/>
      <c r="BG80" s="1025"/>
      <c r="BH80" s="1025"/>
      <c r="BI80" s="1117"/>
      <c r="BJ80" s="1025"/>
      <c r="BK80" s="1025"/>
      <c r="BL80" s="1092"/>
      <c r="BM80" s="1025"/>
      <c r="BN80" s="1025"/>
      <c r="BO80" s="1016"/>
    </row>
    <row r="81" spans="20:67" ht="15.75">
      <c r="T81" s="201"/>
      <c r="U81" s="201"/>
      <c r="V81" s="1169"/>
      <c r="W81" s="1163"/>
      <c r="X81" s="1163"/>
      <c r="Y81" s="1117"/>
      <c r="Z81" s="1117"/>
      <c r="AA81" s="1117"/>
      <c r="AB81" s="1117"/>
      <c r="AC81" s="1025"/>
      <c r="AD81" s="1025"/>
      <c r="AE81" s="1025"/>
      <c r="AF81" s="1025"/>
      <c r="AG81" s="1025"/>
      <c r="AH81" s="1025"/>
      <c r="AI81" s="1025"/>
      <c r="AJ81" s="1025"/>
      <c r="AK81" s="1025"/>
      <c r="AL81" s="1025"/>
      <c r="AM81" s="1025"/>
      <c r="AN81" s="1025"/>
      <c r="AO81" s="1025"/>
      <c r="AP81" s="1025"/>
      <c r="AQ81" s="1025"/>
      <c r="AR81" s="1025"/>
      <c r="AS81" s="1025"/>
      <c r="AT81" s="1025"/>
      <c r="AU81" s="1025"/>
      <c r="AV81" s="1025"/>
      <c r="AW81" s="1025"/>
      <c r="AX81" s="1025"/>
      <c r="AY81" s="1025"/>
      <c r="AZ81" s="1025"/>
      <c r="BA81" s="1025"/>
      <c r="BB81" s="1025"/>
      <c r="BC81" s="1117"/>
      <c r="BD81" s="1025"/>
      <c r="BE81" s="1025"/>
      <c r="BF81" s="1085"/>
      <c r="BG81" s="1025"/>
      <c r="BH81" s="1025"/>
      <c r="BI81" s="1117"/>
      <c r="BJ81" s="1025"/>
      <c r="BK81" s="1025"/>
      <c r="BL81" s="1092"/>
      <c r="BM81" s="1025"/>
      <c r="BN81" s="1025"/>
      <c r="BO81" s="1016"/>
    </row>
    <row r="82" spans="20:67" ht="15.75">
      <c r="T82" s="201"/>
      <c r="U82" s="201"/>
      <c r="V82" s="1169"/>
      <c r="W82" s="1163"/>
      <c r="X82" s="1163"/>
      <c r="Y82" s="1117"/>
      <c r="Z82" s="1117"/>
      <c r="AA82" s="1117"/>
      <c r="AB82" s="1117"/>
      <c r="AC82" s="1025"/>
      <c r="AD82" s="1025"/>
      <c r="AE82" s="1025"/>
      <c r="AF82" s="1025"/>
      <c r="AG82" s="1025"/>
      <c r="AH82" s="1025"/>
      <c r="AI82" s="1025"/>
      <c r="AJ82" s="1025"/>
      <c r="AK82" s="1025"/>
      <c r="AL82" s="1025"/>
      <c r="AM82" s="1025"/>
      <c r="AN82" s="1025"/>
      <c r="AO82" s="1025"/>
      <c r="AP82" s="1025"/>
      <c r="AQ82" s="1025"/>
      <c r="AR82" s="1025"/>
      <c r="AS82" s="1025"/>
      <c r="AT82" s="1025"/>
      <c r="AU82" s="1025"/>
      <c r="AV82" s="1025"/>
      <c r="AW82" s="1025"/>
      <c r="AX82" s="1025"/>
      <c r="AY82" s="1025"/>
      <c r="AZ82" s="1025"/>
      <c r="BA82" s="1025"/>
      <c r="BB82" s="1025"/>
      <c r="BC82" s="1117"/>
      <c r="BD82" s="1025"/>
      <c r="BE82" s="1025"/>
      <c r="BF82" s="1085"/>
      <c r="BG82" s="1025"/>
      <c r="BH82" s="1025"/>
      <c r="BI82" s="1117"/>
      <c r="BJ82" s="1025"/>
      <c r="BK82" s="1025"/>
      <c r="BL82" s="1092"/>
      <c r="BM82" s="1025"/>
      <c r="BN82" s="1025"/>
      <c r="BO82" s="1016"/>
    </row>
    <row r="83" spans="20:67" ht="15.75">
      <c r="T83" s="201"/>
      <c r="U83" s="201"/>
      <c r="V83" s="1169"/>
      <c r="W83" s="1163"/>
      <c r="X83" s="1163"/>
      <c r="Y83" s="1117"/>
      <c r="Z83" s="1117"/>
      <c r="AA83" s="1117"/>
      <c r="AB83" s="1117"/>
      <c r="AC83" s="1025"/>
      <c r="AD83" s="1025"/>
      <c r="AE83" s="1025"/>
      <c r="AF83" s="1025"/>
      <c r="AG83" s="1025"/>
      <c r="AH83" s="1025"/>
      <c r="AI83" s="1025"/>
      <c r="AJ83" s="1025"/>
      <c r="AK83" s="1025"/>
      <c r="AL83" s="1025"/>
      <c r="AM83" s="1025"/>
      <c r="AN83" s="1025"/>
      <c r="AO83" s="1025"/>
      <c r="AP83" s="1025"/>
      <c r="AQ83" s="1025"/>
      <c r="AR83" s="1025"/>
      <c r="AS83" s="1025"/>
      <c r="AT83" s="1025"/>
      <c r="AU83" s="1025"/>
      <c r="AV83" s="1025"/>
      <c r="AW83" s="1025"/>
      <c r="AX83" s="1025"/>
      <c r="AY83" s="1025"/>
      <c r="AZ83" s="1025"/>
      <c r="BA83" s="1025"/>
      <c r="BB83" s="1025"/>
      <c r="BC83" s="1117"/>
      <c r="BD83" s="1025"/>
      <c r="BE83" s="1025"/>
      <c r="BF83" s="1085"/>
      <c r="BG83" s="1025"/>
      <c r="BH83" s="1025"/>
      <c r="BI83" s="1117"/>
      <c r="BJ83" s="1025"/>
      <c r="BK83" s="1025"/>
      <c r="BL83" s="1092"/>
      <c r="BM83" s="1025"/>
      <c r="BN83" s="1025"/>
      <c r="BO83" s="1016"/>
    </row>
    <row r="84" spans="20:67" ht="15.75">
      <c r="T84" s="201"/>
      <c r="U84" s="201"/>
      <c r="V84" s="1169"/>
      <c r="W84" s="143"/>
      <c r="X84" s="143"/>
      <c r="Y84" s="1117"/>
      <c r="Z84" s="1117"/>
      <c r="AA84" s="1117"/>
      <c r="AB84" s="1117"/>
      <c r="AC84" s="1025"/>
      <c r="AD84" s="1025"/>
      <c r="AE84" s="1025"/>
      <c r="AF84" s="1025"/>
      <c r="AG84" s="1025"/>
      <c r="AH84" s="1025"/>
      <c r="AI84" s="1025"/>
      <c r="AJ84" s="1025"/>
      <c r="AK84" s="1025"/>
      <c r="AL84" s="1025"/>
      <c r="AM84" s="1025"/>
      <c r="AN84" s="1025"/>
      <c r="AO84" s="1025"/>
      <c r="AP84" s="1025"/>
      <c r="AQ84" s="1025"/>
      <c r="AR84" s="1025"/>
      <c r="AS84" s="1025"/>
      <c r="AT84" s="1025"/>
      <c r="AU84" s="1025"/>
      <c r="AV84" s="1025"/>
      <c r="AW84" s="1025"/>
      <c r="AX84" s="1025"/>
      <c r="AY84" s="1025"/>
      <c r="AZ84" s="1025"/>
      <c r="BA84" s="1025"/>
      <c r="BB84" s="1025"/>
      <c r="BC84" s="1117"/>
      <c r="BD84" s="1025"/>
      <c r="BE84" s="1025"/>
      <c r="BF84" s="1085"/>
      <c r="BG84" s="1025"/>
      <c r="BH84" s="1025"/>
      <c r="BI84" s="1117"/>
      <c r="BJ84" s="1025"/>
      <c r="BK84" s="1025"/>
      <c r="BL84" s="1092"/>
      <c r="BM84" s="1025"/>
      <c r="BN84" s="1025"/>
      <c r="BO84" s="1016"/>
    </row>
    <row r="85" spans="20:67" ht="15.75">
      <c r="T85" s="201"/>
      <c r="U85" s="201"/>
      <c r="V85" s="1169"/>
      <c r="W85" s="1163"/>
      <c r="X85" s="1163"/>
      <c r="Y85" s="1117"/>
      <c r="Z85" s="1117"/>
      <c r="AA85" s="1117"/>
      <c r="AB85" s="1117"/>
      <c r="AC85" s="1025"/>
      <c r="AD85" s="1025"/>
      <c r="AE85" s="1025"/>
      <c r="AF85" s="1025"/>
      <c r="AG85" s="1025"/>
      <c r="AH85" s="1025"/>
      <c r="AI85" s="1025"/>
      <c r="AJ85" s="1025"/>
      <c r="AK85" s="1025"/>
      <c r="AL85" s="1025"/>
      <c r="AM85" s="1025"/>
      <c r="AN85" s="1025"/>
      <c r="AO85" s="1025"/>
      <c r="AP85" s="1025"/>
      <c r="AQ85" s="1025"/>
      <c r="AR85" s="1025"/>
      <c r="AS85" s="1025"/>
      <c r="AT85" s="1025"/>
      <c r="AU85" s="1025"/>
      <c r="AV85" s="1025"/>
      <c r="AW85" s="1025"/>
      <c r="AX85" s="1025"/>
      <c r="AY85" s="1025"/>
      <c r="AZ85" s="1025"/>
      <c r="BA85" s="1025"/>
      <c r="BB85" s="1025"/>
      <c r="BC85" s="1117"/>
      <c r="BD85" s="1025"/>
      <c r="BE85" s="1025"/>
      <c r="BF85" s="1085"/>
      <c r="BG85" s="1025"/>
      <c r="BH85" s="1025"/>
      <c r="BI85" s="1117"/>
      <c r="BJ85" s="1025"/>
      <c r="BK85" s="1025"/>
      <c r="BL85" s="1092"/>
      <c r="BM85" s="1025"/>
      <c r="BN85" s="1025"/>
      <c r="BO85" s="1016"/>
    </row>
    <row r="86" spans="20:67" ht="15.75">
      <c r="T86" s="201"/>
      <c r="U86" s="201"/>
      <c r="V86" s="1169"/>
      <c r="W86" s="1169"/>
      <c r="X86" s="1163"/>
      <c r="Y86" s="1117"/>
      <c r="Z86" s="1117"/>
      <c r="AA86" s="1117"/>
      <c r="AB86" s="1117"/>
      <c r="AC86" s="1025"/>
      <c r="AD86" s="1025"/>
      <c r="AE86" s="1025"/>
      <c r="AF86" s="1025"/>
      <c r="AG86" s="1025"/>
      <c r="AH86" s="1025"/>
      <c r="AI86" s="1025"/>
      <c r="AJ86" s="1025"/>
      <c r="AK86" s="1025"/>
      <c r="AL86" s="1025"/>
      <c r="AM86" s="1025"/>
      <c r="AN86" s="1025"/>
      <c r="AO86" s="1025"/>
      <c r="AP86" s="1025"/>
      <c r="AQ86" s="1025"/>
      <c r="AR86" s="1025"/>
      <c r="AS86" s="1025"/>
      <c r="AT86" s="1025"/>
      <c r="AU86" s="1025"/>
      <c r="AV86" s="1025"/>
      <c r="AW86" s="1025"/>
      <c r="AX86" s="1025"/>
      <c r="AY86" s="1025"/>
      <c r="AZ86" s="1025"/>
      <c r="BA86" s="1025"/>
      <c r="BB86" s="1025"/>
      <c r="BC86" s="1117"/>
      <c r="BD86" s="1025"/>
      <c r="BE86" s="1025"/>
      <c r="BF86" s="1085"/>
      <c r="BG86" s="1025"/>
      <c r="BH86" s="1025"/>
      <c r="BI86" s="1117"/>
      <c r="BJ86" s="1025"/>
      <c r="BK86" s="1025"/>
      <c r="BL86" s="1092"/>
      <c r="BM86" s="1025"/>
      <c r="BN86" s="1025"/>
      <c r="BO86" s="1016"/>
    </row>
    <row r="87" spans="20:67" ht="15.75">
      <c r="T87" s="201"/>
      <c r="U87" s="201"/>
      <c r="V87" s="1169"/>
      <c r="W87" s="1169"/>
      <c r="X87" s="1163"/>
      <c r="Y87" s="1117"/>
      <c r="Z87" s="1117"/>
      <c r="AA87" s="1117"/>
      <c r="AB87" s="1117"/>
      <c r="AC87" s="1025"/>
      <c r="AD87" s="1025"/>
      <c r="AE87" s="1025"/>
      <c r="AF87" s="1025"/>
      <c r="AG87" s="1025"/>
      <c r="AH87" s="1025"/>
      <c r="AI87" s="1025"/>
      <c r="AJ87" s="1025"/>
      <c r="AK87" s="1025"/>
      <c r="AL87" s="1025"/>
      <c r="AM87" s="1025"/>
      <c r="AN87" s="1025"/>
      <c r="AO87" s="1025"/>
      <c r="AP87" s="1025"/>
      <c r="AQ87" s="1025"/>
      <c r="AR87" s="1025"/>
      <c r="AS87" s="1025"/>
      <c r="AT87" s="1025"/>
      <c r="AU87" s="1025"/>
      <c r="AV87" s="1025"/>
      <c r="AW87" s="1025"/>
      <c r="AX87" s="1025"/>
      <c r="AY87" s="1025"/>
      <c r="AZ87" s="1025"/>
      <c r="BA87" s="1025"/>
      <c r="BB87" s="1025"/>
      <c r="BC87" s="1117"/>
      <c r="BD87" s="1025"/>
      <c r="BE87" s="1025"/>
      <c r="BF87" s="1085"/>
      <c r="BG87" s="1025"/>
      <c r="BH87" s="1025"/>
      <c r="BI87" s="1117"/>
      <c r="BJ87" s="1025"/>
      <c r="BK87" s="1025"/>
      <c r="BL87" s="1092"/>
      <c r="BM87" s="1025"/>
      <c r="BN87" s="1025"/>
      <c r="BO87" s="1016"/>
    </row>
    <row r="88" spans="20:67" ht="15.75">
      <c r="T88" s="201"/>
      <c r="U88" s="201"/>
      <c r="V88" s="1169"/>
      <c r="W88" s="1169"/>
      <c r="X88" s="1169"/>
      <c r="Y88" s="1117"/>
      <c r="Z88" s="1117"/>
      <c r="AA88" s="1117"/>
      <c r="AB88" s="1117"/>
      <c r="AC88" s="1025"/>
      <c r="AD88" s="1025"/>
      <c r="AE88" s="1025"/>
      <c r="AF88" s="1025"/>
      <c r="AG88" s="1025"/>
      <c r="AH88" s="1025"/>
      <c r="AI88" s="1025"/>
      <c r="AJ88" s="1025"/>
      <c r="AK88" s="1025"/>
      <c r="AL88" s="1025"/>
      <c r="AM88" s="1025"/>
      <c r="AN88" s="1025"/>
      <c r="AO88" s="1025"/>
      <c r="AP88" s="1025"/>
      <c r="AQ88" s="1025"/>
      <c r="AR88" s="1025"/>
      <c r="AS88" s="1025"/>
      <c r="AT88" s="1025"/>
      <c r="AU88" s="1025"/>
      <c r="AV88" s="1025"/>
      <c r="AW88" s="1025"/>
      <c r="AX88" s="1025"/>
      <c r="AY88" s="1025"/>
      <c r="AZ88" s="1025"/>
      <c r="BA88" s="1025"/>
      <c r="BB88" s="1025"/>
      <c r="BC88" s="1117"/>
      <c r="BD88" s="1025"/>
      <c r="BE88" s="1025"/>
      <c r="BF88" s="1085"/>
      <c r="BG88" s="1025"/>
      <c r="BH88" s="1025"/>
      <c r="BI88" s="1117"/>
      <c r="BJ88" s="1025"/>
      <c r="BK88" s="1025"/>
      <c r="BL88" s="1092"/>
      <c r="BM88" s="1025"/>
      <c r="BN88" s="1025"/>
      <c r="BO88" s="1016"/>
    </row>
    <row r="89" spans="20:67" ht="15.75">
      <c r="T89" s="201"/>
      <c r="U89" s="201"/>
      <c r="V89" s="1169"/>
      <c r="W89" s="1169"/>
      <c r="X89" s="1169"/>
      <c r="Y89" s="1117"/>
      <c r="Z89" s="1117"/>
      <c r="AA89" s="1117"/>
      <c r="AB89" s="1117"/>
      <c r="AC89" s="1025"/>
      <c r="AD89" s="1025"/>
      <c r="AE89" s="1025"/>
      <c r="AF89" s="1025"/>
      <c r="AG89" s="1025"/>
      <c r="AH89" s="1025"/>
      <c r="AI89" s="1025"/>
      <c r="AJ89" s="1025"/>
      <c r="AK89" s="1025"/>
      <c r="AL89" s="1025"/>
      <c r="AM89" s="1025"/>
      <c r="AN89" s="1025"/>
      <c r="AO89" s="1025"/>
      <c r="AP89" s="1025"/>
      <c r="AQ89" s="1025"/>
      <c r="AR89" s="1025"/>
      <c r="AS89" s="1025"/>
      <c r="AT89" s="1025"/>
      <c r="AU89" s="1025"/>
      <c r="AV89" s="1025"/>
      <c r="AW89" s="1025"/>
      <c r="AX89" s="1025"/>
      <c r="AY89" s="1025"/>
      <c r="AZ89" s="1025"/>
      <c r="BA89" s="1025"/>
      <c r="BB89" s="1025"/>
      <c r="BC89" s="1117"/>
      <c r="BD89" s="1025"/>
      <c r="BE89" s="1025"/>
      <c r="BF89" s="1085"/>
      <c r="BG89" s="1025"/>
      <c r="BH89" s="1025"/>
      <c r="BI89" s="1117"/>
      <c r="BJ89" s="1025"/>
      <c r="BK89" s="1025"/>
      <c r="BL89" s="1092"/>
      <c r="BM89" s="1025"/>
      <c r="BN89" s="1025"/>
      <c r="BO89" s="1016"/>
    </row>
    <row r="90" spans="20:67" ht="15.75">
      <c r="T90" s="201"/>
      <c r="U90" s="201"/>
      <c r="V90" s="1169"/>
      <c r="W90" s="1169"/>
      <c r="X90" s="1169"/>
      <c r="Y90" s="1117"/>
      <c r="Z90" s="1117"/>
      <c r="AA90" s="1117"/>
      <c r="AB90" s="1117"/>
      <c r="AC90" s="1025"/>
      <c r="AD90" s="1025"/>
      <c r="AE90" s="1025"/>
      <c r="AF90" s="1025"/>
      <c r="AG90" s="1025"/>
      <c r="AH90" s="1025"/>
      <c r="AI90" s="1025"/>
      <c r="AJ90" s="1025"/>
      <c r="AK90" s="1025"/>
      <c r="AL90" s="1025"/>
      <c r="AM90" s="1025"/>
      <c r="AN90" s="1025"/>
      <c r="AO90" s="1025"/>
      <c r="AP90" s="1025"/>
      <c r="AQ90" s="1025"/>
      <c r="AR90" s="1025"/>
      <c r="AS90" s="1025"/>
      <c r="AT90" s="1025"/>
      <c r="AU90" s="1025"/>
      <c r="AV90" s="1025"/>
      <c r="AW90" s="1025"/>
      <c r="AX90" s="1025"/>
      <c r="AY90" s="1025"/>
      <c r="AZ90" s="1025"/>
      <c r="BA90" s="1025"/>
      <c r="BB90" s="1025"/>
      <c r="BC90" s="1117"/>
      <c r="BD90" s="1025"/>
      <c r="BE90" s="1025"/>
      <c r="BF90" s="1085"/>
      <c r="BG90" s="1025"/>
      <c r="BH90" s="1025"/>
      <c r="BI90" s="1117"/>
      <c r="BJ90" s="1025"/>
      <c r="BK90" s="1025"/>
      <c r="BL90" s="1092"/>
      <c r="BM90" s="1025"/>
      <c r="BN90" s="1025"/>
      <c r="BO90" s="1016"/>
    </row>
    <row r="91" spans="20:67" ht="15.75">
      <c r="T91" s="201"/>
      <c r="U91" s="201"/>
      <c r="V91" s="1169"/>
      <c r="W91" s="1169"/>
      <c r="X91" s="1169"/>
      <c r="Y91" s="1117"/>
      <c r="Z91" s="1117"/>
      <c r="AA91" s="1117"/>
      <c r="AB91" s="1117"/>
      <c r="AC91" s="1025"/>
      <c r="AD91" s="1025"/>
      <c r="AE91" s="1025"/>
      <c r="AF91" s="1025"/>
      <c r="AG91" s="1025"/>
      <c r="AH91" s="1025"/>
      <c r="AI91" s="1025"/>
      <c r="AJ91" s="1025"/>
      <c r="AK91" s="1025"/>
      <c r="AL91" s="1025"/>
      <c r="AM91" s="1025"/>
      <c r="AN91" s="1025"/>
      <c r="AO91" s="1025"/>
      <c r="AP91" s="1025"/>
      <c r="AQ91" s="1025"/>
      <c r="AR91" s="1025"/>
      <c r="AS91" s="1025"/>
      <c r="AT91" s="1025"/>
      <c r="AU91" s="1025"/>
      <c r="AV91" s="1025"/>
      <c r="AW91" s="1025"/>
      <c r="AX91" s="1025"/>
      <c r="AY91" s="1025"/>
      <c r="AZ91" s="1025"/>
      <c r="BA91" s="1025"/>
      <c r="BB91" s="1025"/>
      <c r="BC91" s="1117"/>
      <c r="BD91" s="1025"/>
      <c r="BE91" s="1025"/>
      <c r="BF91" s="1085"/>
      <c r="BG91" s="1025"/>
      <c r="BH91" s="1025"/>
      <c r="BI91" s="1117"/>
      <c r="BJ91" s="1025"/>
      <c r="BK91" s="1025"/>
      <c r="BL91" s="1092"/>
      <c r="BM91" s="1025"/>
      <c r="BN91" s="1025"/>
      <c r="BO91" s="1016"/>
    </row>
    <row r="92" spans="20:67" ht="15.75">
      <c r="T92" s="862"/>
      <c r="U92" s="862"/>
      <c r="V92" s="1169"/>
      <c r="W92" s="1169"/>
      <c r="X92" s="1169"/>
      <c r="Y92" s="1117"/>
      <c r="Z92" s="1117"/>
      <c r="AA92" s="1117"/>
      <c r="AB92" s="1117"/>
      <c r="AC92" s="1025"/>
      <c r="AD92" s="1025"/>
      <c r="AE92" s="1025"/>
      <c r="AF92" s="1025"/>
      <c r="AG92" s="1025"/>
      <c r="AH92" s="1025"/>
      <c r="AI92" s="1025"/>
      <c r="AJ92" s="1025"/>
      <c r="AK92" s="1025"/>
      <c r="AL92" s="1025"/>
      <c r="AM92" s="1025"/>
      <c r="AN92" s="1025"/>
      <c r="AO92" s="1025"/>
      <c r="AP92" s="1025"/>
      <c r="AQ92" s="1025"/>
      <c r="AR92" s="1025"/>
      <c r="AS92" s="1025"/>
      <c r="AT92" s="1025"/>
      <c r="AU92" s="1025"/>
      <c r="AV92" s="1025"/>
      <c r="AW92" s="1025"/>
      <c r="AX92" s="1025"/>
      <c r="AY92" s="1025"/>
      <c r="AZ92" s="1025"/>
      <c r="BA92" s="1025"/>
      <c r="BB92" s="1025"/>
      <c r="BC92" s="1117"/>
      <c r="BD92" s="1025"/>
      <c r="BE92" s="1025"/>
      <c r="BF92" s="1085"/>
      <c r="BG92" s="1025"/>
      <c r="BH92" s="1025"/>
      <c r="BI92" s="1117"/>
      <c r="BJ92" s="1025"/>
      <c r="BK92" s="1025"/>
      <c r="BL92" s="1092"/>
      <c r="BM92" s="1025"/>
      <c r="BN92" s="1025"/>
      <c r="BO92" s="1016"/>
    </row>
    <row r="93" spans="20:67" ht="15.75">
      <c r="T93" s="862"/>
      <c r="U93" s="862"/>
      <c r="V93" s="1169"/>
      <c r="W93" s="1169"/>
      <c r="X93" s="1169"/>
      <c r="Y93" s="1117"/>
      <c r="Z93" s="1117"/>
      <c r="AA93" s="1117"/>
      <c r="AB93" s="1117"/>
      <c r="AC93" s="1025"/>
      <c r="AD93" s="1025"/>
      <c r="AE93" s="1025"/>
      <c r="AF93" s="1025"/>
      <c r="AG93" s="1025"/>
      <c r="AH93" s="1025"/>
      <c r="AI93" s="1025"/>
      <c r="AJ93" s="1025"/>
      <c r="AK93" s="1025"/>
      <c r="AL93" s="1025"/>
      <c r="AM93" s="1025"/>
      <c r="AN93" s="1025"/>
      <c r="AO93" s="1025"/>
      <c r="AP93" s="1025"/>
      <c r="AQ93" s="1025"/>
      <c r="AR93" s="1025"/>
      <c r="AS93" s="1025"/>
      <c r="AT93" s="1025"/>
      <c r="AU93" s="1025"/>
      <c r="AV93" s="1025"/>
      <c r="AW93" s="1025"/>
      <c r="AX93" s="1025"/>
      <c r="AY93" s="1025"/>
      <c r="AZ93" s="1025"/>
      <c r="BA93" s="1025"/>
      <c r="BB93" s="1025"/>
      <c r="BC93" s="1117"/>
      <c r="BD93" s="1025"/>
      <c r="BE93" s="1025"/>
      <c r="BF93" s="1085"/>
      <c r="BG93" s="1025"/>
      <c r="BH93" s="1025"/>
      <c r="BI93" s="1117"/>
      <c r="BJ93" s="1025"/>
      <c r="BK93" s="1025"/>
      <c r="BL93" s="1092"/>
      <c r="BM93" s="1025"/>
      <c r="BN93" s="1025"/>
      <c r="BO93" s="1016"/>
    </row>
    <row r="94" spans="20:67" ht="15.75">
      <c r="T94" s="862"/>
      <c r="U94" s="862"/>
      <c r="V94" s="1169"/>
      <c r="W94" s="1169"/>
      <c r="X94" s="1163"/>
      <c r="Y94" s="1117"/>
      <c r="Z94" s="1117"/>
      <c r="AA94" s="1117"/>
      <c r="AB94" s="1117"/>
      <c r="AC94" s="1025"/>
      <c r="AD94" s="1025"/>
      <c r="AE94" s="1025"/>
      <c r="AF94" s="1025"/>
      <c r="AG94" s="1025"/>
      <c r="AH94" s="1025"/>
      <c r="AI94" s="1025"/>
      <c r="AJ94" s="1025"/>
      <c r="AK94" s="1025"/>
      <c r="AL94" s="1025"/>
      <c r="AM94" s="1025"/>
      <c r="AN94" s="1025"/>
      <c r="AO94" s="1025"/>
      <c r="AP94" s="1025"/>
      <c r="AQ94" s="1025"/>
      <c r="AR94" s="1025"/>
      <c r="AS94" s="1025"/>
      <c r="AT94" s="1025"/>
      <c r="AU94" s="1025"/>
      <c r="AV94" s="1025"/>
      <c r="AW94" s="1025"/>
      <c r="AX94" s="1025"/>
      <c r="AY94" s="1025"/>
      <c r="AZ94" s="1025"/>
      <c r="BA94" s="1025"/>
      <c r="BB94" s="1025"/>
      <c r="BC94" s="1117"/>
      <c r="BD94" s="1025"/>
      <c r="BE94" s="1025"/>
      <c r="BF94" s="1085"/>
      <c r="BG94" s="1025"/>
      <c r="BH94" s="1025"/>
      <c r="BI94" s="1117"/>
      <c r="BJ94" s="1025"/>
      <c r="BK94" s="1025"/>
      <c r="BL94" s="1092"/>
      <c r="BM94" s="1025"/>
      <c r="BN94" s="1025"/>
      <c r="BO94" s="1016"/>
    </row>
    <row r="95" spans="20:67" ht="15.75">
      <c r="T95" s="862"/>
      <c r="U95" s="862"/>
      <c r="V95" s="1169"/>
      <c r="W95" s="1169"/>
      <c r="X95" s="1163"/>
      <c r="Y95" s="1117"/>
      <c r="Z95" s="1117"/>
      <c r="AA95" s="1117"/>
      <c r="AB95" s="1117"/>
      <c r="AC95" s="1025"/>
      <c r="AD95" s="1025"/>
      <c r="AE95" s="1025"/>
      <c r="AF95" s="1025"/>
      <c r="AG95" s="1025"/>
      <c r="AH95" s="1025"/>
      <c r="AI95" s="1025"/>
      <c r="AJ95" s="1025"/>
      <c r="AK95" s="1025"/>
      <c r="AL95" s="1025"/>
      <c r="AM95" s="1025"/>
      <c r="AN95" s="1025"/>
      <c r="AO95" s="1025"/>
      <c r="AP95" s="1025"/>
      <c r="AQ95" s="1025"/>
      <c r="AR95" s="1025"/>
      <c r="AS95" s="1025"/>
      <c r="AT95" s="1025"/>
      <c r="AU95" s="1025"/>
      <c r="AV95" s="1025"/>
      <c r="AW95" s="1025"/>
      <c r="AX95" s="1025"/>
      <c r="AY95" s="1025"/>
      <c r="AZ95" s="1025"/>
      <c r="BA95" s="1025"/>
      <c r="BB95" s="1025"/>
      <c r="BC95" s="1117"/>
      <c r="BD95" s="1025"/>
      <c r="BE95" s="1025"/>
      <c r="BF95" s="1085"/>
      <c r="BG95" s="1025"/>
      <c r="BH95" s="1025"/>
      <c r="BI95" s="1117"/>
      <c r="BJ95" s="1025"/>
      <c r="BK95" s="1025"/>
      <c r="BL95" s="1092"/>
      <c r="BM95" s="1025"/>
      <c r="BN95" s="1025"/>
      <c r="BO95" s="1016"/>
    </row>
    <row r="96" spans="20:67" ht="15.75">
      <c r="T96" s="862"/>
      <c r="U96" s="862"/>
      <c r="V96" s="1169"/>
      <c r="W96" s="1169"/>
      <c r="X96" s="1163"/>
      <c r="Y96" s="1117"/>
      <c r="Z96" s="1117"/>
      <c r="AA96" s="1117"/>
      <c r="AB96" s="1117"/>
      <c r="AC96" s="1025"/>
      <c r="AD96" s="1025"/>
      <c r="AE96" s="1025"/>
      <c r="AF96" s="1025"/>
      <c r="AG96" s="1025"/>
      <c r="AH96" s="1025"/>
      <c r="AI96" s="1025"/>
      <c r="AJ96" s="1025"/>
      <c r="AK96" s="1025"/>
      <c r="AL96" s="1025"/>
      <c r="AM96" s="1025"/>
      <c r="AN96" s="1025"/>
      <c r="AO96" s="1025"/>
      <c r="AP96" s="1025"/>
      <c r="AQ96" s="1025"/>
      <c r="AR96" s="1025"/>
      <c r="AS96" s="1025"/>
      <c r="AT96" s="1025"/>
      <c r="AU96" s="1025"/>
      <c r="AV96" s="1025"/>
      <c r="AW96" s="1025"/>
      <c r="AX96" s="1025"/>
      <c r="AY96" s="1025"/>
      <c r="AZ96" s="1025"/>
      <c r="BA96" s="1025"/>
      <c r="BB96" s="1025"/>
      <c r="BC96" s="1117"/>
      <c r="BD96" s="1025"/>
      <c r="BE96" s="1025"/>
      <c r="BF96" s="1085"/>
      <c r="BG96" s="1025"/>
      <c r="BH96" s="1025"/>
      <c r="BI96" s="1117"/>
      <c r="BJ96" s="1025"/>
      <c r="BK96" s="1025"/>
      <c r="BL96" s="1092"/>
      <c r="BM96" s="1025"/>
      <c r="BN96" s="1025"/>
      <c r="BO96" s="1016"/>
    </row>
    <row r="97" spans="20:67" ht="15.75">
      <c r="T97" s="201"/>
      <c r="U97" s="201"/>
      <c r="V97" s="1169"/>
      <c r="W97" s="1169"/>
      <c r="X97" s="1163"/>
      <c r="Y97" s="1117"/>
      <c r="Z97" s="1117"/>
      <c r="AA97" s="1117"/>
      <c r="AB97" s="1117"/>
      <c r="AC97" s="1025"/>
      <c r="AD97" s="1025"/>
      <c r="AE97" s="1025"/>
      <c r="AF97" s="1025"/>
      <c r="AG97" s="1025"/>
      <c r="AH97" s="1025"/>
      <c r="AI97" s="1025"/>
      <c r="AJ97" s="1025"/>
      <c r="AK97" s="1025"/>
      <c r="AL97" s="1025"/>
      <c r="AM97" s="1025"/>
      <c r="AN97" s="1025"/>
      <c r="AO97" s="1025"/>
      <c r="AP97" s="1025"/>
      <c r="AQ97" s="1025"/>
      <c r="AR97" s="1025"/>
      <c r="AS97" s="1025"/>
      <c r="AT97" s="1025"/>
      <c r="AU97" s="1025"/>
      <c r="AV97" s="1025"/>
      <c r="AW97" s="1025"/>
      <c r="AX97" s="1025"/>
      <c r="AY97" s="1025"/>
      <c r="AZ97" s="1025"/>
      <c r="BA97" s="1025"/>
      <c r="BB97" s="1025"/>
      <c r="BC97" s="1117"/>
      <c r="BD97" s="1025"/>
      <c r="BE97" s="1025"/>
      <c r="BF97" s="1085"/>
      <c r="BG97" s="1025"/>
      <c r="BH97" s="1025"/>
      <c r="BI97" s="1117"/>
      <c r="BJ97" s="1025"/>
      <c r="BK97" s="1025"/>
      <c r="BL97" s="1092"/>
      <c r="BM97" s="1025"/>
      <c r="BN97" s="1025"/>
      <c r="BO97" s="1016"/>
    </row>
    <row r="98" spans="20:67" ht="15.75">
      <c r="T98" s="114"/>
      <c r="U98" s="114"/>
      <c r="V98" s="1169"/>
      <c r="W98" s="1169"/>
      <c r="X98" s="1163"/>
      <c r="Y98" s="1117"/>
      <c r="Z98" s="1117"/>
      <c r="AA98" s="1117"/>
      <c r="AB98" s="1117"/>
      <c r="AC98" s="1025"/>
      <c r="AD98" s="1025"/>
      <c r="AE98" s="1025"/>
      <c r="AF98" s="1025"/>
      <c r="AG98" s="1025"/>
      <c r="AH98" s="1025"/>
      <c r="AI98" s="1025"/>
      <c r="AJ98" s="1025"/>
      <c r="AK98" s="1025"/>
      <c r="AL98" s="1025"/>
      <c r="AM98" s="1025"/>
      <c r="AN98" s="1025"/>
      <c r="AO98" s="1025"/>
      <c r="AP98" s="1025"/>
      <c r="AQ98" s="1025"/>
      <c r="AR98" s="1025"/>
      <c r="AS98" s="1025"/>
      <c r="AT98" s="1025"/>
      <c r="AU98" s="1025"/>
      <c r="AV98" s="1025"/>
      <c r="AW98" s="1025"/>
      <c r="AX98" s="1025"/>
      <c r="AY98" s="1025"/>
      <c r="AZ98" s="1025"/>
      <c r="BA98" s="1025"/>
      <c r="BB98" s="1025"/>
      <c r="BC98" s="1117"/>
      <c r="BD98" s="1025"/>
      <c r="BE98" s="1025"/>
      <c r="BF98" s="1085"/>
      <c r="BG98" s="1025"/>
      <c r="BH98" s="1025"/>
      <c r="BI98" s="1117"/>
      <c r="BJ98" s="1025"/>
      <c r="BK98" s="1025"/>
      <c r="BL98" s="1092"/>
      <c r="BM98" s="1025"/>
      <c r="BN98" s="1025"/>
      <c r="BO98" s="1016"/>
    </row>
    <row r="99" spans="20:67" ht="15.75">
      <c r="T99" s="114"/>
      <c r="U99" s="114"/>
      <c r="V99" s="1169"/>
      <c r="W99" s="1169"/>
      <c r="X99" s="1169"/>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08"/>
      <c r="BF99" s="908"/>
      <c r="BG99" s="908"/>
      <c r="BH99" s="908"/>
      <c r="BI99" s="908"/>
      <c r="BJ99" s="908"/>
      <c r="BK99" s="908"/>
      <c r="BL99" s="908"/>
      <c r="BM99" s="908"/>
      <c r="BN99" s="908"/>
      <c r="BO99" s="1016"/>
    </row>
    <row r="100" spans="20:67" ht="15.75">
      <c r="T100" s="114"/>
      <c r="U100" s="114"/>
      <c r="V100" s="1169"/>
      <c r="W100" s="1169"/>
      <c r="X100" s="1163"/>
      <c r="Y100" s="1117"/>
      <c r="Z100" s="1117"/>
      <c r="AA100" s="1117"/>
      <c r="AB100" s="1117"/>
      <c r="AC100" s="1025"/>
      <c r="AD100" s="1025"/>
      <c r="AE100" s="1025"/>
      <c r="AF100" s="1025"/>
      <c r="AG100" s="1025"/>
      <c r="AH100" s="1025"/>
      <c r="AI100" s="1025"/>
      <c r="AJ100" s="1025"/>
      <c r="AK100" s="1025"/>
      <c r="AL100" s="1025"/>
      <c r="AM100" s="1025"/>
      <c r="AN100" s="1025"/>
      <c r="AO100" s="1025"/>
      <c r="AP100" s="1025"/>
      <c r="AQ100" s="1025"/>
      <c r="AR100" s="1025"/>
      <c r="AS100" s="1025"/>
      <c r="AT100" s="1025"/>
      <c r="AU100" s="1025"/>
      <c r="AV100" s="1025"/>
      <c r="AW100" s="1025"/>
      <c r="AX100" s="1025"/>
      <c r="AY100" s="1025"/>
      <c r="AZ100" s="1025"/>
      <c r="BA100" s="1025"/>
      <c r="BB100" s="1025"/>
      <c r="BC100" s="1117"/>
      <c r="BD100" s="1025"/>
      <c r="BE100" s="1025"/>
      <c r="BF100" s="1085"/>
      <c r="BG100" s="1025"/>
      <c r="BH100" s="1025"/>
      <c r="BI100" s="1117"/>
      <c r="BJ100" s="1025"/>
      <c r="BK100" s="1025"/>
      <c r="BL100" s="1092"/>
      <c r="BM100" s="1025"/>
      <c r="BN100" s="1025"/>
      <c r="BO100" s="1016"/>
    </row>
    <row r="101" spans="20:67" ht="15.75">
      <c r="T101" s="201"/>
      <c r="U101" s="201"/>
      <c r="V101" s="1164"/>
      <c r="W101" s="1164"/>
      <c r="X101" s="1164"/>
      <c r="Y101" s="1194"/>
      <c r="Z101" s="1194"/>
      <c r="AA101" s="1194"/>
      <c r="AB101" s="1194"/>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c r="BO101" s="1016"/>
    </row>
    <row r="102" spans="20:67" ht="15.75">
      <c r="T102" s="201"/>
      <c r="U102" s="201"/>
      <c r="V102" s="1164"/>
      <c r="W102" s="1164"/>
      <c r="X102" s="1164"/>
      <c r="Y102" s="1194"/>
      <c r="Z102" s="1194"/>
      <c r="AA102" s="1194"/>
      <c r="AB102" s="1194"/>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c r="BO102" s="1016"/>
    </row>
    <row r="103" spans="20:67">
      <c r="T103" s="1164"/>
      <c r="U103" s="1164"/>
      <c r="V103" s="1164"/>
      <c r="W103" s="1164"/>
      <c r="X103" s="1164"/>
      <c r="Y103" s="1164"/>
      <c r="Z103" s="1164"/>
      <c r="AA103" s="1164"/>
      <c r="AB103" s="1164"/>
      <c r="BN103" s="1016"/>
      <c r="BO103" s="1016"/>
    </row>
    <row r="104" spans="20:67" ht="15.75">
      <c r="T104" s="1164"/>
      <c r="U104" s="1164"/>
      <c r="V104" s="1164"/>
      <c r="W104" s="1164"/>
      <c r="X104" s="168"/>
      <c r="Y104" s="207"/>
      <c r="Z104" s="207"/>
      <c r="AA104" s="207"/>
      <c r="AB104" s="207"/>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016"/>
    </row>
    <row r="105" spans="20:67" ht="15.75">
      <c r="T105" s="1164"/>
      <c r="U105" s="1164"/>
      <c r="V105" s="1164"/>
      <c r="W105" s="1164"/>
      <c r="X105" s="168"/>
      <c r="Y105" s="935"/>
      <c r="Z105" s="935"/>
      <c r="AA105" s="935"/>
      <c r="AB105" s="935"/>
      <c r="AC105" s="1022"/>
      <c r="AD105" s="1022"/>
      <c r="AE105" s="1022"/>
      <c r="AF105" s="1022"/>
      <c r="AG105" s="1022"/>
      <c r="AH105" s="1022"/>
      <c r="AI105" s="1022"/>
      <c r="AJ105" s="1022"/>
      <c r="AK105" s="1022"/>
      <c r="AL105" s="1022"/>
      <c r="AM105" s="1022"/>
      <c r="AN105" s="1022"/>
      <c r="AO105" s="1022"/>
      <c r="AP105" s="1022"/>
      <c r="AQ105" s="1022"/>
      <c r="AR105" s="1022"/>
      <c r="AS105" s="1022"/>
      <c r="AT105" s="1022"/>
      <c r="AU105" s="1022"/>
      <c r="AV105" s="1022"/>
      <c r="AW105" s="1022"/>
      <c r="AX105" s="1022"/>
      <c r="AY105" s="1022"/>
      <c r="AZ105" s="1022"/>
      <c r="BA105" s="1022"/>
      <c r="BB105" s="1022"/>
      <c r="BC105" s="1091"/>
      <c r="BD105" s="1022"/>
      <c r="BE105" s="1022"/>
      <c r="BF105" s="1084"/>
      <c r="BG105" s="1022"/>
      <c r="BH105" s="1022"/>
      <c r="BI105" s="1091"/>
      <c r="BJ105" s="1022"/>
      <c r="BK105" s="1022"/>
      <c r="BL105" s="1091"/>
      <c r="BM105" s="1022"/>
      <c r="BN105" s="1022"/>
      <c r="BO105" s="1016"/>
    </row>
    <row r="106" spans="20:67" ht="15.75">
      <c r="T106" s="1164"/>
      <c r="U106" s="1164"/>
      <c r="V106" s="1164"/>
      <c r="W106" s="1164"/>
      <c r="X106" s="168"/>
      <c r="Y106" s="935"/>
      <c r="Z106" s="935"/>
      <c r="AA106" s="935"/>
      <c r="AB106" s="935"/>
      <c r="AC106" s="1022"/>
      <c r="AD106" s="1022"/>
      <c r="AE106" s="1022"/>
      <c r="AF106" s="1022"/>
      <c r="AG106" s="1022"/>
      <c r="AH106" s="1022"/>
      <c r="AI106" s="1022"/>
      <c r="AJ106" s="1022"/>
      <c r="AK106" s="1022"/>
      <c r="AL106" s="1022"/>
      <c r="AM106" s="1022"/>
      <c r="AN106" s="1022"/>
      <c r="AO106" s="1022"/>
      <c r="AP106" s="1022"/>
      <c r="AQ106" s="1022"/>
      <c r="AR106" s="1022"/>
      <c r="AS106" s="1022"/>
      <c r="AT106" s="1022"/>
      <c r="AU106" s="1022"/>
      <c r="AV106" s="1022"/>
      <c r="AW106" s="1022"/>
      <c r="AX106" s="1022"/>
      <c r="AY106" s="1022"/>
      <c r="AZ106" s="1022"/>
      <c r="BA106" s="1022"/>
      <c r="BB106" s="1022"/>
      <c r="BC106" s="1091"/>
      <c r="BD106" s="1022"/>
      <c r="BE106" s="1022"/>
      <c r="BF106" s="1084"/>
      <c r="BG106" s="1022"/>
      <c r="BH106" s="1022"/>
      <c r="BI106" s="1091"/>
      <c r="BJ106" s="1022"/>
      <c r="BK106" s="1022"/>
      <c r="BL106" s="1091"/>
      <c r="BM106" s="1022"/>
      <c r="BN106" s="1022"/>
      <c r="BO106" s="1016"/>
    </row>
    <row r="107" spans="20:67" ht="15.75">
      <c r="T107" s="1164"/>
      <c r="U107" s="1164"/>
      <c r="V107" s="1164"/>
      <c r="W107" s="1164"/>
      <c r="X107" s="168"/>
      <c r="Y107" s="935"/>
      <c r="Z107" s="935"/>
      <c r="AA107" s="935"/>
      <c r="AB107" s="935"/>
      <c r="AC107" s="1022"/>
      <c r="AD107" s="1022"/>
      <c r="AE107" s="1022"/>
      <c r="AF107" s="1022"/>
      <c r="AG107" s="1022"/>
      <c r="AH107" s="1022"/>
      <c r="AI107" s="1022"/>
      <c r="AJ107" s="1022"/>
      <c r="AK107" s="1022"/>
      <c r="AL107" s="1022"/>
      <c r="AM107" s="1022"/>
      <c r="AN107" s="1022"/>
      <c r="AO107" s="1022"/>
      <c r="AP107" s="1022"/>
      <c r="AQ107" s="1022"/>
      <c r="AR107" s="1022"/>
      <c r="AS107" s="1022"/>
      <c r="AT107" s="1022"/>
      <c r="AU107" s="1022"/>
      <c r="AV107" s="1022"/>
      <c r="AW107" s="1022"/>
      <c r="AX107" s="1022"/>
      <c r="AY107" s="1022"/>
      <c r="AZ107" s="1022"/>
      <c r="BA107" s="1022"/>
      <c r="BB107" s="1022"/>
      <c r="BC107" s="1091"/>
      <c r="BD107" s="1022"/>
      <c r="BE107" s="1022"/>
      <c r="BF107" s="1084"/>
      <c r="BG107" s="1022"/>
      <c r="BH107" s="1022"/>
      <c r="BI107" s="1091"/>
      <c r="BJ107" s="1022"/>
      <c r="BK107" s="1022"/>
      <c r="BL107" s="1091"/>
      <c r="BM107" s="1022"/>
      <c r="BN107" s="1022"/>
      <c r="BO107" s="1016"/>
    </row>
    <row r="108" spans="20:67" ht="15.75">
      <c r="T108" s="1164"/>
      <c r="U108" s="1164"/>
      <c r="V108" s="1164"/>
      <c r="W108" s="1164"/>
      <c r="X108" s="168"/>
      <c r="Y108" s="1181"/>
      <c r="Z108" s="1181"/>
      <c r="AA108" s="1181"/>
      <c r="AB108" s="1181"/>
      <c r="AC108" s="1020"/>
      <c r="AD108" s="1020"/>
      <c r="AE108" s="1020"/>
      <c r="AF108" s="1020"/>
      <c r="AG108" s="1020"/>
      <c r="AH108" s="1020"/>
      <c r="AI108" s="1020"/>
      <c r="AJ108" s="1020"/>
      <c r="AK108" s="1020"/>
      <c r="AL108" s="1020"/>
      <c r="AM108" s="1020"/>
      <c r="AN108" s="1020"/>
      <c r="AO108" s="1020"/>
      <c r="AP108" s="1020"/>
      <c r="AQ108" s="1020"/>
      <c r="AR108" s="1020"/>
      <c r="AS108" s="1020"/>
      <c r="AT108" s="1020"/>
      <c r="AU108" s="1020"/>
      <c r="AV108" s="1020"/>
      <c r="AW108" s="1020"/>
      <c r="AX108" s="1020"/>
      <c r="AY108" s="1020"/>
      <c r="AZ108" s="1020"/>
      <c r="BA108" s="1020"/>
      <c r="BB108" s="1020"/>
      <c r="BC108" s="1128"/>
      <c r="BD108" s="1020"/>
      <c r="BE108" s="1020"/>
      <c r="BF108" s="1083"/>
      <c r="BG108" s="1020"/>
      <c r="BH108" s="1020"/>
      <c r="BI108" s="1128"/>
      <c r="BJ108" s="1020"/>
      <c r="BK108" s="1020"/>
      <c r="BL108" s="1090"/>
      <c r="BM108" s="1020"/>
      <c r="BN108" s="1020"/>
      <c r="BO108" s="1016"/>
    </row>
    <row r="109" spans="20:67" ht="15.75">
      <c r="T109" s="201"/>
      <c r="U109" s="201"/>
      <c r="V109" s="1164"/>
      <c r="W109" s="1169"/>
      <c r="X109" s="168"/>
      <c r="Y109" s="1181"/>
      <c r="Z109" s="1181"/>
      <c r="AA109" s="1181"/>
      <c r="AB109" s="1181"/>
      <c r="AC109" s="1020"/>
      <c r="AD109" s="1020"/>
      <c r="AE109" s="1020"/>
      <c r="AF109" s="1020"/>
      <c r="AG109" s="1020"/>
      <c r="AH109" s="1020"/>
      <c r="AI109" s="1020"/>
      <c r="AJ109" s="1020"/>
      <c r="AK109" s="1020"/>
      <c r="AL109" s="1020"/>
      <c r="AM109" s="1020"/>
      <c r="AN109" s="1020"/>
      <c r="AO109" s="1020"/>
      <c r="AP109" s="1020"/>
      <c r="AQ109" s="1020"/>
      <c r="AR109" s="1020"/>
      <c r="AS109" s="1020"/>
      <c r="AT109" s="1020"/>
      <c r="AU109" s="1020"/>
      <c r="AV109" s="1020"/>
      <c r="AW109" s="1020"/>
      <c r="AX109" s="1020"/>
      <c r="AY109" s="1020"/>
      <c r="AZ109" s="1020"/>
      <c r="BA109" s="1020"/>
      <c r="BB109" s="1020"/>
      <c r="BC109" s="1128"/>
      <c r="BD109" s="1020"/>
      <c r="BE109" s="1020"/>
      <c r="BF109" s="1083"/>
      <c r="BG109" s="1020"/>
      <c r="BH109" s="1020"/>
      <c r="BI109" s="1128"/>
      <c r="BJ109" s="1020"/>
      <c r="BK109" s="1020"/>
      <c r="BL109" s="1090"/>
      <c r="BM109" s="1020"/>
      <c r="BN109" s="1020"/>
      <c r="BO109" s="1016"/>
    </row>
    <row r="110" spans="20:67" ht="15.75">
      <c r="T110" s="201"/>
      <c r="U110" s="201"/>
      <c r="V110" s="1164"/>
      <c r="W110" s="1169"/>
      <c r="X110" s="168"/>
      <c r="Y110" s="1181"/>
      <c r="Z110" s="1181"/>
      <c r="AA110" s="1181"/>
      <c r="AB110" s="1181"/>
      <c r="AC110" s="1020"/>
      <c r="AD110" s="1020"/>
      <c r="AE110" s="1020"/>
      <c r="AF110" s="1020"/>
      <c r="AG110" s="1020"/>
      <c r="AH110" s="1020"/>
      <c r="AI110" s="1020"/>
      <c r="AJ110" s="1020"/>
      <c r="AK110" s="1020"/>
      <c r="AL110" s="1020"/>
      <c r="AM110" s="1020"/>
      <c r="AN110" s="1020"/>
      <c r="AO110" s="1020"/>
      <c r="AP110" s="1020"/>
      <c r="AQ110" s="1020"/>
      <c r="AR110" s="1020"/>
      <c r="AS110" s="1020"/>
      <c r="AT110" s="1020"/>
      <c r="AU110" s="1020"/>
      <c r="AV110" s="1020"/>
      <c r="AW110" s="1020"/>
      <c r="AX110" s="1020"/>
      <c r="AY110" s="1020"/>
      <c r="AZ110" s="1020"/>
      <c r="BA110" s="1020"/>
      <c r="BB110" s="1020"/>
      <c r="BC110" s="1128"/>
      <c r="BD110" s="1020"/>
      <c r="BE110" s="1020"/>
      <c r="BF110" s="1083"/>
      <c r="BG110" s="1020"/>
      <c r="BH110" s="1020"/>
      <c r="BI110" s="1128"/>
      <c r="BJ110" s="1020"/>
      <c r="BK110" s="1020"/>
      <c r="BL110" s="1090"/>
      <c r="BM110" s="1020"/>
      <c r="BN110" s="1020"/>
      <c r="BO110" s="1016"/>
    </row>
    <row r="111" spans="20:67" ht="15.75">
      <c r="T111" s="1164"/>
      <c r="U111" s="1164"/>
      <c r="V111" s="1164"/>
      <c r="W111" s="1164"/>
      <c r="X111" s="168"/>
      <c r="Y111" s="935"/>
      <c r="Z111" s="935"/>
      <c r="AA111" s="935"/>
      <c r="AB111" s="935"/>
      <c r="AC111" s="1022"/>
      <c r="AD111" s="1022"/>
      <c r="AE111" s="1022"/>
      <c r="AF111" s="1022"/>
      <c r="AG111" s="1022"/>
      <c r="AH111" s="1022"/>
      <c r="AI111" s="1022"/>
      <c r="AJ111" s="1022"/>
      <c r="AK111" s="1022"/>
      <c r="AL111" s="1022"/>
      <c r="AM111" s="1022"/>
      <c r="AN111" s="1022"/>
      <c r="AO111" s="1022"/>
      <c r="AP111" s="1022"/>
      <c r="AQ111" s="1022"/>
      <c r="AR111" s="1022"/>
      <c r="AS111" s="1022"/>
      <c r="AT111" s="1022"/>
      <c r="AU111" s="1022"/>
      <c r="AV111" s="1022"/>
      <c r="AW111" s="1022"/>
      <c r="AX111" s="1022"/>
      <c r="AY111" s="1022"/>
      <c r="AZ111" s="1022"/>
      <c r="BA111" s="1022"/>
      <c r="BB111" s="1022"/>
      <c r="BC111" s="1091"/>
      <c r="BD111" s="1022"/>
      <c r="BE111" s="1022"/>
      <c r="BF111" s="1084"/>
      <c r="BG111" s="1022"/>
      <c r="BH111" s="1022"/>
      <c r="BI111" s="1091"/>
      <c r="BJ111" s="1022"/>
      <c r="BK111" s="1022"/>
      <c r="BL111" s="1091"/>
      <c r="BM111" s="1022"/>
      <c r="BN111" s="1022"/>
      <c r="BO111" s="1016"/>
    </row>
    <row r="112" spans="20:67" ht="15.75">
      <c r="T112" s="1164"/>
      <c r="U112" s="1164"/>
      <c r="V112" s="1164"/>
      <c r="W112" s="1164"/>
      <c r="X112" s="168"/>
      <c r="Y112" s="1181"/>
      <c r="Z112" s="1181"/>
      <c r="AA112" s="1181"/>
      <c r="AB112" s="1181"/>
      <c r="AC112" s="1020"/>
      <c r="AD112" s="1020"/>
      <c r="AE112" s="1020"/>
      <c r="AF112" s="1020"/>
      <c r="AG112" s="1020"/>
      <c r="AH112" s="1020"/>
      <c r="AI112" s="1020"/>
      <c r="AJ112" s="1020"/>
      <c r="AK112" s="1020"/>
      <c r="AL112" s="1020"/>
      <c r="AM112" s="1020"/>
      <c r="AN112" s="1020"/>
      <c r="AO112" s="1020"/>
      <c r="AP112" s="1020"/>
      <c r="AQ112" s="1020"/>
      <c r="AR112" s="1020"/>
      <c r="AS112" s="1020"/>
      <c r="AT112" s="1020"/>
      <c r="AU112" s="1020"/>
      <c r="AV112" s="1020"/>
      <c r="AW112" s="1020"/>
      <c r="AX112" s="1020"/>
      <c r="AY112" s="1020"/>
      <c r="AZ112" s="1020"/>
      <c r="BA112" s="1020"/>
      <c r="BB112" s="1020"/>
      <c r="BC112" s="1128"/>
      <c r="BD112" s="1020"/>
      <c r="BE112" s="1020"/>
      <c r="BF112" s="1083"/>
      <c r="BG112" s="1020"/>
      <c r="BH112" s="1020"/>
      <c r="BI112" s="1128"/>
      <c r="BJ112" s="1020"/>
      <c r="BK112" s="1020"/>
      <c r="BL112" s="1090"/>
      <c r="BM112" s="1020"/>
      <c r="BN112" s="1020"/>
      <c r="BO112" s="1016"/>
    </row>
    <row r="113" spans="20:67" ht="15.75">
      <c r="T113" s="1164"/>
      <c r="U113" s="1164"/>
      <c r="V113" s="1164"/>
      <c r="W113" s="1164"/>
      <c r="X113" s="168"/>
      <c r="Y113" s="1181"/>
      <c r="Z113" s="1181"/>
      <c r="AA113" s="1181"/>
      <c r="AB113" s="1181"/>
      <c r="AC113" s="1020"/>
      <c r="AD113" s="1020"/>
      <c r="AE113" s="1020"/>
      <c r="AF113" s="1020"/>
      <c r="AG113" s="1020"/>
      <c r="AH113" s="1020"/>
      <c r="AI113" s="1020"/>
      <c r="AJ113" s="1020"/>
      <c r="AK113" s="1020"/>
      <c r="AL113" s="1020"/>
      <c r="AM113" s="1020"/>
      <c r="AN113" s="1020"/>
      <c r="AO113" s="1020"/>
      <c r="AP113" s="1020"/>
      <c r="AQ113" s="1020"/>
      <c r="AR113" s="1020"/>
      <c r="AS113" s="1020"/>
      <c r="AT113" s="1020"/>
      <c r="AU113" s="1020"/>
      <c r="AV113" s="1020"/>
      <c r="AW113" s="1020"/>
      <c r="AX113" s="1020"/>
      <c r="AY113" s="1020"/>
      <c r="AZ113" s="1020"/>
      <c r="BA113" s="1020"/>
      <c r="BB113" s="1020"/>
      <c r="BC113" s="1128"/>
      <c r="BD113" s="1020"/>
      <c r="BE113" s="1020"/>
      <c r="BF113" s="1083"/>
      <c r="BG113" s="1020"/>
      <c r="BH113" s="1020"/>
      <c r="BI113" s="1128"/>
      <c r="BJ113" s="1020"/>
      <c r="BK113" s="1020"/>
      <c r="BL113" s="1090"/>
      <c r="BM113" s="1020"/>
      <c r="BN113" s="1020"/>
      <c r="BO113" s="1016"/>
    </row>
    <row r="114" spans="20:67" ht="15.75">
      <c r="T114" s="1164"/>
      <c r="U114" s="1164"/>
      <c r="V114" s="1164"/>
      <c r="W114" s="1164"/>
      <c r="X114" s="168"/>
      <c r="Y114" s="1181"/>
      <c r="Z114" s="1181"/>
      <c r="AA114" s="1181"/>
      <c r="AB114" s="1181"/>
      <c r="AC114" s="1020"/>
      <c r="AD114" s="1020"/>
      <c r="AE114" s="1020"/>
      <c r="AF114" s="1020"/>
      <c r="AG114" s="1020"/>
      <c r="AH114" s="1020"/>
      <c r="AI114" s="1020"/>
      <c r="AJ114" s="1020"/>
      <c r="AK114" s="1020"/>
      <c r="AL114" s="1020"/>
      <c r="AM114" s="1020"/>
      <c r="AN114" s="1020"/>
      <c r="AO114" s="1020"/>
      <c r="AP114" s="1020"/>
      <c r="AQ114" s="1020"/>
      <c r="AR114" s="1020"/>
      <c r="AS114" s="1020"/>
      <c r="AT114" s="1020"/>
      <c r="AU114" s="1020"/>
      <c r="AV114" s="1020"/>
      <c r="AW114" s="1020"/>
      <c r="AX114" s="1020"/>
      <c r="AY114" s="1020"/>
      <c r="AZ114" s="1020"/>
      <c r="BA114" s="1020"/>
      <c r="BB114" s="1020"/>
      <c r="BC114" s="1128"/>
      <c r="BD114" s="1020"/>
      <c r="BE114" s="1020"/>
      <c r="BF114" s="1083"/>
      <c r="BG114" s="1020"/>
      <c r="BH114" s="1020"/>
      <c r="BI114" s="1128"/>
      <c r="BJ114" s="1020"/>
      <c r="BK114" s="1020"/>
      <c r="BL114" s="1090"/>
      <c r="BM114" s="1020"/>
      <c r="BN114" s="1020"/>
      <c r="BO114" s="1016"/>
    </row>
    <row r="115" spans="20:67" ht="15.75">
      <c r="T115" s="1164"/>
      <c r="U115" s="1164"/>
      <c r="V115" s="1164"/>
      <c r="W115" s="1164"/>
      <c r="X115" s="168"/>
      <c r="Y115" s="1181"/>
      <c r="Z115" s="1181"/>
      <c r="AA115" s="1181"/>
      <c r="AB115" s="1181"/>
      <c r="AC115" s="1020"/>
      <c r="AD115" s="1020"/>
      <c r="AE115" s="1020"/>
      <c r="AF115" s="1020"/>
      <c r="AG115" s="1020"/>
      <c r="AH115" s="1020"/>
      <c r="AI115" s="1020"/>
      <c r="AJ115" s="1020"/>
      <c r="AK115" s="1020"/>
      <c r="AL115" s="1020"/>
      <c r="AM115" s="1020"/>
      <c r="AN115" s="1020"/>
      <c r="AO115" s="1020"/>
      <c r="AP115" s="1020"/>
      <c r="AQ115" s="1020"/>
      <c r="AR115" s="1020"/>
      <c r="AS115" s="1020"/>
      <c r="AT115" s="1020"/>
      <c r="AU115" s="1020"/>
      <c r="AV115" s="1020"/>
      <c r="AW115" s="1020"/>
      <c r="AX115" s="1020"/>
      <c r="AY115" s="1020"/>
      <c r="AZ115" s="1020"/>
      <c r="BA115" s="1020"/>
      <c r="BB115" s="1020"/>
      <c r="BC115" s="1128"/>
      <c r="BD115" s="1020"/>
      <c r="BE115" s="1020"/>
      <c r="BF115" s="1083"/>
      <c r="BG115" s="1020"/>
      <c r="BH115" s="1020"/>
      <c r="BI115" s="1128"/>
      <c r="BJ115" s="1020"/>
      <c r="BK115" s="1020"/>
      <c r="BL115" s="1090"/>
      <c r="BM115" s="1020"/>
      <c r="BN115" s="1020"/>
      <c r="BO115" s="1016"/>
    </row>
    <row r="116" spans="20:67" ht="15.75">
      <c r="T116" s="1164"/>
      <c r="U116" s="1164"/>
      <c r="V116" s="1164"/>
      <c r="W116" s="1164"/>
      <c r="X116" s="168"/>
      <c r="Y116" s="1181"/>
      <c r="Z116" s="1181"/>
      <c r="AA116" s="1181"/>
      <c r="AB116" s="1181"/>
      <c r="AC116" s="1020"/>
      <c r="AD116" s="1020"/>
      <c r="AE116" s="1020"/>
      <c r="AF116" s="1020"/>
      <c r="AG116" s="1020"/>
      <c r="AH116" s="1020"/>
      <c r="AI116" s="1020"/>
      <c r="AJ116" s="1020"/>
      <c r="AK116" s="1020"/>
      <c r="AL116" s="1020"/>
      <c r="AM116" s="1020"/>
      <c r="AN116" s="1020"/>
      <c r="AO116" s="1020"/>
      <c r="AP116" s="1020"/>
      <c r="AQ116" s="1020"/>
      <c r="AR116" s="1020"/>
      <c r="AS116" s="1020"/>
      <c r="AT116" s="1020"/>
      <c r="AU116" s="1020"/>
      <c r="AV116" s="1020"/>
      <c r="AW116" s="1020"/>
      <c r="AX116" s="1020"/>
      <c r="AY116" s="1020"/>
      <c r="AZ116" s="1020"/>
      <c r="BA116" s="1020"/>
      <c r="BB116" s="1020"/>
      <c r="BC116" s="1128"/>
      <c r="BD116" s="1020"/>
      <c r="BE116" s="1020"/>
      <c r="BF116" s="1083"/>
      <c r="BG116" s="1020"/>
      <c r="BH116" s="1020"/>
      <c r="BI116" s="1128"/>
      <c r="BJ116" s="1020"/>
      <c r="BK116" s="1020"/>
      <c r="BL116" s="1090"/>
      <c r="BM116" s="1020"/>
      <c r="BN116" s="1020"/>
      <c r="BO116" s="1016"/>
    </row>
    <row r="117" spans="20:67" ht="15.75">
      <c r="T117" s="1164"/>
      <c r="U117" s="1164"/>
      <c r="V117" s="1164"/>
      <c r="W117" s="1164"/>
      <c r="X117" s="168"/>
      <c r="Y117" s="1181"/>
      <c r="Z117" s="1181"/>
      <c r="AA117" s="1181"/>
      <c r="AB117" s="1181"/>
      <c r="AC117" s="1020"/>
      <c r="AD117" s="1020"/>
      <c r="AE117" s="1020"/>
      <c r="AF117" s="1020"/>
      <c r="AG117" s="1020"/>
      <c r="AH117" s="1020"/>
      <c r="AI117" s="1020"/>
      <c r="AJ117" s="1020"/>
      <c r="AK117" s="1020"/>
      <c r="AL117" s="1020"/>
      <c r="AM117" s="1020"/>
      <c r="AN117" s="1020"/>
      <c r="AO117" s="1020"/>
      <c r="AP117" s="1020"/>
      <c r="AQ117" s="1020"/>
      <c r="AR117" s="1020"/>
      <c r="AS117" s="1020"/>
      <c r="AT117" s="1020"/>
      <c r="AU117" s="1020"/>
      <c r="AV117" s="1020"/>
      <c r="AW117" s="1020"/>
      <c r="AX117" s="1020"/>
      <c r="AY117" s="1020"/>
      <c r="AZ117" s="1020"/>
      <c r="BA117" s="1020"/>
      <c r="BB117" s="1020"/>
      <c r="BC117" s="1128"/>
      <c r="BD117" s="1020"/>
      <c r="BE117" s="1020"/>
      <c r="BF117" s="1083"/>
      <c r="BG117" s="1020"/>
      <c r="BH117" s="1020"/>
      <c r="BI117" s="1128"/>
      <c r="BJ117" s="1020"/>
      <c r="BK117" s="1020"/>
      <c r="BL117" s="1090"/>
      <c r="BM117" s="1020"/>
      <c r="BN117" s="1020"/>
      <c r="BO117" s="1016"/>
    </row>
    <row r="118" spans="20:67" ht="15.75">
      <c r="T118" s="1164"/>
      <c r="U118" s="1164"/>
      <c r="V118" s="1164"/>
      <c r="W118" s="1164"/>
      <c r="X118" s="168"/>
      <c r="Y118" s="1181"/>
      <c r="Z118" s="1181"/>
      <c r="AA118" s="1181"/>
      <c r="AB118" s="1181"/>
      <c r="AC118" s="1020"/>
      <c r="AD118" s="1020"/>
      <c r="AE118" s="1020"/>
      <c r="AF118" s="1020"/>
      <c r="AG118" s="1020"/>
      <c r="AH118" s="1020"/>
      <c r="AI118" s="1020"/>
      <c r="AJ118" s="1020"/>
      <c r="AK118" s="1020"/>
      <c r="AL118" s="1020"/>
      <c r="AM118" s="1020"/>
      <c r="AN118" s="1020"/>
      <c r="AO118" s="1020"/>
      <c r="AP118" s="1020"/>
      <c r="AQ118" s="1020"/>
      <c r="AR118" s="1020"/>
      <c r="AS118" s="1020"/>
      <c r="AT118" s="1020"/>
      <c r="AU118" s="1020"/>
      <c r="AV118" s="1020"/>
      <c r="AW118" s="1020"/>
      <c r="AX118" s="1020"/>
      <c r="AY118" s="1020"/>
      <c r="AZ118" s="1020"/>
      <c r="BA118" s="1020"/>
      <c r="BB118" s="1020"/>
      <c r="BC118" s="1128"/>
      <c r="BD118" s="1020"/>
      <c r="BE118" s="1020"/>
      <c r="BF118" s="1083"/>
      <c r="BG118" s="1020"/>
      <c r="BH118" s="1020"/>
      <c r="BI118" s="1128"/>
      <c r="BJ118" s="1020"/>
      <c r="BK118" s="1020"/>
      <c r="BL118" s="1090"/>
      <c r="BM118" s="1020"/>
      <c r="BN118" s="1020"/>
      <c r="BO118" s="1016"/>
    </row>
    <row r="119" spans="20:67" ht="15.75">
      <c r="T119" s="1164"/>
      <c r="U119" s="1164"/>
      <c r="V119" s="1164"/>
      <c r="W119" s="1164"/>
      <c r="X119" s="168"/>
      <c r="Y119" s="1181"/>
      <c r="Z119" s="1181"/>
      <c r="AA119" s="1181"/>
      <c r="AB119" s="1181"/>
      <c r="AC119" s="1020"/>
      <c r="AD119" s="1020"/>
      <c r="AE119" s="1020"/>
      <c r="AF119" s="1020"/>
      <c r="AG119" s="1020"/>
      <c r="AH119" s="1020"/>
      <c r="AI119" s="1020"/>
      <c r="AJ119" s="1020"/>
      <c r="AK119" s="1020"/>
      <c r="AL119" s="1020"/>
      <c r="AM119" s="1020"/>
      <c r="AN119" s="1020"/>
      <c r="AO119" s="1020"/>
      <c r="AP119" s="1020"/>
      <c r="AQ119" s="1020"/>
      <c r="AR119" s="1020"/>
      <c r="AS119" s="1020"/>
      <c r="AT119" s="1020"/>
      <c r="AU119" s="1020"/>
      <c r="AV119" s="1020"/>
      <c r="AW119" s="1020"/>
      <c r="AX119" s="1020"/>
      <c r="AY119" s="1020"/>
      <c r="AZ119" s="1020"/>
      <c r="BA119" s="1020"/>
      <c r="BB119" s="1020"/>
      <c r="BC119" s="1128"/>
      <c r="BD119" s="1020"/>
      <c r="BE119" s="1020"/>
      <c r="BF119" s="1083"/>
      <c r="BG119" s="1020"/>
      <c r="BH119" s="1020"/>
      <c r="BI119" s="1128"/>
      <c r="BJ119" s="1020"/>
      <c r="BK119" s="1020"/>
      <c r="BL119" s="1090"/>
      <c r="BM119" s="1020"/>
      <c r="BN119" s="1020"/>
      <c r="BO119" s="1016"/>
    </row>
    <row r="120" spans="20:67" ht="15.75">
      <c r="T120" s="1164"/>
      <c r="U120" s="1164"/>
      <c r="V120" s="1164"/>
      <c r="W120" s="1164"/>
      <c r="X120" s="168"/>
      <c r="Y120" s="1181"/>
      <c r="Z120" s="1181"/>
      <c r="AA120" s="1181"/>
      <c r="AB120" s="1181"/>
      <c r="AC120" s="1020"/>
      <c r="AD120" s="1020"/>
      <c r="AE120" s="1020"/>
      <c r="AF120" s="1020"/>
      <c r="AG120" s="1020"/>
      <c r="AH120" s="1020"/>
      <c r="AI120" s="1020"/>
      <c r="AJ120" s="1020"/>
      <c r="AK120" s="1020"/>
      <c r="AL120" s="1020"/>
      <c r="AM120" s="1020"/>
      <c r="AN120" s="1020"/>
      <c r="AO120" s="1020"/>
      <c r="AP120" s="1020"/>
      <c r="AQ120" s="1020"/>
      <c r="AR120" s="1020"/>
      <c r="AS120" s="1020"/>
      <c r="AT120" s="1020"/>
      <c r="AU120" s="1020"/>
      <c r="AV120" s="1020"/>
      <c r="AW120" s="1020"/>
      <c r="AX120" s="1020"/>
      <c r="AY120" s="1020"/>
      <c r="AZ120" s="1020"/>
      <c r="BA120" s="1020"/>
      <c r="BB120" s="1020"/>
      <c r="BC120" s="1128"/>
      <c r="BD120" s="1020"/>
      <c r="BE120" s="1020"/>
      <c r="BF120" s="1083"/>
      <c r="BG120" s="1020"/>
      <c r="BH120" s="1020"/>
      <c r="BI120" s="1128"/>
      <c r="BJ120" s="1020"/>
      <c r="BK120" s="1020"/>
      <c r="BL120" s="1090"/>
      <c r="BM120" s="1020"/>
      <c r="BN120" s="1020"/>
      <c r="BO120" s="1016"/>
    </row>
    <row r="121" spans="20:67" ht="15.75">
      <c r="T121" s="1164"/>
      <c r="U121" s="1164"/>
      <c r="V121" s="1164"/>
      <c r="W121" s="1164"/>
      <c r="X121" s="168"/>
      <c r="Y121" s="1181"/>
      <c r="Z121" s="1181"/>
      <c r="AA121" s="1181"/>
      <c r="AB121" s="1181"/>
      <c r="AC121" s="1020"/>
      <c r="AD121" s="1020"/>
      <c r="AE121" s="1020"/>
      <c r="AF121" s="1020"/>
      <c r="AG121" s="1020"/>
      <c r="AH121" s="1020"/>
      <c r="AI121" s="1020"/>
      <c r="AJ121" s="1020"/>
      <c r="AK121" s="1020"/>
      <c r="AL121" s="1020"/>
      <c r="AM121" s="1020"/>
      <c r="AN121" s="1020"/>
      <c r="AO121" s="1020"/>
      <c r="AP121" s="1020"/>
      <c r="AQ121" s="1020"/>
      <c r="AR121" s="1020"/>
      <c r="AS121" s="1020"/>
      <c r="AT121" s="1020"/>
      <c r="AU121" s="1020"/>
      <c r="AV121" s="1020"/>
      <c r="AW121" s="1020"/>
      <c r="AX121" s="1020"/>
      <c r="AY121" s="1020"/>
      <c r="AZ121" s="1020"/>
      <c r="BA121" s="1020"/>
      <c r="BB121" s="1020"/>
      <c r="BC121" s="1128"/>
      <c r="BD121" s="1020"/>
      <c r="BE121" s="1020"/>
      <c r="BF121" s="1083"/>
      <c r="BG121" s="1020"/>
      <c r="BH121" s="1020"/>
      <c r="BI121" s="1128"/>
      <c r="BJ121" s="1020"/>
      <c r="BK121" s="1020"/>
      <c r="BL121" s="1090"/>
      <c r="BM121" s="1020"/>
      <c r="BN121" s="1020"/>
      <c r="BO121" s="1016"/>
    </row>
    <row r="122" spans="20:67" ht="15.75">
      <c r="T122" s="1164"/>
      <c r="U122" s="1164"/>
      <c r="V122" s="1164"/>
      <c r="W122" s="1164"/>
      <c r="X122" s="168"/>
      <c r="Y122" s="1181"/>
      <c r="Z122" s="1181"/>
      <c r="AA122" s="1181"/>
      <c r="AB122" s="1181"/>
      <c r="AC122" s="1020"/>
      <c r="AD122" s="1020"/>
      <c r="AE122" s="1020"/>
      <c r="AF122" s="1020"/>
      <c r="AG122" s="1020"/>
      <c r="AH122" s="1020"/>
      <c r="AI122" s="1020"/>
      <c r="AJ122" s="1020"/>
      <c r="AK122" s="1020"/>
      <c r="AL122" s="1020"/>
      <c r="AM122" s="1020"/>
      <c r="AN122" s="1020"/>
      <c r="AO122" s="1020"/>
      <c r="AP122" s="1020"/>
      <c r="AQ122" s="1020"/>
      <c r="AR122" s="1020"/>
      <c r="AS122" s="1020"/>
      <c r="AT122" s="1020"/>
      <c r="AU122" s="1020"/>
      <c r="AV122" s="1020"/>
      <c r="AW122" s="1020"/>
      <c r="AX122" s="1020"/>
      <c r="AY122" s="1020"/>
      <c r="AZ122" s="1020"/>
      <c r="BA122" s="1020"/>
      <c r="BB122" s="1020"/>
      <c r="BC122" s="1128"/>
      <c r="BD122" s="1020"/>
      <c r="BE122" s="1020"/>
      <c r="BF122" s="1083"/>
      <c r="BG122" s="1020"/>
      <c r="BH122" s="1020"/>
      <c r="BI122" s="1128"/>
      <c r="BJ122" s="1020"/>
      <c r="BK122" s="1020"/>
      <c r="BL122" s="1090"/>
      <c r="BM122" s="1020"/>
      <c r="BN122" s="1020"/>
      <c r="BO122" s="1016"/>
    </row>
    <row r="123" spans="20:67" ht="15.75">
      <c r="T123" s="1164"/>
      <c r="U123" s="1164"/>
      <c r="V123" s="1164"/>
      <c r="W123" s="1164"/>
      <c r="X123" s="168"/>
      <c r="Y123" s="1181"/>
      <c r="Z123" s="1181"/>
      <c r="AA123" s="1181"/>
      <c r="AB123" s="1181"/>
      <c r="AC123" s="1020"/>
      <c r="AD123" s="1020"/>
      <c r="AE123" s="1020"/>
      <c r="AF123" s="1020"/>
      <c r="AG123" s="1020"/>
      <c r="AH123" s="1020"/>
      <c r="AI123" s="1020"/>
      <c r="AJ123" s="1020"/>
      <c r="AK123" s="1020"/>
      <c r="AL123" s="1020"/>
      <c r="AM123" s="1020"/>
      <c r="AN123" s="1020"/>
      <c r="AO123" s="1020"/>
      <c r="AP123" s="1020"/>
      <c r="AQ123" s="1020"/>
      <c r="AR123" s="1020"/>
      <c r="AS123" s="1020"/>
      <c r="AT123" s="1020"/>
      <c r="AU123" s="1020"/>
      <c r="AV123" s="1020"/>
      <c r="AW123" s="1020"/>
      <c r="AX123" s="1020"/>
      <c r="AY123" s="1020"/>
      <c r="AZ123" s="1020"/>
      <c r="BA123" s="1020"/>
      <c r="BB123" s="1020"/>
      <c r="BC123" s="1128"/>
      <c r="BD123" s="1020"/>
      <c r="BE123" s="1020"/>
      <c r="BF123" s="1083"/>
      <c r="BG123" s="1020"/>
      <c r="BH123" s="1020"/>
      <c r="BI123" s="1128"/>
      <c r="BJ123" s="1020"/>
      <c r="BK123" s="1020"/>
      <c r="BL123" s="1090"/>
      <c r="BM123" s="1020"/>
      <c r="BN123" s="1020"/>
      <c r="BO123" s="1016"/>
    </row>
    <row r="124" spans="20:67" ht="15.75">
      <c r="T124" s="1164"/>
      <c r="U124" s="1164"/>
      <c r="V124" s="1164"/>
      <c r="W124" s="1164"/>
      <c r="X124" s="168"/>
      <c r="Y124" s="1181"/>
      <c r="Z124" s="1181"/>
      <c r="AA124" s="1181"/>
      <c r="AB124" s="1181"/>
      <c r="AC124" s="1020"/>
      <c r="AD124" s="1020"/>
      <c r="AE124" s="1020"/>
      <c r="AF124" s="1020"/>
      <c r="AG124" s="1020"/>
      <c r="AH124" s="1020"/>
      <c r="AI124" s="1020"/>
      <c r="AJ124" s="1020"/>
      <c r="AK124" s="1020"/>
      <c r="AL124" s="1020"/>
      <c r="AM124" s="1020"/>
      <c r="AN124" s="1020"/>
      <c r="AO124" s="1020"/>
      <c r="AP124" s="1020"/>
      <c r="AQ124" s="1020"/>
      <c r="AR124" s="1020"/>
      <c r="AS124" s="1020"/>
      <c r="AT124" s="1020"/>
      <c r="AU124" s="1020"/>
      <c r="AV124" s="1020"/>
      <c r="AW124" s="1020"/>
      <c r="AX124" s="1020"/>
      <c r="AY124" s="1020"/>
      <c r="AZ124" s="1020"/>
      <c r="BA124" s="1020"/>
      <c r="BB124" s="1020"/>
      <c r="BC124" s="1128"/>
      <c r="BD124" s="1020"/>
      <c r="BE124" s="1020"/>
      <c r="BF124" s="1083"/>
      <c r="BG124" s="1020"/>
      <c r="BH124" s="1020"/>
      <c r="BI124" s="1128"/>
      <c r="BJ124" s="1020"/>
      <c r="BK124" s="1020"/>
      <c r="BL124" s="1090"/>
      <c r="BM124" s="1020"/>
      <c r="BN124" s="1020"/>
      <c r="BO124" s="1016"/>
    </row>
    <row r="125" spans="20:67">
      <c r="T125" s="1164"/>
      <c r="U125" s="1164"/>
      <c r="V125" s="1164"/>
      <c r="W125" s="1164"/>
      <c r="X125" s="1164"/>
      <c r="Y125" s="1164"/>
      <c r="Z125" s="1164"/>
      <c r="AA125" s="1164"/>
      <c r="AB125" s="1164"/>
    </row>
    <row r="126" spans="20:67">
      <c r="T126" s="1164"/>
      <c r="U126" s="1164"/>
      <c r="V126" s="1164"/>
      <c r="W126" s="1164"/>
      <c r="X126" s="1164"/>
      <c r="Y126" s="1164"/>
      <c r="Z126" s="1164"/>
      <c r="AA126" s="1164"/>
      <c r="AB126" s="1164"/>
    </row>
    <row r="127" spans="20:67">
      <c r="T127" s="1164"/>
      <c r="U127" s="1164"/>
      <c r="V127" s="1164"/>
      <c r="W127" s="1164"/>
      <c r="X127" s="1164"/>
      <c r="Y127" s="1164"/>
      <c r="Z127" s="1164"/>
      <c r="AA127" s="1164"/>
      <c r="AB127" s="1164"/>
    </row>
  </sheetData>
  <sheetProtection sheet="1" formatCells="0" formatColumns="0" formatRows="0" selectLockedCells="1"/>
  <mergeCells count="34">
    <mergeCell ref="N44:N45"/>
    <mergeCell ref="P44:P45"/>
    <mergeCell ref="BC5:BG6"/>
    <mergeCell ref="BI5:BM6"/>
    <mergeCell ref="R4:BA4"/>
    <mergeCell ref="R5:BA5"/>
    <mergeCell ref="R6:R7"/>
    <mergeCell ref="T6:Y6"/>
    <mergeCell ref="S6:S7"/>
    <mergeCell ref="BC2:BM4"/>
    <mergeCell ref="A47:B49"/>
    <mergeCell ref="C47:P49"/>
    <mergeCell ref="A51:B54"/>
    <mergeCell ref="C51:P53"/>
    <mergeCell ref="C54:P54"/>
    <mergeCell ref="H1:I1"/>
    <mergeCell ref="H2:I2"/>
    <mergeCell ref="A4:P4"/>
    <mergeCell ref="A5:P5"/>
    <mergeCell ref="A6:A7"/>
    <mergeCell ref="B6:B7"/>
    <mergeCell ref="C6:C7"/>
    <mergeCell ref="D6:F6"/>
    <mergeCell ref="G6:I6"/>
    <mergeCell ref="J6:J7"/>
    <mergeCell ref="K6:K7"/>
    <mergeCell ref="L6:L7"/>
    <mergeCell ref="M6:N6"/>
    <mergeCell ref="O6:P6"/>
    <mergeCell ref="W63:X63"/>
    <mergeCell ref="AA6:AF6"/>
    <mergeCell ref="AH6:AM6"/>
    <mergeCell ref="AO6:AT6"/>
    <mergeCell ref="AV6:BA6"/>
  </mergeCells>
  <dataValidations count="2">
    <dataValidation type="list" allowBlank="1" sqref="J8:J42">
      <formula1>"0,10,20,30,40,50,60,70,80,90,Reinbestand"</formula1>
    </dataValidation>
    <dataValidation type="list" allowBlank="1" sqref="C8:C42">
      <formula1>BO$7:BO$21</formula1>
    </dataValidation>
  </dataValidations>
  <pageMargins left="0.31496062992125984" right="0.31496062992125984" top="0.31496062992125984" bottom="0.15748031496062992" header="0.31496062992125984" footer="0.31496062992125984"/>
  <pageSetup paperSize="9" scale="61" fitToHeight="0" orientation="landscape" r:id="rId1"/>
  <rowBreaks count="1" manualBreakCount="1">
    <brk id="43" max="52" man="1"/>
  </rowBreaks>
  <colBreaks count="1" manualBreakCount="1">
    <brk id="16" max="3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AB8:AB42 U8:U42 AI8:AI42 AP8:AP42 AW8:AW42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X127"/>
  <sheetViews>
    <sheetView zoomScale="90" zoomScaleNormal="90" zoomScalePageLayoutView="60" workbookViewId="0">
      <selection activeCell="A8" sqref="A8"/>
    </sheetView>
  </sheetViews>
  <sheetFormatPr baseColWidth="10" defaultRowHeight="15"/>
  <cols>
    <col min="1" max="1" width="19.5703125" style="175" customWidth="1"/>
    <col min="2" max="2" width="12.5703125" style="1268" customWidth="1"/>
    <col min="3" max="3" width="42.7109375" style="1268" customWidth="1"/>
    <col min="4" max="4" width="10.42578125" style="175" customWidth="1"/>
    <col min="5" max="5" width="11" style="1268" customWidth="1"/>
    <col min="6" max="6" width="11.140625" style="1268" customWidth="1"/>
    <col min="7" max="7" width="8.42578125" style="1268" customWidth="1"/>
    <col min="8" max="8" width="10.140625" style="1268" customWidth="1"/>
    <col min="9" max="9" width="13.42578125" style="1268" customWidth="1"/>
    <col min="10" max="10" width="17.42578125" style="1268" customWidth="1"/>
    <col min="11" max="11" width="6.28515625" style="1268" customWidth="1"/>
    <col min="12" max="12" width="16.140625" style="1268" customWidth="1"/>
    <col min="13" max="13" width="10.85546875" style="175" customWidth="1"/>
    <col min="14" max="14" width="12.7109375" style="282" customWidth="1"/>
    <col min="15" max="15" width="10.85546875" style="1268" customWidth="1"/>
    <col min="16" max="16" width="11.7109375" style="1268" customWidth="1"/>
    <col min="17" max="17" width="2.5703125" style="1268" customWidth="1"/>
    <col min="18" max="18" width="15" style="1268" customWidth="1"/>
    <col min="19" max="19" width="11.42578125" style="1268" customWidth="1"/>
    <col min="20" max="20" width="9.5703125" style="1268" customWidth="1"/>
    <col min="21" max="21" width="13.140625" style="1268" customWidth="1"/>
    <col min="22" max="22" width="7.28515625" style="1268" customWidth="1"/>
    <col min="23" max="25" width="7.140625" style="1268" customWidth="1"/>
    <col min="26" max="26" width="1.28515625" style="1268" customWidth="1"/>
    <col min="27" max="27" width="9.42578125" style="1268" customWidth="1"/>
    <col min="28" max="28" width="13.140625" style="1268" customWidth="1"/>
    <col min="29" max="32" width="7.28515625" style="1268" customWidth="1"/>
    <col min="33" max="33" width="1.5703125" style="1268" customWidth="1"/>
    <col min="34" max="34" width="9.5703125" style="1268" customWidth="1"/>
    <col min="35" max="35" width="13.140625" style="1268" customWidth="1"/>
    <col min="36" max="36" width="7.28515625" style="1268" customWidth="1"/>
    <col min="37" max="39" width="7.140625" style="1268" customWidth="1"/>
    <col min="40" max="40" width="1.85546875" style="1268" customWidth="1"/>
    <col min="41" max="46" width="3" style="1268" customWidth="1"/>
    <col min="47" max="47" width="1.5703125" style="1268" customWidth="1"/>
    <col min="48" max="54" width="2.5703125" style="1268" customWidth="1"/>
    <col min="55" max="55" width="7.28515625" style="1268" customWidth="1"/>
    <col min="56" max="57" width="7.140625" style="1268" customWidth="1"/>
    <col min="58" max="58" width="9.140625" style="1268" customWidth="1"/>
    <col min="59" max="59" width="7.5703125" style="1268" customWidth="1"/>
    <col min="60" max="60" width="2.140625" style="1268" customWidth="1"/>
    <col min="61" max="61" width="7.28515625" style="1268" customWidth="1"/>
    <col min="62" max="63" width="7.140625" style="1268" customWidth="1"/>
    <col min="64" max="64" width="8.85546875" style="1268" customWidth="1"/>
    <col min="65" max="65" width="8" style="1268" customWidth="1"/>
    <col min="66" max="66" width="5.7109375" style="1268" customWidth="1"/>
    <col min="67" max="67" width="50.7109375" style="1268" customWidth="1"/>
    <col min="68" max="68" width="10" style="1268" customWidth="1"/>
    <col min="69" max="69" width="11.7109375" style="1268" customWidth="1"/>
    <col min="70" max="70" width="12" style="1268" customWidth="1"/>
    <col min="71" max="71" width="27.5703125" style="1268" customWidth="1"/>
    <col min="72" max="16384" width="11.42578125" style="1268"/>
  </cols>
  <sheetData>
    <row r="1" spans="1:76" ht="15.75" customHeight="1">
      <c r="A1" s="2559" t="s">
        <v>1142</v>
      </c>
      <c r="B1" s="2560"/>
      <c r="C1" s="534" t="str">
        <f>'DüV-N-Ackerbau'!C1</f>
        <v>Karl vom Land</v>
      </c>
      <c r="D1" s="534"/>
      <c r="E1" s="534" t="str">
        <f>'DüV-N-Ackerbau'!F1</f>
        <v>Erntejahr</v>
      </c>
      <c r="F1" s="507"/>
      <c r="G1" s="1258"/>
      <c r="H1" s="2447" t="s">
        <v>34</v>
      </c>
      <c r="I1" s="2448"/>
      <c r="J1" s="1258"/>
      <c r="K1" s="1258"/>
      <c r="L1" s="1258"/>
      <c r="M1" s="2568" t="s">
        <v>1143</v>
      </c>
      <c r="N1" s="2568"/>
      <c r="O1" s="1258"/>
      <c r="P1" s="1265"/>
      <c r="Q1" s="1251"/>
      <c r="R1" s="2559" t="s">
        <v>1142</v>
      </c>
      <c r="S1" s="2731"/>
      <c r="T1" s="2732" t="s">
        <v>1182</v>
      </c>
      <c r="U1" s="2733"/>
      <c r="V1" s="2733"/>
      <c r="W1" s="2733"/>
      <c r="X1" s="2733"/>
      <c r="Y1" s="2733"/>
      <c r="Z1" s="2733"/>
      <c r="AA1" s="2733"/>
      <c r="AB1" s="2733"/>
      <c r="AC1" s="2733"/>
      <c r="AD1" s="2733"/>
      <c r="AE1" s="2733"/>
      <c r="AF1" s="2733"/>
      <c r="AG1" s="2733"/>
      <c r="AH1" s="2733"/>
      <c r="AI1" s="2733"/>
      <c r="AJ1" s="2733"/>
      <c r="AK1" s="2733"/>
      <c r="AL1" s="2733"/>
      <c r="AM1" s="2733"/>
      <c r="AN1" s="2733"/>
      <c r="AO1" s="2733"/>
      <c r="AP1" s="2733"/>
      <c r="AQ1" s="2733"/>
      <c r="AR1" s="2733"/>
      <c r="AS1" s="2733"/>
      <c r="AT1" s="2733"/>
      <c r="AU1" s="2733"/>
      <c r="AV1" s="2733"/>
      <c r="AW1" s="2733"/>
      <c r="AX1" s="2733"/>
      <c r="AY1" s="2733"/>
      <c r="AZ1" s="2733"/>
      <c r="BA1" s="2734"/>
      <c r="BB1" s="1251"/>
      <c r="BC1" s="2541" t="s">
        <v>1155</v>
      </c>
      <c r="BD1" s="2542"/>
      <c r="BE1" s="2542"/>
      <c r="BF1" s="2542"/>
      <c r="BG1" s="2542"/>
      <c r="BH1" s="2542"/>
      <c r="BI1" s="2542"/>
      <c r="BJ1" s="2542"/>
      <c r="BK1" s="2542"/>
      <c r="BL1" s="2542"/>
      <c r="BM1" s="2543"/>
      <c r="BN1" s="1251"/>
    </row>
    <row r="2" spans="1:76" ht="24.75" customHeight="1">
      <c r="A2" s="2560"/>
      <c r="B2" s="2560"/>
      <c r="C2" s="412" t="str">
        <f>'DüV-N-Ackerbau'!C2</f>
        <v>Höfen 1</v>
      </c>
      <c r="D2" s="114"/>
      <c r="E2" s="412">
        <f>'DüV-N-Ackerbau'!G1</f>
        <v>2022</v>
      </c>
      <c r="F2" s="114"/>
      <c r="G2" s="131"/>
      <c r="H2" s="2451" t="s">
        <v>36</v>
      </c>
      <c r="I2" s="2452"/>
      <c r="J2" s="1251"/>
      <c r="K2" s="1251"/>
      <c r="L2" s="1251"/>
      <c r="M2" s="2568"/>
      <c r="N2" s="2568"/>
      <c r="O2" s="1251"/>
      <c r="P2" s="1264"/>
      <c r="Q2" s="1251"/>
      <c r="R2" s="2560"/>
      <c r="S2" s="2731"/>
      <c r="T2" s="2735"/>
      <c r="U2" s="2736"/>
      <c r="V2" s="2736"/>
      <c r="W2" s="2736"/>
      <c r="X2" s="2736"/>
      <c r="Y2" s="2736"/>
      <c r="Z2" s="2736"/>
      <c r="AA2" s="2736"/>
      <c r="AB2" s="2736"/>
      <c r="AC2" s="2736"/>
      <c r="AD2" s="2736"/>
      <c r="AE2" s="2736"/>
      <c r="AF2" s="2736"/>
      <c r="AG2" s="2736"/>
      <c r="AH2" s="2736"/>
      <c r="AI2" s="2736"/>
      <c r="AJ2" s="2736"/>
      <c r="AK2" s="2736"/>
      <c r="AL2" s="2736"/>
      <c r="AM2" s="2736"/>
      <c r="AN2" s="2736"/>
      <c r="AO2" s="2736"/>
      <c r="AP2" s="2736"/>
      <c r="AQ2" s="2736"/>
      <c r="AR2" s="2736"/>
      <c r="AS2" s="2736"/>
      <c r="AT2" s="2736"/>
      <c r="AU2" s="2736"/>
      <c r="AV2" s="2736"/>
      <c r="AW2" s="2736"/>
      <c r="AX2" s="2736"/>
      <c r="AY2" s="2736"/>
      <c r="AZ2" s="2736"/>
      <c r="BA2" s="2737"/>
      <c r="BB2" s="1251"/>
      <c r="BC2" s="2485"/>
      <c r="BD2" s="2526"/>
      <c r="BE2" s="2526"/>
      <c r="BF2" s="2526"/>
      <c r="BG2" s="2526"/>
      <c r="BH2" s="2526"/>
      <c r="BI2" s="2526"/>
      <c r="BJ2" s="2526"/>
      <c r="BK2" s="2526"/>
      <c r="BL2" s="2526"/>
      <c r="BM2" s="2486"/>
      <c r="BN2" s="1251"/>
    </row>
    <row r="3" spans="1:76" ht="24.75" customHeight="1" thickBot="1">
      <c r="A3" s="2560"/>
      <c r="B3" s="2560"/>
      <c r="C3" s="1178" t="str">
        <f>'DüV-N-Ackerbau'!C3</f>
        <v>12345 Auf dem Feld</v>
      </c>
      <c r="D3" s="1177"/>
      <c r="E3" s="1177"/>
      <c r="F3" s="1177"/>
      <c r="G3" s="1259"/>
      <c r="H3" s="1259"/>
      <c r="I3" s="1259"/>
      <c r="J3" s="1259"/>
      <c r="K3" s="1259"/>
      <c r="L3" s="1255"/>
      <c r="M3" s="2568"/>
      <c r="N3" s="2568"/>
      <c r="O3" s="1179"/>
      <c r="P3" s="1180"/>
      <c r="Q3" s="1266"/>
      <c r="R3" s="2560"/>
      <c r="S3" s="2731"/>
      <c r="T3" s="2738"/>
      <c r="U3" s="2739"/>
      <c r="V3" s="2739"/>
      <c r="W3" s="2739"/>
      <c r="X3" s="2739"/>
      <c r="Y3" s="2739"/>
      <c r="Z3" s="2739"/>
      <c r="AA3" s="2739"/>
      <c r="AB3" s="2739"/>
      <c r="AC3" s="2739"/>
      <c r="AD3" s="2739"/>
      <c r="AE3" s="2739"/>
      <c r="AF3" s="2739"/>
      <c r="AG3" s="2739"/>
      <c r="AH3" s="2739"/>
      <c r="AI3" s="2739"/>
      <c r="AJ3" s="2739"/>
      <c r="AK3" s="2739"/>
      <c r="AL3" s="2739"/>
      <c r="AM3" s="2739"/>
      <c r="AN3" s="2739"/>
      <c r="AO3" s="2739"/>
      <c r="AP3" s="2739"/>
      <c r="AQ3" s="2739"/>
      <c r="AR3" s="2739"/>
      <c r="AS3" s="2739"/>
      <c r="AT3" s="2739"/>
      <c r="AU3" s="2739"/>
      <c r="AV3" s="2739"/>
      <c r="AW3" s="2739"/>
      <c r="AX3" s="2739"/>
      <c r="AY3" s="2739"/>
      <c r="AZ3" s="2739"/>
      <c r="BA3" s="2740"/>
      <c r="BB3" s="1251"/>
      <c r="BC3" s="2485"/>
      <c r="BD3" s="2526"/>
      <c r="BE3" s="2526"/>
      <c r="BF3" s="2526"/>
      <c r="BG3" s="2526"/>
      <c r="BH3" s="2526"/>
      <c r="BI3" s="2526"/>
      <c r="BJ3" s="2526"/>
      <c r="BK3" s="2526"/>
      <c r="BL3" s="2526"/>
      <c r="BM3" s="2486"/>
      <c r="BN3" s="1251"/>
    </row>
    <row r="4" spans="1:76" ht="36.75" customHeight="1" thickBot="1">
      <c r="A4" s="2716" t="s">
        <v>1210</v>
      </c>
      <c r="B4" s="2675"/>
      <c r="C4" s="2675"/>
      <c r="D4" s="2675"/>
      <c r="E4" s="2675"/>
      <c r="F4" s="2675"/>
      <c r="G4" s="2675"/>
      <c r="H4" s="2675"/>
      <c r="I4" s="2675"/>
      <c r="J4" s="2675"/>
      <c r="K4" s="2675"/>
      <c r="L4" s="2675"/>
      <c r="M4" s="2675"/>
      <c r="N4" s="2675"/>
      <c r="O4" s="2717"/>
      <c r="P4" s="2718"/>
      <c r="Q4" s="1251"/>
      <c r="R4" s="2725" t="s">
        <v>1150</v>
      </c>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7"/>
      <c r="BB4" s="1251"/>
      <c r="BC4" s="2487"/>
      <c r="BD4" s="2544"/>
      <c r="BE4" s="2544"/>
      <c r="BF4" s="2544"/>
      <c r="BG4" s="2544"/>
      <c r="BH4" s="2544"/>
      <c r="BI4" s="2544"/>
      <c r="BJ4" s="2544"/>
      <c r="BK4" s="2544"/>
      <c r="BL4" s="2544"/>
      <c r="BM4" s="2488"/>
      <c r="BN4" s="1251"/>
    </row>
    <row r="5" spans="1:76" ht="15" customHeight="1" thickBot="1">
      <c r="A5" s="2539" t="s">
        <v>1151</v>
      </c>
      <c r="B5" s="2672"/>
      <c r="C5" s="2672"/>
      <c r="D5" s="2672"/>
      <c r="E5" s="2672"/>
      <c r="F5" s="2672"/>
      <c r="G5" s="2672"/>
      <c r="H5" s="2672"/>
      <c r="I5" s="2672"/>
      <c r="J5" s="2672"/>
      <c r="K5" s="2672"/>
      <c r="L5" s="2672"/>
      <c r="M5" s="2672"/>
      <c r="N5" s="2672"/>
      <c r="O5" s="2672"/>
      <c r="P5" s="2673"/>
      <c r="Q5" s="1262"/>
      <c r="R5" s="2728" t="s">
        <v>1018</v>
      </c>
      <c r="S5" s="2729"/>
      <c r="T5" s="2729"/>
      <c r="U5" s="2729"/>
      <c r="V5" s="2729"/>
      <c r="W5" s="2729"/>
      <c r="X5" s="2729"/>
      <c r="Y5" s="2729"/>
      <c r="Z5" s="2729"/>
      <c r="AA5" s="2729"/>
      <c r="AB5" s="2729"/>
      <c r="AC5" s="2729"/>
      <c r="AD5" s="2729"/>
      <c r="AE5" s="2729"/>
      <c r="AF5" s="2729"/>
      <c r="AG5" s="2729"/>
      <c r="AH5" s="2729"/>
      <c r="AI5" s="2729"/>
      <c r="AJ5" s="2729"/>
      <c r="AK5" s="2729"/>
      <c r="AL5" s="2729"/>
      <c r="AM5" s="2729"/>
      <c r="AN5" s="2729"/>
      <c r="AO5" s="2729"/>
      <c r="AP5" s="2729"/>
      <c r="AQ5" s="2729"/>
      <c r="AR5" s="2729"/>
      <c r="AS5" s="2729"/>
      <c r="AT5" s="2729"/>
      <c r="AU5" s="2729"/>
      <c r="AV5" s="2729"/>
      <c r="AW5" s="2729"/>
      <c r="AX5" s="2729"/>
      <c r="AY5" s="2729"/>
      <c r="AZ5" s="2729"/>
      <c r="BA5" s="2730"/>
      <c r="BB5" s="1272"/>
      <c r="BC5" s="2714" t="s">
        <v>1065</v>
      </c>
      <c r="BD5" s="2715"/>
      <c r="BE5" s="2715"/>
      <c r="BF5" s="2715"/>
      <c r="BG5" s="2715"/>
      <c r="BH5" s="1272"/>
      <c r="BI5" s="2697" t="s">
        <v>1076</v>
      </c>
      <c r="BJ5" s="2698"/>
      <c r="BK5" s="2698"/>
      <c r="BL5" s="2698"/>
      <c r="BM5" s="2698"/>
      <c r="BN5" s="1250"/>
      <c r="BO5" s="92"/>
      <c r="BP5" s="92"/>
      <c r="BQ5" s="145"/>
      <c r="BS5" s="995"/>
      <c r="BT5" s="996"/>
      <c r="BU5" s="997"/>
      <c r="BV5" s="997"/>
      <c r="BW5" s="998"/>
      <c r="BX5" s="998"/>
    </row>
    <row r="6" spans="1:76" ht="28.5" customHeight="1">
      <c r="A6" s="2679" t="s">
        <v>1075</v>
      </c>
      <c r="B6" s="2553" t="s">
        <v>562</v>
      </c>
      <c r="C6" s="2690" t="s">
        <v>1115</v>
      </c>
      <c r="D6" s="2719" t="s">
        <v>295</v>
      </c>
      <c r="E6" s="2720"/>
      <c r="F6" s="2721"/>
      <c r="G6" s="2719" t="s">
        <v>296</v>
      </c>
      <c r="H6" s="2720"/>
      <c r="I6" s="2721"/>
      <c r="J6" s="2536" t="s">
        <v>244</v>
      </c>
      <c r="K6" s="2561" t="s">
        <v>163</v>
      </c>
      <c r="L6" s="2722" t="s">
        <v>1055</v>
      </c>
      <c r="M6" s="2499" t="s">
        <v>1013</v>
      </c>
      <c r="N6" s="2500"/>
      <c r="O6" s="2677" t="s">
        <v>1133</v>
      </c>
      <c r="P6" s="2678"/>
      <c r="Q6" s="1256"/>
      <c r="R6" s="2501" t="s">
        <v>1134</v>
      </c>
      <c r="S6" s="2515" t="s">
        <v>623</v>
      </c>
      <c r="T6" s="2612" t="s">
        <v>1425</v>
      </c>
      <c r="U6" s="2504"/>
      <c r="V6" s="2504"/>
      <c r="W6" s="2504"/>
      <c r="X6" s="2504"/>
      <c r="Y6" s="2504"/>
      <c r="Z6" s="525"/>
      <c r="AA6" s="2612" t="s">
        <v>1426</v>
      </c>
      <c r="AB6" s="2504"/>
      <c r="AC6" s="2504"/>
      <c r="AD6" s="2504"/>
      <c r="AE6" s="2504"/>
      <c r="AF6" s="2504"/>
      <c r="AG6" s="2099"/>
      <c r="AH6" s="2612" t="s">
        <v>1427</v>
      </c>
      <c r="AI6" s="2504"/>
      <c r="AJ6" s="2504"/>
      <c r="AK6" s="2504"/>
      <c r="AL6" s="2504"/>
      <c r="AM6" s="2504"/>
      <c r="AN6" s="131"/>
      <c r="AO6" s="2612" t="s">
        <v>1428</v>
      </c>
      <c r="AP6" s="2504"/>
      <c r="AQ6" s="2504"/>
      <c r="AR6" s="2504"/>
      <c r="AS6" s="2504"/>
      <c r="AT6" s="2504"/>
      <c r="AU6" s="864"/>
      <c r="AV6" s="2612" t="s">
        <v>1429</v>
      </c>
      <c r="AW6" s="2504"/>
      <c r="AX6" s="2504"/>
      <c r="AY6" s="2504"/>
      <c r="AZ6" s="2504"/>
      <c r="BA6" s="2504"/>
      <c r="BB6" s="1262"/>
      <c r="BC6" s="2514"/>
      <c r="BD6" s="2514"/>
      <c r="BE6" s="2514"/>
      <c r="BF6" s="2514"/>
      <c r="BG6" s="2514"/>
      <c r="BH6" s="1262"/>
      <c r="BI6" s="2490"/>
      <c r="BJ6" s="2490"/>
      <c r="BK6" s="2490"/>
      <c r="BL6" s="2490"/>
      <c r="BM6" s="2490"/>
      <c r="BN6" s="1250"/>
      <c r="BO6" s="645" t="s">
        <v>242</v>
      </c>
      <c r="BP6" s="645" t="s">
        <v>33</v>
      </c>
      <c r="BQ6" s="645" t="s">
        <v>11</v>
      </c>
      <c r="BR6" s="646" t="s">
        <v>600</v>
      </c>
      <c r="BS6" s="998"/>
      <c r="BT6" s="999"/>
      <c r="BU6" s="1000"/>
      <c r="BV6" s="998"/>
      <c r="BW6" s="998"/>
      <c r="BX6" s="998"/>
    </row>
    <row r="7" spans="1:76" s="1070" customFormat="1" ht="49.5" customHeight="1" thickBot="1">
      <c r="A7" s="2680"/>
      <c r="B7" s="2554"/>
      <c r="C7" s="2535"/>
      <c r="D7" s="561" t="s">
        <v>85</v>
      </c>
      <c r="E7" s="510" t="s">
        <v>11</v>
      </c>
      <c r="F7" s="562" t="s">
        <v>297</v>
      </c>
      <c r="G7" s="1267" t="s">
        <v>85</v>
      </c>
      <c r="H7" s="559" t="s">
        <v>301</v>
      </c>
      <c r="I7" s="568" t="s">
        <v>299</v>
      </c>
      <c r="J7" s="2444"/>
      <c r="K7" s="2440"/>
      <c r="L7" s="2723"/>
      <c r="M7" s="660" t="s">
        <v>322</v>
      </c>
      <c r="N7" s="641" t="s">
        <v>604</v>
      </c>
      <c r="O7" s="644" t="s">
        <v>599</v>
      </c>
      <c r="P7" s="641" t="s">
        <v>604</v>
      </c>
      <c r="Q7" s="980"/>
      <c r="R7" s="2502"/>
      <c r="S7" s="2490"/>
      <c r="T7" s="2092" t="s">
        <v>839</v>
      </c>
      <c r="U7" s="2090" t="s">
        <v>819</v>
      </c>
      <c r="V7" s="2095" t="s">
        <v>33</v>
      </c>
      <c r="W7" s="2091" t="s">
        <v>1062</v>
      </c>
      <c r="X7" s="2095" t="s">
        <v>1063</v>
      </c>
      <c r="Y7" s="2091" t="s">
        <v>1064</v>
      </c>
      <c r="Z7" s="1421"/>
      <c r="AA7" s="2092" t="s">
        <v>839</v>
      </c>
      <c r="AB7" s="2090" t="s">
        <v>819</v>
      </c>
      <c r="AC7" s="2095" t="s">
        <v>33</v>
      </c>
      <c r="AD7" s="2091" t="s">
        <v>1062</v>
      </c>
      <c r="AE7" s="2095" t="s">
        <v>1063</v>
      </c>
      <c r="AF7" s="2091" t="s">
        <v>1064</v>
      </c>
      <c r="AG7" s="279"/>
      <c r="AH7" s="2092" t="s">
        <v>839</v>
      </c>
      <c r="AI7" s="2090" t="s">
        <v>819</v>
      </c>
      <c r="AJ7" s="2095" t="s">
        <v>33</v>
      </c>
      <c r="AK7" s="2091" t="s">
        <v>1062</v>
      </c>
      <c r="AL7" s="2095" t="s">
        <v>1063</v>
      </c>
      <c r="AM7" s="2091" t="s">
        <v>1064</v>
      </c>
      <c r="AN7" s="279"/>
      <c r="AO7" s="2092" t="s">
        <v>839</v>
      </c>
      <c r="AP7" s="2090" t="s">
        <v>819</v>
      </c>
      <c r="AQ7" s="2095" t="s">
        <v>33</v>
      </c>
      <c r="AR7" s="2091" t="s">
        <v>1062</v>
      </c>
      <c r="AS7" s="2095" t="s">
        <v>1063</v>
      </c>
      <c r="AT7" s="2091" t="s">
        <v>1064</v>
      </c>
      <c r="AU7" s="279"/>
      <c r="AV7" s="2092" t="s">
        <v>839</v>
      </c>
      <c r="AW7" s="2090" t="s">
        <v>819</v>
      </c>
      <c r="AX7" s="2095" t="s">
        <v>33</v>
      </c>
      <c r="AY7" s="2091" t="s">
        <v>1062</v>
      </c>
      <c r="AZ7" s="2095" t="s">
        <v>1063</v>
      </c>
      <c r="BA7" s="2091" t="s">
        <v>1064</v>
      </c>
      <c r="BB7" s="1256"/>
      <c r="BC7" s="1809" t="s">
        <v>1080</v>
      </c>
      <c r="BD7" s="1270" t="s">
        <v>1066</v>
      </c>
      <c r="BE7" s="1307" t="s">
        <v>1309</v>
      </c>
      <c r="BF7" s="906" t="s">
        <v>1241</v>
      </c>
      <c r="BG7" s="1270" t="s">
        <v>284</v>
      </c>
      <c r="BH7" s="1256"/>
      <c r="BI7" s="1809" t="s">
        <v>1080</v>
      </c>
      <c r="BJ7" s="1270" t="s">
        <v>1066</v>
      </c>
      <c r="BK7" s="1307" t="s">
        <v>1309</v>
      </c>
      <c r="BL7" s="906" t="s">
        <v>1241</v>
      </c>
      <c r="BM7" s="1270" t="s">
        <v>284</v>
      </c>
      <c r="BN7" s="1256"/>
      <c r="BO7" s="994" t="s">
        <v>31</v>
      </c>
      <c r="BP7" s="647">
        <v>0</v>
      </c>
      <c r="BQ7" s="647">
        <v>0</v>
      </c>
      <c r="BR7" s="646">
        <v>0</v>
      </c>
      <c r="BS7" s="998"/>
      <c r="BT7" s="1000"/>
      <c r="BU7" s="1001"/>
      <c r="BV7" s="998"/>
      <c r="BW7" s="1002"/>
      <c r="BX7" s="1002"/>
    </row>
    <row r="8" spans="1:76" ht="23.25" customHeight="1">
      <c r="A8" s="513" t="s">
        <v>1140</v>
      </c>
      <c r="B8" s="1704">
        <v>0</v>
      </c>
      <c r="C8" s="795" t="s">
        <v>31</v>
      </c>
      <c r="D8" s="563">
        <f t="shared" ref="D8:D42" si="0">VLOOKUP(C8,BO$7:BQ$23,2,FALSE)</f>
        <v>0</v>
      </c>
      <c r="E8" s="517">
        <f t="shared" ref="E8:E42" si="1">VLOOKUP(C8,BO$7:BQ$23,3,FALSE)</f>
        <v>0</v>
      </c>
      <c r="F8" s="564">
        <f>D8*E8/6.25</f>
        <v>0</v>
      </c>
      <c r="G8" s="1722">
        <v>0</v>
      </c>
      <c r="H8" s="1723">
        <v>0</v>
      </c>
      <c r="I8" s="569">
        <f>G8*H8/6.25</f>
        <v>0</v>
      </c>
      <c r="J8" s="589">
        <v>0</v>
      </c>
      <c r="K8" s="744">
        <f>IF(J8="Reinbestand",I8,J8*3)</f>
        <v>0</v>
      </c>
      <c r="L8" s="1721">
        <v>0</v>
      </c>
      <c r="M8" s="741">
        <f t="shared" ref="M8:M42" si="2">IF(I8-K8-L8&lt;0,0,I8-K8-L8)</f>
        <v>0</v>
      </c>
      <c r="N8" s="653">
        <f t="shared" ref="N8:N42" si="3">IF(M8&lt;0,0,M8*B8)</f>
        <v>0</v>
      </c>
      <c r="O8" s="655">
        <f t="shared" ref="O8:O42" si="4">G8*VLOOKUP(C8,BO$7:BR$21,4,FALSE)</f>
        <v>0</v>
      </c>
      <c r="P8" s="591">
        <f t="shared" ref="P8:P42" si="5">B8*O8</f>
        <v>0</v>
      </c>
      <c r="Q8" s="634"/>
      <c r="R8" s="1281" t="str">
        <f>A8</f>
        <v>Fläche eins</v>
      </c>
      <c r="S8" s="1281" t="str">
        <f>C8</f>
        <v>keine</v>
      </c>
      <c r="T8" s="1329"/>
      <c r="U8" s="1330" t="s">
        <v>795</v>
      </c>
      <c r="V8" s="1424">
        <v>0</v>
      </c>
      <c r="W8" s="1033">
        <f>VLOOKUP(U8,Düngemittel!$B$6:$E$64,2,FALSE)*(VLOOKUP(U8,Düngemittel!$B$6:$E$64,3,FALSE))/100*V8</f>
        <v>0</v>
      </c>
      <c r="X8" s="1033">
        <f>VLOOKUP(U8,Düngemittel!$B$6:$E$64,2,FALSE)*V8</f>
        <v>0</v>
      </c>
      <c r="Y8" s="1033">
        <f>VLOOKUP(U8,Düngemittel!$B$6:$E$64,4,FALSE)*V8</f>
        <v>0</v>
      </c>
      <c r="Z8" s="92"/>
      <c r="AA8" s="1329"/>
      <c r="AB8" s="1330" t="s">
        <v>795</v>
      </c>
      <c r="AC8" s="1424">
        <v>0</v>
      </c>
      <c r="AD8" s="1033">
        <f>VLOOKUP(AB8,Düngemittel!$B$6:$E$64,2,FALSE)*(VLOOKUP(AB8,Düngemittel!$B$6:$E$64,3,FALSE))/100*AC8</f>
        <v>0</v>
      </c>
      <c r="AE8" s="1033">
        <f>VLOOKUP(AB8,Düngemittel!$B$6:$E$64,2,FALSE)*AC8</f>
        <v>0</v>
      </c>
      <c r="AF8" s="1033">
        <f>VLOOKUP(AB8,Düngemittel!$B$6:$E$64,4,FALSE)*AC8</f>
        <v>0</v>
      </c>
      <c r="AG8" s="92"/>
      <c r="AH8" s="1329"/>
      <c r="AI8" s="1330" t="s">
        <v>795</v>
      </c>
      <c r="AJ8" s="1424">
        <v>0</v>
      </c>
      <c r="AK8" s="1033">
        <f>VLOOKUP(AI8,Düngemittel!$B$6:$E$64,2,FALSE)*(VLOOKUP(AI8,Düngemittel!$B$6:$E$64,3,FALSE))/100*AJ8</f>
        <v>0</v>
      </c>
      <c r="AL8" s="1033">
        <f>VLOOKUP(AI8,Düngemittel!$B$6:$E$64,2,FALSE)*AJ8</f>
        <v>0</v>
      </c>
      <c r="AM8" s="1033">
        <f>VLOOKUP(AI8,Düngemittel!$B$6:$E$64,4,FALSE)*AJ8</f>
        <v>0</v>
      </c>
      <c r="AN8" s="92"/>
      <c r="AO8" s="1329"/>
      <c r="AP8" s="1330" t="s">
        <v>795</v>
      </c>
      <c r="AQ8" s="1424">
        <v>0</v>
      </c>
      <c r="AR8" s="1033">
        <f>VLOOKUP(AP8,Düngemittel!$B$6:$E$64,2,FALSE)*(VLOOKUP(AP8,Düngemittel!$B$6:$E$64,3,FALSE))/100*AQ8</f>
        <v>0</v>
      </c>
      <c r="AS8" s="1033">
        <f>VLOOKUP(AP8,Düngemittel!$B$6:$E$64,2,FALSE)*AQ8</f>
        <v>0</v>
      </c>
      <c r="AT8" s="1033">
        <f>VLOOKUP(AP8,Düngemittel!$B$6:$E$64,4,FALSE)*AQ8</f>
        <v>0</v>
      </c>
      <c r="AU8" s="92"/>
      <c r="AV8" s="1329"/>
      <c r="AW8" s="1330" t="s">
        <v>795</v>
      </c>
      <c r="AX8" s="1424">
        <v>0</v>
      </c>
      <c r="AY8" s="1033">
        <f>VLOOKUP(AW8,Düngemittel!$B$6:$E$64,2,FALSE)*(VLOOKUP(AW8,Düngemittel!$B$6:$E$64,3,FALSE))/100*AX8</f>
        <v>0</v>
      </c>
      <c r="AZ8" s="1033">
        <f>VLOOKUP(AW8,Düngemittel!$B$6:$E$64,2,FALSE)*AX8</f>
        <v>0</v>
      </c>
      <c r="BA8" s="1033">
        <f>VLOOKUP(AW8,Düngemittel!$B$6:$E$64,4,FALSE)*AX8</f>
        <v>0</v>
      </c>
      <c r="BB8" s="863"/>
      <c r="BC8" s="1812">
        <f>IF(W8&lt;X8,0,W8)+IF(AD8&lt;AE8,0,AD8)+IF(AK8&lt;AL8,0,AK8)+IF(AR8&lt;AS8,0,AR8)+IF(AY8&lt;AZ8,0,AY8)</f>
        <v>0</v>
      </c>
      <c r="BD8" s="1273">
        <f>SUM(W8+AD8+AK8+AR8+AY8)</f>
        <v>0</v>
      </c>
      <c r="BE8" s="1819">
        <f>SUM(X8+AE8+AL8+AS8+AZ8)</f>
        <v>0</v>
      </c>
      <c r="BF8" s="1151">
        <f>IF(W8&lt;X8,X8,0)+IF(AD8&lt;AE8,AE8,0)+IF(AK8&lt;AL8,AL8,0)+IF(AR8&lt;AS8,AS8,0)+IF(AY8&lt;AZ8,AZ8,0)</f>
        <v>0</v>
      </c>
      <c r="BG8" s="1273">
        <f>SUM(Y8+AF8+AM8+AT8+BA8)</f>
        <v>0</v>
      </c>
      <c r="BH8" s="1152"/>
      <c r="BI8" s="1812">
        <f>BC8*$B8</f>
        <v>0</v>
      </c>
      <c r="BJ8" s="1282">
        <f t="shared" ref="BJ8:BM8" si="6">BD8*$B8</f>
        <v>0</v>
      </c>
      <c r="BK8" s="1812">
        <f t="shared" si="6"/>
        <v>0</v>
      </c>
      <c r="BL8" s="1282">
        <f t="shared" si="6"/>
        <v>0</v>
      </c>
      <c r="BM8" s="1282">
        <f t="shared" si="6"/>
        <v>0</v>
      </c>
      <c r="BN8" s="1119"/>
      <c r="BO8" s="991" t="s">
        <v>239</v>
      </c>
      <c r="BP8" s="646">
        <v>150</v>
      </c>
      <c r="BQ8" s="646">
        <v>16.600000000000001</v>
      </c>
      <c r="BR8" s="648">
        <v>0.8</v>
      </c>
      <c r="BS8" s="998"/>
      <c r="BT8" s="999"/>
      <c r="BU8" s="1001"/>
      <c r="BV8" s="998"/>
      <c r="BW8" s="998"/>
      <c r="BX8" s="998"/>
    </row>
    <row r="9" spans="1:76" ht="23.25" customHeight="1">
      <c r="A9" s="468" t="s">
        <v>567</v>
      </c>
      <c r="B9" s="1705">
        <v>0</v>
      </c>
      <c r="C9" s="796" t="s">
        <v>31</v>
      </c>
      <c r="D9" s="565">
        <f t="shared" si="0"/>
        <v>0</v>
      </c>
      <c r="E9" s="335">
        <f t="shared" si="1"/>
        <v>0</v>
      </c>
      <c r="F9" s="566">
        <f t="shared" ref="F9:F42" si="7">D9*E9/6.25</f>
        <v>0</v>
      </c>
      <c r="G9" s="1724">
        <v>0</v>
      </c>
      <c r="H9" s="1424">
        <v>0</v>
      </c>
      <c r="I9" s="570">
        <f t="shared" ref="I9:I42" si="8">G9*H9/6.25</f>
        <v>0</v>
      </c>
      <c r="J9" s="590">
        <v>0</v>
      </c>
      <c r="K9" s="743">
        <f t="shared" ref="K9:K42" si="9">IF(J9="Reinbestand",I9,J9*3)</f>
        <v>0</v>
      </c>
      <c r="L9" s="1703">
        <v>0</v>
      </c>
      <c r="M9" s="742">
        <f t="shared" si="2"/>
        <v>0</v>
      </c>
      <c r="N9" s="592">
        <f t="shared" si="3"/>
        <v>0</v>
      </c>
      <c r="O9" s="656">
        <f t="shared" si="4"/>
        <v>0</v>
      </c>
      <c r="P9" s="653">
        <f t="shared" si="5"/>
        <v>0</v>
      </c>
      <c r="Q9" s="634"/>
      <c r="R9" s="1281" t="str">
        <f t="shared" ref="R9:R42" si="10">A9</f>
        <v>Schlag 2</v>
      </c>
      <c r="S9" s="1281" t="str">
        <f t="shared" ref="S9:S42" si="11">C9</f>
        <v>keine</v>
      </c>
      <c r="T9" s="1329"/>
      <c r="U9" s="1330" t="s">
        <v>795</v>
      </c>
      <c r="V9" s="1424">
        <v>0</v>
      </c>
      <c r="W9" s="1033">
        <f>VLOOKUP(U9,Düngemittel!$B$6:$E$64,2,FALSE)*(VLOOKUP(U9,Düngemittel!$B$6:$E$64,3,FALSE))/100*V9</f>
        <v>0</v>
      </c>
      <c r="X9" s="1033">
        <f>VLOOKUP(U9,Düngemittel!$B$6:$E$64,2,FALSE)*V9</f>
        <v>0</v>
      </c>
      <c r="Y9" s="1033">
        <f>VLOOKUP(U9,Düngemittel!$B$6:$E$64,4,FALSE)*V9</f>
        <v>0</v>
      </c>
      <c r="Z9" s="2089"/>
      <c r="AA9" s="1329"/>
      <c r="AB9" s="1330" t="s">
        <v>795</v>
      </c>
      <c r="AC9" s="1424">
        <v>0</v>
      </c>
      <c r="AD9" s="1033">
        <f>VLOOKUP(AB9,Düngemittel!$B$6:$E$64,2,FALSE)*(VLOOKUP(AB9,Düngemittel!$B$6:$E$64,3,FALSE))/100*AC9</f>
        <v>0</v>
      </c>
      <c r="AE9" s="1033">
        <f>VLOOKUP(AB9,Düngemittel!$B$6:$E$64,2,FALSE)*AC9</f>
        <v>0</v>
      </c>
      <c r="AF9" s="1033">
        <f>VLOOKUP(AB9,Düngemittel!$B$6:$E$64,4,FALSE)*AC9</f>
        <v>0</v>
      </c>
      <c r="AG9" s="2089"/>
      <c r="AH9" s="1329"/>
      <c r="AI9" s="1330" t="s">
        <v>795</v>
      </c>
      <c r="AJ9" s="1424">
        <v>0</v>
      </c>
      <c r="AK9" s="1033">
        <f>VLOOKUP(AI9,Düngemittel!$B$6:$E$64,2,FALSE)*(VLOOKUP(AI9,Düngemittel!$B$6:$E$64,3,FALSE))/100*AJ9</f>
        <v>0</v>
      </c>
      <c r="AL9" s="1033">
        <f>VLOOKUP(AI9,Düngemittel!$B$6:$E$64,2,FALSE)*AJ9</f>
        <v>0</v>
      </c>
      <c r="AM9" s="1033">
        <f>VLOOKUP(AI9,Düngemittel!$B$6:$E$64,4,FALSE)*AJ9</f>
        <v>0</v>
      </c>
      <c r="AN9" s="2089"/>
      <c r="AO9" s="1329"/>
      <c r="AP9" s="1330" t="s">
        <v>795</v>
      </c>
      <c r="AQ9" s="1424">
        <v>0</v>
      </c>
      <c r="AR9" s="1033">
        <f>VLOOKUP(AP9,Düngemittel!$B$6:$E$64,2,FALSE)*(VLOOKUP(AP9,Düngemittel!$B$6:$E$64,3,FALSE))/100*AQ9</f>
        <v>0</v>
      </c>
      <c r="AS9" s="1033">
        <f>VLOOKUP(AP9,Düngemittel!$B$6:$E$64,2,FALSE)*AQ9</f>
        <v>0</v>
      </c>
      <c r="AT9" s="1033">
        <f>VLOOKUP(AP9,Düngemittel!$B$6:$E$64,4,FALSE)*AQ9</f>
        <v>0</v>
      </c>
      <c r="AU9" s="2089"/>
      <c r="AV9" s="1329"/>
      <c r="AW9" s="1330" t="s">
        <v>795</v>
      </c>
      <c r="AX9" s="1424">
        <v>0</v>
      </c>
      <c r="AY9" s="1033">
        <f>VLOOKUP(AW9,Düngemittel!$B$6:$E$64,2,FALSE)*(VLOOKUP(AW9,Düngemittel!$B$6:$E$64,3,FALSE))/100*AX9</f>
        <v>0</v>
      </c>
      <c r="AZ9" s="1033">
        <f>VLOOKUP(AW9,Düngemittel!$B$6:$E$64,2,FALSE)*AX9</f>
        <v>0</v>
      </c>
      <c r="BA9" s="1033">
        <f>VLOOKUP(AW9,Düngemittel!$B$6:$E$64,4,FALSE)*AX9</f>
        <v>0</v>
      </c>
      <c r="BB9" s="863"/>
      <c r="BC9" s="1812">
        <f t="shared" ref="BC9:BC42" si="12">IF(W9&lt;X9,0,W9)+IF(AD9&lt;AE9,0,AD9)+IF(AK9&lt;AL9,0,AK9)+IF(AR9&lt;AS9,0,AR9)+IF(AY9&lt;AZ9,0,AY9)</f>
        <v>0</v>
      </c>
      <c r="BD9" s="1273">
        <f t="shared" ref="BD9:BE42" si="13">SUM(W9+AD9+AK9+AR9+AY9)</f>
        <v>0</v>
      </c>
      <c r="BE9" s="1819">
        <f t="shared" si="13"/>
        <v>0</v>
      </c>
      <c r="BF9" s="1151">
        <f t="shared" ref="BF9:BF42" si="14">IF(W9&lt;X9,X9,0)+IF(AD9&lt;AE9,AE9,0)+IF(AK9&lt;AL9,AL9,0)+IF(AR9&lt;AS9,AS9,0)+IF(AY9&lt;AZ9,AZ9,0)</f>
        <v>0</v>
      </c>
      <c r="BG9" s="1273">
        <f t="shared" ref="BG9:BG42" si="15">SUM(Y9+AF9+AM9+AT9+BA9)</f>
        <v>0</v>
      </c>
      <c r="BH9" s="1152"/>
      <c r="BI9" s="1812">
        <f t="shared" ref="BI9:BI42" si="16">BC9*$B9</f>
        <v>0</v>
      </c>
      <c r="BJ9" s="1282">
        <f t="shared" ref="BJ9:BJ42" si="17">BD9*$B9</f>
        <v>0</v>
      </c>
      <c r="BK9" s="1812">
        <f t="shared" ref="BK9:BK42" si="18">BE9*$B9</f>
        <v>0</v>
      </c>
      <c r="BL9" s="1282">
        <f t="shared" ref="BL9:BL42" si="19">BF9*$B9</f>
        <v>0</v>
      </c>
      <c r="BM9" s="1282">
        <f t="shared" ref="BM9:BM42" si="20">BG9*$B9</f>
        <v>0</v>
      </c>
      <c r="BN9" s="1119"/>
      <c r="BO9" s="991" t="s">
        <v>240</v>
      </c>
      <c r="BP9" s="646">
        <v>120</v>
      </c>
      <c r="BQ9" s="646">
        <v>16.2</v>
      </c>
      <c r="BR9" s="646">
        <v>0.8</v>
      </c>
      <c r="BS9" s="998"/>
      <c r="BT9" s="999"/>
      <c r="BU9" s="1001"/>
      <c r="BV9" s="998"/>
      <c r="BW9" s="998"/>
      <c r="BX9" s="998"/>
    </row>
    <row r="10" spans="1:76" ht="23.25" customHeight="1">
      <c r="A10" s="468" t="s">
        <v>564</v>
      </c>
      <c r="B10" s="1705">
        <v>0</v>
      </c>
      <c r="C10" s="796" t="s">
        <v>31</v>
      </c>
      <c r="D10" s="565">
        <f t="shared" si="0"/>
        <v>0</v>
      </c>
      <c r="E10" s="335">
        <f t="shared" si="1"/>
        <v>0</v>
      </c>
      <c r="F10" s="566">
        <f t="shared" si="7"/>
        <v>0</v>
      </c>
      <c r="G10" s="1724">
        <v>0</v>
      </c>
      <c r="H10" s="1424">
        <v>0</v>
      </c>
      <c r="I10" s="570">
        <f t="shared" si="8"/>
        <v>0</v>
      </c>
      <c r="J10" s="590">
        <v>0</v>
      </c>
      <c r="K10" s="743">
        <f t="shared" si="9"/>
        <v>0</v>
      </c>
      <c r="L10" s="1703">
        <v>0</v>
      </c>
      <c r="M10" s="742">
        <f t="shared" si="2"/>
        <v>0</v>
      </c>
      <c r="N10" s="592">
        <f t="shared" si="3"/>
        <v>0</v>
      </c>
      <c r="O10" s="657">
        <f t="shared" si="4"/>
        <v>0</v>
      </c>
      <c r="P10" s="592">
        <f t="shared" si="5"/>
        <v>0</v>
      </c>
      <c r="Q10" s="634"/>
      <c r="R10" s="1281" t="str">
        <f t="shared" si="10"/>
        <v>Fläche 3</v>
      </c>
      <c r="S10" s="1281" t="str">
        <f t="shared" si="11"/>
        <v>keine</v>
      </c>
      <c r="T10" s="1329"/>
      <c r="U10" s="1330" t="s">
        <v>795</v>
      </c>
      <c r="V10" s="1424">
        <v>0</v>
      </c>
      <c r="W10" s="1033">
        <f>VLOOKUP(U10,Düngemittel!$B$6:$E$64,2,FALSE)*(VLOOKUP(U10,Düngemittel!$B$6:$E$64,3,FALSE))/100*V10</f>
        <v>0</v>
      </c>
      <c r="X10" s="1033">
        <f>VLOOKUP(U10,Düngemittel!$B$6:$E$64,2,FALSE)*V10</f>
        <v>0</v>
      </c>
      <c r="Y10" s="1033">
        <f>VLOOKUP(U10,Düngemittel!$B$6:$E$64,4,FALSE)*V10</f>
        <v>0</v>
      </c>
      <c r="Z10" s="2089"/>
      <c r="AA10" s="1329"/>
      <c r="AB10" s="1330" t="s">
        <v>795</v>
      </c>
      <c r="AC10" s="1424">
        <v>0</v>
      </c>
      <c r="AD10" s="1033">
        <f>VLOOKUP(AB10,Düngemittel!$B$6:$E$64,2,FALSE)*(VLOOKUP(AB10,Düngemittel!$B$6:$E$64,3,FALSE))/100*AC10</f>
        <v>0</v>
      </c>
      <c r="AE10" s="1033">
        <f>VLOOKUP(AB10,Düngemittel!$B$6:$E$64,2,FALSE)*AC10</f>
        <v>0</v>
      </c>
      <c r="AF10" s="1033">
        <f>VLOOKUP(AB10,Düngemittel!$B$6:$E$64,4,FALSE)*AC10</f>
        <v>0</v>
      </c>
      <c r="AG10" s="2089"/>
      <c r="AH10" s="1329"/>
      <c r="AI10" s="1330" t="s">
        <v>795</v>
      </c>
      <c r="AJ10" s="1424">
        <v>0</v>
      </c>
      <c r="AK10" s="1033">
        <f>VLOOKUP(AI10,Düngemittel!$B$6:$E$64,2,FALSE)*(VLOOKUP(AI10,Düngemittel!$B$6:$E$64,3,FALSE))/100*AJ10</f>
        <v>0</v>
      </c>
      <c r="AL10" s="1033">
        <f>VLOOKUP(AI10,Düngemittel!$B$6:$E$64,2,FALSE)*AJ10</f>
        <v>0</v>
      </c>
      <c r="AM10" s="1033">
        <f>VLOOKUP(AI10,Düngemittel!$B$6:$E$64,4,FALSE)*AJ10</f>
        <v>0</v>
      </c>
      <c r="AN10" s="2089"/>
      <c r="AO10" s="1329"/>
      <c r="AP10" s="1330" t="s">
        <v>795</v>
      </c>
      <c r="AQ10" s="1424">
        <v>0</v>
      </c>
      <c r="AR10" s="1033">
        <f>VLOOKUP(AP10,Düngemittel!$B$6:$E$64,2,FALSE)*(VLOOKUP(AP10,Düngemittel!$B$6:$E$64,3,FALSE))/100*AQ10</f>
        <v>0</v>
      </c>
      <c r="AS10" s="1033">
        <f>VLOOKUP(AP10,Düngemittel!$B$6:$E$64,2,FALSE)*AQ10</f>
        <v>0</v>
      </c>
      <c r="AT10" s="1033">
        <f>VLOOKUP(AP10,Düngemittel!$B$6:$E$64,4,FALSE)*AQ10</f>
        <v>0</v>
      </c>
      <c r="AU10" s="2089"/>
      <c r="AV10" s="1329"/>
      <c r="AW10" s="1330" t="s">
        <v>795</v>
      </c>
      <c r="AX10" s="1424">
        <v>0</v>
      </c>
      <c r="AY10" s="1033">
        <f>VLOOKUP(AW10,Düngemittel!$B$6:$E$64,2,FALSE)*(VLOOKUP(AW10,Düngemittel!$B$6:$E$64,3,FALSE))/100*AX10</f>
        <v>0</v>
      </c>
      <c r="AZ10" s="1033">
        <f>VLOOKUP(AW10,Düngemittel!$B$6:$E$64,2,FALSE)*AX10</f>
        <v>0</v>
      </c>
      <c r="BA10" s="1033">
        <f>VLOOKUP(AW10,Düngemittel!$B$6:$E$64,4,FALSE)*AX10</f>
        <v>0</v>
      </c>
      <c r="BB10" s="863"/>
      <c r="BC10" s="1812">
        <f t="shared" si="12"/>
        <v>0</v>
      </c>
      <c r="BD10" s="1273">
        <f t="shared" si="13"/>
        <v>0</v>
      </c>
      <c r="BE10" s="1819">
        <f t="shared" si="13"/>
        <v>0</v>
      </c>
      <c r="BF10" s="1151">
        <f t="shared" si="14"/>
        <v>0</v>
      </c>
      <c r="BG10" s="1273">
        <f t="shared" si="15"/>
        <v>0</v>
      </c>
      <c r="BH10" s="1152"/>
      <c r="BI10" s="1812">
        <f t="shared" si="16"/>
        <v>0</v>
      </c>
      <c r="BJ10" s="1282">
        <f t="shared" si="17"/>
        <v>0</v>
      </c>
      <c r="BK10" s="1812">
        <f t="shared" si="18"/>
        <v>0</v>
      </c>
      <c r="BL10" s="1282">
        <f t="shared" si="19"/>
        <v>0</v>
      </c>
      <c r="BM10" s="1282">
        <f t="shared" si="20"/>
        <v>0</v>
      </c>
      <c r="BN10" s="1119"/>
      <c r="BO10" s="992" t="s">
        <v>732</v>
      </c>
      <c r="BP10" s="803">
        <v>120</v>
      </c>
      <c r="BQ10" s="803">
        <v>16.2</v>
      </c>
      <c r="BR10" s="803">
        <v>0.8</v>
      </c>
      <c r="BS10" s="998"/>
      <c r="BT10" s="999"/>
      <c r="BU10" s="1001"/>
      <c r="BV10" s="998"/>
      <c r="BW10" s="998"/>
      <c r="BX10" s="998"/>
    </row>
    <row r="11" spans="1:76" ht="23.25" customHeight="1">
      <c r="A11" s="468">
        <v>4</v>
      </c>
      <c r="B11" s="1705">
        <v>0</v>
      </c>
      <c r="C11" s="796" t="s">
        <v>31</v>
      </c>
      <c r="D11" s="565">
        <f t="shared" si="0"/>
        <v>0</v>
      </c>
      <c r="E11" s="335">
        <f t="shared" si="1"/>
        <v>0</v>
      </c>
      <c r="F11" s="566">
        <f t="shared" si="7"/>
        <v>0</v>
      </c>
      <c r="G11" s="1724">
        <v>0</v>
      </c>
      <c r="H11" s="1424">
        <v>0</v>
      </c>
      <c r="I11" s="570">
        <f t="shared" si="8"/>
        <v>0</v>
      </c>
      <c r="J11" s="590">
        <v>0</v>
      </c>
      <c r="K11" s="743">
        <f t="shared" si="9"/>
        <v>0</v>
      </c>
      <c r="L11" s="1703">
        <v>0</v>
      </c>
      <c r="M11" s="742">
        <f t="shared" si="2"/>
        <v>0</v>
      </c>
      <c r="N11" s="592">
        <f t="shared" si="3"/>
        <v>0</v>
      </c>
      <c r="O11" s="657">
        <f t="shared" si="4"/>
        <v>0</v>
      </c>
      <c r="P11" s="592">
        <f t="shared" si="5"/>
        <v>0</v>
      </c>
      <c r="Q11" s="634"/>
      <c r="R11" s="1281">
        <f t="shared" si="10"/>
        <v>4</v>
      </c>
      <c r="S11" s="1281" t="str">
        <f t="shared" si="11"/>
        <v>keine</v>
      </c>
      <c r="T11" s="1329"/>
      <c r="U11" s="1330" t="s">
        <v>795</v>
      </c>
      <c r="V11" s="1424">
        <v>0</v>
      </c>
      <c r="W11" s="1033">
        <f>VLOOKUP(U11,Düngemittel!$B$6:$E$64,2,FALSE)*(VLOOKUP(U11,Düngemittel!$B$6:$E$64,3,FALSE))/100*V11</f>
        <v>0</v>
      </c>
      <c r="X11" s="1033">
        <f>VLOOKUP(U11,Düngemittel!$B$6:$E$64,2,FALSE)*V11</f>
        <v>0</v>
      </c>
      <c r="Y11" s="1033">
        <f>VLOOKUP(U11,Düngemittel!$B$6:$E$64,4,FALSE)*V11</f>
        <v>0</v>
      </c>
      <c r="Z11" s="2089"/>
      <c r="AA11" s="1329"/>
      <c r="AB11" s="1330" t="s">
        <v>795</v>
      </c>
      <c r="AC11" s="1424">
        <v>0</v>
      </c>
      <c r="AD11" s="1033">
        <f>VLOOKUP(AB11,Düngemittel!$B$6:$E$64,2,FALSE)*(VLOOKUP(AB11,Düngemittel!$B$6:$E$64,3,FALSE))/100*AC11</f>
        <v>0</v>
      </c>
      <c r="AE11" s="1033">
        <f>VLOOKUP(AB11,Düngemittel!$B$6:$E$64,2,FALSE)*AC11</f>
        <v>0</v>
      </c>
      <c r="AF11" s="1033">
        <f>VLOOKUP(AB11,Düngemittel!$B$6:$E$64,4,FALSE)*AC11</f>
        <v>0</v>
      </c>
      <c r="AG11" s="2089"/>
      <c r="AH11" s="1329"/>
      <c r="AI11" s="1330" t="s">
        <v>795</v>
      </c>
      <c r="AJ11" s="1424">
        <v>0</v>
      </c>
      <c r="AK11" s="1033">
        <f>VLOOKUP(AI11,Düngemittel!$B$6:$E$64,2,FALSE)*(VLOOKUP(AI11,Düngemittel!$B$6:$E$64,3,FALSE))/100*AJ11</f>
        <v>0</v>
      </c>
      <c r="AL11" s="1033">
        <f>VLOOKUP(AI11,Düngemittel!$B$6:$E$64,2,FALSE)*AJ11</f>
        <v>0</v>
      </c>
      <c r="AM11" s="1033">
        <f>VLOOKUP(AI11,Düngemittel!$B$6:$E$64,4,FALSE)*AJ11</f>
        <v>0</v>
      </c>
      <c r="AN11" s="2089"/>
      <c r="AO11" s="1329"/>
      <c r="AP11" s="1330" t="s">
        <v>795</v>
      </c>
      <c r="AQ11" s="1424">
        <v>0</v>
      </c>
      <c r="AR11" s="1033">
        <f>VLOOKUP(AP11,Düngemittel!$B$6:$E$64,2,FALSE)*(VLOOKUP(AP11,Düngemittel!$B$6:$E$64,3,FALSE))/100*AQ11</f>
        <v>0</v>
      </c>
      <c r="AS11" s="1033">
        <f>VLOOKUP(AP11,Düngemittel!$B$6:$E$64,2,FALSE)*AQ11</f>
        <v>0</v>
      </c>
      <c r="AT11" s="1033">
        <f>VLOOKUP(AP11,Düngemittel!$B$6:$E$64,4,FALSE)*AQ11</f>
        <v>0</v>
      </c>
      <c r="AU11" s="2089"/>
      <c r="AV11" s="1329"/>
      <c r="AW11" s="1330" t="s">
        <v>795</v>
      </c>
      <c r="AX11" s="1424">
        <v>0</v>
      </c>
      <c r="AY11" s="1033">
        <f>VLOOKUP(AW11,Düngemittel!$B$6:$E$64,2,FALSE)*(VLOOKUP(AW11,Düngemittel!$B$6:$E$64,3,FALSE))/100*AX11</f>
        <v>0</v>
      </c>
      <c r="AZ11" s="1033">
        <f>VLOOKUP(AW11,Düngemittel!$B$6:$E$64,2,FALSE)*AX11</f>
        <v>0</v>
      </c>
      <c r="BA11" s="1033">
        <f>VLOOKUP(AW11,Düngemittel!$B$6:$E$64,4,FALSE)*AX11</f>
        <v>0</v>
      </c>
      <c r="BB11" s="863"/>
      <c r="BC11" s="1812">
        <f t="shared" si="12"/>
        <v>0</v>
      </c>
      <c r="BD11" s="1273">
        <f t="shared" si="13"/>
        <v>0</v>
      </c>
      <c r="BE11" s="1819">
        <f t="shared" si="13"/>
        <v>0</v>
      </c>
      <c r="BF11" s="1151">
        <f t="shared" si="14"/>
        <v>0</v>
      </c>
      <c r="BG11" s="1273">
        <f t="shared" si="15"/>
        <v>0</v>
      </c>
      <c r="BH11" s="1152"/>
      <c r="BI11" s="1812">
        <f t="shared" si="16"/>
        <v>0</v>
      </c>
      <c r="BJ11" s="1282">
        <f t="shared" si="17"/>
        <v>0</v>
      </c>
      <c r="BK11" s="1812">
        <f t="shared" si="18"/>
        <v>0</v>
      </c>
      <c r="BL11" s="1282">
        <f t="shared" si="19"/>
        <v>0</v>
      </c>
      <c r="BM11" s="1282">
        <f t="shared" si="20"/>
        <v>0</v>
      </c>
      <c r="BN11" s="1119"/>
      <c r="BO11" s="992" t="s">
        <v>734</v>
      </c>
      <c r="BP11" s="803">
        <v>65</v>
      </c>
      <c r="BQ11" s="803">
        <v>16.2</v>
      </c>
      <c r="BR11" s="803">
        <v>0.8</v>
      </c>
      <c r="BS11" s="998"/>
      <c r="BT11" s="999"/>
      <c r="BU11" s="1001"/>
      <c r="BV11" s="998"/>
      <c r="BW11" s="998"/>
      <c r="BX11" s="998"/>
    </row>
    <row r="12" spans="1:76" ht="23.25" customHeight="1">
      <c r="A12" s="468">
        <v>5</v>
      </c>
      <c r="B12" s="1705">
        <v>0</v>
      </c>
      <c r="C12" s="796" t="s">
        <v>31</v>
      </c>
      <c r="D12" s="565">
        <f t="shared" si="0"/>
        <v>0</v>
      </c>
      <c r="E12" s="335">
        <f t="shared" si="1"/>
        <v>0</v>
      </c>
      <c r="F12" s="566">
        <f t="shared" si="7"/>
        <v>0</v>
      </c>
      <c r="G12" s="1724">
        <v>0</v>
      </c>
      <c r="H12" s="1424">
        <v>0</v>
      </c>
      <c r="I12" s="570">
        <f t="shared" si="8"/>
        <v>0</v>
      </c>
      <c r="J12" s="590">
        <v>0</v>
      </c>
      <c r="K12" s="743">
        <f t="shared" si="9"/>
        <v>0</v>
      </c>
      <c r="L12" s="1703">
        <v>0</v>
      </c>
      <c r="M12" s="742">
        <f t="shared" si="2"/>
        <v>0</v>
      </c>
      <c r="N12" s="592">
        <f t="shared" si="3"/>
        <v>0</v>
      </c>
      <c r="O12" s="657">
        <f t="shared" si="4"/>
        <v>0</v>
      </c>
      <c r="P12" s="592">
        <f t="shared" si="5"/>
        <v>0</v>
      </c>
      <c r="Q12" s="634"/>
      <c r="R12" s="1281">
        <f t="shared" si="10"/>
        <v>5</v>
      </c>
      <c r="S12" s="1281" t="str">
        <f t="shared" si="11"/>
        <v>keine</v>
      </c>
      <c r="T12" s="1329"/>
      <c r="U12" s="1330" t="s">
        <v>795</v>
      </c>
      <c r="V12" s="1424">
        <v>0</v>
      </c>
      <c r="W12" s="1033">
        <f>VLOOKUP(U12,Düngemittel!$B$6:$E$64,2,FALSE)*(VLOOKUP(U12,Düngemittel!$B$6:$E$64,3,FALSE))/100*V12</f>
        <v>0</v>
      </c>
      <c r="X12" s="1033">
        <f>VLOOKUP(U12,Düngemittel!$B$6:$E$64,2,FALSE)*V12</f>
        <v>0</v>
      </c>
      <c r="Y12" s="1033">
        <f>VLOOKUP(U12,Düngemittel!$B$6:$E$64,4,FALSE)*V12</f>
        <v>0</v>
      </c>
      <c r="Z12" s="2089"/>
      <c r="AA12" s="1329"/>
      <c r="AB12" s="1330" t="s">
        <v>795</v>
      </c>
      <c r="AC12" s="1424">
        <v>0</v>
      </c>
      <c r="AD12" s="1033">
        <f>VLOOKUP(AB12,Düngemittel!$B$6:$E$64,2,FALSE)*(VLOOKUP(AB12,Düngemittel!$B$6:$E$64,3,FALSE))/100*AC12</f>
        <v>0</v>
      </c>
      <c r="AE12" s="1033">
        <f>VLOOKUP(AB12,Düngemittel!$B$6:$E$64,2,FALSE)*AC12</f>
        <v>0</v>
      </c>
      <c r="AF12" s="1033">
        <f>VLOOKUP(AB12,Düngemittel!$B$6:$E$64,4,FALSE)*AC12</f>
        <v>0</v>
      </c>
      <c r="AG12" s="2089"/>
      <c r="AH12" s="1329"/>
      <c r="AI12" s="1330" t="s">
        <v>795</v>
      </c>
      <c r="AJ12" s="1424">
        <v>0</v>
      </c>
      <c r="AK12" s="1033">
        <f>VLOOKUP(AI12,Düngemittel!$B$6:$E$64,2,FALSE)*(VLOOKUP(AI12,Düngemittel!$B$6:$E$64,3,FALSE))/100*AJ12</f>
        <v>0</v>
      </c>
      <c r="AL12" s="1033">
        <f>VLOOKUP(AI12,Düngemittel!$B$6:$E$64,2,FALSE)*AJ12</f>
        <v>0</v>
      </c>
      <c r="AM12" s="1033">
        <f>VLOOKUP(AI12,Düngemittel!$B$6:$E$64,4,FALSE)*AJ12</f>
        <v>0</v>
      </c>
      <c r="AN12" s="2089"/>
      <c r="AO12" s="1329"/>
      <c r="AP12" s="1330" t="s">
        <v>795</v>
      </c>
      <c r="AQ12" s="1424">
        <v>0</v>
      </c>
      <c r="AR12" s="1033">
        <f>VLOOKUP(AP12,Düngemittel!$B$6:$E$64,2,FALSE)*(VLOOKUP(AP12,Düngemittel!$B$6:$E$64,3,FALSE))/100*AQ12</f>
        <v>0</v>
      </c>
      <c r="AS12" s="1033">
        <f>VLOOKUP(AP12,Düngemittel!$B$6:$E$64,2,FALSE)*AQ12</f>
        <v>0</v>
      </c>
      <c r="AT12" s="1033">
        <f>VLOOKUP(AP12,Düngemittel!$B$6:$E$64,4,FALSE)*AQ12</f>
        <v>0</v>
      </c>
      <c r="AU12" s="2089"/>
      <c r="AV12" s="1329"/>
      <c r="AW12" s="1330" t="s">
        <v>795</v>
      </c>
      <c r="AX12" s="1424">
        <v>0</v>
      </c>
      <c r="AY12" s="1033">
        <f>VLOOKUP(AW12,Düngemittel!$B$6:$E$64,2,FALSE)*(VLOOKUP(AW12,Düngemittel!$B$6:$E$64,3,FALSE))/100*AX12</f>
        <v>0</v>
      </c>
      <c r="AZ12" s="1033">
        <f>VLOOKUP(AW12,Düngemittel!$B$6:$E$64,2,FALSE)*AX12</f>
        <v>0</v>
      </c>
      <c r="BA12" s="1033">
        <f>VLOOKUP(AW12,Düngemittel!$B$6:$E$64,4,FALSE)*AX12</f>
        <v>0</v>
      </c>
      <c r="BB12" s="863"/>
      <c r="BC12" s="1812">
        <f t="shared" si="12"/>
        <v>0</v>
      </c>
      <c r="BD12" s="1273">
        <f t="shared" si="13"/>
        <v>0</v>
      </c>
      <c r="BE12" s="1819">
        <f t="shared" si="13"/>
        <v>0</v>
      </c>
      <c r="BF12" s="1151">
        <f t="shared" si="14"/>
        <v>0</v>
      </c>
      <c r="BG12" s="1273">
        <f t="shared" si="15"/>
        <v>0</v>
      </c>
      <c r="BH12" s="1152"/>
      <c r="BI12" s="1812">
        <f t="shared" si="16"/>
        <v>0</v>
      </c>
      <c r="BJ12" s="1282">
        <f t="shared" si="17"/>
        <v>0</v>
      </c>
      <c r="BK12" s="1812">
        <f t="shared" si="18"/>
        <v>0</v>
      </c>
      <c r="BL12" s="1282">
        <f t="shared" si="19"/>
        <v>0</v>
      </c>
      <c r="BM12" s="1282">
        <f t="shared" si="20"/>
        <v>0</v>
      </c>
      <c r="BN12" s="1119"/>
      <c r="BO12" s="992" t="s">
        <v>736</v>
      </c>
      <c r="BP12" s="803">
        <v>75</v>
      </c>
      <c r="BQ12" s="803">
        <v>16.2</v>
      </c>
      <c r="BR12" s="803">
        <v>0.8</v>
      </c>
      <c r="BS12" s="998"/>
      <c r="BT12" s="999"/>
      <c r="BU12" s="1001"/>
      <c r="BV12" s="998"/>
      <c r="BW12" s="998"/>
      <c r="BX12" s="998"/>
    </row>
    <row r="13" spans="1:76" ht="23.25" customHeight="1">
      <c r="A13" s="468">
        <v>6</v>
      </c>
      <c r="B13" s="1705">
        <v>0</v>
      </c>
      <c r="C13" s="796" t="s">
        <v>31</v>
      </c>
      <c r="D13" s="565">
        <f t="shared" si="0"/>
        <v>0</v>
      </c>
      <c r="E13" s="335">
        <f t="shared" si="1"/>
        <v>0</v>
      </c>
      <c r="F13" s="566">
        <f t="shared" si="7"/>
        <v>0</v>
      </c>
      <c r="G13" s="1724">
        <v>0</v>
      </c>
      <c r="H13" s="1424">
        <v>0</v>
      </c>
      <c r="I13" s="570">
        <f t="shared" si="8"/>
        <v>0</v>
      </c>
      <c r="J13" s="590">
        <v>0</v>
      </c>
      <c r="K13" s="743">
        <f t="shared" si="9"/>
        <v>0</v>
      </c>
      <c r="L13" s="1703">
        <v>0</v>
      </c>
      <c r="M13" s="742">
        <f t="shared" si="2"/>
        <v>0</v>
      </c>
      <c r="N13" s="592">
        <f t="shared" si="3"/>
        <v>0</v>
      </c>
      <c r="O13" s="657">
        <f t="shared" si="4"/>
        <v>0</v>
      </c>
      <c r="P13" s="592">
        <f t="shared" si="5"/>
        <v>0</v>
      </c>
      <c r="Q13" s="634"/>
      <c r="R13" s="1281">
        <f t="shared" si="10"/>
        <v>6</v>
      </c>
      <c r="S13" s="1281" t="str">
        <f t="shared" si="11"/>
        <v>keine</v>
      </c>
      <c r="T13" s="1329"/>
      <c r="U13" s="1330" t="s">
        <v>795</v>
      </c>
      <c r="V13" s="1424">
        <v>0</v>
      </c>
      <c r="W13" s="1033">
        <f>VLOOKUP(U13,Düngemittel!$B$6:$E$64,2,FALSE)*(VLOOKUP(U13,Düngemittel!$B$6:$E$64,3,FALSE))/100*V13</f>
        <v>0</v>
      </c>
      <c r="X13" s="1033">
        <f>VLOOKUP(U13,Düngemittel!$B$6:$E$64,2,FALSE)*V13</f>
        <v>0</v>
      </c>
      <c r="Y13" s="1033">
        <f>VLOOKUP(U13,Düngemittel!$B$6:$E$64,4,FALSE)*V13</f>
        <v>0</v>
      </c>
      <c r="Z13" s="2089"/>
      <c r="AA13" s="1329"/>
      <c r="AB13" s="1330" t="s">
        <v>795</v>
      </c>
      <c r="AC13" s="1424">
        <v>0</v>
      </c>
      <c r="AD13" s="1033">
        <f>VLOOKUP(AB13,Düngemittel!$B$6:$E$64,2,FALSE)*(VLOOKUP(AB13,Düngemittel!$B$6:$E$64,3,FALSE))/100*AC13</f>
        <v>0</v>
      </c>
      <c r="AE13" s="1033">
        <f>VLOOKUP(AB13,Düngemittel!$B$6:$E$64,2,FALSE)*AC13</f>
        <v>0</v>
      </c>
      <c r="AF13" s="1033">
        <f>VLOOKUP(AB13,Düngemittel!$B$6:$E$64,4,FALSE)*AC13</f>
        <v>0</v>
      </c>
      <c r="AG13" s="2089"/>
      <c r="AH13" s="1329"/>
      <c r="AI13" s="1330" t="s">
        <v>795</v>
      </c>
      <c r="AJ13" s="1424">
        <v>0</v>
      </c>
      <c r="AK13" s="1033">
        <f>VLOOKUP(AI13,Düngemittel!$B$6:$E$64,2,FALSE)*(VLOOKUP(AI13,Düngemittel!$B$6:$E$64,3,FALSE))/100*AJ13</f>
        <v>0</v>
      </c>
      <c r="AL13" s="1033">
        <f>VLOOKUP(AI13,Düngemittel!$B$6:$E$64,2,FALSE)*AJ13</f>
        <v>0</v>
      </c>
      <c r="AM13" s="1033">
        <f>VLOOKUP(AI13,Düngemittel!$B$6:$E$64,4,FALSE)*AJ13</f>
        <v>0</v>
      </c>
      <c r="AN13" s="2089"/>
      <c r="AO13" s="1329"/>
      <c r="AP13" s="1330" t="s">
        <v>795</v>
      </c>
      <c r="AQ13" s="1424">
        <v>0</v>
      </c>
      <c r="AR13" s="1033">
        <f>VLOOKUP(AP13,Düngemittel!$B$6:$E$64,2,FALSE)*(VLOOKUP(AP13,Düngemittel!$B$6:$E$64,3,FALSE))/100*AQ13</f>
        <v>0</v>
      </c>
      <c r="AS13" s="1033">
        <f>VLOOKUP(AP13,Düngemittel!$B$6:$E$64,2,FALSE)*AQ13</f>
        <v>0</v>
      </c>
      <c r="AT13" s="1033">
        <f>VLOOKUP(AP13,Düngemittel!$B$6:$E$64,4,FALSE)*AQ13</f>
        <v>0</v>
      </c>
      <c r="AU13" s="2089"/>
      <c r="AV13" s="1329"/>
      <c r="AW13" s="1330" t="s">
        <v>795</v>
      </c>
      <c r="AX13" s="1424">
        <v>0</v>
      </c>
      <c r="AY13" s="1033">
        <f>VLOOKUP(AW13,Düngemittel!$B$6:$E$64,2,FALSE)*(VLOOKUP(AW13,Düngemittel!$B$6:$E$64,3,FALSE))/100*AX13</f>
        <v>0</v>
      </c>
      <c r="AZ13" s="1033">
        <f>VLOOKUP(AW13,Düngemittel!$B$6:$E$64,2,FALSE)*AX13</f>
        <v>0</v>
      </c>
      <c r="BA13" s="1033">
        <f>VLOOKUP(AW13,Düngemittel!$B$6:$E$64,4,FALSE)*AX13</f>
        <v>0</v>
      </c>
      <c r="BB13" s="863"/>
      <c r="BC13" s="1812">
        <f t="shared" si="12"/>
        <v>0</v>
      </c>
      <c r="BD13" s="1273">
        <f t="shared" si="13"/>
        <v>0</v>
      </c>
      <c r="BE13" s="1819">
        <f t="shared" si="13"/>
        <v>0</v>
      </c>
      <c r="BF13" s="1151">
        <f t="shared" si="14"/>
        <v>0</v>
      </c>
      <c r="BG13" s="1273">
        <f t="shared" si="15"/>
        <v>0</v>
      </c>
      <c r="BH13" s="1152"/>
      <c r="BI13" s="1812">
        <f t="shared" si="16"/>
        <v>0</v>
      </c>
      <c r="BJ13" s="1282">
        <f t="shared" si="17"/>
        <v>0</v>
      </c>
      <c r="BK13" s="1812">
        <f t="shared" si="18"/>
        <v>0</v>
      </c>
      <c r="BL13" s="1282">
        <f t="shared" si="19"/>
        <v>0</v>
      </c>
      <c r="BM13" s="1282">
        <f t="shared" si="20"/>
        <v>0</v>
      </c>
      <c r="BN13" s="1119"/>
      <c r="BO13" s="993" t="s">
        <v>744</v>
      </c>
      <c r="BP13" s="803">
        <v>45</v>
      </c>
      <c r="BQ13" s="803">
        <v>15</v>
      </c>
      <c r="BR13" s="803">
        <v>0.8</v>
      </c>
      <c r="BS13" s="998"/>
      <c r="BT13" s="999"/>
      <c r="BU13" s="1003"/>
      <c r="BV13" s="998"/>
      <c r="BW13" s="998"/>
      <c r="BX13" s="998"/>
    </row>
    <row r="14" spans="1:76" ht="23.25" customHeight="1">
      <c r="A14" s="468">
        <v>7</v>
      </c>
      <c r="B14" s="1705">
        <v>0</v>
      </c>
      <c r="C14" s="796" t="s">
        <v>31</v>
      </c>
      <c r="D14" s="565">
        <f t="shared" si="0"/>
        <v>0</v>
      </c>
      <c r="E14" s="335">
        <f t="shared" si="1"/>
        <v>0</v>
      </c>
      <c r="F14" s="566">
        <f t="shared" si="7"/>
        <v>0</v>
      </c>
      <c r="G14" s="1724">
        <v>0</v>
      </c>
      <c r="H14" s="1424">
        <v>0</v>
      </c>
      <c r="I14" s="570">
        <f t="shared" si="8"/>
        <v>0</v>
      </c>
      <c r="J14" s="590">
        <v>0</v>
      </c>
      <c r="K14" s="743">
        <f t="shared" si="9"/>
        <v>0</v>
      </c>
      <c r="L14" s="1703">
        <v>0</v>
      </c>
      <c r="M14" s="742">
        <f t="shared" si="2"/>
        <v>0</v>
      </c>
      <c r="N14" s="592">
        <f t="shared" si="3"/>
        <v>0</v>
      </c>
      <c r="O14" s="657">
        <f t="shared" si="4"/>
        <v>0</v>
      </c>
      <c r="P14" s="592">
        <f t="shared" si="5"/>
        <v>0</v>
      </c>
      <c r="Q14" s="634"/>
      <c r="R14" s="1281">
        <f t="shared" si="10"/>
        <v>7</v>
      </c>
      <c r="S14" s="1281" t="str">
        <f t="shared" si="11"/>
        <v>keine</v>
      </c>
      <c r="T14" s="1329"/>
      <c r="U14" s="1330" t="s">
        <v>795</v>
      </c>
      <c r="V14" s="1424">
        <v>0</v>
      </c>
      <c r="W14" s="1033">
        <f>VLOOKUP(U14,Düngemittel!$B$6:$E$64,2,FALSE)*(VLOOKUP(U14,Düngemittel!$B$6:$E$64,3,FALSE))/100*V14</f>
        <v>0</v>
      </c>
      <c r="X14" s="1033">
        <f>VLOOKUP(U14,Düngemittel!$B$6:$E$64,2,FALSE)*V14</f>
        <v>0</v>
      </c>
      <c r="Y14" s="1033">
        <f>VLOOKUP(U14,Düngemittel!$B$6:$E$64,4,FALSE)*V14</f>
        <v>0</v>
      </c>
      <c r="Z14" s="2089"/>
      <c r="AA14" s="1329"/>
      <c r="AB14" s="1330" t="s">
        <v>795</v>
      </c>
      <c r="AC14" s="1424">
        <v>0</v>
      </c>
      <c r="AD14" s="1033">
        <f>VLOOKUP(AB14,Düngemittel!$B$6:$E$64,2,FALSE)*(VLOOKUP(AB14,Düngemittel!$B$6:$E$64,3,FALSE))/100*AC14</f>
        <v>0</v>
      </c>
      <c r="AE14" s="1033">
        <f>VLOOKUP(AB14,Düngemittel!$B$6:$E$64,2,FALSE)*AC14</f>
        <v>0</v>
      </c>
      <c r="AF14" s="1033">
        <f>VLOOKUP(AB14,Düngemittel!$B$6:$E$64,4,FALSE)*AC14</f>
        <v>0</v>
      </c>
      <c r="AG14" s="2089"/>
      <c r="AH14" s="1329"/>
      <c r="AI14" s="1330" t="s">
        <v>795</v>
      </c>
      <c r="AJ14" s="1424">
        <v>0</v>
      </c>
      <c r="AK14" s="1033">
        <f>VLOOKUP(AI14,Düngemittel!$B$6:$E$64,2,FALSE)*(VLOOKUP(AI14,Düngemittel!$B$6:$E$64,3,FALSE))/100*AJ14</f>
        <v>0</v>
      </c>
      <c r="AL14" s="1033">
        <f>VLOOKUP(AI14,Düngemittel!$B$6:$E$64,2,FALSE)*AJ14</f>
        <v>0</v>
      </c>
      <c r="AM14" s="1033">
        <f>VLOOKUP(AI14,Düngemittel!$B$6:$E$64,4,FALSE)*AJ14</f>
        <v>0</v>
      </c>
      <c r="AN14" s="2089"/>
      <c r="AO14" s="1329"/>
      <c r="AP14" s="1330" t="s">
        <v>795</v>
      </c>
      <c r="AQ14" s="1424">
        <v>0</v>
      </c>
      <c r="AR14" s="1033">
        <f>VLOOKUP(AP14,Düngemittel!$B$6:$E$64,2,FALSE)*(VLOOKUP(AP14,Düngemittel!$B$6:$E$64,3,FALSE))/100*AQ14</f>
        <v>0</v>
      </c>
      <c r="AS14" s="1033">
        <f>VLOOKUP(AP14,Düngemittel!$B$6:$E$64,2,FALSE)*AQ14</f>
        <v>0</v>
      </c>
      <c r="AT14" s="1033">
        <f>VLOOKUP(AP14,Düngemittel!$B$6:$E$64,4,FALSE)*AQ14</f>
        <v>0</v>
      </c>
      <c r="AU14" s="2089"/>
      <c r="AV14" s="1329"/>
      <c r="AW14" s="1330" t="s">
        <v>795</v>
      </c>
      <c r="AX14" s="1424">
        <v>0</v>
      </c>
      <c r="AY14" s="1033">
        <f>VLOOKUP(AW14,Düngemittel!$B$6:$E$64,2,FALSE)*(VLOOKUP(AW14,Düngemittel!$B$6:$E$64,3,FALSE))/100*AX14</f>
        <v>0</v>
      </c>
      <c r="AZ14" s="1033">
        <f>VLOOKUP(AW14,Düngemittel!$B$6:$E$64,2,FALSE)*AX14</f>
        <v>0</v>
      </c>
      <c r="BA14" s="1033">
        <f>VLOOKUP(AW14,Düngemittel!$B$6:$E$64,4,FALSE)*AX14</f>
        <v>0</v>
      </c>
      <c r="BB14" s="863"/>
      <c r="BC14" s="1812">
        <f t="shared" si="12"/>
        <v>0</v>
      </c>
      <c r="BD14" s="1273">
        <f t="shared" si="13"/>
        <v>0</v>
      </c>
      <c r="BE14" s="1819">
        <f t="shared" si="13"/>
        <v>0</v>
      </c>
      <c r="BF14" s="1151">
        <f t="shared" si="14"/>
        <v>0</v>
      </c>
      <c r="BG14" s="1273">
        <f t="shared" si="15"/>
        <v>0</v>
      </c>
      <c r="BH14" s="1152"/>
      <c r="BI14" s="1812">
        <f t="shared" si="16"/>
        <v>0</v>
      </c>
      <c r="BJ14" s="1282">
        <f t="shared" si="17"/>
        <v>0</v>
      </c>
      <c r="BK14" s="1812">
        <f t="shared" si="18"/>
        <v>0</v>
      </c>
      <c r="BL14" s="1282">
        <f t="shared" si="19"/>
        <v>0</v>
      </c>
      <c r="BM14" s="1282">
        <f t="shared" si="20"/>
        <v>0</v>
      </c>
      <c r="BN14" s="1119"/>
      <c r="BO14" s="991" t="s">
        <v>243</v>
      </c>
      <c r="BP14" s="646">
        <v>120</v>
      </c>
      <c r="BQ14" s="646">
        <v>18.2</v>
      </c>
      <c r="BR14" s="646">
        <v>0.75</v>
      </c>
      <c r="BS14" s="998"/>
      <c r="BT14" s="998"/>
      <c r="BU14" s="998"/>
      <c r="BV14" s="998"/>
      <c r="BW14" s="998"/>
      <c r="BX14" s="998"/>
    </row>
    <row r="15" spans="1:76" ht="23.25" customHeight="1">
      <c r="A15" s="468">
        <v>8</v>
      </c>
      <c r="B15" s="1705">
        <v>0</v>
      </c>
      <c r="C15" s="796" t="s">
        <v>31</v>
      </c>
      <c r="D15" s="565">
        <f t="shared" si="0"/>
        <v>0</v>
      </c>
      <c r="E15" s="335">
        <f t="shared" si="1"/>
        <v>0</v>
      </c>
      <c r="F15" s="566">
        <f t="shared" si="7"/>
        <v>0</v>
      </c>
      <c r="G15" s="1724">
        <v>0</v>
      </c>
      <c r="H15" s="1424">
        <v>0</v>
      </c>
      <c r="I15" s="570">
        <f t="shared" si="8"/>
        <v>0</v>
      </c>
      <c r="J15" s="590">
        <v>0</v>
      </c>
      <c r="K15" s="743">
        <f t="shared" si="9"/>
        <v>0</v>
      </c>
      <c r="L15" s="1703">
        <v>0</v>
      </c>
      <c r="M15" s="742">
        <f t="shared" si="2"/>
        <v>0</v>
      </c>
      <c r="N15" s="592">
        <f t="shared" si="3"/>
        <v>0</v>
      </c>
      <c r="O15" s="657">
        <f t="shared" si="4"/>
        <v>0</v>
      </c>
      <c r="P15" s="592">
        <f t="shared" si="5"/>
        <v>0</v>
      </c>
      <c r="Q15" s="634"/>
      <c r="R15" s="1281">
        <f t="shared" si="10"/>
        <v>8</v>
      </c>
      <c r="S15" s="1281" t="str">
        <f t="shared" si="11"/>
        <v>keine</v>
      </c>
      <c r="T15" s="1329"/>
      <c r="U15" s="1330" t="s">
        <v>795</v>
      </c>
      <c r="V15" s="1424">
        <v>0</v>
      </c>
      <c r="W15" s="1033">
        <f>VLOOKUP(U15,Düngemittel!$B$6:$E$64,2,FALSE)*(VLOOKUP(U15,Düngemittel!$B$6:$E$64,3,FALSE))/100*V15</f>
        <v>0</v>
      </c>
      <c r="X15" s="1033">
        <f>VLOOKUP(U15,Düngemittel!$B$6:$E$64,2,FALSE)*V15</f>
        <v>0</v>
      </c>
      <c r="Y15" s="1033">
        <f>VLOOKUP(U15,Düngemittel!$B$6:$E$64,4,FALSE)*V15</f>
        <v>0</v>
      </c>
      <c r="Z15" s="2089"/>
      <c r="AA15" s="1329"/>
      <c r="AB15" s="1330" t="s">
        <v>795</v>
      </c>
      <c r="AC15" s="1424">
        <v>0</v>
      </c>
      <c r="AD15" s="1033">
        <f>VLOOKUP(AB15,Düngemittel!$B$6:$E$64,2,FALSE)*(VLOOKUP(AB15,Düngemittel!$B$6:$E$64,3,FALSE))/100*AC15</f>
        <v>0</v>
      </c>
      <c r="AE15" s="1033">
        <f>VLOOKUP(AB15,Düngemittel!$B$6:$E$64,2,FALSE)*AC15</f>
        <v>0</v>
      </c>
      <c r="AF15" s="1033">
        <f>VLOOKUP(AB15,Düngemittel!$B$6:$E$64,4,FALSE)*AC15</f>
        <v>0</v>
      </c>
      <c r="AG15" s="2089"/>
      <c r="AH15" s="1329"/>
      <c r="AI15" s="1330" t="s">
        <v>795</v>
      </c>
      <c r="AJ15" s="1424">
        <v>0</v>
      </c>
      <c r="AK15" s="1033">
        <f>VLOOKUP(AI15,Düngemittel!$B$6:$E$64,2,FALSE)*(VLOOKUP(AI15,Düngemittel!$B$6:$E$64,3,FALSE))/100*AJ15</f>
        <v>0</v>
      </c>
      <c r="AL15" s="1033">
        <f>VLOOKUP(AI15,Düngemittel!$B$6:$E$64,2,FALSE)*AJ15</f>
        <v>0</v>
      </c>
      <c r="AM15" s="1033">
        <f>VLOOKUP(AI15,Düngemittel!$B$6:$E$64,4,FALSE)*AJ15</f>
        <v>0</v>
      </c>
      <c r="AN15" s="2089"/>
      <c r="AO15" s="1329"/>
      <c r="AP15" s="1330" t="s">
        <v>795</v>
      </c>
      <c r="AQ15" s="1424">
        <v>0</v>
      </c>
      <c r="AR15" s="1033">
        <f>VLOOKUP(AP15,Düngemittel!$B$6:$E$64,2,FALSE)*(VLOOKUP(AP15,Düngemittel!$B$6:$E$64,3,FALSE))/100*AQ15</f>
        <v>0</v>
      </c>
      <c r="AS15" s="1033">
        <f>VLOOKUP(AP15,Düngemittel!$B$6:$E$64,2,FALSE)*AQ15</f>
        <v>0</v>
      </c>
      <c r="AT15" s="1033">
        <f>VLOOKUP(AP15,Düngemittel!$B$6:$E$64,4,FALSE)*AQ15</f>
        <v>0</v>
      </c>
      <c r="AU15" s="2089"/>
      <c r="AV15" s="1329"/>
      <c r="AW15" s="1330" t="s">
        <v>795</v>
      </c>
      <c r="AX15" s="1424">
        <v>0</v>
      </c>
      <c r="AY15" s="1033">
        <f>VLOOKUP(AW15,Düngemittel!$B$6:$E$64,2,FALSE)*(VLOOKUP(AW15,Düngemittel!$B$6:$E$64,3,FALSE))/100*AX15</f>
        <v>0</v>
      </c>
      <c r="AZ15" s="1033">
        <f>VLOOKUP(AW15,Düngemittel!$B$6:$E$64,2,FALSE)*AX15</f>
        <v>0</v>
      </c>
      <c r="BA15" s="1033">
        <f>VLOOKUP(AW15,Düngemittel!$B$6:$E$64,4,FALSE)*AX15</f>
        <v>0</v>
      </c>
      <c r="BB15" s="863"/>
      <c r="BC15" s="1812">
        <f t="shared" si="12"/>
        <v>0</v>
      </c>
      <c r="BD15" s="1273">
        <f t="shared" si="13"/>
        <v>0</v>
      </c>
      <c r="BE15" s="1819">
        <f t="shared" si="13"/>
        <v>0</v>
      </c>
      <c r="BF15" s="1151">
        <f t="shared" si="14"/>
        <v>0</v>
      </c>
      <c r="BG15" s="1273">
        <f t="shared" si="15"/>
        <v>0</v>
      </c>
      <c r="BH15" s="1152"/>
      <c r="BI15" s="1812">
        <f t="shared" si="16"/>
        <v>0</v>
      </c>
      <c r="BJ15" s="1282">
        <f t="shared" si="17"/>
        <v>0</v>
      </c>
      <c r="BK15" s="1812">
        <f t="shared" si="18"/>
        <v>0</v>
      </c>
      <c r="BL15" s="1282">
        <f t="shared" si="19"/>
        <v>0</v>
      </c>
      <c r="BM15" s="1282">
        <f t="shared" si="20"/>
        <v>0</v>
      </c>
      <c r="BN15" s="1119"/>
      <c r="BO15" s="991" t="s">
        <v>241</v>
      </c>
      <c r="BP15" s="646">
        <v>110</v>
      </c>
      <c r="BQ15" s="646">
        <v>20.5</v>
      </c>
      <c r="BR15" s="646">
        <v>0.7</v>
      </c>
      <c r="BS15" s="998"/>
      <c r="BT15" s="998"/>
      <c r="BU15" s="998"/>
      <c r="BV15" s="998"/>
      <c r="BW15" s="998"/>
      <c r="BX15" s="998"/>
    </row>
    <row r="16" spans="1:76" ht="23.25" customHeight="1">
      <c r="A16" s="468">
        <v>9</v>
      </c>
      <c r="B16" s="1705">
        <v>0</v>
      </c>
      <c r="C16" s="796" t="s">
        <v>31</v>
      </c>
      <c r="D16" s="565">
        <f t="shared" si="0"/>
        <v>0</v>
      </c>
      <c r="E16" s="335">
        <f t="shared" si="1"/>
        <v>0</v>
      </c>
      <c r="F16" s="566">
        <f t="shared" si="7"/>
        <v>0</v>
      </c>
      <c r="G16" s="1724">
        <v>0</v>
      </c>
      <c r="H16" s="1424">
        <v>0</v>
      </c>
      <c r="I16" s="570">
        <f t="shared" si="8"/>
        <v>0</v>
      </c>
      <c r="J16" s="590">
        <v>0</v>
      </c>
      <c r="K16" s="743">
        <f t="shared" si="9"/>
        <v>0</v>
      </c>
      <c r="L16" s="1703">
        <v>0</v>
      </c>
      <c r="M16" s="742">
        <f t="shared" si="2"/>
        <v>0</v>
      </c>
      <c r="N16" s="592">
        <f t="shared" si="3"/>
        <v>0</v>
      </c>
      <c r="O16" s="657">
        <f t="shared" si="4"/>
        <v>0</v>
      </c>
      <c r="P16" s="592">
        <f t="shared" si="5"/>
        <v>0</v>
      </c>
      <c r="Q16" s="634"/>
      <c r="R16" s="1281">
        <f t="shared" si="10"/>
        <v>9</v>
      </c>
      <c r="S16" s="1281" t="str">
        <f t="shared" si="11"/>
        <v>keine</v>
      </c>
      <c r="T16" s="1329"/>
      <c r="U16" s="1330" t="s">
        <v>795</v>
      </c>
      <c r="V16" s="1424">
        <v>0</v>
      </c>
      <c r="W16" s="1033">
        <f>VLOOKUP(U16,Düngemittel!$B$6:$E$64,2,FALSE)*(VLOOKUP(U16,Düngemittel!$B$6:$E$64,3,FALSE))/100*V16</f>
        <v>0</v>
      </c>
      <c r="X16" s="1033">
        <f>VLOOKUP(U16,Düngemittel!$B$6:$E$64,2,FALSE)*V16</f>
        <v>0</v>
      </c>
      <c r="Y16" s="1033">
        <f>VLOOKUP(U16,Düngemittel!$B$6:$E$64,4,FALSE)*V16</f>
        <v>0</v>
      </c>
      <c r="Z16" s="2089"/>
      <c r="AA16" s="1329"/>
      <c r="AB16" s="1330" t="s">
        <v>795</v>
      </c>
      <c r="AC16" s="1424">
        <v>0</v>
      </c>
      <c r="AD16" s="1033">
        <f>VLOOKUP(AB16,Düngemittel!$B$6:$E$64,2,FALSE)*(VLOOKUP(AB16,Düngemittel!$B$6:$E$64,3,FALSE))/100*AC16</f>
        <v>0</v>
      </c>
      <c r="AE16" s="1033">
        <f>VLOOKUP(AB16,Düngemittel!$B$6:$E$64,2,FALSE)*AC16</f>
        <v>0</v>
      </c>
      <c r="AF16" s="1033">
        <f>VLOOKUP(AB16,Düngemittel!$B$6:$E$64,4,FALSE)*AC16</f>
        <v>0</v>
      </c>
      <c r="AG16" s="2089"/>
      <c r="AH16" s="1329"/>
      <c r="AI16" s="1330" t="s">
        <v>795</v>
      </c>
      <c r="AJ16" s="1424">
        <v>0</v>
      </c>
      <c r="AK16" s="1033">
        <f>VLOOKUP(AI16,Düngemittel!$B$6:$E$64,2,FALSE)*(VLOOKUP(AI16,Düngemittel!$B$6:$E$64,3,FALSE))/100*AJ16</f>
        <v>0</v>
      </c>
      <c r="AL16" s="1033">
        <f>VLOOKUP(AI16,Düngemittel!$B$6:$E$64,2,FALSE)*AJ16</f>
        <v>0</v>
      </c>
      <c r="AM16" s="1033">
        <f>VLOOKUP(AI16,Düngemittel!$B$6:$E$64,4,FALSE)*AJ16</f>
        <v>0</v>
      </c>
      <c r="AN16" s="2089"/>
      <c r="AO16" s="1329"/>
      <c r="AP16" s="1330" t="s">
        <v>795</v>
      </c>
      <c r="AQ16" s="1424">
        <v>0</v>
      </c>
      <c r="AR16" s="1033">
        <f>VLOOKUP(AP16,Düngemittel!$B$6:$E$64,2,FALSE)*(VLOOKUP(AP16,Düngemittel!$B$6:$E$64,3,FALSE))/100*AQ16</f>
        <v>0</v>
      </c>
      <c r="AS16" s="1033">
        <f>VLOOKUP(AP16,Düngemittel!$B$6:$E$64,2,FALSE)*AQ16</f>
        <v>0</v>
      </c>
      <c r="AT16" s="1033">
        <f>VLOOKUP(AP16,Düngemittel!$B$6:$E$64,4,FALSE)*AQ16</f>
        <v>0</v>
      </c>
      <c r="AU16" s="2089"/>
      <c r="AV16" s="1329"/>
      <c r="AW16" s="1330" t="s">
        <v>795</v>
      </c>
      <c r="AX16" s="1424">
        <v>0</v>
      </c>
      <c r="AY16" s="1033">
        <f>VLOOKUP(AW16,Düngemittel!$B$6:$E$64,2,FALSE)*(VLOOKUP(AW16,Düngemittel!$B$6:$E$64,3,FALSE))/100*AX16</f>
        <v>0</v>
      </c>
      <c r="AZ16" s="1033">
        <f>VLOOKUP(AW16,Düngemittel!$B$6:$E$64,2,FALSE)*AX16</f>
        <v>0</v>
      </c>
      <c r="BA16" s="1033">
        <f>VLOOKUP(AW16,Düngemittel!$B$6:$E$64,4,FALSE)*AX16</f>
        <v>0</v>
      </c>
      <c r="BB16" s="863"/>
      <c r="BC16" s="1812">
        <f t="shared" si="12"/>
        <v>0</v>
      </c>
      <c r="BD16" s="1273">
        <f t="shared" si="13"/>
        <v>0</v>
      </c>
      <c r="BE16" s="1819">
        <f t="shared" si="13"/>
        <v>0</v>
      </c>
      <c r="BF16" s="1151">
        <f t="shared" si="14"/>
        <v>0</v>
      </c>
      <c r="BG16" s="1273">
        <f t="shared" si="15"/>
        <v>0</v>
      </c>
      <c r="BH16" s="1152"/>
      <c r="BI16" s="1812">
        <f t="shared" si="16"/>
        <v>0</v>
      </c>
      <c r="BJ16" s="1282">
        <f t="shared" si="17"/>
        <v>0</v>
      </c>
      <c r="BK16" s="1812">
        <f t="shared" si="18"/>
        <v>0</v>
      </c>
      <c r="BL16" s="1282">
        <f t="shared" si="19"/>
        <v>0</v>
      </c>
      <c r="BM16" s="1282">
        <f t="shared" si="20"/>
        <v>0</v>
      </c>
      <c r="BN16" s="1119"/>
      <c r="BO16" s="1246" t="s">
        <v>674</v>
      </c>
      <c r="BP16" s="112">
        <v>120</v>
      </c>
      <c r="BQ16" s="112">
        <v>7</v>
      </c>
      <c r="BR16" s="646">
        <v>0.51</v>
      </c>
      <c r="BS16" s="998"/>
      <c r="BT16" s="998"/>
      <c r="BU16" s="998"/>
      <c r="BV16" s="998"/>
      <c r="BW16" s="998"/>
      <c r="BX16" s="998"/>
    </row>
    <row r="17" spans="1:76" ht="23.25" customHeight="1">
      <c r="A17" s="468">
        <v>10</v>
      </c>
      <c r="B17" s="1705">
        <v>0</v>
      </c>
      <c r="C17" s="796" t="s">
        <v>31</v>
      </c>
      <c r="D17" s="565">
        <f t="shared" si="0"/>
        <v>0</v>
      </c>
      <c r="E17" s="335">
        <f t="shared" si="1"/>
        <v>0</v>
      </c>
      <c r="F17" s="566">
        <f t="shared" si="7"/>
        <v>0</v>
      </c>
      <c r="G17" s="1724">
        <v>0</v>
      </c>
      <c r="H17" s="1424">
        <v>0</v>
      </c>
      <c r="I17" s="570">
        <f t="shared" si="8"/>
        <v>0</v>
      </c>
      <c r="J17" s="590">
        <v>0</v>
      </c>
      <c r="K17" s="743">
        <f t="shared" si="9"/>
        <v>0</v>
      </c>
      <c r="L17" s="1703">
        <v>0</v>
      </c>
      <c r="M17" s="742">
        <f t="shared" si="2"/>
        <v>0</v>
      </c>
      <c r="N17" s="592">
        <f t="shared" si="3"/>
        <v>0</v>
      </c>
      <c r="O17" s="657">
        <f t="shared" si="4"/>
        <v>0</v>
      </c>
      <c r="P17" s="592">
        <f t="shared" si="5"/>
        <v>0</v>
      </c>
      <c r="Q17" s="634"/>
      <c r="R17" s="1281">
        <f t="shared" si="10"/>
        <v>10</v>
      </c>
      <c r="S17" s="1281" t="str">
        <f t="shared" si="11"/>
        <v>keine</v>
      </c>
      <c r="T17" s="1329"/>
      <c r="U17" s="1330" t="s">
        <v>795</v>
      </c>
      <c r="V17" s="1424">
        <v>0</v>
      </c>
      <c r="W17" s="1033">
        <f>VLOOKUP(U17,Düngemittel!$B$6:$E$64,2,FALSE)*(VLOOKUP(U17,Düngemittel!$B$6:$E$64,3,FALSE))/100*V17</f>
        <v>0</v>
      </c>
      <c r="X17" s="1033">
        <f>VLOOKUP(U17,Düngemittel!$B$6:$E$64,2,FALSE)*V17</f>
        <v>0</v>
      </c>
      <c r="Y17" s="1033">
        <f>VLOOKUP(U17,Düngemittel!$B$6:$E$64,4,FALSE)*V17</f>
        <v>0</v>
      </c>
      <c r="Z17" s="2089"/>
      <c r="AA17" s="1329"/>
      <c r="AB17" s="1330" t="s">
        <v>795</v>
      </c>
      <c r="AC17" s="1424">
        <v>0</v>
      </c>
      <c r="AD17" s="1033">
        <f>VLOOKUP(AB17,Düngemittel!$B$6:$E$64,2,FALSE)*(VLOOKUP(AB17,Düngemittel!$B$6:$E$64,3,FALSE))/100*AC17</f>
        <v>0</v>
      </c>
      <c r="AE17" s="1033">
        <f>VLOOKUP(AB17,Düngemittel!$B$6:$E$64,2,FALSE)*AC17</f>
        <v>0</v>
      </c>
      <c r="AF17" s="1033">
        <f>VLOOKUP(AB17,Düngemittel!$B$6:$E$64,4,FALSE)*AC17</f>
        <v>0</v>
      </c>
      <c r="AG17" s="2089"/>
      <c r="AH17" s="1329"/>
      <c r="AI17" s="1330" t="s">
        <v>795</v>
      </c>
      <c r="AJ17" s="1424">
        <v>0</v>
      </c>
      <c r="AK17" s="1033">
        <f>VLOOKUP(AI17,Düngemittel!$B$6:$E$64,2,FALSE)*(VLOOKUP(AI17,Düngemittel!$B$6:$E$64,3,FALSE))/100*AJ17</f>
        <v>0</v>
      </c>
      <c r="AL17" s="1033">
        <f>VLOOKUP(AI17,Düngemittel!$B$6:$E$64,2,FALSE)*AJ17</f>
        <v>0</v>
      </c>
      <c r="AM17" s="1033">
        <f>VLOOKUP(AI17,Düngemittel!$B$6:$E$64,4,FALSE)*AJ17</f>
        <v>0</v>
      </c>
      <c r="AN17" s="2089"/>
      <c r="AO17" s="1329"/>
      <c r="AP17" s="1330" t="s">
        <v>795</v>
      </c>
      <c r="AQ17" s="1424">
        <v>0</v>
      </c>
      <c r="AR17" s="1033">
        <f>VLOOKUP(AP17,Düngemittel!$B$6:$E$64,2,FALSE)*(VLOOKUP(AP17,Düngemittel!$B$6:$E$64,3,FALSE))/100*AQ17</f>
        <v>0</v>
      </c>
      <c r="AS17" s="1033">
        <f>VLOOKUP(AP17,Düngemittel!$B$6:$E$64,2,FALSE)*AQ17</f>
        <v>0</v>
      </c>
      <c r="AT17" s="1033">
        <f>VLOOKUP(AP17,Düngemittel!$B$6:$E$64,4,FALSE)*AQ17</f>
        <v>0</v>
      </c>
      <c r="AU17" s="2089"/>
      <c r="AV17" s="1329"/>
      <c r="AW17" s="1330" t="s">
        <v>795</v>
      </c>
      <c r="AX17" s="1424">
        <v>0</v>
      </c>
      <c r="AY17" s="1033">
        <f>VLOOKUP(AW17,Düngemittel!$B$6:$E$64,2,FALSE)*(VLOOKUP(AW17,Düngemittel!$B$6:$E$64,3,FALSE))/100*AX17</f>
        <v>0</v>
      </c>
      <c r="AZ17" s="1033">
        <f>VLOOKUP(AW17,Düngemittel!$B$6:$E$64,2,FALSE)*AX17</f>
        <v>0</v>
      </c>
      <c r="BA17" s="1033">
        <f>VLOOKUP(AW17,Düngemittel!$B$6:$E$64,4,FALSE)*AX17</f>
        <v>0</v>
      </c>
      <c r="BB17" s="863"/>
      <c r="BC17" s="1812">
        <f t="shared" si="12"/>
        <v>0</v>
      </c>
      <c r="BD17" s="1273">
        <f t="shared" si="13"/>
        <v>0</v>
      </c>
      <c r="BE17" s="1819">
        <f t="shared" si="13"/>
        <v>0</v>
      </c>
      <c r="BF17" s="1151">
        <f t="shared" si="14"/>
        <v>0</v>
      </c>
      <c r="BG17" s="1273">
        <f t="shared" si="15"/>
        <v>0</v>
      </c>
      <c r="BH17" s="1152"/>
      <c r="BI17" s="1812">
        <f t="shared" si="16"/>
        <v>0</v>
      </c>
      <c r="BJ17" s="1282">
        <f t="shared" si="17"/>
        <v>0</v>
      </c>
      <c r="BK17" s="1812">
        <f t="shared" si="18"/>
        <v>0</v>
      </c>
      <c r="BL17" s="1282">
        <f t="shared" si="19"/>
        <v>0</v>
      </c>
      <c r="BM17" s="1282">
        <f t="shared" si="20"/>
        <v>0</v>
      </c>
      <c r="BN17" s="1119"/>
      <c r="BO17" s="1246" t="s">
        <v>746</v>
      </c>
      <c r="BP17" s="112"/>
      <c r="BQ17" s="112"/>
      <c r="BS17" s="998"/>
      <c r="BT17" s="998"/>
      <c r="BU17" s="998"/>
      <c r="BV17" s="998"/>
      <c r="BW17" s="998"/>
      <c r="BX17" s="998"/>
    </row>
    <row r="18" spans="1:76" ht="23.25" customHeight="1">
      <c r="A18" s="468">
        <v>11</v>
      </c>
      <c r="B18" s="1705">
        <v>0</v>
      </c>
      <c r="C18" s="796" t="s">
        <v>31</v>
      </c>
      <c r="D18" s="565">
        <f t="shared" si="0"/>
        <v>0</v>
      </c>
      <c r="E18" s="335">
        <f t="shared" si="1"/>
        <v>0</v>
      </c>
      <c r="F18" s="566">
        <f t="shared" si="7"/>
        <v>0</v>
      </c>
      <c r="G18" s="1724">
        <v>0</v>
      </c>
      <c r="H18" s="1424">
        <v>0</v>
      </c>
      <c r="I18" s="570">
        <f t="shared" si="8"/>
        <v>0</v>
      </c>
      <c r="J18" s="590">
        <v>0</v>
      </c>
      <c r="K18" s="743">
        <f t="shared" si="9"/>
        <v>0</v>
      </c>
      <c r="L18" s="1703">
        <v>0</v>
      </c>
      <c r="M18" s="742">
        <f t="shared" si="2"/>
        <v>0</v>
      </c>
      <c r="N18" s="592">
        <f t="shared" si="3"/>
        <v>0</v>
      </c>
      <c r="O18" s="657">
        <f t="shared" si="4"/>
        <v>0</v>
      </c>
      <c r="P18" s="592">
        <f t="shared" si="5"/>
        <v>0</v>
      </c>
      <c r="Q18" s="634"/>
      <c r="R18" s="1281">
        <f t="shared" si="10"/>
        <v>11</v>
      </c>
      <c r="S18" s="1281" t="str">
        <f t="shared" si="11"/>
        <v>keine</v>
      </c>
      <c r="T18" s="1329"/>
      <c r="U18" s="1330" t="s">
        <v>795</v>
      </c>
      <c r="V18" s="1424">
        <v>0</v>
      </c>
      <c r="W18" s="1033">
        <f>VLOOKUP(U18,Düngemittel!$B$6:$E$64,2,FALSE)*(VLOOKUP(U18,Düngemittel!$B$6:$E$64,3,FALSE))/100*V18</f>
        <v>0</v>
      </c>
      <c r="X18" s="1033">
        <f>VLOOKUP(U18,Düngemittel!$B$6:$E$64,2,FALSE)*V18</f>
        <v>0</v>
      </c>
      <c r="Y18" s="1033">
        <f>VLOOKUP(U18,Düngemittel!$B$6:$E$64,4,FALSE)*V18</f>
        <v>0</v>
      </c>
      <c r="Z18" s="2089"/>
      <c r="AA18" s="1329"/>
      <c r="AB18" s="1330" t="s">
        <v>795</v>
      </c>
      <c r="AC18" s="1424">
        <v>0</v>
      </c>
      <c r="AD18" s="1033">
        <f>VLOOKUP(AB18,Düngemittel!$B$6:$E$64,2,FALSE)*(VLOOKUP(AB18,Düngemittel!$B$6:$E$64,3,FALSE))/100*AC18</f>
        <v>0</v>
      </c>
      <c r="AE18" s="1033">
        <f>VLOOKUP(AB18,Düngemittel!$B$6:$E$64,2,FALSE)*AC18</f>
        <v>0</v>
      </c>
      <c r="AF18" s="1033">
        <f>VLOOKUP(AB18,Düngemittel!$B$6:$E$64,4,FALSE)*AC18</f>
        <v>0</v>
      </c>
      <c r="AG18" s="2089"/>
      <c r="AH18" s="1329"/>
      <c r="AI18" s="1330" t="s">
        <v>795</v>
      </c>
      <c r="AJ18" s="1424">
        <v>0</v>
      </c>
      <c r="AK18" s="1033">
        <f>VLOOKUP(AI18,Düngemittel!$B$6:$E$64,2,FALSE)*(VLOOKUP(AI18,Düngemittel!$B$6:$E$64,3,FALSE))/100*AJ18</f>
        <v>0</v>
      </c>
      <c r="AL18" s="1033">
        <f>VLOOKUP(AI18,Düngemittel!$B$6:$E$64,2,FALSE)*AJ18</f>
        <v>0</v>
      </c>
      <c r="AM18" s="1033">
        <f>VLOOKUP(AI18,Düngemittel!$B$6:$E$64,4,FALSE)*AJ18</f>
        <v>0</v>
      </c>
      <c r="AN18" s="2089"/>
      <c r="AO18" s="1329"/>
      <c r="AP18" s="1330" t="s">
        <v>795</v>
      </c>
      <c r="AQ18" s="1424">
        <v>0</v>
      </c>
      <c r="AR18" s="1033">
        <f>VLOOKUP(AP18,Düngemittel!$B$6:$E$64,2,FALSE)*(VLOOKUP(AP18,Düngemittel!$B$6:$E$64,3,FALSE))/100*AQ18</f>
        <v>0</v>
      </c>
      <c r="AS18" s="1033">
        <f>VLOOKUP(AP18,Düngemittel!$B$6:$E$64,2,FALSE)*AQ18</f>
        <v>0</v>
      </c>
      <c r="AT18" s="1033">
        <f>VLOOKUP(AP18,Düngemittel!$B$6:$E$64,4,FALSE)*AQ18</f>
        <v>0</v>
      </c>
      <c r="AU18" s="2089"/>
      <c r="AV18" s="1329"/>
      <c r="AW18" s="1330" t="s">
        <v>795</v>
      </c>
      <c r="AX18" s="1424">
        <v>0</v>
      </c>
      <c r="AY18" s="1033">
        <f>VLOOKUP(AW18,Düngemittel!$B$6:$E$64,2,FALSE)*(VLOOKUP(AW18,Düngemittel!$B$6:$E$64,3,FALSE))/100*AX18</f>
        <v>0</v>
      </c>
      <c r="AZ18" s="1033">
        <f>VLOOKUP(AW18,Düngemittel!$B$6:$E$64,2,FALSE)*AX18</f>
        <v>0</v>
      </c>
      <c r="BA18" s="1033">
        <f>VLOOKUP(AW18,Düngemittel!$B$6:$E$64,4,FALSE)*AX18</f>
        <v>0</v>
      </c>
      <c r="BB18" s="863"/>
      <c r="BC18" s="1812">
        <f t="shared" si="12"/>
        <v>0</v>
      </c>
      <c r="BD18" s="1273">
        <f t="shared" si="13"/>
        <v>0</v>
      </c>
      <c r="BE18" s="1819">
        <f t="shared" si="13"/>
        <v>0</v>
      </c>
      <c r="BF18" s="1151">
        <f t="shared" si="14"/>
        <v>0</v>
      </c>
      <c r="BG18" s="1273">
        <f t="shared" si="15"/>
        <v>0</v>
      </c>
      <c r="BH18" s="1152"/>
      <c r="BI18" s="1812">
        <f t="shared" si="16"/>
        <v>0</v>
      </c>
      <c r="BJ18" s="1282">
        <f t="shared" si="17"/>
        <v>0</v>
      </c>
      <c r="BK18" s="1812">
        <f t="shared" si="18"/>
        <v>0</v>
      </c>
      <c r="BL18" s="1282">
        <f t="shared" si="19"/>
        <v>0</v>
      </c>
      <c r="BM18" s="1282">
        <f t="shared" si="20"/>
        <v>0</v>
      </c>
      <c r="BN18" s="1119"/>
      <c r="BO18" s="993" t="s">
        <v>744</v>
      </c>
      <c r="BP18" s="803">
        <v>45</v>
      </c>
      <c r="BQ18" s="803">
        <v>15</v>
      </c>
      <c r="BR18" s="803">
        <v>0.8</v>
      </c>
      <c r="BS18" s="998"/>
      <c r="BT18" s="999"/>
      <c r="BU18" s="1003"/>
      <c r="BV18" s="998"/>
      <c r="BW18" s="998"/>
      <c r="BX18" s="998"/>
    </row>
    <row r="19" spans="1:76" ht="23.25" customHeight="1">
      <c r="A19" s="468">
        <v>12</v>
      </c>
      <c r="B19" s="1705">
        <v>0</v>
      </c>
      <c r="C19" s="796" t="s">
        <v>31</v>
      </c>
      <c r="D19" s="565">
        <f t="shared" si="0"/>
        <v>0</v>
      </c>
      <c r="E19" s="335">
        <f t="shared" si="1"/>
        <v>0</v>
      </c>
      <c r="F19" s="566">
        <f t="shared" si="7"/>
        <v>0</v>
      </c>
      <c r="G19" s="1724">
        <v>0</v>
      </c>
      <c r="H19" s="1424">
        <v>0</v>
      </c>
      <c r="I19" s="570">
        <f t="shared" si="8"/>
        <v>0</v>
      </c>
      <c r="J19" s="590">
        <v>0</v>
      </c>
      <c r="K19" s="743">
        <f t="shared" si="9"/>
        <v>0</v>
      </c>
      <c r="L19" s="1703">
        <v>0</v>
      </c>
      <c r="M19" s="742">
        <f t="shared" si="2"/>
        <v>0</v>
      </c>
      <c r="N19" s="592">
        <f t="shared" si="3"/>
        <v>0</v>
      </c>
      <c r="O19" s="657">
        <f t="shared" si="4"/>
        <v>0</v>
      </c>
      <c r="P19" s="592">
        <f t="shared" si="5"/>
        <v>0</v>
      </c>
      <c r="Q19" s="634"/>
      <c r="R19" s="1281">
        <f t="shared" si="10"/>
        <v>12</v>
      </c>
      <c r="S19" s="1281" t="str">
        <f t="shared" si="11"/>
        <v>keine</v>
      </c>
      <c r="T19" s="1329"/>
      <c r="U19" s="1330" t="s">
        <v>795</v>
      </c>
      <c r="V19" s="1424">
        <v>0</v>
      </c>
      <c r="W19" s="1033">
        <f>VLOOKUP(U19,Düngemittel!$B$6:$E$64,2,FALSE)*(VLOOKUP(U19,Düngemittel!$B$6:$E$64,3,FALSE))/100*V19</f>
        <v>0</v>
      </c>
      <c r="X19" s="1033">
        <f>VLOOKUP(U19,Düngemittel!$B$6:$E$64,2,FALSE)*V19</f>
        <v>0</v>
      </c>
      <c r="Y19" s="1033">
        <f>VLOOKUP(U19,Düngemittel!$B$6:$E$64,4,FALSE)*V19</f>
        <v>0</v>
      </c>
      <c r="Z19" s="2089"/>
      <c r="AA19" s="1329"/>
      <c r="AB19" s="1330" t="s">
        <v>795</v>
      </c>
      <c r="AC19" s="1424">
        <v>0</v>
      </c>
      <c r="AD19" s="1033">
        <f>VLOOKUP(AB19,Düngemittel!$B$6:$E$64,2,FALSE)*(VLOOKUP(AB19,Düngemittel!$B$6:$E$64,3,FALSE))/100*AC19</f>
        <v>0</v>
      </c>
      <c r="AE19" s="1033">
        <f>VLOOKUP(AB19,Düngemittel!$B$6:$E$64,2,FALSE)*AC19</f>
        <v>0</v>
      </c>
      <c r="AF19" s="1033">
        <f>VLOOKUP(AB19,Düngemittel!$B$6:$E$64,4,FALSE)*AC19</f>
        <v>0</v>
      </c>
      <c r="AG19" s="2089"/>
      <c r="AH19" s="1329"/>
      <c r="AI19" s="1330" t="s">
        <v>795</v>
      </c>
      <c r="AJ19" s="1424">
        <v>0</v>
      </c>
      <c r="AK19" s="1033">
        <f>VLOOKUP(AI19,Düngemittel!$B$6:$E$64,2,FALSE)*(VLOOKUP(AI19,Düngemittel!$B$6:$E$64,3,FALSE))/100*AJ19</f>
        <v>0</v>
      </c>
      <c r="AL19" s="1033">
        <f>VLOOKUP(AI19,Düngemittel!$B$6:$E$64,2,FALSE)*AJ19</f>
        <v>0</v>
      </c>
      <c r="AM19" s="1033">
        <f>VLOOKUP(AI19,Düngemittel!$B$6:$E$64,4,FALSE)*AJ19</f>
        <v>0</v>
      </c>
      <c r="AN19" s="2089"/>
      <c r="AO19" s="1329"/>
      <c r="AP19" s="1330" t="s">
        <v>795</v>
      </c>
      <c r="AQ19" s="1424">
        <v>0</v>
      </c>
      <c r="AR19" s="1033">
        <f>VLOOKUP(AP19,Düngemittel!$B$6:$E$64,2,FALSE)*(VLOOKUP(AP19,Düngemittel!$B$6:$E$64,3,FALSE))/100*AQ19</f>
        <v>0</v>
      </c>
      <c r="AS19" s="1033">
        <f>VLOOKUP(AP19,Düngemittel!$B$6:$E$64,2,FALSE)*AQ19</f>
        <v>0</v>
      </c>
      <c r="AT19" s="1033">
        <f>VLOOKUP(AP19,Düngemittel!$B$6:$E$64,4,FALSE)*AQ19</f>
        <v>0</v>
      </c>
      <c r="AU19" s="2089"/>
      <c r="AV19" s="1329"/>
      <c r="AW19" s="1330" t="s">
        <v>795</v>
      </c>
      <c r="AX19" s="1424">
        <v>0</v>
      </c>
      <c r="AY19" s="1033">
        <f>VLOOKUP(AW19,Düngemittel!$B$6:$E$64,2,FALSE)*(VLOOKUP(AW19,Düngemittel!$B$6:$E$64,3,FALSE))/100*AX19</f>
        <v>0</v>
      </c>
      <c r="AZ19" s="1033">
        <f>VLOOKUP(AW19,Düngemittel!$B$6:$E$64,2,FALSE)*AX19</f>
        <v>0</v>
      </c>
      <c r="BA19" s="1033">
        <f>VLOOKUP(AW19,Düngemittel!$B$6:$E$64,4,FALSE)*AX19</f>
        <v>0</v>
      </c>
      <c r="BB19" s="863"/>
      <c r="BC19" s="1812">
        <f t="shared" si="12"/>
        <v>0</v>
      </c>
      <c r="BD19" s="1273">
        <f t="shared" si="13"/>
        <v>0</v>
      </c>
      <c r="BE19" s="1819">
        <f t="shared" si="13"/>
        <v>0</v>
      </c>
      <c r="BF19" s="1151">
        <f t="shared" si="14"/>
        <v>0</v>
      </c>
      <c r="BG19" s="1273">
        <f t="shared" si="15"/>
        <v>0</v>
      </c>
      <c r="BH19" s="1152"/>
      <c r="BI19" s="1812">
        <f t="shared" si="16"/>
        <v>0</v>
      </c>
      <c r="BJ19" s="1282">
        <f t="shared" si="17"/>
        <v>0</v>
      </c>
      <c r="BK19" s="1812">
        <f t="shared" si="18"/>
        <v>0</v>
      </c>
      <c r="BL19" s="1282">
        <f t="shared" si="19"/>
        <v>0</v>
      </c>
      <c r="BM19" s="1282">
        <f t="shared" si="20"/>
        <v>0</v>
      </c>
      <c r="BN19" s="1119"/>
      <c r="BO19" s="991" t="s">
        <v>243</v>
      </c>
      <c r="BP19" s="646">
        <v>120</v>
      </c>
      <c r="BQ19" s="646">
        <v>18.2</v>
      </c>
      <c r="BR19" s="646">
        <v>0.75</v>
      </c>
      <c r="BS19" s="998"/>
      <c r="BT19" s="998"/>
      <c r="BU19" s="998"/>
      <c r="BV19" s="998"/>
      <c r="BW19" s="998"/>
      <c r="BX19" s="998"/>
    </row>
    <row r="20" spans="1:76" ht="23.25" customHeight="1">
      <c r="A20" s="468">
        <v>13</v>
      </c>
      <c r="B20" s="1705">
        <v>0</v>
      </c>
      <c r="C20" s="796" t="s">
        <v>31</v>
      </c>
      <c r="D20" s="565">
        <f t="shared" si="0"/>
        <v>0</v>
      </c>
      <c r="E20" s="335">
        <f t="shared" si="1"/>
        <v>0</v>
      </c>
      <c r="F20" s="566">
        <f t="shared" si="7"/>
        <v>0</v>
      </c>
      <c r="G20" s="1724">
        <v>0</v>
      </c>
      <c r="H20" s="1424">
        <v>0</v>
      </c>
      <c r="I20" s="570">
        <f t="shared" si="8"/>
        <v>0</v>
      </c>
      <c r="J20" s="590">
        <v>0</v>
      </c>
      <c r="K20" s="743">
        <f t="shared" si="9"/>
        <v>0</v>
      </c>
      <c r="L20" s="1703">
        <v>0</v>
      </c>
      <c r="M20" s="742">
        <f t="shared" si="2"/>
        <v>0</v>
      </c>
      <c r="N20" s="592">
        <f t="shared" si="3"/>
        <v>0</v>
      </c>
      <c r="O20" s="657">
        <f t="shared" si="4"/>
        <v>0</v>
      </c>
      <c r="P20" s="592">
        <f t="shared" si="5"/>
        <v>0</v>
      </c>
      <c r="Q20" s="634"/>
      <c r="R20" s="1281">
        <f t="shared" si="10"/>
        <v>13</v>
      </c>
      <c r="S20" s="1281" t="str">
        <f t="shared" si="11"/>
        <v>keine</v>
      </c>
      <c r="T20" s="1329"/>
      <c r="U20" s="1330" t="s">
        <v>795</v>
      </c>
      <c r="V20" s="1424">
        <v>0</v>
      </c>
      <c r="W20" s="1033">
        <f>VLOOKUP(U20,Düngemittel!$B$6:$E$64,2,FALSE)*(VLOOKUP(U20,Düngemittel!$B$6:$E$64,3,FALSE))/100*V20</f>
        <v>0</v>
      </c>
      <c r="X20" s="1033">
        <f>VLOOKUP(U20,Düngemittel!$B$6:$E$64,2,FALSE)*V20</f>
        <v>0</v>
      </c>
      <c r="Y20" s="1033">
        <f>VLOOKUP(U20,Düngemittel!$B$6:$E$64,4,FALSE)*V20</f>
        <v>0</v>
      </c>
      <c r="Z20" s="2089"/>
      <c r="AA20" s="1329"/>
      <c r="AB20" s="1330" t="s">
        <v>795</v>
      </c>
      <c r="AC20" s="1424">
        <v>0</v>
      </c>
      <c r="AD20" s="1033">
        <f>VLOOKUP(AB20,Düngemittel!$B$6:$E$64,2,FALSE)*(VLOOKUP(AB20,Düngemittel!$B$6:$E$64,3,FALSE))/100*AC20</f>
        <v>0</v>
      </c>
      <c r="AE20" s="1033">
        <f>VLOOKUP(AB20,Düngemittel!$B$6:$E$64,2,FALSE)*AC20</f>
        <v>0</v>
      </c>
      <c r="AF20" s="1033">
        <f>VLOOKUP(AB20,Düngemittel!$B$6:$E$64,4,FALSE)*AC20</f>
        <v>0</v>
      </c>
      <c r="AG20" s="2089"/>
      <c r="AH20" s="1329"/>
      <c r="AI20" s="1330" t="s">
        <v>795</v>
      </c>
      <c r="AJ20" s="1424">
        <v>0</v>
      </c>
      <c r="AK20" s="1033">
        <f>VLOOKUP(AI20,Düngemittel!$B$6:$E$64,2,FALSE)*(VLOOKUP(AI20,Düngemittel!$B$6:$E$64,3,FALSE))/100*AJ20</f>
        <v>0</v>
      </c>
      <c r="AL20" s="1033">
        <f>VLOOKUP(AI20,Düngemittel!$B$6:$E$64,2,FALSE)*AJ20</f>
        <v>0</v>
      </c>
      <c r="AM20" s="1033">
        <f>VLOOKUP(AI20,Düngemittel!$B$6:$E$64,4,FALSE)*AJ20</f>
        <v>0</v>
      </c>
      <c r="AN20" s="2089"/>
      <c r="AO20" s="1329"/>
      <c r="AP20" s="1330" t="s">
        <v>795</v>
      </c>
      <c r="AQ20" s="1424">
        <v>0</v>
      </c>
      <c r="AR20" s="1033">
        <f>VLOOKUP(AP20,Düngemittel!$B$6:$E$64,2,FALSE)*(VLOOKUP(AP20,Düngemittel!$B$6:$E$64,3,FALSE))/100*AQ20</f>
        <v>0</v>
      </c>
      <c r="AS20" s="1033">
        <f>VLOOKUP(AP20,Düngemittel!$B$6:$E$64,2,FALSE)*AQ20</f>
        <v>0</v>
      </c>
      <c r="AT20" s="1033">
        <f>VLOOKUP(AP20,Düngemittel!$B$6:$E$64,4,FALSE)*AQ20</f>
        <v>0</v>
      </c>
      <c r="AU20" s="2089"/>
      <c r="AV20" s="1329"/>
      <c r="AW20" s="1330" t="s">
        <v>795</v>
      </c>
      <c r="AX20" s="1424">
        <v>0</v>
      </c>
      <c r="AY20" s="1033">
        <f>VLOOKUP(AW20,Düngemittel!$B$6:$E$64,2,FALSE)*(VLOOKUP(AW20,Düngemittel!$B$6:$E$64,3,FALSE))/100*AX20</f>
        <v>0</v>
      </c>
      <c r="AZ20" s="1033">
        <f>VLOOKUP(AW20,Düngemittel!$B$6:$E$64,2,FALSE)*AX20</f>
        <v>0</v>
      </c>
      <c r="BA20" s="1033">
        <f>VLOOKUP(AW20,Düngemittel!$B$6:$E$64,4,FALSE)*AX20</f>
        <v>0</v>
      </c>
      <c r="BB20" s="863"/>
      <c r="BC20" s="1812">
        <f t="shared" si="12"/>
        <v>0</v>
      </c>
      <c r="BD20" s="1273">
        <f t="shared" si="13"/>
        <v>0</v>
      </c>
      <c r="BE20" s="1819">
        <f t="shared" si="13"/>
        <v>0</v>
      </c>
      <c r="BF20" s="1151">
        <f t="shared" si="14"/>
        <v>0</v>
      </c>
      <c r="BG20" s="1273">
        <f t="shared" si="15"/>
        <v>0</v>
      </c>
      <c r="BH20" s="1152"/>
      <c r="BI20" s="1812">
        <f t="shared" si="16"/>
        <v>0</v>
      </c>
      <c r="BJ20" s="1282">
        <f t="shared" si="17"/>
        <v>0</v>
      </c>
      <c r="BK20" s="1812">
        <f t="shared" si="18"/>
        <v>0</v>
      </c>
      <c r="BL20" s="1282">
        <f t="shared" si="19"/>
        <v>0</v>
      </c>
      <c r="BM20" s="1282">
        <f t="shared" si="20"/>
        <v>0</v>
      </c>
      <c r="BN20" s="1119"/>
      <c r="BO20" s="991" t="s">
        <v>241</v>
      </c>
      <c r="BP20" s="646">
        <v>110</v>
      </c>
      <c r="BQ20" s="646">
        <v>20.5</v>
      </c>
      <c r="BR20" s="646">
        <v>0.7</v>
      </c>
      <c r="BS20" s="998"/>
      <c r="BT20" s="998"/>
      <c r="BU20" s="998"/>
      <c r="BV20" s="998"/>
      <c r="BW20" s="998"/>
      <c r="BX20" s="998"/>
    </row>
    <row r="21" spans="1:76" ht="23.25" customHeight="1">
      <c r="A21" s="468">
        <v>14</v>
      </c>
      <c r="B21" s="1705">
        <v>0</v>
      </c>
      <c r="C21" s="796" t="s">
        <v>31</v>
      </c>
      <c r="D21" s="565">
        <f t="shared" si="0"/>
        <v>0</v>
      </c>
      <c r="E21" s="335">
        <f t="shared" si="1"/>
        <v>0</v>
      </c>
      <c r="F21" s="566">
        <f t="shared" si="7"/>
        <v>0</v>
      </c>
      <c r="G21" s="1724">
        <v>0</v>
      </c>
      <c r="H21" s="1424">
        <v>0</v>
      </c>
      <c r="I21" s="570">
        <f t="shared" si="8"/>
        <v>0</v>
      </c>
      <c r="J21" s="590">
        <v>0</v>
      </c>
      <c r="K21" s="743">
        <f t="shared" si="9"/>
        <v>0</v>
      </c>
      <c r="L21" s="1703">
        <v>0</v>
      </c>
      <c r="M21" s="742">
        <f t="shared" si="2"/>
        <v>0</v>
      </c>
      <c r="N21" s="592">
        <f t="shared" si="3"/>
        <v>0</v>
      </c>
      <c r="O21" s="657">
        <f t="shared" si="4"/>
        <v>0</v>
      </c>
      <c r="P21" s="592">
        <f t="shared" si="5"/>
        <v>0</v>
      </c>
      <c r="Q21" s="634"/>
      <c r="R21" s="1281">
        <f t="shared" si="10"/>
        <v>14</v>
      </c>
      <c r="S21" s="1281" t="str">
        <f t="shared" si="11"/>
        <v>keine</v>
      </c>
      <c r="T21" s="1329"/>
      <c r="U21" s="1330" t="s">
        <v>795</v>
      </c>
      <c r="V21" s="1424">
        <v>0</v>
      </c>
      <c r="W21" s="1033">
        <f>VLOOKUP(U21,Düngemittel!$B$6:$E$64,2,FALSE)*(VLOOKUP(U21,Düngemittel!$B$6:$E$64,3,FALSE))/100*V21</f>
        <v>0</v>
      </c>
      <c r="X21" s="1033">
        <f>VLOOKUP(U21,Düngemittel!$B$6:$E$64,2,FALSE)*V21</f>
        <v>0</v>
      </c>
      <c r="Y21" s="1033">
        <f>VLOOKUP(U21,Düngemittel!$B$6:$E$64,4,FALSE)*V21</f>
        <v>0</v>
      </c>
      <c r="Z21" s="2089"/>
      <c r="AA21" s="1329"/>
      <c r="AB21" s="1330" t="s">
        <v>795</v>
      </c>
      <c r="AC21" s="1424">
        <v>0</v>
      </c>
      <c r="AD21" s="1033">
        <f>VLOOKUP(AB21,Düngemittel!$B$6:$E$64,2,FALSE)*(VLOOKUP(AB21,Düngemittel!$B$6:$E$64,3,FALSE))/100*AC21</f>
        <v>0</v>
      </c>
      <c r="AE21" s="1033">
        <f>VLOOKUP(AB21,Düngemittel!$B$6:$E$64,2,FALSE)*AC21</f>
        <v>0</v>
      </c>
      <c r="AF21" s="1033">
        <f>VLOOKUP(AB21,Düngemittel!$B$6:$E$64,4,FALSE)*AC21</f>
        <v>0</v>
      </c>
      <c r="AG21" s="2089"/>
      <c r="AH21" s="1329"/>
      <c r="AI21" s="1330" t="s">
        <v>795</v>
      </c>
      <c r="AJ21" s="1424">
        <v>0</v>
      </c>
      <c r="AK21" s="1033">
        <f>VLOOKUP(AI21,Düngemittel!$B$6:$E$64,2,FALSE)*(VLOOKUP(AI21,Düngemittel!$B$6:$E$64,3,FALSE))/100*AJ21</f>
        <v>0</v>
      </c>
      <c r="AL21" s="1033">
        <f>VLOOKUP(AI21,Düngemittel!$B$6:$E$64,2,FALSE)*AJ21</f>
        <v>0</v>
      </c>
      <c r="AM21" s="1033">
        <f>VLOOKUP(AI21,Düngemittel!$B$6:$E$64,4,FALSE)*AJ21</f>
        <v>0</v>
      </c>
      <c r="AN21" s="2089"/>
      <c r="AO21" s="1329"/>
      <c r="AP21" s="1330" t="s">
        <v>795</v>
      </c>
      <c r="AQ21" s="1424">
        <v>0</v>
      </c>
      <c r="AR21" s="1033">
        <f>VLOOKUP(AP21,Düngemittel!$B$6:$E$64,2,FALSE)*(VLOOKUP(AP21,Düngemittel!$B$6:$E$64,3,FALSE))/100*AQ21</f>
        <v>0</v>
      </c>
      <c r="AS21" s="1033">
        <f>VLOOKUP(AP21,Düngemittel!$B$6:$E$64,2,FALSE)*AQ21</f>
        <v>0</v>
      </c>
      <c r="AT21" s="1033">
        <f>VLOOKUP(AP21,Düngemittel!$B$6:$E$64,4,FALSE)*AQ21</f>
        <v>0</v>
      </c>
      <c r="AU21" s="2089"/>
      <c r="AV21" s="1329"/>
      <c r="AW21" s="1330" t="s">
        <v>795</v>
      </c>
      <c r="AX21" s="1424">
        <v>0</v>
      </c>
      <c r="AY21" s="1033">
        <f>VLOOKUP(AW21,Düngemittel!$B$6:$E$64,2,FALSE)*(VLOOKUP(AW21,Düngemittel!$B$6:$E$64,3,FALSE))/100*AX21</f>
        <v>0</v>
      </c>
      <c r="AZ21" s="1033">
        <f>VLOOKUP(AW21,Düngemittel!$B$6:$E$64,2,FALSE)*AX21</f>
        <v>0</v>
      </c>
      <c r="BA21" s="1033">
        <f>VLOOKUP(AW21,Düngemittel!$B$6:$E$64,4,FALSE)*AX21</f>
        <v>0</v>
      </c>
      <c r="BB21" s="863"/>
      <c r="BC21" s="1812">
        <f t="shared" si="12"/>
        <v>0</v>
      </c>
      <c r="BD21" s="1273">
        <f t="shared" si="13"/>
        <v>0</v>
      </c>
      <c r="BE21" s="1819">
        <f t="shared" si="13"/>
        <v>0</v>
      </c>
      <c r="BF21" s="1151">
        <f t="shared" si="14"/>
        <v>0</v>
      </c>
      <c r="BG21" s="1273">
        <f t="shared" si="15"/>
        <v>0</v>
      </c>
      <c r="BH21" s="1152"/>
      <c r="BI21" s="1812">
        <f t="shared" si="16"/>
        <v>0</v>
      </c>
      <c r="BJ21" s="1282">
        <f t="shared" si="17"/>
        <v>0</v>
      </c>
      <c r="BK21" s="1812">
        <f t="shared" si="18"/>
        <v>0</v>
      </c>
      <c r="BL21" s="1282">
        <f t="shared" si="19"/>
        <v>0</v>
      </c>
      <c r="BM21" s="1282">
        <f t="shared" si="20"/>
        <v>0</v>
      </c>
      <c r="BN21" s="1119"/>
      <c r="BO21" s="1246" t="s">
        <v>674</v>
      </c>
      <c r="BP21" s="112">
        <v>120</v>
      </c>
      <c r="BQ21" s="112">
        <v>7</v>
      </c>
      <c r="BR21" s="646">
        <v>0.51</v>
      </c>
      <c r="BS21" s="998"/>
      <c r="BT21" s="998"/>
      <c r="BU21" s="998"/>
      <c r="BV21" s="998"/>
      <c r="BW21" s="998"/>
      <c r="BX21" s="998"/>
    </row>
    <row r="22" spans="1:76" ht="23.25" customHeight="1">
      <c r="A22" s="468">
        <v>15</v>
      </c>
      <c r="B22" s="1705">
        <v>0</v>
      </c>
      <c r="C22" s="796" t="s">
        <v>31</v>
      </c>
      <c r="D22" s="565">
        <f t="shared" si="0"/>
        <v>0</v>
      </c>
      <c r="E22" s="335">
        <f t="shared" si="1"/>
        <v>0</v>
      </c>
      <c r="F22" s="566">
        <f t="shared" si="7"/>
        <v>0</v>
      </c>
      <c r="G22" s="1724">
        <v>0</v>
      </c>
      <c r="H22" s="1424">
        <v>0</v>
      </c>
      <c r="I22" s="570">
        <f t="shared" si="8"/>
        <v>0</v>
      </c>
      <c r="J22" s="590">
        <v>0</v>
      </c>
      <c r="K22" s="743">
        <f t="shared" si="9"/>
        <v>0</v>
      </c>
      <c r="L22" s="1703">
        <v>0</v>
      </c>
      <c r="M22" s="742">
        <f t="shared" si="2"/>
        <v>0</v>
      </c>
      <c r="N22" s="592">
        <f t="shared" si="3"/>
        <v>0</v>
      </c>
      <c r="O22" s="657">
        <f t="shared" si="4"/>
        <v>0</v>
      </c>
      <c r="P22" s="592">
        <f t="shared" si="5"/>
        <v>0</v>
      </c>
      <c r="Q22" s="634"/>
      <c r="R22" s="1281">
        <f t="shared" si="10"/>
        <v>15</v>
      </c>
      <c r="S22" s="1281" t="str">
        <f t="shared" si="11"/>
        <v>keine</v>
      </c>
      <c r="T22" s="1329"/>
      <c r="U22" s="1330" t="s">
        <v>795</v>
      </c>
      <c r="V22" s="1424">
        <v>0</v>
      </c>
      <c r="W22" s="1033">
        <f>VLOOKUP(U22,Düngemittel!$B$6:$E$64,2,FALSE)*(VLOOKUP(U22,Düngemittel!$B$6:$E$64,3,FALSE))/100*V22</f>
        <v>0</v>
      </c>
      <c r="X22" s="1033">
        <f>VLOOKUP(U22,Düngemittel!$B$6:$E$64,2,FALSE)*V22</f>
        <v>0</v>
      </c>
      <c r="Y22" s="1033">
        <f>VLOOKUP(U22,Düngemittel!$B$6:$E$64,4,FALSE)*V22</f>
        <v>0</v>
      </c>
      <c r="Z22" s="2089"/>
      <c r="AA22" s="1329"/>
      <c r="AB22" s="1330" t="s">
        <v>795</v>
      </c>
      <c r="AC22" s="1424">
        <v>0</v>
      </c>
      <c r="AD22" s="1033">
        <f>VLOOKUP(AB22,Düngemittel!$B$6:$E$64,2,FALSE)*(VLOOKUP(AB22,Düngemittel!$B$6:$E$64,3,FALSE))/100*AC22</f>
        <v>0</v>
      </c>
      <c r="AE22" s="1033">
        <f>VLOOKUP(AB22,Düngemittel!$B$6:$E$64,2,FALSE)*AC22</f>
        <v>0</v>
      </c>
      <c r="AF22" s="1033">
        <f>VLOOKUP(AB22,Düngemittel!$B$6:$E$64,4,FALSE)*AC22</f>
        <v>0</v>
      </c>
      <c r="AG22" s="2089"/>
      <c r="AH22" s="1329"/>
      <c r="AI22" s="1330" t="s">
        <v>795</v>
      </c>
      <c r="AJ22" s="1424">
        <v>0</v>
      </c>
      <c r="AK22" s="1033">
        <f>VLOOKUP(AI22,Düngemittel!$B$6:$E$64,2,FALSE)*(VLOOKUP(AI22,Düngemittel!$B$6:$E$64,3,FALSE))/100*AJ22</f>
        <v>0</v>
      </c>
      <c r="AL22" s="1033">
        <f>VLOOKUP(AI22,Düngemittel!$B$6:$E$64,2,FALSE)*AJ22</f>
        <v>0</v>
      </c>
      <c r="AM22" s="1033">
        <f>VLOOKUP(AI22,Düngemittel!$B$6:$E$64,4,FALSE)*AJ22</f>
        <v>0</v>
      </c>
      <c r="AN22" s="2089"/>
      <c r="AO22" s="1329"/>
      <c r="AP22" s="1330" t="s">
        <v>795</v>
      </c>
      <c r="AQ22" s="1424">
        <v>0</v>
      </c>
      <c r="AR22" s="1033">
        <f>VLOOKUP(AP22,Düngemittel!$B$6:$E$64,2,FALSE)*(VLOOKUP(AP22,Düngemittel!$B$6:$E$64,3,FALSE))/100*AQ22</f>
        <v>0</v>
      </c>
      <c r="AS22" s="1033">
        <f>VLOOKUP(AP22,Düngemittel!$B$6:$E$64,2,FALSE)*AQ22</f>
        <v>0</v>
      </c>
      <c r="AT22" s="1033">
        <f>VLOOKUP(AP22,Düngemittel!$B$6:$E$64,4,FALSE)*AQ22</f>
        <v>0</v>
      </c>
      <c r="AU22" s="2089"/>
      <c r="AV22" s="1329"/>
      <c r="AW22" s="1330" t="s">
        <v>795</v>
      </c>
      <c r="AX22" s="1424">
        <v>0</v>
      </c>
      <c r="AY22" s="1033">
        <f>VLOOKUP(AW22,Düngemittel!$B$6:$E$64,2,FALSE)*(VLOOKUP(AW22,Düngemittel!$B$6:$E$64,3,FALSE))/100*AX22</f>
        <v>0</v>
      </c>
      <c r="AZ22" s="1033">
        <f>VLOOKUP(AW22,Düngemittel!$B$6:$E$64,2,FALSE)*AX22</f>
        <v>0</v>
      </c>
      <c r="BA22" s="1033">
        <f>VLOOKUP(AW22,Düngemittel!$B$6:$E$64,4,FALSE)*AX22</f>
        <v>0</v>
      </c>
      <c r="BB22" s="863"/>
      <c r="BC22" s="1812">
        <f t="shared" si="12"/>
        <v>0</v>
      </c>
      <c r="BD22" s="1273">
        <f t="shared" si="13"/>
        <v>0</v>
      </c>
      <c r="BE22" s="1819">
        <f t="shared" si="13"/>
        <v>0</v>
      </c>
      <c r="BF22" s="1151">
        <f t="shared" si="14"/>
        <v>0</v>
      </c>
      <c r="BG22" s="1273">
        <f t="shared" si="15"/>
        <v>0</v>
      </c>
      <c r="BH22" s="1152"/>
      <c r="BI22" s="1812">
        <f t="shared" si="16"/>
        <v>0</v>
      </c>
      <c r="BJ22" s="1282">
        <f t="shared" si="17"/>
        <v>0</v>
      </c>
      <c r="BK22" s="1812">
        <f t="shared" si="18"/>
        <v>0</v>
      </c>
      <c r="BL22" s="1282">
        <f t="shared" si="19"/>
        <v>0</v>
      </c>
      <c r="BM22" s="1282">
        <f t="shared" si="20"/>
        <v>0</v>
      </c>
      <c r="BN22" s="1119"/>
      <c r="BO22" s="1246" t="s">
        <v>746</v>
      </c>
      <c r="BP22" s="112"/>
      <c r="BQ22" s="112"/>
      <c r="BS22" s="998"/>
      <c r="BT22" s="998"/>
      <c r="BU22" s="998"/>
      <c r="BV22" s="998"/>
      <c r="BW22" s="998"/>
      <c r="BX22" s="998"/>
    </row>
    <row r="23" spans="1:76" ht="23.25" customHeight="1">
      <c r="A23" s="468">
        <v>16</v>
      </c>
      <c r="B23" s="1705">
        <v>0</v>
      </c>
      <c r="C23" s="796" t="s">
        <v>31</v>
      </c>
      <c r="D23" s="565">
        <f t="shared" si="0"/>
        <v>0</v>
      </c>
      <c r="E23" s="335">
        <f t="shared" si="1"/>
        <v>0</v>
      </c>
      <c r="F23" s="566">
        <f t="shared" si="7"/>
        <v>0</v>
      </c>
      <c r="G23" s="1724">
        <v>0</v>
      </c>
      <c r="H23" s="1424">
        <v>0</v>
      </c>
      <c r="I23" s="570">
        <f t="shared" si="8"/>
        <v>0</v>
      </c>
      <c r="J23" s="590">
        <v>0</v>
      </c>
      <c r="K23" s="743">
        <f t="shared" si="9"/>
        <v>0</v>
      </c>
      <c r="L23" s="1703">
        <v>0</v>
      </c>
      <c r="M23" s="742">
        <f t="shared" si="2"/>
        <v>0</v>
      </c>
      <c r="N23" s="592">
        <f t="shared" si="3"/>
        <v>0</v>
      </c>
      <c r="O23" s="657">
        <f t="shared" si="4"/>
        <v>0</v>
      </c>
      <c r="P23" s="592">
        <f t="shared" si="5"/>
        <v>0</v>
      </c>
      <c r="Q23" s="634"/>
      <c r="R23" s="1281">
        <f t="shared" si="10"/>
        <v>16</v>
      </c>
      <c r="S23" s="1281" t="str">
        <f t="shared" si="11"/>
        <v>keine</v>
      </c>
      <c r="T23" s="1329"/>
      <c r="U23" s="1330" t="s">
        <v>795</v>
      </c>
      <c r="V23" s="1424">
        <v>0</v>
      </c>
      <c r="W23" s="1033">
        <f>VLOOKUP(U23,Düngemittel!$B$6:$E$64,2,FALSE)*(VLOOKUP(U23,Düngemittel!$B$6:$E$64,3,FALSE))/100*V23</f>
        <v>0</v>
      </c>
      <c r="X23" s="1033">
        <f>VLOOKUP(U23,Düngemittel!$B$6:$E$64,2,FALSE)*V23</f>
        <v>0</v>
      </c>
      <c r="Y23" s="1033">
        <f>VLOOKUP(U23,Düngemittel!$B$6:$E$64,4,FALSE)*V23</f>
        <v>0</v>
      </c>
      <c r="Z23" s="2089"/>
      <c r="AA23" s="1329"/>
      <c r="AB23" s="1330" t="s">
        <v>795</v>
      </c>
      <c r="AC23" s="1424">
        <v>0</v>
      </c>
      <c r="AD23" s="1033">
        <f>VLOOKUP(AB23,Düngemittel!$B$6:$E$64,2,FALSE)*(VLOOKUP(AB23,Düngemittel!$B$6:$E$64,3,FALSE))/100*AC23</f>
        <v>0</v>
      </c>
      <c r="AE23" s="1033">
        <f>VLOOKUP(AB23,Düngemittel!$B$6:$E$64,2,FALSE)*AC23</f>
        <v>0</v>
      </c>
      <c r="AF23" s="1033">
        <f>VLOOKUP(AB23,Düngemittel!$B$6:$E$64,4,FALSE)*AC23</f>
        <v>0</v>
      </c>
      <c r="AG23" s="2089"/>
      <c r="AH23" s="1329"/>
      <c r="AI23" s="1330" t="s">
        <v>795</v>
      </c>
      <c r="AJ23" s="1424">
        <v>0</v>
      </c>
      <c r="AK23" s="1033">
        <f>VLOOKUP(AI23,Düngemittel!$B$6:$E$64,2,FALSE)*(VLOOKUP(AI23,Düngemittel!$B$6:$E$64,3,FALSE))/100*AJ23</f>
        <v>0</v>
      </c>
      <c r="AL23" s="1033">
        <f>VLOOKUP(AI23,Düngemittel!$B$6:$E$64,2,FALSE)*AJ23</f>
        <v>0</v>
      </c>
      <c r="AM23" s="1033">
        <f>VLOOKUP(AI23,Düngemittel!$B$6:$E$64,4,FALSE)*AJ23</f>
        <v>0</v>
      </c>
      <c r="AN23" s="2089"/>
      <c r="AO23" s="1329"/>
      <c r="AP23" s="1330" t="s">
        <v>795</v>
      </c>
      <c r="AQ23" s="1424">
        <v>0</v>
      </c>
      <c r="AR23" s="1033">
        <f>VLOOKUP(AP23,Düngemittel!$B$6:$E$64,2,FALSE)*(VLOOKUP(AP23,Düngemittel!$B$6:$E$64,3,FALSE))/100*AQ23</f>
        <v>0</v>
      </c>
      <c r="AS23" s="1033">
        <f>VLOOKUP(AP23,Düngemittel!$B$6:$E$64,2,FALSE)*AQ23</f>
        <v>0</v>
      </c>
      <c r="AT23" s="1033">
        <f>VLOOKUP(AP23,Düngemittel!$B$6:$E$64,4,FALSE)*AQ23</f>
        <v>0</v>
      </c>
      <c r="AU23" s="2089"/>
      <c r="AV23" s="1329"/>
      <c r="AW23" s="1330" t="s">
        <v>795</v>
      </c>
      <c r="AX23" s="1424">
        <v>0</v>
      </c>
      <c r="AY23" s="1033">
        <f>VLOOKUP(AW23,Düngemittel!$B$6:$E$64,2,FALSE)*(VLOOKUP(AW23,Düngemittel!$B$6:$E$64,3,FALSE))/100*AX23</f>
        <v>0</v>
      </c>
      <c r="AZ23" s="1033">
        <f>VLOOKUP(AW23,Düngemittel!$B$6:$E$64,2,FALSE)*AX23</f>
        <v>0</v>
      </c>
      <c r="BA23" s="1033">
        <f>VLOOKUP(AW23,Düngemittel!$B$6:$E$64,4,FALSE)*AX23</f>
        <v>0</v>
      </c>
      <c r="BB23" s="863"/>
      <c r="BC23" s="1812">
        <f t="shared" si="12"/>
        <v>0</v>
      </c>
      <c r="BD23" s="1273">
        <f t="shared" si="13"/>
        <v>0</v>
      </c>
      <c r="BE23" s="1819">
        <f t="shared" si="13"/>
        <v>0</v>
      </c>
      <c r="BF23" s="1151">
        <f t="shared" si="14"/>
        <v>0</v>
      </c>
      <c r="BG23" s="1273">
        <f t="shared" si="15"/>
        <v>0</v>
      </c>
      <c r="BH23" s="1152"/>
      <c r="BI23" s="1812">
        <f t="shared" si="16"/>
        <v>0</v>
      </c>
      <c r="BJ23" s="1282">
        <f t="shared" si="17"/>
        <v>0</v>
      </c>
      <c r="BK23" s="1812">
        <f t="shared" si="18"/>
        <v>0</v>
      </c>
      <c r="BL23" s="1282">
        <f t="shared" si="19"/>
        <v>0</v>
      </c>
      <c r="BM23" s="1282">
        <f t="shared" si="20"/>
        <v>0</v>
      </c>
      <c r="BN23" s="1119"/>
      <c r="BO23" s="1246" t="s">
        <v>746</v>
      </c>
      <c r="BP23" s="112"/>
      <c r="BQ23" s="112"/>
      <c r="BS23" s="998"/>
      <c r="BT23" s="998"/>
      <c r="BU23" s="998"/>
      <c r="BV23" s="998"/>
      <c r="BW23" s="998"/>
      <c r="BX23" s="998"/>
    </row>
    <row r="24" spans="1:76" ht="23.25" customHeight="1">
      <c r="A24" s="468">
        <v>17</v>
      </c>
      <c r="B24" s="1705">
        <v>0</v>
      </c>
      <c r="C24" s="796" t="s">
        <v>31</v>
      </c>
      <c r="D24" s="565">
        <f t="shared" si="0"/>
        <v>0</v>
      </c>
      <c r="E24" s="335">
        <f t="shared" si="1"/>
        <v>0</v>
      </c>
      <c r="F24" s="566">
        <f t="shared" si="7"/>
        <v>0</v>
      </c>
      <c r="G24" s="1724">
        <v>0</v>
      </c>
      <c r="H24" s="1424">
        <v>0</v>
      </c>
      <c r="I24" s="570">
        <f t="shared" si="8"/>
        <v>0</v>
      </c>
      <c r="J24" s="590">
        <v>0</v>
      </c>
      <c r="K24" s="743">
        <f t="shared" si="9"/>
        <v>0</v>
      </c>
      <c r="L24" s="1703">
        <v>0</v>
      </c>
      <c r="M24" s="742">
        <f t="shared" si="2"/>
        <v>0</v>
      </c>
      <c r="N24" s="592">
        <f t="shared" si="3"/>
        <v>0</v>
      </c>
      <c r="O24" s="657">
        <f t="shared" si="4"/>
        <v>0</v>
      </c>
      <c r="P24" s="592">
        <f t="shared" si="5"/>
        <v>0</v>
      </c>
      <c r="Q24" s="636"/>
      <c r="R24" s="1281">
        <f t="shared" si="10"/>
        <v>17</v>
      </c>
      <c r="S24" s="1281" t="str">
        <f t="shared" si="11"/>
        <v>keine</v>
      </c>
      <c r="T24" s="1329"/>
      <c r="U24" s="1330" t="s">
        <v>795</v>
      </c>
      <c r="V24" s="1424">
        <v>0</v>
      </c>
      <c r="W24" s="1033">
        <f>VLOOKUP(U24,Düngemittel!$B$6:$E$64,2,FALSE)*(VLOOKUP(U24,Düngemittel!$B$6:$E$64,3,FALSE))/100*V24</f>
        <v>0</v>
      </c>
      <c r="X24" s="1033">
        <f>VLOOKUP(U24,Düngemittel!$B$6:$E$64,2,FALSE)*V24</f>
        <v>0</v>
      </c>
      <c r="Y24" s="1033">
        <f>VLOOKUP(U24,Düngemittel!$B$6:$E$64,4,FALSE)*V24</f>
        <v>0</v>
      </c>
      <c r="Z24" s="2089"/>
      <c r="AA24" s="1329"/>
      <c r="AB24" s="1330" t="s">
        <v>795</v>
      </c>
      <c r="AC24" s="1424">
        <v>0</v>
      </c>
      <c r="AD24" s="1033">
        <f>VLOOKUP(AB24,Düngemittel!$B$6:$E$64,2,FALSE)*(VLOOKUP(AB24,Düngemittel!$B$6:$E$64,3,FALSE))/100*AC24</f>
        <v>0</v>
      </c>
      <c r="AE24" s="1033">
        <f>VLOOKUP(AB24,Düngemittel!$B$6:$E$64,2,FALSE)*AC24</f>
        <v>0</v>
      </c>
      <c r="AF24" s="1033">
        <f>VLOOKUP(AB24,Düngemittel!$B$6:$E$64,4,FALSE)*AC24</f>
        <v>0</v>
      </c>
      <c r="AG24" s="2089"/>
      <c r="AH24" s="1329"/>
      <c r="AI24" s="1330" t="s">
        <v>795</v>
      </c>
      <c r="AJ24" s="1424">
        <v>0</v>
      </c>
      <c r="AK24" s="1033">
        <f>VLOOKUP(AI24,Düngemittel!$B$6:$E$64,2,FALSE)*(VLOOKUP(AI24,Düngemittel!$B$6:$E$64,3,FALSE))/100*AJ24</f>
        <v>0</v>
      </c>
      <c r="AL24" s="1033">
        <f>VLOOKUP(AI24,Düngemittel!$B$6:$E$64,2,FALSE)*AJ24</f>
        <v>0</v>
      </c>
      <c r="AM24" s="1033">
        <f>VLOOKUP(AI24,Düngemittel!$B$6:$E$64,4,FALSE)*AJ24</f>
        <v>0</v>
      </c>
      <c r="AN24" s="2089"/>
      <c r="AO24" s="1329"/>
      <c r="AP24" s="1330" t="s">
        <v>795</v>
      </c>
      <c r="AQ24" s="1424">
        <v>0</v>
      </c>
      <c r="AR24" s="1033">
        <f>VLOOKUP(AP24,Düngemittel!$B$6:$E$64,2,FALSE)*(VLOOKUP(AP24,Düngemittel!$B$6:$E$64,3,FALSE))/100*AQ24</f>
        <v>0</v>
      </c>
      <c r="AS24" s="1033">
        <f>VLOOKUP(AP24,Düngemittel!$B$6:$E$64,2,FALSE)*AQ24</f>
        <v>0</v>
      </c>
      <c r="AT24" s="1033">
        <f>VLOOKUP(AP24,Düngemittel!$B$6:$E$64,4,FALSE)*AQ24</f>
        <v>0</v>
      </c>
      <c r="AU24" s="2089"/>
      <c r="AV24" s="1329"/>
      <c r="AW24" s="1330" t="s">
        <v>795</v>
      </c>
      <c r="AX24" s="1424">
        <v>0</v>
      </c>
      <c r="AY24" s="1033">
        <f>VLOOKUP(AW24,Düngemittel!$B$6:$E$64,2,FALSE)*(VLOOKUP(AW24,Düngemittel!$B$6:$E$64,3,FALSE))/100*AX24</f>
        <v>0</v>
      </c>
      <c r="AZ24" s="1033">
        <f>VLOOKUP(AW24,Düngemittel!$B$6:$E$64,2,FALSE)*AX24</f>
        <v>0</v>
      </c>
      <c r="BA24" s="1033">
        <f>VLOOKUP(AW24,Düngemittel!$B$6:$E$64,4,FALSE)*AX24</f>
        <v>0</v>
      </c>
      <c r="BB24" s="863"/>
      <c r="BC24" s="1812">
        <f t="shared" si="12"/>
        <v>0</v>
      </c>
      <c r="BD24" s="1273">
        <f t="shared" si="13"/>
        <v>0</v>
      </c>
      <c r="BE24" s="1819">
        <f t="shared" si="13"/>
        <v>0</v>
      </c>
      <c r="BF24" s="1151">
        <f t="shared" si="14"/>
        <v>0</v>
      </c>
      <c r="BG24" s="1273">
        <f t="shared" si="15"/>
        <v>0</v>
      </c>
      <c r="BH24" s="1152"/>
      <c r="BI24" s="1812">
        <f t="shared" si="16"/>
        <v>0</v>
      </c>
      <c r="BJ24" s="1282">
        <f t="shared" si="17"/>
        <v>0</v>
      </c>
      <c r="BK24" s="1812">
        <f t="shared" si="18"/>
        <v>0</v>
      </c>
      <c r="BL24" s="1282">
        <f t="shared" si="19"/>
        <v>0</v>
      </c>
      <c r="BM24" s="1282">
        <f t="shared" si="20"/>
        <v>0</v>
      </c>
      <c r="BN24" s="1119"/>
      <c r="BO24" s="993" t="s">
        <v>745</v>
      </c>
      <c r="BS24" s="998"/>
      <c r="BT24" s="1000" t="s">
        <v>84</v>
      </c>
      <c r="BU24" s="1001"/>
      <c r="BV24" s="998"/>
      <c r="BW24" s="998"/>
      <c r="BX24" s="998"/>
    </row>
    <row r="25" spans="1:76" ht="23.25" customHeight="1">
      <c r="A25" s="468">
        <v>18</v>
      </c>
      <c r="B25" s="1705">
        <v>0</v>
      </c>
      <c r="C25" s="796" t="s">
        <v>31</v>
      </c>
      <c r="D25" s="565">
        <f t="shared" si="0"/>
        <v>0</v>
      </c>
      <c r="E25" s="335">
        <f t="shared" si="1"/>
        <v>0</v>
      </c>
      <c r="F25" s="566">
        <f t="shared" si="7"/>
        <v>0</v>
      </c>
      <c r="G25" s="1724">
        <v>0</v>
      </c>
      <c r="H25" s="1424">
        <v>0</v>
      </c>
      <c r="I25" s="570">
        <f t="shared" si="8"/>
        <v>0</v>
      </c>
      <c r="J25" s="590">
        <v>0</v>
      </c>
      <c r="K25" s="743">
        <f t="shared" si="9"/>
        <v>0</v>
      </c>
      <c r="L25" s="1703">
        <v>0</v>
      </c>
      <c r="M25" s="742">
        <f t="shared" si="2"/>
        <v>0</v>
      </c>
      <c r="N25" s="592">
        <f t="shared" si="3"/>
        <v>0</v>
      </c>
      <c r="O25" s="657">
        <f t="shared" si="4"/>
        <v>0</v>
      </c>
      <c r="P25" s="592">
        <f t="shared" si="5"/>
        <v>0</v>
      </c>
      <c r="Q25" s="1251"/>
      <c r="R25" s="1281">
        <f t="shared" si="10"/>
        <v>18</v>
      </c>
      <c r="S25" s="1281" t="str">
        <f t="shared" si="11"/>
        <v>keine</v>
      </c>
      <c r="T25" s="1329"/>
      <c r="U25" s="1330" t="s">
        <v>795</v>
      </c>
      <c r="V25" s="1424">
        <v>0</v>
      </c>
      <c r="W25" s="1033">
        <f>VLOOKUP(U25,Düngemittel!$B$6:$E$64,2,FALSE)*(VLOOKUP(U25,Düngemittel!$B$6:$E$64,3,FALSE))/100*V25</f>
        <v>0</v>
      </c>
      <c r="X25" s="1033">
        <f>VLOOKUP(U25,Düngemittel!$B$6:$E$64,2,FALSE)*V25</f>
        <v>0</v>
      </c>
      <c r="Y25" s="1033">
        <f>VLOOKUP(U25,Düngemittel!$B$6:$E$64,4,FALSE)*V25</f>
        <v>0</v>
      </c>
      <c r="Z25" s="2089"/>
      <c r="AA25" s="1329"/>
      <c r="AB25" s="1330" t="s">
        <v>795</v>
      </c>
      <c r="AC25" s="1424">
        <v>0</v>
      </c>
      <c r="AD25" s="1033">
        <f>VLOOKUP(AB25,Düngemittel!$B$6:$E$64,2,FALSE)*(VLOOKUP(AB25,Düngemittel!$B$6:$E$64,3,FALSE))/100*AC25</f>
        <v>0</v>
      </c>
      <c r="AE25" s="1033">
        <f>VLOOKUP(AB25,Düngemittel!$B$6:$E$64,2,FALSE)*AC25</f>
        <v>0</v>
      </c>
      <c r="AF25" s="1033">
        <f>VLOOKUP(AB25,Düngemittel!$B$6:$E$64,4,FALSE)*AC25</f>
        <v>0</v>
      </c>
      <c r="AG25" s="2089"/>
      <c r="AH25" s="1329"/>
      <c r="AI25" s="1330" t="s">
        <v>795</v>
      </c>
      <c r="AJ25" s="1424">
        <v>0</v>
      </c>
      <c r="AK25" s="1033">
        <f>VLOOKUP(AI25,Düngemittel!$B$6:$E$64,2,FALSE)*(VLOOKUP(AI25,Düngemittel!$B$6:$E$64,3,FALSE))/100*AJ25</f>
        <v>0</v>
      </c>
      <c r="AL25" s="1033">
        <f>VLOOKUP(AI25,Düngemittel!$B$6:$E$64,2,FALSE)*AJ25</f>
        <v>0</v>
      </c>
      <c r="AM25" s="1033">
        <f>VLOOKUP(AI25,Düngemittel!$B$6:$E$64,4,FALSE)*AJ25</f>
        <v>0</v>
      </c>
      <c r="AN25" s="2089"/>
      <c r="AO25" s="1329"/>
      <c r="AP25" s="1330" t="s">
        <v>795</v>
      </c>
      <c r="AQ25" s="1424">
        <v>0</v>
      </c>
      <c r="AR25" s="1033">
        <f>VLOOKUP(AP25,Düngemittel!$B$6:$E$64,2,FALSE)*(VLOOKUP(AP25,Düngemittel!$B$6:$E$64,3,FALSE))/100*AQ25</f>
        <v>0</v>
      </c>
      <c r="AS25" s="1033">
        <f>VLOOKUP(AP25,Düngemittel!$B$6:$E$64,2,FALSE)*AQ25</f>
        <v>0</v>
      </c>
      <c r="AT25" s="1033">
        <f>VLOOKUP(AP25,Düngemittel!$B$6:$E$64,4,FALSE)*AQ25</f>
        <v>0</v>
      </c>
      <c r="AU25" s="2089"/>
      <c r="AV25" s="1329"/>
      <c r="AW25" s="1330" t="s">
        <v>795</v>
      </c>
      <c r="AX25" s="1424">
        <v>0</v>
      </c>
      <c r="AY25" s="1033">
        <f>VLOOKUP(AW25,Düngemittel!$B$6:$E$64,2,FALSE)*(VLOOKUP(AW25,Düngemittel!$B$6:$E$64,3,FALSE))/100*AX25</f>
        <v>0</v>
      </c>
      <c r="AZ25" s="1033">
        <f>VLOOKUP(AW25,Düngemittel!$B$6:$E$64,2,FALSE)*AX25</f>
        <v>0</v>
      </c>
      <c r="BA25" s="1033">
        <f>VLOOKUP(AW25,Düngemittel!$B$6:$E$64,4,FALSE)*AX25</f>
        <v>0</v>
      </c>
      <c r="BB25" s="863"/>
      <c r="BC25" s="1812">
        <f t="shared" si="12"/>
        <v>0</v>
      </c>
      <c r="BD25" s="1273">
        <f t="shared" si="13"/>
        <v>0</v>
      </c>
      <c r="BE25" s="1819">
        <f t="shared" si="13"/>
        <v>0</v>
      </c>
      <c r="BF25" s="1151">
        <f t="shared" si="14"/>
        <v>0</v>
      </c>
      <c r="BG25" s="1273">
        <f t="shared" si="15"/>
        <v>0</v>
      </c>
      <c r="BH25" s="1152"/>
      <c r="BI25" s="1812">
        <f t="shared" si="16"/>
        <v>0</v>
      </c>
      <c r="BJ25" s="1282">
        <f t="shared" si="17"/>
        <v>0</v>
      </c>
      <c r="BK25" s="1812">
        <f t="shared" si="18"/>
        <v>0</v>
      </c>
      <c r="BL25" s="1282">
        <f t="shared" si="19"/>
        <v>0</v>
      </c>
      <c r="BM25" s="1282">
        <f t="shared" si="20"/>
        <v>0</v>
      </c>
      <c r="BN25" s="1119"/>
      <c r="BO25" s="1274"/>
      <c r="BS25" s="998"/>
      <c r="BT25" s="999" t="s">
        <v>90</v>
      </c>
      <c r="BU25" s="1001">
        <v>0</v>
      </c>
      <c r="BV25" s="998"/>
      <c r="BW25" s="998"/>
      <c r="BX25" s="998"/>
    </row>
    <row r="26" spans="1:76" ht="23.25" customHeight="1">
      <c r="A26" s="468">
        <v>19</v>
      </c>
      <c r="B26" s="1705">
        <v>0</v>
      </c>
      <c r="C26" s="796" t="s">
        <v>31</v>
      </c>
      <c r="D26" s="565">
        <f t="shared" si="0"/>
        <v>0</v>
      </c>
      <c r="E26" s="335">
        <f t="shared" si="1"/>
        <v>0</v>
      </c>
      <c r="F26" s="566">
        <f t="shared" si="7"/>
        <v>0</v>
      </c>
      <c r="G26" s="1724">
        <v>0</v>
      </c>
      <c r="H26" s="1424">
        <v>0</v>
      </c>
      <c r="I26" s="570">
        <f t="shared" si="8"/>
        <v>0</v>
      </c>
      <c r="J26" s="590">
        <v>0</v>
      </c>
      <c r="K26" s="743">
        <f t="shared" si="9"/>
        <v>0</v>
      </c>
      <c r="L26" s="1703">
        <v>0</v>
      </c>
      <c r="M26" s="742">
        <f t="shared" si="2"/>
        <v>0</v>
      </c>
      <c r="N26" s="592">
        <f t="shared" si="3"/>
        <v>0</v>
      </c>
      <c r="O26" s="657">
        <f t="shared" si="4"/>
        <v>0</v>
      </c>
      <c r="P26" s="592">
        <f t="shared" si="5"/>
        <v>0</v>
      </c>
      <c r="Q26" s="981"/>
      <c r="R26" s="1281">
        <f t="shared" si="10"/>
        <v>19</v>
      </c>
      <c r="S26" s="1281" t="str">
        <f t="shared" si="11"/>
        <v>keine</v>
      </c>
      <c r="T26" s="1329"/>
      <c r="U26" s="1330" t="s">
        <v>795</v>
      </c>
      <c r="V26" s="1424">
        <v>0</v>
      </c>
      <c r="W26" s="1033">
        <f>VLOOKUP(U26,Düngemittel!$B$6:$E$64,2,FALSE)*(VLOOKUP(U26,Düngemittel!$B$6:$E$64,3,FALSE))/100*V26</f>
        <v>0</v>
      </c>
      <c r="X26" s="1033">
        <f>VLOOKUP(U26,Düngemittel!$B$6:$E$64,2,FALSE)*V26</f>
        <v>0</v>
      </c>
      <c r="Y26" s="1033">
        <f>VLOOKUP(U26,Düngemittel!$B$6:$E$64,4,FALSE)*V26</f>
        <v>0</v>
      </c>
      <c r="Z26" s="2089"/>
      <c r="AA26" s="1329"/>
      <c r="AB26" s="1330" t="s">
        <v>795</v>
      </c>
      <c r="AC26" s="1424">
        <v>0</v>
      </c>
      <c r="AD26" s="1033">
        <f>VLOOKUP(AB26,Düngemittel!$B$6:$E$64,2,FALSE)*(VLOOKUP(AB26,Düngemittel!$B$6:$E$64,3,FALSE))/100*AC26</f>
        <v>0</v>
      </c>
      <c r="AE26" s="1033">
        <f>VLOOKUP(AB26,Düngemittel!$B$6:$E$64,2,FALSE)*AC26</f>
        <v>0</v>
      </c>
      <c r="AF26" s="1033">
        <f>VLOOKUP(AB26,Düngemittel!$B$6:$E$64,4,FALSE)*AC26</f>
        <v>0</v>
      </c>
      <c r="AG26" s="2089"/>
      <c r="AH26" s="1329"/>
      <c r="AI26" s="1330" t="s">
        <v>795</v>
      </c>
      <c r="AJ26" s="1424">
        <v>0</v>
      </c>
      <c r="AK26" s="1033">
        <f>VLOOKUP(AI26,Düngemittel!$B$6:$E$64,2,FALSE)*(VLOOKUP(AI26,Düngemittel!$B$6:$E$64,3,FALSE))/100*AJ26</f>
        <v>0</v>
      </c>
      <c r="AL26" s="1033">
        <f>VLOOKUP(AI26,Düngemittel!$B$6:$E$64,2,FALSE)*AJ26</f>
        <v>0</v>
      </c>
      <c r="AM26" s="1033">
        <f>VLOOKUP(AI26,Düngemittel!$B$6:$E$64,4,FALSE)*AJ26</f>
        <v>0</v>
      </c>
      <c r="AN26" s="2089"/>
      <c r="AO26" s="1329"/>
      <c r="AP26" s="1330" t="s">
        <v>795</v>
      </c>
      <c r="AQ26" s="1424">
        <v>0</v>
      </c>
      <c r="AR26" s="1033">
        <f>VLOOKUP(AP26,Düngemittel!$B$6:$E$64,2,FALSE)*(VLOOKUP(AP26,Düngemittel!$B$6:$E$64,3,FALSE))/100*AQ26</f>
        <v>0</v>
      </c>
      <c r="AS26" s="1033">
        <f>VLOOKUP(AP26,Düngemittel!$B$6:$E$64,2,FALSE)*AQ26</f>
        <v>0</v>
      </c>
      <c r="AT26" s="1033">
        <f>VLOOKUP(AP26,Düngemittel!$B$6:$E$64,4,FALSE)*AQ26</f>
        <v>0</v>
      </c>
      <c r="AU26" s="2089"/>
      <c r="AV26" s="1329"/>
      <c r="AW26" s="1330" t="s">
        <v>795</v>
      </c>
      <c r="AX26" s="1424">
        <v>0</v>
      </c>
      <c r="AY26" s="1033">
        <f>VLOOKUP(AW26,Düngemittel!$B$6:$E$64,2,FALSE)*(VLOOKUP(AW26,Düngemittel!$B$6:$E$64,3,FALSE))/100*AX26</f>
        <v>0</v>
      </c>
      <c r="AZ26" s="1033">
        <f>VLOOKUP(AW26,Düngemittel!$B$6:$E$64,2,FALSE)*AX26</f>
        <v>0</v>
      </c>
      <c r="BA26" s="1033">
        <f>VLOOKUP(AW26,Düngemittel!$B$6:$E$64,4,FALSE)*AX26</f>
        <v>0</v>
      </c>
      <c r="BB26" s="863"/>
      <c r="BC26" s="1812">
        <f t="shared" si="12"/>
        <v>0</v>
      </c>
      <c r="BD26" s="1273">
        <f t="shared" si="13"/>
        <v>0</v>
      </c>
      <c r="BE26" s="1819">
        <f t="shared" si="13"/>
        <v>0</v>
      </c>
      <c r="BF26" s="1151">
        <f t="shared" si="14"/>
        <v>0</v>
      </c>
      <c r="BG26" s="1273">
        <f t="shared" si="15"/>
        <v>0</v>
      </c>
      <c r="BH26" s="1152"/>
      <c r="BI26" s="1812">
        <f t="shared" si="16"/>
        <v>0</v>
      </c>
      <c r="BJ26" s="1282">
        <f t="shared" si="17"/>
        <v>0</v>
      </c>
      <c r="BK26" s="1812">
        <f t="shared" si="18"/>
        <v>0</v>
      </c>
      <c r="BL26" s="1282">
        <f t="shared" si="19"/>
        <v>0</v>
      </c>
      <c r="BM26" s="1282">
        <f t="shared" si="20"/>
        <v>0</v>
      </c>
      <c r="BN26" s="1119"/>
      <c r="BO26" s="1274"/>
      <c r="BS26" s="998"/>
      <c r="BT26" s="999" t="s">
        <v>88</v>
      </c>
      <c r="BU26" s="1001">
        <v>20</v>
      </c>
      <c r="BV26" s="998"/>
      <c r="BW26" s="998"/>
      <c r="BX26" s="998"/>
    </row>
    <row r="27" spans="1:76" ht="23.25" customHeight="1">
      <c r="A27" s="468">
        <v>20</v>
      </c>
      <c r="B27" s="1705">
        <v>0</v>
      </c>
      <c r="C27" s="796" t="s">
        <v>31</v>
      </c>
      <c r="D27" s="565">
        <f t="shared" si="0"/>
        <v>0</v>
      </c>
      <c r="E27" s="335">
        <f t="shared" si="1"/>
        <v>0</v>
      </c>
      <c r="F27" s="566">
        <f t="shared" si="7"/>
        <v>0</v>
      </c>
      <c r="G27" s="1724">
        <v>0</v>
      </c>
      <c r="H27" s="1424">
        <v>0</v>
      </c>
      <c r="I27" s="570">
        <f t="shared" si="8"/>
        <v>0</v>
      </c>
      <c r="J27" s="590">
        <v>0</v>
      </c>
      <c r="K27" s="743">
        <f t="shared" si="9"/>
        <v>0</v>
      </c>
      <c r="L27" s="1703">
        <v>0</v>
      </c>
      <c r="M27" s="742">
        <f t="shared" si="2"/>
        <v>0</v>
      </c>
      <c r="N27" s="592">
        <f t="shared" si="3"/>
        <v>0</v>
      </c>
      <c r="O27" s="657">
        <f t="shared" si="4"/>
        <v>0</v>
      </c>
      <c r="P27" s="592">
        <f t="shared" si="5"/>
        <v>0</v>
      </c>
      <c r="Q27" s="1256"/>
      <c r="R27" s="1281">
        <f t="shared" si="10"/>
        <v>20</v>
      </c>
      <c r="S27" s="1281" t="str">
        <f t="shared" si="11"/>
        <v>keine</v>
      </c>
      <c r="T27" s="1329"/>
      <c r="U27" s="1330" t="s">
        <v>795</v>
      </c>
      <c r="V27" s="1424">
        <v>0</v>
      </c>
      <c r="W27" s="1033">
        <f>VLOOKUP(U27,Düngemittel!$B$6:$E$64,2,FALSE)*(VLOOKUP(U27,Düngemittel!$B$6:$E$64,3,FALSE))/100*V27</f>
        <v>0</v>
      </c>
      <c r="X27" s="1033">
        <f>VLOOKUP(U27,Düngemittel!$B$6:$E$64,2,FALSE)*V27</f>
        <v>0</v>
      </c>
      <c r="Y27" s="1033">
        <f>VLOOKUP(U27,Düngemittel!$B$6:$E$64,4,FALSE)*V27</f>
        <v>0</v>
      </c>
      <c r="Z27" s="2089"/>
      <c r="AA27" s="1329"/>
      <c r="AB27" s="1330" t="s">
        <v>795</v>
      </c>
      <c r="AC27" s="1424">
        <v>0</v>
      </c>
      <c r="AD27" s="1033">
        <f>VLOOKUP(AB27,Düngemittel!$B$6:$E$64,2,FALSE)*(VLOOKUP(AB27,Düngemittel!$B$6:$E$64,3,FALSE))/100*AC27</f>
        <v>0</v>
      </c>
      <c r="AE27" s="1033">
        <f>VLOOKUP(AB27,Düngemittel!$B$6:$E$64,2,FALSE)*AC27</f>
        <v>0</v>
      </c>
      <c r="AF27" s="1033">
        <f>VLOOKUP(AB27,Düngemittel!$B$6:$E$64,4,FALSE)*AC27</f>
        <v>0</v>
      </c>
      <c r="AG27" s="2089"/>
      <c r="AH27" s="1329"/>
      <c r="AI27" s="1330" t="s">
        <v>795</v>
      </c>
      <c r="AJ27" s="1424">
        <v>0</v>
      </c>
      <c r="AK27" s="1033">
        <f>VLOOKUP(AI27,Düngemittel!$B$6:$E$64,2,FALSE)*(VLOOKUP(AI27,Düngemittel!$B$6:$E$64,3,FALSE))/100*AJ27</f>
        <v>0</v>
      </c>
      <c r="AL27" s="1033">
        <f>VLOOKUP(AI27,Düngemittel!$B$6:$E$64,2,FALSE)*AJ27</f>
        <v>0</v>
      </c>
      <c r="AM27" s="1033">
        <f>VLOOKUP(AI27,Düngemittel!$B$6:$E$64,4,FALSE)*AJ27</f>
        <v>0</v>
      </c>
      <c r="AN27" s="2089"/>
      <c r="AO27" s="1329"/>
      <c r="AP27" s="1330" t="s">
        <v>795</v>
      </c>
      <c r="AQ27" s="1424">
        <v>0</v>
      </c>
      <c r="AR27" s="1033">
        <f>VLOOKUP(AP27,Düngemittel!$B$6:$E$64,2,FALSE)*(VLOOKUP(AP27,Düngemittel!$B$6:$E$64,3,FALSE))/100*AQ27</f>
        <v>0</v>
      </c>
      <c r="AS27" s="1033">
        <f>VLOOKUP(AP27,Düngemittel!$B$6:$E$64,2,FALSE)*AQ27</f>
        <v>0</v>
      </c>
      <c r="AT27" s="1033">
        <f>VLOOKUP(AP27,Düngemittel!$B$6:$E$64,4,FALSE)*AQ27</f>
        <v>0</v>
      </c>
      <c r="AU27" s="2089"/>
      <c r="AV27" s="1329"/>
      <c r="AW27" s="1330" t="s">
        <v>795</v>
      </c>
      <c r="AX27" s="1424">
        <v>0</v>
      </c>
      <c r="AY27" s="1033">
        <f>VLOOKUP(AW27,Düngemittel!$B$6:$E$64,2,FALSE)*(VLOOKUP(AW27,Düngemittel!$B$6:$E$64,3,FALSE))/100*AX27</f>
        <v>0</v>
      </c>
      <c r="AZ27" s="1033">
        <f>VLOOKUP(AW27,Düngemittel!$B$6:$E$64,2,FALSE)*AX27</f>
        <v>0</v>
      </c>
      <c r="BA27" s="1033">
        <f>VLOOKUP(AW27,Düngemittel!$B$6:$E$64,4,FALSE)*AX27</f>
        <v>0</v>
      </c>
      <c r="BB27" s="863"/>
      <c r="BC27" s="1812">
        <f t="shared" si="12"/>
        <v>0</v>
      </c>
      <c r="BD27" s="1273">
        <f t="shared" si="13"/>
        <v>0</v>
      </c>
      <c r="BE27" s="1819">
        <f t="shared" si="13"/>
        <v>0</v>
      </c>
      <c r="BF27" s="1151">
        <f t="shared" si="14"/>
        <v>0</v>
      </c>
      <c r="BG27" s="1273">
        <f t="shared" si="15"/>
        <v>0</v>
      </c>
      <c r="BH27" s="1152"/>
      <c r="BI27" s="1812">
        <f t="shared" si="16"/>
        <v>0</v>
      </c>
      <c r="BJ27" s="1282">
        <f t="shared" si="17"/>
        <v>0</v>
      </c>
      <c r="BK27" s="1812">
        <f t="shared" si="18"/>
        <v>0</v>
      </c>
      <c r="BL27" s="1282">
        <f t="shared" si="19"/>
        <v>0</v>
      </c>
      <c r="BM27" s="1282">
        <f t="shared" si="20"/>
        <v>0</v>
      </c>
      <c r="BN27" s="1119"/>
      <c r="BS27" s="998"/>
      <c r="BT27" s="999" t="s">
        <v>89</v>
      </c>
      <c r="BU27" s="1001">
        <v>40</v>
      </c>
      <c r="BV27" s="998"/>
      <c r="BW27" s="998"/>
      <c r="BX27" s="998"/>
    </row>
    <row r="28" spans="1:76" ht="23.25" customHeight="1">
      <c r="A28" s="468">
        <v>21</v>
      </c>
      <c r="B28" s="1705">
        <v>0</v>
      </c>
      <c r="C28" s="796" t="s">
        <v>31</v>
      </c>
      <c r="D28" s="565">
        <f t="shared" si="0"/>
        <v>0</v>
      </c>
      <c r="E28" s="335">
        <f t="shared" si="1"/>
        <v>0</v>
      </c>
      <c r="F28" s="566">
        <f t="shared" si="7"/>
        <v>0</v>
      </c>
      <c r="G28" s="1724">
        <v>0</v>
      </c>
      <c r="H28" s="1424">
        <v>0</v>
      </c>
      <c r="I28" s="570">
        <f t="shared" si="8"/>
        <v>0</v>
      </c>
      <c r="J28" s="590">
        <v>0</v>
      </c>
      <c r="K28" s="743">
        <f t="shared" si="9"/>
        <v>0</v>
      </c>
      <c r="L28" s="1703">
        <v>0</v>
      </c>
      <c r="M28" s="742">
        <f t="shared" si="2"/>
        <v>0</v>
      </c>
      <c r="N28" s="592">
        <f t="shared" si="3"/>
        <v>0</v>
      </c>
      <c r="O28" s="657">
        <f t="shared" si="4"/>
        <v>0</v>
      </c>
      <c r="P28" s="592">
        <f t="shared" si="5"/>
        <v>0</v>
      </c>
      <c r="Q28" s="980"/>
      <c r="R28" s="1281">
        <f t="shared" si="10"/>
        <v>21</v>
      </c>
      <c r="S28" s="1281" t="str">
        <f t="shared" si="11"/>
        <v>keine</v>
      </c>
      <c r="T28" s="1329"/>
      <c r="U28" s="1330" t="s">
        <v>795</v>
      </c>
      <c r="V28" s="1424">
        <v>0</v>
      </c>
      <c r="W28" s="1033">
        <f>VLOOKUP(U28,Düngemittel!$B$6:$E$64,2,FALSE)*(VLOOKUP(U28,Düngemittel!$B$6:$E$64,3,FALSE))/100*V28</f>
        <v>0</v>
      </c>
      <c r="X28" s="1033">
        <f>VLOOKUP(U28,Düngemittel!$B$6:$E$64,2,FALSE)*V28</f>
        <v>0</v>
      </c>
      <c r="Y28" s="1033">
        <f>VLOOKUP(U28,Düngemittel!$B$6:$E$64,4,FALSE)*V28</f>
        <v>0</v>
      </c>
      <c r="Z28" s="142"/>
      <c r="AA28" s="1329"/>
      <c r="AB28" s="1330" t="s">
        <v>795</v>
      </c>
      <c r="AC28" s="1424">
        <v>0</v>
      </c>
      <c r="AD28" s="1033">
        <f>VLOOKUP(AB28,Düngemittel!$B$6:$E$64,2,FALSE)*(VLOOKUP(AB28,Düngemittel!$B$6:$E$64,3,FALSE))/100*AC28</f>
        <v>0</v>
      </c>
      <c r="AE28" s="1033">
        <f>VLOOKUP(AB28,Düngemittel!$B$6:$E$64,2,FALSE)*AC28</f>
        <v>0</v>
      </c>
      <c r="AF28" s="1033">
        <f>VLOOKUP(AB28,Düngemittel!$B$6:$E$64,4,FALSE)*AC28</f>
        <v>0</v>
      </c>
      <c r="AG28" s="142"/>
      <c r="AH28" s="1329"/>
      <c r="AI28" s="1330" t="s">
        <v>795</v>
      </c>
      <c r="AJ28" s="1424">
        <v>0</v>
      </c>
      <c r="AK28" s="1033">
        <f>VLOOKUP(AI28,Düngemittel!$B$6:$E$64,2,FALSE)*(VLOOKUP(AI28,Düngemittel!$B$6:$E$64,3,FALSE))/100*AJ28</f>
        <v>0</v>
      </c>
      <c r="AL28" s="1033">
        <f>VLOOKUP(AI28,Düngemittel!$B$6:$E$64,2,FALSE)*AJ28</f>
        <v>0</v>
      </c>
      <c r="AM28" s="1033">
        <f>VLOOKUP(AI28,Düngemittel!$B$6:$E$64,4,FALSE)*AJ28</f>
        <v>0</v>
      </c>
      <c r="AN28" s="142"/>
      <c r="AO28" s="1329"/>
      <c r="AP28" s="1330" t="s">
        <v>795</v>
      </c>
      <c r="AQ28" s="1424">
        <v>0</v>
      </c>
      <c r="AR28" s="1033">
        <f>VLOOKUP(AP28,Düngemittel!$B$6:$E$64,2,FALSE)*(VLOOKUP(AP28,Düngemittel!$B$6:$E$64,3,FALSE))/100*AQ28</f>
        <v>0</v>
      </c>
      <c r="AS28" s="1033">
        <f>VLOOKUP(AP28,Düngemittel!$B$6:$E$64,2,FALSE)*AQ28</f>
        <v>0</v>
      </c>
      <c r="AT28" s="1033">
        <f>VLOOKUP(AP28,Düngemittel!$B$6:$E$64,4,FALSE)*AQ28</f>
        <v>0</v>
      </c>
      <c r="AU28" s="142"/>
      <c r="AV28" s="1329"/>
      <c r="AW28" s="1330" t="s">
        <v>795</v>
      </c>
      <c r="AX28" s="1424">
        <v>0</v>
      </c>
      <c r="AY28" s="1033">
        <f>VLOOKUP(AW28,Düngemittel!$B$6:$E$64,2,FALSE)*(VLOOKUP(AW28,Düngemittel!$B$6:$E$64,3,FALSE))/100*AX28</f>
        <v>0</v>
      </c>
      <c r="AZ28" s="1033">
        <f>VLOOKUP(AW28,Düngemittel!$B$6:$E$64,2,FALSE)*AX28</f>
        <v>0</v>
      </c>
      <c r="BA28" s="1033">
        <f>VLOOKUP(AW28,Düngemittel!$B$6:$E$64,4,FALSE)*AX28</f>
        <v>0</v>
      </c>
      <c r="BB28" s="863"/>
      <c r="BC28" s="1812">
        <f t="shared" si="12"/>
        <v>0</v>
      </c>
      <c r="BD28" s="1273">
        <f t="shared" si="13"/>
        <v>0</v>
      </c>
      <c r="BE28" s="1819">
        <f t="shared" si="13"/>
        <v>0</v>
      </c>
      <c r="BF28" s="1151">
        <f t="shared" si="14"/>
        <v>0</v>
      </c>
      <c r="BG28" s="1273">
        <f t="shared" si="15"/>
        <v>0</v>
      </c>
      <c r="BH28" s="1152"/>
      <c r="BI28" s="1812">
        <f t="shared" si="16"/>
        <v>0</v>
      </c>
      <c r="BJ28" s="1282">
        <f t="shared" si="17"/>
        <v>0</v>
      </c>
      <c r="BK28" s="1812">
        <f t="shared" si="18"/>
        <v>0</v>
      </c>
      <c r="BL28" s="1282">
        <f t="shared" si="19"/>
        <v>0</v>
      </c>
      <c r="BM28" s="1282">
        <f t="shared" si="20"/>
        <v>0</v>
      </c>
      <c r="BN28" s="1119"/>
      <c r="BO28" s="1274"/>
      <c r="BP28" s="1249"/>
      <c r="BQ28" s="1249"/>
      <c r="BR28" s="1249"/>
      <c r="BS28" s="998"/>
      <c r="BT28" s="999" t="s">
        <v>227</v>
      </c>
      <c r="BU28" s="1001">
        <v>60</v>
      </c>
      <c r="BV28" s="998"/>
      <c r="BW28" s="998"/>
      <c r="BX28" s="998"/>
    </row>
    <row r="29" spans="1:76" ht="24" customHeight="1">
      <c r="A29" s="468">
        <v>22</v>
      </c>
      <c r="B29" s="1705">
        <v>0</v>
      </c>
      <c r="C29" s="796" t="s">
        <v>31</v>
      </c>
      <c r="D29" s="565">
        <f t="shared" si="0"/>
        <v>0</v>
      </c>
      <c r="E29" s="335">
        <f t="shared" si="1"/>
        <v>0</v>
      </c>
      <c r="F29" s="566">
        <f t="shared" si="7"/>
        <v>0</v>
      </c>
      <c r="G29" s="1724">
        <v>0</v>
      </c>
      <c r="H29" s="1424">
        <v>0</v>
      </c>
      <c r="I29" s="570">
        <f t="shared" si="8"/>
        <v>0</v>
      </c>
      <c r="J29" s="590">
        <v>0</v>
      </c>
      <c r="K29" s="743">
        <f t="shared" si="9"/>
        <v>0</v>
      </c>
      <c r="L29" s="1703">
        <v>0</v>
      </c>
      <c r="M29" s="742">
        <f t="shared" si="2"/>
        <v>0</v>
      </c>
      <c r="N29" s="592">
        <f t="shared" si="3"/>
        <v>0</v>
      </c>
      <c r="O29" s="657">
        <f t="shared" si="4"/>
        <v>0</v>
      </c>
      <c r="P29" s="592">
        <f t="shared" si="5"/>
        <v>0</v>
      </c>
      <c r="Q29" s="978"/>
      <c r="R29" s="1281">
        <f t="shared" si="10"/>
        <v>22</v>
      </c>
      <c r="S29" s="1281" t="str">
        <f t="shared" si="11"/>
        <v>keine</v>
      </c>
      <c r="T29" s="1329"/>
      <c r="U29" s="1330" t="s">
        <v>795</v>
      </c>
      <c r="V29" s="1424">
        <v>0</v>
      </c>
      <c r="W29" s="1033">
        <f>VLOOKUP(U29,Düngemittel!$B$6:$E$64,2,FALSE)*(VLOOKUP(U29,Düngemittel!$B$6:$E$64,3,FALSE))/100*V29</f>
        <v>0</v>
      </c>
      <c r="X29" s="1033">
        <f>VLOOKUP(U29,Düngemittel!$B$6:$E$64,2,FALSE)*V29</f>
        <v>0</v>
      </c>
      <c r="Y29" s="1033">
        <f>VLOOKUP(U29,Düngemittel!$B$6:$E$64,4,FALSE)*V29</f>
        <v>0</v>
      </c>
      <c r="Z29" s="2089"/>
      <c r="AA29" s="1329"/>
      <c r="AB29" s="1330" t="s">
        <v>795</v>
      </c>
      <c r="AC29" s="1424">
        <v>0</v>
      </c>
      <c r="AD29" s="1033">
        <f>VLOOKUP(AB29,Düngemittel!$B$6:$E$64,2,FALSE)*(VLOOKUP(AB29,Düngemittel!$B$6:$E$64,3,FALSE))/100*AC29</f>
        <v>0</v>
      </c>
      <c r="AE29" s="1033">
        <f>VLOOKUP(AB29,Düngemittel!$B$6:$E$64,2,FALSE)*AC29</f>
        <v>0</v>
      </c>
      <c r="AF29" s="1033">
        <f>VLOOKUP(AB29,Düngemittel!$B$6:$E$64,4,FALSE)*AC29</f>
        <v>0</v>
      </c>
      <c r="AG29" s="2089"/>
      <c r="AH29" s="1329"/>
      <c r="AI29" s="1330" t="s">
        <v>795</v>
      </c>
      <c r="AJ29" s="1424">
        <v>0</v>
      </c>
      <c r="AK29" s="1033">
        <f>VLOOKUP(AI29,Düngemittel!$B$6:$E$64,2,FALSE)*(VLOOKUP(AI29,Düngemittel!$B$6:$E$64,3,FALSE))/100*AJ29</f>
        <v>0</v>
      </c>
      <c r="AL29" s="1033">
        <f>VLOOKUP(AI29,Düngemittel!$B$6:$E$64,2,FALSE)*AJ29</f>
        <v>0</v>
      </c>
      <c r="AM29" s="1033">
        <f>VLOOKUP(AI29,Düngemittel!$B$6:$E$64,4,FALSE)*AJ29</f>
        <v>0</v>
      </c>
      <c r="AN29" s="2089"/>
      <c r="AO29" s="1329"/>
      <c r="AP29" s="1330" t="s">
        <v>795</v>
      </c>
      <c r="AQ29" s="1424">
        <v>0</v>
      </c>
      <c r="AR29" s="1033">
        <f>VLOOKUP(AP29,Düngemittel!$B$6:$E$64,2,FALSE)*(VLOOKUP(AP29,Düngemittel!$B$6:$E$64,3,FALSE))/100*AQ29</f>
        <v>0</v>
      </c>
      <c r="AS29" s="1033">
        <f>VLOOKUP(AP29,Düngemittel!$B$6:$E$64,2,FALSE)*AQ29</f>
        <v>0</v>
      </c>
      <c r="AT29" s="1033">
        <f>VLOOKUP(AP29,Düngemittel!$B$6:$E$64,4,FALSE)*AQ29</f>
        <v>0</v>
      </c>
      <c r="AU29" s="2089"/>
      <c r="AV29" s="1329"/>
      <c r="AW29" s="1330" t="s">
        <v>795</v>
      </c>
      <c r="AX29" s="1424">
        <v>0</v>
      </c>
      <c r="AY29" s="1033">
        <f>VLOOKUP(AW29,Düngemittel!$B$6:$E$64,2,FALSE)*(VLOOKUP(AW29,Düngemittel!$B$6:$E$64,3,FALSE))/100*AX29</f>
        <v>0</v>
      </c>
      <c r="AZ29" s="1033">
        <f>VLOOKUP(AW29,Düngemittel!$B$6:$E$64,2,FALSE)*AX29</f>
        <v>0</v>
      </c>
      <c r="BA29" s="1033">
        <f>VLOOKUP(AW29,Düngemittel!$B$6:$E$64,4,FALSE)*AX29</f>
        <v>0</v>
      </c>
      <c r="BB29" s="863"/>
      <c r="BC29" s="1812">
        <f t="shared" si="12"/>
        <v>0</v>
      </c>
      <c r="BD29" s="1273">
        <f t="shared" si="13"/>
        <v>0</v>
      </c>
      <c r="BE29" s="1819">
        <f t="shared" si="13"/>
        <v>0</v>
      </c>
      <c r="BF29" s="1151">
        <f t="shared" si="14"/>
        <v>0</v>
      </c>
      <c r="BG29" s="1273">
        <f t="shared" si="15"/>
        <v>0</v>
      </c>
      <c r="BH29" s="1152"/>
      <c r="BI29" s="1812">
        <f t="shared" si="16"/>
        <v>0</v>
      </c>
      <c r="BJ29" s="1282">
        <f t="shared" si="17"/>
        <v>0</v>
      </c>
      <c r="BK29" s="1812">
        <f t="shared" si="18"/>
        <v>0</v>
      </c>
      <c r="BL29" s="1282">
        <f t="shared" si="19"/>
        <v>0</v>
      </c>
      <c r="BM29" s="1282">
        <f t="shared" si="20"/>
        <v>0</v>
      </c>
      <c r="BN29" s="1119"/>
      <c r="BO29" s="1274"/>
      <c r="BQ29" s="1249"/>
      <c r="BR29" s="1249"/>
      <c r="BS29" s="480"/>
    </row>
    <row r="30" spans="1:76" s="1421" customFormat="1" ht="24" customHeight="1">
      <c r="A30" s="468">
        <v>23</v>
      </c>
      <c r="B30" s="1705">
        <v>0</v>
      </c>
      <c r="C30" s="796" t="s">
        <v>31</v>
      </c>
      <c r="D30" s="565">
        <f t="shared" ref="D30:D40" si="21">VLOOKUP(C30,BO$7:BQ$23,2,FALSE)</f>
        <v>0</v>
      </c>
      <c r="E30" s="335">
        <f t="shared" ref="E30:E40" si="22">VLOOKUP(C30,BO$7:BQ$23,3,FALSE)</f>
        <v>0</v>
      </c>
      <c r="F30" s="566">
        <f t="shared" ref="F30:F40" si="23">D30*E30/6.25</f>
        <v>0</v>
      </c>
      <c r="G30" s="1724">
        <v>0</v>
      </c>
      <c r="H30" s="1424">
        <v>0</v>
      </c>
      <c r="I30" s="570">
        <f t="shared" ref="I30:I40" si="24">G30*H30/6.25</f>
        <v>0</v>
      </c>
      <c r="J30" s="590">
        <v>1</v>
      </c>
      <c r="K30" s="743">
        <f t="shared" ref="K30:K40" si="25">IF(J30="Reinbestand",I30,J30*3)</f>
        <v>3</v>
      </c>
      <c r="L30" s="1703">
        <v>0</v>
      </c>
      <c r="M30" s="742">
        <f t="shared" ref="M30:M40" si="26">IF(I30-K30-L30&lt;0,0,I30-K30-L30)</f>
        <v>0</v>
      </c>
      <c r="N30" s="592">
        <f t="shared" ref="N30:N40" si="27">IF(M30&lt;0,0,M30*B30)</f>
        <v>0</v>
      </c>
      <c r="O30" s="657">
        <f t="shared" ref="O30:O40" si="28">G30*VLOOKUP(C30,BO$7:BR$21,4,FALSE)</f>
        <v>0</v>
      </c>
      <c r="P30" s="592">
        <f t="shared" ref="P30:P40" si="29">B30*O30</f>
        <v>0</v>
      </c>
      <c r="Q30" s="978"/>
      <c r="R30" s="1281">
        <f t="shared" ref="R30:R40" si="30">A30</f>
        <v>23</v>
      </c>
      <c r="S30" s="1281" t="str">
        <f t="shared" ref="S30:S40" si="31">C30</f>
        <v>keine</v>
      </c>
      <c r="T30" s="1329"/>
      <c r="U30" s="1330" t="s">
        <v>795</v>
      </c>
      <c r="V30" s="1424">
        <v>0</v>
      </c>
      <c r="W30" s="1033">
        <f>VLOOKUP(U30,Düngemittel!$B$6:$E$64,2,FALSE)*(VLOOKUP(U30,Düngemittel!$B$6:$E$64,3,FALSE))/100*V30</f>
        <v>0</v>
      </c>
      <c r="X30" s="1033">
        <f>VLOOKUP(U30,Düngemittel!$B$6:$E$64,2,FALSE)*V30</f>
        <v>0</v>
      </c>
      <c r="Y30" s="1033">
        <f>VLOOKUP(U30,Düngemittel!$B$6:$E$64,4,FALSE)*V30</f>
        <v>0</v>
      </c>
      <c r="Z30" s="2324"/>
      <c r="AA30" s="1329"/>
      <c r="AB30" s="1330" t="s">
        <v>795</v>
      </c>
      <c r="AC30" s="1424">
        <v>0</v>
      </c>
      <c r="AD30" s="1033">
        <f>VLOOKUP(AB30,Düngemittel!$B$6:$E$64,2,FALSE)*(VLOOKUP(AB30,Düngemittel!$B$6:$E$64,3,FALSE))/100*AC30</f>
        <v>0</v>
      </c>
      <c r="AE30" s="1033">
        <f>VLOOKUP(AB30,Düngemittel!$B$6:$E$64,2,FALSE)*AC30</f>
        <v>0</v>
      </c>
      <c r="AF30" s="1033">
        <f>VLOOKUP(AB30,Düngemittel!$B$6:$E$64,4,FALSE)*AC30</f>
        <v>0</v>
      </c>
      <c r="AG30" s="2324"/>
      <c r="AH30" s="1329"/>
      <c r="AI30" s="1330" t="s">
        <v>795</v>
      </c>
      <c r="AJ30" s="1424">
        <v>0</v>
      </c>
      <c r="AK30" s="1033">
        <f>VLOOKUP(AI30,Düngemittel!$B$6:$E$64,2,FALSE)*(VLOOKUP(AI30,Düngemittel!$B$6:$E$64,3,FALSE))/100*AJ30</f>
        <v>0</v>
      </c>
      <c r="AL30" s="1033">
        <f>VLOOKUP(AI30,Düngemittel!$B$6:$E$64,2,FALSE)*AJ30</f>
        <v>0</v>
      </c>
      <c r="AM30" s="1033">
        <f>VLOOKUP(AI30,Düngemittel!$B$6:$E$64,4,FALSE)*AJ30</f>
        <v>0</v>
      </c>
      <c r="AN30" s="2324"/>
      <c r="AO30" s="1329"/>
      <c r="AP30" s="1330" t="s">
        <v>795</v>
      </c>
      <c r="AQ30" s="1424">
        <v>0</v>
      </c>
      <c r="AR30" s="1033">
        <f>VLOOKUP(AP30,Düngemittel!$B$6:$E$64,2,FALSE)*(VLOOKUP(AP30,Düngemittel!$B$6:$E$64,3,FALSE))/100*AQ30</f>
        <v>0</v>
      </c>
      <c r="AS30" s="1033">
        <f>VLOOKUP(AP30,Düngemittel!$B$6:$E$64,2,FALSE)*AQ30</f>
        <v>0</v>
      </c>
      <c r="AT30" s="1033">
        <f>VLOOKUP(AP30,Düngemittel!$B$6:$E$64,4,FALSE)*AQ30</f>
        <v>0</v>
      </c>
      <c r="AU30" s="2324"/>
      <c r="AV30" s="1329"/>
      <c r="AW30" s="1330" t="s">
        <v>795</v>
      </c>
      <c r="AX30" s="1424">
        <v>0</v>
      </c>
      <c r="AY30" s="1033">
        <f>VLOOKUP(AW30,Düngemittel!$B$6:$E$64,2,FALSE)*(VLOOKUP(AW30,Düngemittel!$B$6:$E$64,3,FALSE))/100*AX30</f>
        <v>0</v>
      </c>
      <c r="AZ30" s="1033">
        <f>VLOOKUP(AW30,Düngemittel!$B$6:$E$64,2,FALSE)*AX30</f>
        <v>0</v>
      </c>
      <c r="BA30" s="1033">
        <f>VLOOKUP(AW30,Düngemittel!$B$6:$E$64,4,FALSE)*AX30</f>
        <v>0</v>
      </c>
      <c r="BB30" s="863"/>
      <c r="BC30" s="1812">
        <f t="shared" ref="BC30:BC40" si="32">IF(W30&lt;X30,0,W30)+IF(AD30&lt;AE30,0,AD30)+IF(AK30&lt;AL30,0,AK30)+IF(AR30&lt;AS30,0,AR30)+IF(AY30&lt;AZ30,0,AY30)</f>
        <v>0</v>
      </c>
      <c r="BD30" s="2326">
        <f t="shared" ref="BD30:BD40" si="33">SUM(W30+AD30+AK30+AR30+AY30)</f>
        <v>0</v>
      </c>
      <c r="BE30" s="1819">
        <f t="shared" ref="BE30:BE40" si="34">SUM(X30+AE30+AL30+AS30+AZ30)</f>
        <v>0</v>
      </c>
      <c r="BF30" s="1151">
        <f t="shared" ref="BF30:BF40" si="35">IF(W30&lt;X30,X30,0)+IF(AD30&lt;AE30,AE30,0)+IF(AK30&lt;AL30,AL30,0)+IF(AR30&lt;AS30,AS30,0)+IF(AY30&lt;AZ30,AZ30,0)</f>
        <v>0</v>
      </c>
      <c r="BG30" s="2326">
        <f t="shared" ref="BG30:BG40" si="36">SUM(Y30+AF30+AM30+AT30+BA30)</f>
        <v>0</v>
      </c>
      <c r="BH30" s="1152"/>
      <c r="BI30" s="1812">
        <f t="shared" ref="BI30:BI40" si="37">BC30*$B30</f>
        <v>0</v>
      </c>
      <c r="BJ30" s="1282">
        <f t="shared" ref="BJ30:BJ40" si="38">BD30*$B30</f>
        <v>0</v>
      </c>
      <c r="BK30" s="1812">
        <f t="shared" ref="BK30:BK40" si="39">BE30*$B30</f>
        <v>0</v>
      </c>
      <c r="BL30" s="1282">
        <f t="shared" ref="BL30:BL40" si="40">BF30*$B30</f>
        <v>0</v>
      </c>
      <c r="BM30" s="1282">
        <f t="shared" ref="BM30:BM40" si="41">BG30*$B30</f>
        <v>0</v>
      </c>
      <c r="BN30" s="1119"/>
      <c r="BO30" s="2327"/>
      <c r="BQ30" s="2325"/>
      <c r="BR30" s="2325"/>
      <c r="BS30" s="480"/>
    </row>
    <row r="31" spans="1:76" s="1421" customFormat="1" ht="24" customHeight="1">
      <c r="A31" s="468">
        <v>24</v>
      </c>
      <c r="B31" s="1705">
        <v>0</v>
      </c>
      <c r="C31" s="796" t="s">
        <v>31</v>
      </c>
      <c r="D31" s="565">
        <f t="shared" si="21"/>
        <v>0</v>
      </c>
      <c r="E31" s="335">
        <f t="shared" si="22"/>
        <v>0</v>
      </c>
      <c r="F31" s="566">
        <f t="shared" si="23"/>
        <v>0</v>
      </c>
      <c r="G31" s="1724">
        <v>0</v>
      </c>
      <c r="H31" s="1424">
        <v>0</v>
      </c>
      <c r="I31" s="570">
        <f t="shared" si="24"/>
        <v>0</v>
      </c>
      <c r="J31" s="590">
        <v>2</v>
      </c>
      <c r="K31" s="743">
        <f t="shared" si="25"/>
        <v>6</v>
      </c>
      <c r="L31" s="1703">
        <v>0</v>
      </c>
      <c r="M31" s="742">
        <f t="shared" si="26"/>
        <v>0</v>
      </c>
      <c r="N31" s="592">
        <f t="shared" si="27"/>
        <v>0</v>
      </c>
      <c r="O31" s="657">
        <f t="shared" si="28"/>
        <v>0</v>
      </c>
      <c r="P31" s="592">
        <f t="shared" si="29"/>
        <v>0</v>
      </c>
      <c r="Q31" s="978"/>
      <c r="R31" s="1281">
        <f t="shared" si="30"/>
        <v>24</v>
      </c>
      <c r="S31" s="1281" t="str">
        <f t="shared" si="31"/>
        <v>keine</v>
      </c>
      <c r="T31" s="1329"/>
      <c r="U31" s="1330" t="s">
        <v>795</v>
      </c>
      <c r="V31" s="1424">
        <v>0</v>
      </c>
      <c r="W31" s="1033">
        <f>VLOOKUP(U31,Düngemittel!$B$6:$E$64,2,FALSE)*(VLOOKUP(U31,Düngemittel!$B$6:$E$64,3,FALSE))/100*V31</f>
        <v>0</v>
      </c>
      <c r="X31" s="1033">
        <f>VLOOKUP(U31,Düngemittel!$B$6:$E$64,2,FALSE)*V31</f>
        <v>0</v>
      </c>
      <c r="Y31" s="1033">
        <f>VLOOKUP(U31,Düngemittel!$B$6:$E$64,4,FALSE)*V31</f>
        <v>0</v>
      </c>
      <c r="Z31" s="2324"/>
      <c r="AA31" s="1329"/>
      <c r="AB31" s="1330" t="s">
        <v>795</v>
      </c>
      <c r="AC31" s="1424">
        <v>0</v>
      </c>
      <c r="AD31" s="1033">
        <f>VLOOKUP(AB31,Düngemittel!$B$6:$E$64,2,FALSE)*(VLOOKUP(AB31,Düngemittel!$B$6:$E$64,3,FALSE))/100*AC31</f>
        <v>0</v>
      </c>
      <c r="AE31" s="1033">
        <f>VLOOKUP(AB31,Düngemittel!$B$6:$E$64,2,FALSE)*AC31</f>
        <v>0</v>
      </c>
      <c r="AF31" s="1033">
        <f>VLOOKUP(AB31,Düngemittel!$B$6:$E$64,4,FALSE)*AC31</f>
        <v>0</v>
      </c>
      <c r="AG31" s="2324"/>
      <c r="AH31" s="1329"/>
      <c r="AI31" s="1330" t="s">
        <v>795</v>
      </c>
      <c r="AJ31" s="1424">
        <v>0</v>
      </c>
      <c r="AK31" s="1033">
        <f>VLOOKUP(AI31,Düngemittel!$B$6:$E$64,2,FALSE)*(VLOOKUP(AI31,Düngemittel!$B$6:$E$64,3,FALSE))/100*AJ31</f>
        <v>0</v>
      </c>
      <c r="AL31" s="1033">
        <f>VLOOKUP(AI31,Düngemittel!$B$6:$E$64,2,FALSE)*AJ31</f>
        <v>0</v>
      </c>
      <c r="AM31" s="1033">
        <f>VLOOKUP(AI31,Düngemittel!$B$6:$E$64,4,FALSE)*AJ31</f>
        <v>0</v>
      </c>
      <c r="AN31" s="2324"/>
      <c r="AO31" s="1329"/>
      <c r="AP31" s="1330" t="s">
        <v>795</v>
      </c>
      <c r="AQ31" s="1424">
        <v>0</v>
      </c>
      <c r="AR31" s="1033">
        <f>VLOOKUP(AP31,Düngemittel!$B$6:$E$64,2,FALSE)*(VLOOKUP(AP31,Düngemittel!$B$6:$E$64,3,FALSE))/100*AQ31</f>
        <v>0</v>
      </c>
      <c r="AS31" s="1033">
        <f>VLOOKUP(AP31,Düngemittel!$B$6:$E$64,2,FALSE)*AQ31</f>
        <v>0</v>
      </c>
      <c r="AT31" s="1033">
        <f>VLOOKUP(AP31,Düngemittel!$B$6:$E$64,4,FALSE)*AQ31</f>
        <v>0</v>
      </c>
      <c r="AU31" s="2324"/>
      <c r="AV31" s="1329"/>
      <c r="AW31" s="1330" t="s">
        <v>795</v>
      </c>
      <c r="AX31" s="1424">
        <v>0</v>
      </c>
      <c r="AY31" s="1033">
        <f>VLOOKUP(AW31,Düngemittel!$B$6:$E$64,2,FALSE)*(VLOOKUP(AW31,Düngemittel!$B$6:$E$64,3,FALSE))/100*AX31</f>
        <v>0</v>
      </c>
      <c r="AZ31" s="1033">
        <f>VLOOKUP(AW31,Düngemittel!$B$6:$E$64,2,FALSE)*AX31</f>
        <v>0</v>
      </c>
      <c r="BA31" s="1033">
        <f>VLOOKUP(AW31,Düngemittel!$B$6:$E$64,4,FALSE)*AX31</f>
        <v>0</v>
      </c>
      <c r="BB31" s="863"/>
      <c r="BC31" s="1812">
        <f t="shared" si="32"/>
        <v>0</v>
      </c>
      <c r="BD31" s="2326">
        <f t="shared" si="33"/>
        <v>0</v>
      </c>
      <c r="BE31" s="1819">
        <f t="shared" si="34"/>
        <v>0</v>
      </c>
      <c r="BF31" s="1151">
        <f t="shared" si="35"/>
        <v>0</v>
      </c>
      <c r="BG31" s="2326">
        <f t="shared" si="36"/>
        <v>0</v>
      </c>
      <c r="BH31" s="1152"/>
      <c r="BI31" s="1812">
        <f t="shared" si="37"/>
        <v>0</v>
      </c>
      <c r="BJ31" s="1282">
        <f t="shared" si="38"/>
        <v>0</v>
      </c>
      <c r="BK31" s="1812">
        <f t="shared" si="39"/>
        <v>0</v>
      </c>
      <c r="BL31" s="1282">
        <f t="shared" si="40"/>
        <v>0</v>
      </c>
      <c r="BM31" s="1282">
        <f t="shared" si="41"/>
        <v>0</v>
      </c>
      <c r="BN31" s="1119"/>
      <c r="BO31" s="2327"/>
      <c r="BQ31" s="2325"/>
      <c r="BR31" s="2325"/>
      <c r="BS31" s="480"/>
    </row>
    <row r="32" spans="1:76" s="1421" customFormat="1" ht="24" customHeight="1">
      <c r="A32" s="468">
        <v>25</v>
      </c>
      <c r="B32" s="1705">
        <v>0</v>
      </c>
      <c r="C32" s="796" t="s">
        <v>31</v>
      </c>
      <c r="D32" s="565">
        <f t="shared" si="21"/>
        <v>0</v>
      </c>
      <c r="E32" s="335">
        <f t="shared" si="22"/>
        <v>0</v>
      </c>
      <c r="F32" s="566">
        <f t="shared" si="23"/>
        <v>0</v>
      </c>
      <c r="G32" s="1724">
        <v>0</v>
      </c>
      <c r="H32" s="1424">
        <v>0</v>
      </c>
      <c r="I32" s="570">
        <f t="shared" si="24"/>
        <v>0</v>
      </c>
      <c r="J32" s="590">
        <v>3</v>
      </c>
      <c r="K32" s="743">
        <f t="shared" si="25"/>
        <v>9</v>
      </c>
      <c r="L32" s="1703">
        <v>0</v>
      </c>
      <c r="M32" s="742">
        <f t="shared" si="26"/>
        <v>0</v>
      </c>
      <c r="N32" s="592">
        <f t="shared" si="27"/>
        <v>0</v>
      </c>
      <c r="O32" s="657">
        <f t="shared" si="28"/>
        <v>0</v>
      </c>
      <c r="P32" s="592">
        <f t="shared" si="29"/>
        <v>0</v>
      </c>
      <c r="Q32" s="978"/>
      <c r="R32" s="1281">
        <f t="shared" si="30"/>
        <v>25</v>
      </c>
      <c r="S32" s="1281" t="str">
        <f t="shared" si="31"/>
        <v>keine</v>
      </c>
      <c r="T32" s="1329"/>
      <c r="U32" s="1330" t="s">
        <v>795</v>
      </c>
      <c r="V32" s="1424">
        <v>0</v>
      </c>
      <c r="W32" s="1033">
        <f>VLOOKUP(U32,Düngemittel!$B$6:$E$64,2,FALSE)*(VLOOKUP(U32,Düngemittel!$B$6:$E$64,3,FALSE))/100*V32</f>
        <v>0</v>
      </c>
      <c r="X32" s="1033">
        <f>VLOOKUP(U32,Düngemittel!$B$6:$E$64,2,FALSE)*V32</f>
        <v>0</v>
      </c>
      <c r="Y32" s="1033">
        <f>VLOOKUP(U32,Düngemittel!$B$6:$E$64,4,FALSE)*V32</f>
        <v>0</v>
      </c>
      <c r="Z32" s="2324"/>
      <c r="AA32" s="1329"/>
      <c r="AB32" s="1330" t="s">
        <v>795</v>
      </c>
      <c r="AC32" s="1424">
        <v>0</v>
      </c>
      <c r="AD32" s="1033">
        <f>VLOOKUP(AB32,Düngemittel!$B$6:$E$64,2,FALSE)*(VLOOKUP(AB32,Düngemittel!$B$6:$E$64,3,FALSE))/100*AC32</f>
        <v>0</v>
      </c>
      <c r="AE32" s="1033">
        <f>VLOOKUP(AB32,Düngemittel!$B$6:$E$64,2,FALSE)*AC32</f>
        <v>0</v>
      </c>
      <c r="AF32" s="1033">
        <f>VLOOKUP(AB32,Düngemittel!$B$6:$E$64,4,FALSE)*AC32</f>
        <v>0</v>
      </c>
      <c r="AG32" s="2324"/>
      <c r="AH32" s="1329"/>
      <c r="AI32" s="1330" t="s">
        <v>795</v>
      </c>
      <c r="AJ32" s="1424">
        <v>0</v>
      </c>
      <c r="AK32" s="1033">
        <f>VLOOKUP(AI32,Düngemittel!$B$6:$E$64,2,FALSE)*(VLOOKUP(AI32,Düngemittel!$B$6:$E$64,3,FALSE))/100*AJ32</f>
        <v>0</v>
      </c>
      <c r="AL32" s="1033">
        <f>VLOOKUP(AI32,Düngemittel!$B$6:$E$64,2,FALSE)*AJ32</f>
        <v>0</v>
      </c>
      <c r="AM32" s="1033">
        <f>VLOOKUP(AI32,Düngemittel!$B$6:$E$64,4,FALSE)*AJ32</f>
        <v>0</v>
      </c>
      <c r="AN32" s="2324"/>
      <c r="AO32" s="1329"/>
      <c r="AP32" s="1330" t="s">
        <v>795</v>
      </c>
      <c r="AQ32" s="1424">
        <v>0</v>
      </c>
      <c r="AR32" s="1033">
        <f>VLOOKUP(AP32,Düngemittel!$B$6:$E$64,2,FALSE)*(VLOOKUP(AP32,Düngemittel!$B$6:$E$64,3,FALSE))/100*AQ32</f>
        <v>0</v>
      </c>
      <c r="AS32" s="1033">
        <f>VLOOKUP(AP32,Düngemittel!$B$6:$E$64,2,FALSE)*AQ32</f>
        <v>0</v>
      </c>
      <c r="AT32" s="1033">
        <f>VLOOKUP(AP32,Düngemittel!$B$6:$E$64,4,FALSE)*AQ32</f>
        <v>0</v>
      </c>
      <c r="AU32" s="2324"/>
      <c r="AV32" s="1329"/>
      <c r="AW32" s="1330" t="s">
        <v>795</v>
      </c>
      <c r="AX32" s="1424">
        <v>0</v>
      </c>
      <c r="AY32" s="1033">
        <f>VLOOKUP(AW32,Düngemittel!$B$6:$E$64,2,FALSE)*(VLOOKUP(AW32,Düngemittel!$B$6:$E$64,3,FALSE))/100*AX32</f>
        <v>0</v>
      </c>
      <c r="AZ32" s="1033">
        <f>VLOOKUP(AW32,Düngemittel!$B$6:$E$64,2,FALSE)*AX32</f>
        <v>0</v>
      </c>
      <c r="BA32" s="1033">
        <f>VLOOKUP(AW32,Düngemittel!$B$6:$E$64,4,FALSE)*AX32</f>
        <v>0</v>
      </c>
      <c r="BB32" s="863"/>
      <c r="BC32" s="1812">
        <f t="shared" si="32"/>
        <v>0</v>
      </c>
      <c r="BD32" s="2326">
        <f t="shared" si="33"/>
        <v>0</v>
      </c>
      <c r="BE32" s="1819">
        <f t="shared" si="34"/>
        <v>0</v>
      </c>
      <c r="BF32" s="1151">
        <f t="shared" si="35"/>
        <v>0</v>
      </c>
      <c r="BG32" s="2326">
        <f t="shared" si="36"/>
        <v>0</v>
      </c>
      <c r="BH32" s="1152"/>
      <c r="BI32" s="1812">
        <f t="shared" si="37"/>
        <v>0</v>
      </c>
      <c r="BJ32" s="1282">
        <f t="shared" si="38"/>
        <v>0</v>
      </c>
      <c r="BK32" s="1812">
        <f t="shared" si="39"/>
        <v>0</v>
      </c>
      <c r="BL32" s="1282">
        <f t="shared" si="40"/>
        <v>0</v>
      </c>
      <c r="BM32" s="1282">
        <f t="shared" si="41"/>
        <v>0</v>
      </c>
      <c r="BN32" s="1119"/>
      <c r="BO32" s="2327"/>
      <c r="BQ32" s="2325"/>
      <c r="BR32" s="2325"/>
      <c r="BS32" s="480"/>
    </row>
    <row r="33" spans="1:71" s="1421" customFormat="1" ht="24" customHeight="1">
      <c r="A33" s="468">
        <v>26</v>
      </c>
      <c r="B33" s="1705">
        <v>0</v>
      </c>
      <c r="C33" s="796" t="s">
        <v>31</v>
      </c>
      <c r="D33" s="565">
        <f t="shared" si="21"/>
        <v>0</v>
      </c>
      <c r="E33" s="335">
        <f t="shared" si="22"/>
        <v>0</v>
      </c>
      <c r="F33" s="566">
        <f t="shared" si="23"/>
        <v>0</v>
      </c>
      <c r="G33" s="1724">
        <v>0</v>
      </c>
      <c r="H33" s="1424">
        <v>0</v>
      </c>
      <c r="I33" s="570">
        <f t="shared" si="24"/>
        <v>0</v>
      </c>
      <c r="J33" s="590">
        <v>4</v>
      </c>
      <c r="K33" s="743">
        <f t="shared" si="25"/>
        <v>12</v>
      </c>
      <c r="L33" s="1703">
        <v>0</v>
      </c>
      <c r="M33" s="742">
        <f t="shared" si="26"/>
        <v>0</v>
      </c>
      <c r="N33" s="592">
        <f t="shared" si="27"/>
        <v>0</v>
      </c>
      <c r="O33" s="657">
        <f t="shared" si="28"/>
        <v>0</v>
      </c>
      <c r="P33" s="592">
        <f t="shared" si="29"/>
        <v>0</v>
      </c>
      <c r="Q33" s="978"/>
      <c r="R33" s="1281">
        <f t="shared" si="30"/>
        <v>26</v>
      </c>
      <c r="S33" s="1281" t="str">
        <f t="shared" si="31"/>
        <v>keine</v>
      </c>
      <c r="T33" s="1329"/>
      <c r="U33" s="1330" t="s">
        <v>795</v>
      </c>
      <c r="V33" s="1424">
        <v>0</v>
      </c>
      <c r="W33" s="1033">
        <f>VLOOKUP(U33,Düngemittel!$B$6:$E$64,2,FALSE)*(VLOOKUP(U33,Düngemittel!$B$6:$E$64,3,FALSE))/100*V33</f>
        <v>0</v>
      </c>
      <c r="X33" s="1033">
        <f>VLOOKUP(U33,Düngemittel!$B$6:$E$64,2,FALSE)*V33</f>
        <v>0</v>
      </c>
      <c r="Y33" s="1033">
        <f>VLOOKUP(U33,Düngemittel!$B$6:$E$64,4,FALSE)*V33</f>
        <v>0</v>
      </c>
      <c r="Z33" s="2324"/>
      <c r="AA33" s="1329"/>
      <c r="AB33" s="1330" t="s">
        <v>795</v>
      </c>
      <c r="AC33" s="1424">
        <v>0</v>
      </c>
      <c r="AD33" s="1033">
        <f>VLOOKUP(AB33,Düngemittel!$B$6:$E$64,2,FALSE)*(VLOOKUP(AB33,Düngemittel!$B$6:$E$64,3,FALSE))/100*AC33</f>
        <v>0</v>
      </c>
      <c r="AE33" s="1033">
        <f>VLOOKUP(AB33,Düngemittel!$B$6:$E$64,2,FALSE)*AC33</f>
        <v>0</v>
      </c>
      <c r="AF33" s="1033">
        <f>VLOOKUP(AB33,Düngemittel!$B$6:$E$64,4,FALSE)*AC33</f>
        <v>0</v>
      </c>
      <c r="AG33" s="2324"/>
      <c r="AH33" s="1329"/>
      <c r="AI33" s="1330" t="s">
        <v>795</v>
      </c>
      <c r="AJ33" s="1424">
        <v>0</v>
      </c>
      <c r="AK33" s="1033">
        <f>VLOOKUP(AI33,Düngemittel!$B$6:$E$64,2,FALSE)*(VLOOKUP(AI33,Düngemittel!$B$6:$E$64,3,FALSE))/100*AJ33</f>
        <v>0</v>
      </c>
      <c r="AL33" s="1033">
        <f>VLOOKUP(AI33,Düngemittel!$B$6:$E$64,2,FALSE)*AJ33</f>
        <v>0</v>
      </c>
      <c r="AM33" s="1033">
        <f>VLOOKUP(AI33,Düngemittel!$B$6:$E$64,4,FALSE)*AJ33</f>
        <v>0</v>
      </c>
      <c r="AN33" s="2324"/>
      <c r="AO33" s="1329"/>
      <c r="AP33" s="1330" t="s">
        <v>795</v>
      </c>
      <c r="AQ33" s="1424">
        <v>0</v>
      </c>
      <c r="AR33" s="1033">
        <f>VLOOKUP(AP33,Düngemittel!$B$6:$E$64,2,FALSE)*(VLOOKUP(AP33,Düngemittel!$B$6:$E$64,3,FALSE))/100*AQ33</f>
        <v>0</v>
      </c>
      <c r="AS33" s="1033">
        <f>VLOOKUP(AP33,Düngemittel!$B$6:$E$64,2,FALSE)*AQ33</f>
        <v>0</v>
      </c>
      <c r="AT33" s="1033">
        <f>VLOOKUP(AP33,Düngemittel!$B$6:$E$64,4,FALSE)*AQ33</f>
        <v>0</v>
      </c>
      <c r="AU33" s="2324"/>
      <c r="AV33" s="1329"/>
      <c r="AW33" s="1330" t="s">
        <v>795</v>
      </c>
      <c r="AX33" s="1424">
        <v>0</v>
      </c>
      <c r="AY33" s="1033">
        <f>VLOOKUP(AW33,Düngemittel!$B$6:$E$64,2,FALSE)*(VLOOKUP(AW33,Düngemittel!$B$6:$E$64,3,FALSE))/100*AX33</f>
        <v>0</v>
      </c>
      <c r="AZ33" s="1033">
        <f>VLOOKUP(AW33,Düngemittel!$B$6:$E$64,2,FALSE)*AX33</f>
        <v>0</v>
      </c>
      <c r="BA33" s="1033">
        <f>VLOOKUP(AW33,Düngemittel!$B$6:$E$64,4,FALSE)*AX33</f>
        <v>0</v>
      </c>
      <c r="BB33" s="863"/>
      <c r="BC33" s="1812">
        <f t="shared" si="32"/>
        <v>0</v>
      </c>
      <c r="BD33" s="2326">
        <f t="shared" si="33"/>
        <v>0</v>
      </c>
      <c r="BE33" s="1819">
        <f t="shared" si="34"/>
        <v>0</v>
      </c>
      <c r="BF33" s="1151">
        <f t="shared" si="35"/>
        <v>0</v>
      </c>
      <c r="BG33" s="2326">
        <f t="shared" si="36"/>
        <v>0</v>
      </c>
      <c r="BH33" s="1152"/>
      <c r="BI33" s="1812">
        <f t="shared" si="37"/>
        <v>0</v>
      </c>
      <c r="BJ33" s="1282">
        <f t="shared" si="38"/>
        <v>0</v>
      </c>
      <c r="BK33" s="1812">
        <f t="shared" si="39"/>
        <v>0</v>
      </c>
      <c r="BL33" s="1282">
        <f t="shared" si="40"/>
        <v>0</v>
      </c>
      <c r="BM33" s="1282">
        <f t="shared" si="41"/>
        <v>0</v>
      </c>
      <c r="BN33" s="1119"/>
      <c r="BO33" s="2327"/>
      <c r="BQ33" s="2325"/>
      <c r="BR33" s="2325"/>
      <c r="BS33" s="480"/>
    </row>
    <row r="34" spans="1:71" s="1421" customFormat="1" ht="24" customHeight="1">
      <c r="A34" s="468">
        <v>27</v>
      </c>
      <c r="B34" s="1705">
        <v>0</v>
      </c>
      <c r="C34" s="796" t="s">
        <v>31</v>
      </c>
      <c r="D34" s="565">
        <f t="shared" si="21"/>
        <v>0</v>
      </c>
      <c r="E34" s="335">
        <f t="shared" si="22"/>
        <v>0</v>
      </c>
      <c r="F34" s="566">
        <f t="shared" si="23"/>
        <v>0</v>
      </c>
      <c r="G34" s="1724">
        <v>0</v>
      </c>
      <c r="H34" s="1424">
        <v>0</v>
      </c>
      <c r="I34" s="570">
        <f t="shared" si="24"/>
        <v>0</v>
      </c>
      <c r="J34" s="590">
        <v>5</v>
      </c>
      <c r="K34" s="743">
        <f t="shared" si="25"/>
        <v>15</v>
      </c>
      <c r="L34" s="1703">
        <v>0</v>
      </c>
      <c r="M34" s="742">
        <f t="shared" si="26"/>
        <v>0</v>
      </c>
      <c r="N34" s="592">
        <f t="shared" si="27"/>
        <v>0</v>
      </c>
      <c r="O34" s="657">
        <f t="shared" si="28"/>
        <v>0</v>
      </c>
      <c r="P34" s="592">
        <f t="shared" si="29"/>
        <v>0</v>
      </c>
      <c r="Q34" s="978"/>
      <c r="R34" s="1281">
        <f t="shared" si="30"/>
        <v>27</v>
      </c>
      <c r="S34" s="1281" t="str">
        <f t="shared" si="31"/>
        <v>keine</v>
      </c>
      <c r="T34" s="1329"/>
      <c r="U34" s="1330" t="s">
        <v>795</v>
      </c>
      <c r="V34" s="1424">
        <v>0</v>
      </c>
      <c r="W34" s="1033">
        <f>VLOOKUP(U34,Düngemittel!$B$6:$E$64,2,FALSE)*(VLOOKUP(U34,Düngemittel!$B$6:$E$64,3,FALSE))/100*V34</f>
        <v>0</v>
      </c>
      <c r="X34" s="1033">
        <f>VLOOKUP(U34,Düngemittel!$B$6:$E$64,2,FALSE)*V34</f>
        <v>0</v>
      </c>
      <c r="Y34" s="1033">
        <f>VLOOKUP(U34,Düngemittel!$B$6:$E$64,4,FALSE)*V34</f>
        <v>0</v>
      </c>
      <c r="Z34" s="2324"/>
      <c r="AA34" s="1329"/>
      <c r="AB34" s="1330" t="s">
        <v>795</v>
      </c>
      <c r="AC34" s="1424">
        <v>0</v>
      </c>
      <c r="AD34" s="1033">
        <f>VLOOKUP(AB34,Düngemittel!$B$6:$E$64,2,FALSE)*(VLOOKUP(AB34,Düngemittel!$B$6:$E$64,3,FALSE))/100*AC34</f>
        <v>0</v>
      </c>
      <c r="AE34" s="1033">
        <f>VLOOKUP(AB34,Düngemittel!$B$6:$E$64,2,FALSE)*AC34</f>
        <v>0</v>
      </c>
      <c r="AF34" s="1033">
        <f>VLOOKUP(AB34,Düngemittel!$B$6:$E$64,4,FALSE)*AC34</f>
        <v>0</v>
      </c>
      <c r="AG34" s="2324"/>
      <c r="AH34" s="1329"/>
      <c r="AI34" s="1330" t="s">
        <v>795</v>
      </c>
      <c r="AJ34" s="1424">
        <v>0</v>
      </c>
      <c r="AK34" s="1033">
        <f>VLOOKUP(AI34,Düngemittel!$B$6:$E$64,2,FALSE)*(VLOOKUP(AI34,Düngemittel!$B$6:$E$64,3,FALSE))/100*AJ34</f>
        <v>0</v>
      </c>
      <c r="AL34" s="1033">
        <f>VLOOKUP(AI34,Düngemittel!$B$6:$E$64,2,FALSE)*AJ34</f>
        <v>0</v>
      </c>
      <c r="AM34" s="1033">
        <f>VLOOKUP(AI34,Düngemittel!$B$6:$E$64,4,FALSE)*AJ34</f>
        <v>0</v>
      </c>
      <c r="AN34" s="2324"/>
      <c r="AO34" s="1329"/>
      <c r="AP34" s="1330" t="s">
        <v>795</v>
      </c>
      <c r="AQ34" s="1424">
        <v>0</v>
      </c>
      <c r="AR34" s="1033">
        <f>VLOOKUP(AP34,Düngemittel!$B$6:$E$64,2,FALSE)*(VLOOKUP(AP34,Düngemittel!$B$6:$E$64,3,FALSE))/100*AQ34</f>
        <v>0</v>
      </c>
      <c r="AS34" s="1033">
        <f>VLOOKUP(AP34,Düngemittel!$B$6:$E$64,2,FALSE)*AQ34</f>
        <v>0</v>
      </c>
      <c r="AT34" s="1033">
        <f>VLOOKUP(AP34,Düngemittel!$B$6:$E$64,4,FALSE)*AQ34</f>
        <v>0</v>
      </c>
      <c r="AU34" s="2324"/>
      <c r="AV34" s="1329"/>
      <c r="AW34" s="1330" t="s">
        <v>795</v>
      </c>
      <c r="AX34" s="1424">
        <v>0</v>
      </c>
      <c r="AY34" s="1033">
        <f>VLOOKUP(AW34,Düngemittel!$B$6:$E$64,2,FALSE)*(VLOOKUP(AW34,Düngemittel!$B$6:$E$64,3,FALSE))/100*AX34</f>
        <v>0</v>
      </c>
      <c r="AZ34" s="1033">
        <f>VLOOKUP(AW34,Düngemittel!$B$6:$E$64,2,FALSE)*AX34</f>
        <v>0</v>
      </c>
      <c r="BA34" s="1033">
        <f>VLOOKUP(AW34,Düngemittel!$B$6:$E$64,4,FALSE)*AX34</f>
        <v>0</v>
      </c>
      <c r="BB34" s="863"/>
      <c r="BC34" s="1812">
        <f t="shared" si="32"/>
        <v>0</v>
      </c>
      <c r="BD34" s="2326">
        <f t="shared" si="33"/>
        <v>0</v>
      </c>
      <c r="BE34" s="1819">
        <f t="shared" si="34"/>
        <v>0</v>
      </c>
      <c r="BF34" s="1151">
        <f t="shared" si="35"/>
        <v>0</v>
      </c>
      <c r="BG34" s="2326">
        <f t="shared" si="36"/>
        <v>0</v>
      </c>
      <c r="BH34" s="1152"/>
      <c r="BI34" s="1812">
        <f t="shared" si="37"/>
        <v>0</v>
      </c>
      <c r="BJ34" s="1282">
        <f t="shared" si="38"/>
        <v>0</v>
      </c>
      <c r="BK34" s="1812">
        <f t="shared" si="39"/>
        <v>0</v>
      </c>
      <c r="BL34" s="1282">
        <f t="shared" si="40"/>
        <v>0</v>
      </c>
      <c r="BM34" s="1282">
        <f t="shared" si="41"/>
        <v>0</v>
      </c>
      <c r="BN34" s="1119"/>
      <c r="BO34" s="2327"/>
      <c r="BQ34" s="2325"/>
      <c r="BR34" s="2325"/>
      <c r="BS34" s="480"/>
    </row>
    <row r="35" spans="1:71" s="1421" customFormat="1" ht="24" customHeight="1">
      <c r="A35" s="468">
        <v>28</v>
      </c>
      <c r="B35" s="1705">
        <v>0</v>
      </c>
      <c r="C35" s="796" t="s">
        <v>31</v>
      </c>
      <c r="D35" s="565">
        <f t="shared" si="21"/>
        <v>0</v>
      </c>
      <c r="E35" s="335">
        <f t="shared" si="22"/>
        <v>0</v>
      </c>
      <c r="F35" s="566">
        <f t="shared" si="23"/>
        <v>0</v>
      </c>
      <c r="G35" s="1724">
        <v>0</v>
      </c>
      <c r="H35" s="1424">
        <v>0</v>
      </c>
      <c r="I35" s="570">
        <f t="shared" si="24"/>
        <v>0</v>
      </c>
      <c r="J35" s="590">
        <v>6</v>
      </c>
      <c r="K35" s="743">
        <f t="shared" si="25"/>
        <v>18</v>
      </c>
      <c r="L35" s="1703">
        <v>0</v>
      </c>
      <c r="M35" s="742">
        <f t="shared" si="26"/>
        <v>0</v>
      </c>
      <c r="N35" s="592">
        <f t="shared" si="27"/>
        <v>0</v>
      </c>
      <c r="O35" s="657">
        <f t="shared" si="28"/>
        <v>0</v>
      </c>
      <c r="P35" s="592">
        <f t="shared" si="29"/>
        <v>0</v>
      </c>
      <c r="Q35" s="978"/>
      <c r="R35" s="1281">
        <f t="shared" si="30"/>
        <v>28</v>
      </c>
      <c r="S35" s="1281" t="str">
        <f t="shared" si="31"/>
        <v>keine</v>
      </c>
      <c r="T35" s="1329"/>
      <c r="U35" s="1330" t="s">
        <v>795</v>
      </c>
      <c r="V35" s="1424">
        <v>0</v>
      </c>
      <c r="W35" s="1033">
        <f>VLOOKUP(U35,Düngemittel!$B$6:$E$64,2,FALSE)*(VLOOKUP(U35,Düngemittel!$B$6:$E$64,3,FALSE))/100*V35</f>
        <v>0</v>
      </c>
      <c r="X35" s="1033">
        <f>VLOOKUP(U35,Düngemittel!$B$6:$E$64,2,FALSE)*V35</f>
        <v>0</v>
      </c>
      <c r="Y35" s="1033">
        <f>VLOOKUP(U35,Düngemittel!$B$6:$E$64,4,FALSE)*V35</f>
        <v>0</v>
      </c>
      <c r="Z35" s="2324"/>
      <c r="AA35" s="1329"/>
      <c r="AB35" s="1330" t="s">
        <v>795</v>
      </c>
      <c r="AC35" s="1424">
        <v>0</v>
      </c>
      <c r="AD35" s="1033">
        <f>VLOOKUP(AB35,Düngemittel!$B$6:$E$64,2,FALSE)*(VLOOKUP(AB35,Düngemittel!$B$6:$E$64,3,FALSE))/100*AC35</f>
        <v>0</v>
      </c>
      <c r="AE35" s="1033">
        <f>VLOOKUP(AB35,Düngemittel!$B$6:$E$64,2,FALSE)*AC35</f>
        <v>0</v>
      </c>
      <c r="AF35" s="1033">
        <f>VLOOKUP(AB35,Düngemittel!$B$6:$E$64,4,FALSE)*AC35</f>
        <v>0</v>
      </c>
      <c r="AG35" s="2324"/>
      <c r="AH35" s="1329"/>
      <c r="AI35" s="1330" t="s">
        <v>795</v>
      </c>
      <c r="AJ35" s="1424">
        <v>0</v>
      </c>
      <c r="AK35" s="1033">
        <f>VLOOKUP(AI35,Düngemittel!$B$6:$E$64,2,FALSE)*(VLOOKUP(AI35,Düngemittel!$B$6:$E$64,3,FALSE))/100*AJ35</f>
        <v>0</v>
      </c>
      <c r="AL35" s="1033">
        <f>VLOOKUP(AI35,Düngemittel!$B$6:$E$64,2,FALSE)*AJ35</f>
        <v>0</v>
      </c>
      <c r="AM35" s="1033">
        <f>VLOOKUP(AI35,Düngemittel!$B$6:$E$64,4,FALSE)*AJ35</f>
        <v>0</v>
      </c>
      <c r="AN35" s="2324"/>
      <c r="AO35" s="1329"/>
      <c r="AP35" s="1330" t="s">
        <v>795</v>
      </c>
      <c r="AQ35" s="1424">
        <v>0</v>
      </c>
      <c r="AR35" s="1033">
        <f>VLOOKUP(AP35,Düngemittel!$B$6:$E$64,2,FALSE)*(VLOOKUP(AP35,Düngemittel!$B$6:$E$64,3,FALSE))/100*AQ35</f>
        <v>0</v>
      </c>
      <c r="AS35" s="1033">
        <f>VLOOKUP(AP35,Düngemittel!$B$6:$E$64,2,FALSE)*AQ35</f>
        <v>0</v>
      </c>
      <c r="AT35" s="1033">
        <f>VLOOKUP(AP35,Düngemittel!$B$6:$E$64,4,FALSE)*AQ35</f>
        <v>0</v>
      </c>
      <c r="AU35" s="2324"/>
      <c r="AV35" s="1329"/>
      <c r="AW35" s="1330" t="s">
        <v>795</v>
      </c>
      <c r="AX35" s="1424">
        <v>0</v>
      </c>
      <c r="AY35" s="1033">
        <f>VLOOKUP(AW35,Düngemittel!$B$6:$E$64,2,FALSE)*(VLOOKUP(AW35,Düngemittel!$B$6:$E$64,3,FALSE))/100*AX35</f>
        <v>0</v>
      </c>
      <c r="AZ35" s="1033">
        <f>VLOOKUP(AW35,Düngemittel!$B$6:$E$64,2,FALSE)*AX35</f>
        <v>0</v>
      </c>
      <c r="BA35" s="1033">
        <f>VLOOKUP(AW35,Düngemittel!$B$6:$E$64,4,FALSE)*AX35</f>
        <v>0</v>
      </c>
      <c r="BB35" s="863"/>
      <c r="BC35" s="1812">
        <f t="shared" si="32"/>
        <v>0</v>
      </c>
      <c r="BD35" s="2326">
        <f t="shared" si="33"/>
        <v>0</v>
      </c>
      <c r="BE35" s="1819">
        <f t="shared" si="34"/>
        <v>0</v>
      </c>
      <c r="BF35" s="1151">
        <f t="shared" si="35"/>
        <v>0</v>
      </c>
      <c r="BG35" s="2326">
        <f t="shared" si="36"/>
        <v>0</v>
      </c>
      <c r="BH35" s="1152"/>
      <c r="BI35" s="1812">
        <f t="shared" si="37"/>
        <v>0</v>
      </c>
      <c r="BJ35" s="1282">
        <f t="shared" si="38"/>
        <v>0</v>
      </c>
      <c r="BK35" s="1812">
        <f t="shared" si="39"/>
        <v>0</v>
      </c>
      <c r="BL35" s="1282">
        <f t="shared" si="40"/>
        <v>0</v>
      </c>
      <c r="BM35" s="1282">
        <f t="shared" si="41"/>
        <v>0</v>
      </c>
      <c r="BN35" s="1119"/>
      <c r="BO35" s="2327"/>
      <c r="BQ35" s="2325"/>
      <c r="BR35" s="2325"/>
      <c r="BS35" s="480"/>
    </row>
    <row r="36" spans="1:71" s="1421" customFormat="1" ht="24" customHeight="1">
      <c r="A36" s="468">
        <v>29</v>
      </c>
      <c r="B36" s="1705">
        <v>0</v>
      </c>
      <c r="C36" s="796" t="s">
        <v>31</v>
      </c>
      <c r="D36" s="565">
        <f t="shared" si="21"/>
        <v>0</v>
      </c>
      <c r="E36" s="335">
        <f t="shared" si="22"/>
        <v>0</v>
      </c>
      <c r="F36" s="566">
        <f t="shared" si="23"/>
        <v>0</v>
      </c>
      <c r="G36" s="1724">
        <v>0</v>
      </c>
      <c r="H36" s="1424">
        <v>0</v>
      </c>
      <c r="I36" s="570">
        <f t="shared" si="24"/>
        <v>0</v>
      </c>
      <c r="J36" s="590">
        <v>7</v>
      </c>
      <c r="K36" s="743">
        <f t="shared" si="25"/>
        <v>21</v>
      </c>
      <c r="L36" s="1703">
        <v>0</v>
      </c>
      <c r="M36" s="742">
        <f t="shared" si="26"/>
        <v>0</v>
      </c>
      <c r="N36" s="592">
        <f t="shared" si="27"/>
        <v>0</v>
      </c>
      <c r="O36" s="657">
        <f t="shared" si="28"/>
        <v>0</v>
      </c>
      <c r="P36" s="592">
        <f t="shared" si="29"/>
        <v>0</v>
      </c>
      <c r="Q36" s="978"/>
      <c r="R36" s="1281">
        <f t="shared" si="30"/>
        <v>29</v>
      </c>
      <c r="S36" s="1281" t="str">
        <f t="shared" si="31"/>
        <v>keine</v>
      </c>
      <c r="T36" s="1329"/>
      <c r="U36" s="1330" t="s">
        <v>795</v>
      </c>
      <c r="V36" s="1424">
        <v>0</v>
      </c>
      <c r="W36" s="1033">
        <f>VLOOKUP(U36,Düngemittel!$B$6:$E$64,2,FALSE)*(VLOOKUP(U36,Düngemittel!$B$6:$E$64,3,FALSE))/100*V36</f>
        <v>0</v>
      </c>
      <c r="X36" s="1033">
        <f>VLOOKUP(U36,Düngemittel!$B$6:$E$64,2,FALSE)*V36</f>
        <v>0</v>
      </c>
      <c r="Y36" s="1033">
        <f>VLOOKUP(U36,Düngemittel!$B$6:$E$64,4,FALSE)*V36</f>
        <v>0</v>
      </c>
      <c r="Z36" s="2324"/>
      <c r="AA36" s="1329"/>
      <c r="AB36" s="1330" t="s">
        <v>795</v>
      </c>
      <c r="AC36" s="1424">
        <v>0</v>
      </c>
      <c r="AD36" s="1033">
        <f>VLOOKUP(AB36,Düngemittel!$B$6:$E$64,2,FALSE)*(VLOOKUP(AB36,Düngemittel!$B$6:$E$64,3,FALSE))/100*AC36</f>
        <v>0</v>
      </c>
      <c r="AE36" s="1033">
        <f>VLOOKUP(AB36,Düngemittel!$B$6:$E$64,2,FALSE)*AC36</f>
        <v>0</v>
      </c>
      <c r="AF36" s="1033">
        <f>VLOOKUP(AB36,Düngemittel!$B$6:$E$64,4,FALSE)*AC36</f>
        <v>0</v>
      </c>
      <c r="AG36" s="2324"/>
      <c r="AH36" s="1329"/>
      <c r="AI36" s="1330" t="s">
        <v>795</v>
      </c>
      <c r="AJ36" s="1424">
        <v>0</v>
      </c>
      <c r="AK36" s="1033">
        <f>VLOOKUP(AI36,Düngemittel!$B$6:$E$64,2,FALSE)*(VLOOKUP(AI36,Düngemittel!$B$6:$E$64,3,FALSE))/100*AJ36</f>
        <v>0</v>
      </c>
      <c r="AL36" s="1033">
        <f>VLOOKUP(AI36,Düngemittel!$B$6:$E$64,2,FALSE)*AJ36</f>
        <v>0</v>
      </c>
      <c r="AM36" s="1033">
        <f>VLOOKUP(AI36,Düngemittel!$B$6:$E$64,4,FALSE)*AJ36</f>
        <v>0</v>
      </c>
      <c r="AN36" s="2324"/>
      <c r="AO36" s="1329"/>
      <c r="AP36" s="1330" t="s">
        <v>795</v>
      </c>
      <c r="AQ36" s="1424">
        <v>0</v>
      </c>
      <c r="AR36" s="1033">
        <f>VLOOKUP(AP36,Düngemittel!$B$6:$E$64,2,FALSE)*(VLOOKUP(AP36,Düngemittel!$B$6:$E$64,3,FALSE))/100*AQ36</f>
        <v>0</v>
      </c>
      <c r="AS36" s="1033">
        <f>VLOOKUP(AP36,Düngemittel!$B$6:$E$64,2,FALSE)*AQ36</f>
        <v>0</v>
      </c>
      <c r="AT36" s="1033">
        <f>VLOOKUP(AP36,Düngemittel!$B$6:$E$64,4,FALSE)*AQ36</f>
        <v>0</v>
      </c>
      <c r="AU36" s="2324"/>
      <c r="AV36" s="1329"/>
      <c r="AW36" s="1330" t="s">
        <v>795</v>
      </c>
      <c r="AX36" s="1424">
        <v>0</v>
      </c>
      <c r="AY36" s="1033">
        <f>VLOOKUP(AW36,Düngemittel!$B$6:$E$64,2,FALSE)*(VLOOKUP(AW36,Düngemittel!$B$6:$E$64,3,FALSE))/100*AX36</f>
        <v>0</v>
      </c>
      <c r="AZ36" s="1033">
        <f>VLOOKUP(AW36,Düngemittel!$B$6:$E$64,2,FALSE)*AX36</f>
        <v>0</v>
      </c>
      <c r="BA36" s="1033">
        <f>VLOOKUP(AW36,Düngemittel!$B$6:$E$64,4,FALSE)*AX36</f>
        <v>0</v>
      </c>
      <c r="BB36" s="863"/>
      <c r="BC36" s="1812">
        <f t="shared" si="32"/>
        <v>0</v>
      </c>
      <c r="BD36" s="2326">
        <f t="shared" si="33"/>
        <v>0</v>
      </c>
      <c r="BE36" s="1819">
        <f t="shared" si="34"/>
        <v>0</v>
      </c>
      <c r="BF36" s="1151">
        <f t="shared" si="35"/>
        <v>0</v>
      </c>
      <c r="BG36" s="2326">
        <f t="shared" si="36"/>
        <v>0</v>
      </c>
      <c r="BH36" s="1152"/>
      <c r="BI36" s="1812">
        <f t="shared" si="37"/>
        <v>0</v>
      </c>
      <c r="BJ36" s="1282">
        <f t="shared" si="38"/>
        <v>0</v>
      </c>
      <c r="BK36" s="1812">
        <f t="shared" si="39"/>
        <v>0</v>
      </c>
      <c r="BL36" s="1282">
        <f t="shared" si="40"/>
        <v>0</v>
      </c>
      <c r="BM36" s="1282">
        <f t="shared" si="41"/>
        <v>0</v>
      </c>
      <c r="BN36" s="1119"/>
      <c r="BO36" s="2327"/>
      <c r="BQ36" s="2325"/>
      <c r="BR36" s="2325"/>
      <c r="BS36" s="480"/>
    </row>
    <row r="37" spans="1:71" s="1421" customFormat="1" ht="24" customHeight="1">
      <c r="A37" s="468">
        <v>30</v>
      </c>
      <c r="B37" s="1705">
        <v>0</v>
      </c>
      <c r="C37" s="796" t="s">
        <v>31</v>
      </c>
      <c r="D37" s="565">
        <f t="shared" si="21"/>
        <v>0</v>
      </c>
      <c r="E37" s="335">
        <f t="shared" si="22"/>
        <v>0</v>
      </c>
      <c r="F37" s="566">
        <f t="shared" si="23"/>
        <v>0</v>
      </c>
      <c r="G37" s="1724">
        <v>0</v>
      </c>
      <c r="H37" s="1424">
        <v>0</v>
      </c>
      <c r="I37" s="570">
        <f t="shared" si="24"/>
        <v>0</v>
      </c>
      <c r="J37" s="590">
        <v>8</v>
      </c>
      <c r="K37" s="743">
        <f t="shared" si="25"/>
        <v>24</v>
      </c>
      <c r="L37" s="1703">
        <v>0</v>
      </c>
      <c r="M37" s="742">
        <f t="shared" si="26"/>
        <v>0</v>
      </c>
      <c r="N37" s="592">
        <f t="shared" si="27"/>
        <v>0</v>
      </c>
      <c r="O37" s="657">
        <f t="shared" si="28"/>
        <v>0</v>
      </c>
      <c r="P37" s="592">
        <f t="shared" si="29"/>
        <v>0</v>
      </c>
      <c r="Q37" s="978"/>
      <c r="R37" s="1281">
        <f t="shared" si="30"/>
        <v>30</v>
      </c>
      <c r="S37" s="1281" t="str">
        <f t="shared" si="31"/>
        <v>keine</v>
      </c>
      <c r="T37" s="1329"/>
      <c r="U37" s="1330" t="s">
        <v>795</v>
      </c>
      <c r="V37" s="1424">
        <v>0</v>
      </c>
      <c r="W37" s="1033">
        <f>VLOOKUP(U37,Düngemittel!$B$6:$E$64,2,FALSE)*(VLOOKUP(U37,Düngemittel!$B$6:$E$64,3,FALSE))/100*V37</f>
        <v>0</v>
      </c>
      <c r="X37" s="1033">
        <f>VLOOKUP(U37,Düngemittel!$B$6:$E$64,2,FALSE)*V37</f>
        <v>0</v>
      </c>
      <c r="Y37" s="1033">
        <f>VLOOKUP(U37,Düngemittel!$B$6:$E$64,4,FALSE)*V37</f>
        <v>0</v>
      </c>
      <c r="Z37" s="2324"/>
      <c r="AA37" s="1329"/>
      <c r="AB37" s="1330" t="s">
        <v>795</v>
      </c>
      <c r="AC37" s="1424">
        <v>0</v>
      </c>
      <c r="AD37" s="1033">
        <f>VLOOKUP(AB37,Düngemittel!$B$6:$E$64,2,FALSE)*(VLOOKUP(AB37,Düngemittel!$B$6:$E$64,3,FALSE))/100*AC37</f>
        <v>0</v>
      </c>
      <c r="AE37" s="1033">
        <f>VLOOKUP(AB37,Düngemittel!$B$6:$E$64,2,FALSE)*AC37</f>
        <v>0</v>
      </c>
      <c r="AF37" s="1033">
        <f>VLOOKUP(AB37,Düngemittel!$B$6:$E$64,4,FALSE)*AC37</f>
        <v>0</v>
      </c>
      <c r="AG37" s="2324"/>
      <c r="AH37" s="1329"/>
      <c r="AI37" s="1330" t="s">
        <v>795</v>
      </c>
      <c r="AJ37" s="1424">
        <v>0</v>
      </c>
      <c r="AK37" s="1033">
        <f>VLOOKUP(AI37,Düngemittel!$B$6:$E$64,2,FALSE)*(VLOOKUP(AI37,Düngemittel!$B$6:$E$64,3,FALSE))/100*AJ37</f>
        <v>0</v>
      </c>
      <c r="AL37" s="1033">
        <f>VLOOKUP(AI37,Düngemittel!$B$6:$E$64,2,FALSE)*AJ37</f>
        <v>0</v>
      </c>
      <c r="AM37" s="1033">
        <f>VLOOKUP(AI37,Düngemittel!$B$6:$E$64,4,FALSE)*AJ37</f>
        <v>0</v>
      </c>
      <c r="AN37" s="2324"/>
      <c r="AO37" s="1329"/>
      <c r="AP37" s="1330" t="s">
        <v>795</v>
      </c>
      <c r="AQ37" s="1424">
        <v>0</v>
      </c>
      <c r="AR37" s="1033">
        <f>VLOOKUP(AP37,Düngemittel!$B$6:$E$64,2,FALSE)*(VLOOKUP(AP37,Düngemittel!$B$6:$E$64,3,FALSE))/100*AQ37</f>
        <v>0</v>
      </c>
      <c r="AS37" s="1033">
        <f>VLOOKUP(AP37,Düngemittel!$B$6:$E$64,2,FALSE)*AQ37</f>
        <v>0</v>
      </c>
      <c r="AT37" s="1033">
        <f>VLOOKUP(AP37,Düngemittel!$B$6:$E$64,4,FALSE)*AQ37</f>
        <v>0</v>
      </c>
      <c r="AU37" s="2324"/>
      <c r="AV37" s="1329"/>
      <c r="AW37" s="1330" t="s">
        <v>795</v>
      </c>
      <c r="AX37" s="1424">
        <v>0</v>
      </c>
      <c r="AY37" s="1033">
        <f>VLOOKUP(AW37,Düngemittel!$B$6:$E$64,2,FALSE)*(VLOOKUP(AW37,Düngemittel!$B$6:$E$64,3,FALSE))/100*AX37</f>
        <v>0</v>
      </c>
      <c r="AZ37" s="1033">
        <f>VLOOKUP(AW37,Düngemittel!$B$6:$E$64,2,FALSE)*AX37</f>
        <v>0</v>
      </c>
      <c r="BA37" s="1033">
        <f>VLOOKUP(AW37,Düngemittel!$B$6:$E$64,4,FALSE)*AX37</f>
        <v>0</v>
      </c>
      <c r="BB37" s="863"/>
      <c r="BC37" s="1812">
        <f t="shared" si="32"/>
        <v>0</v>
      </c>
      <c r="BD37" s="2326">
        <f t="shared" si="33"/>
        <v>0</v>
      </c>
      <c r="BE37" s="1819">
        <f t="shared" si="34"/>
        <v>0</v>
      </c>
      <c r="BF37" s="1151">
        <f t="shared" si="35"/>
        <v>0</v>
      </c>
      <c r="BG37" s="2326">
        <f t="shared" si="36"/>
        <v>0</v>
      </c>
      <c r="BH37" s="1152"/>
      <c r="BI37" s="1812">
        <f t="shared" si="37"/>
        <v>0</v>
      </c>
      <c r="BJ37" s="1282">
        <f t="shared" si="38"/>
        <v>0</v>
      </c>
      <c r="BK37" s="1812">
        <f t="shared" si="39"/>
        <v>0</v>
      </c>
      <c r="BL37" s="1282">
        <f t="shared" si="40"/>
        <v>0</v>
      </c>
      <c r="BM37" s="1282">
        <f t="shared" si="41"/>
        <v>0</v>
      </c>
      <c r="BN37" s="1119"/>
      <c r="BO37" s="2327"/>
      <c r="BQ37" s="2325"/>
      <c r="BR37" s="2325"/>
      <c r="BS37" s="480"/>
    </row>
    <row r="38" spans="1:71" s="1421" customFormat="1" ht="24" customHeight="1">
      <c r="A38" s="468">
        <v>31</v>
      </c>
      <c r="B38" s="1705">
        <v>0</v>
      </c>
      <c r="C38" s="796" t="s">
        <v>31</v>
      </c>
      <c r="D38" s="565">
        <f t="shared" si="21"/>
        <v>0</v>
      </c>
      <c r="E38" s="335">
        <f t="shared" si="22"/>
        <v>0</v>
      </c>
      <c r="F38" s="566">
        <f t="shared" si="23"/>
        <v>0</v>
      </c>
      <c r="G38" s="1724">
        <v>0</v>
      </c>
      <c r="H38" s="1424">
        <v>0</v>
      </c>
      <c r="I38" s="570">
        <f t="shared" si="24"/>
        <v>0</v>
      </c>
      <c r="J38" s="590">
        <v>9</v>
      </c>
      <c r="K38" s="743">
        <f t="shared" si="25"/>
        <v>27</v>
      </c>
      <c r="L38" s="1703">
        <v>0</v>
      </c>
      <c r="M38" s="742">
        <f t="shared" si="26"/>
        <v>0</v>
      </c>
      <c r="N38" s="592">
        <f t="shared" si="27"/>
        <v>0</v>
      </c>
      <c r="O38" s="657">
        <f t="shared" si="28"/>
        <v>0</v>
      </c>
      <c r="P38" s="592">
        <f t="shared" si="29"/>
        <v>0</v>
      </c>
      <c r="Q38" s="978"/>
      <c r="R38" s="1281">
        <f t="shared" si="30"/>
        <v>31</v>
      </c>
      <c r="S38" s="1281" t="str">
        <f t="shared" si="31"/>
        <v>keine</v>
      </c>
      <c r="T38" s="1329"/>
      <c r="U38" s="1330" t="s">
        <v>795</v>
      </c>
      <c r="V38" s="1424">
        <v>0</v>
      </c>
      <c r="W38" s="1033">
        <f>VLOOKUP(U38,Düngemittel!$B$6:$E$64,2,FALSE)*(VLOOKUP(U38,Düngemittel!$B$6:$E$64,3,FALSE))/100*V38</f>
        <v>0</v>
      </c>
      <c r="X38" s="1033">
        <f>VLOOKUP(U38,Düngemittel!$B$6:$E$64,2,FALSE)*V38</f>
        <v>0</v>
      </c>
      <c r="Y38" s="1033">
        <f>VLOOKUP(U38,Düngemittel!$B$6:$E$64,4,FALSE)*V38</f>
        <v>0</v>
      </c>
      <c r="Z38" s="2324"/>
      <c r="AA38" s="1329"/>
      <c r="AB38" s="1330" t="s">
        <v>795</v>
      </c>
      <c r="AC38" s="1424">
        <v>0</v>
      </c>
      <c r="AD38" s="1033">
        <f>VLOOKUP(AB38,Düngemittel!$B$6:$E$64,2,FALSE)*(VLOOKUP(AB38,Düngemittel!$B$6:$E$64,3,FALSE))/100*AC38</f>
        <v>0</v>
      </c>
      <c r="AE38" s="1033">
        <f>VLOOKUP(AB38,Düngemittel!$B$6:$E$64,2,FALSE)*AC38</f>
        <v>0</v>
      </c>
      <c r="AF38" s="1033">
        <f>VLOOKUP(AB38,Düngemittel!$B$6:$E$64,4,FALSE)*AC38</f>
        <v>0</v>
      </c>
      <c r="AG38" s="2324"/>
      <c r="AH38" s="1329"/>
      <c r="AI38" s="1330" t="s">
        <v>795</v>
      </c>
      <c r="AJ38" s="1424">
        <v>0</v>
      </c>
      <c r="AK38" s="1033">
        <f>VLOOKUP(AI38,Düngemittel!$B$6:$E$64,2,FALSE)*(VLOOKUP(AI38,Düngemittel!$B$6:$E$64,3,FALSE))/100*AJ38</f>
        <v>0</v>
      </c>
      <c r="AL38" s="1033">
        <f>VLOOKUP(AI38,Düngemittel!$B$6:$E$64,2,FALSE)*AJ38</f>
        <v>0</v>
      </c>
      <c r="AM38" s="1033">
        <f>VLOOKUP(AI38,Düngemittel!$B$6:$E$64,4,FALSE)*AJ38</f>
        <v>0</v>
      </c>
      <c r="AN38" s="2324"/>
      <c r="AO38" s="1329"/>
      <c r="AP38" s="1330" t="s">
        <v>795</v>
      </c>
      <c r="AQ38" s="1424">
        <v>0</v>
      </c>
      <c r="AR38" s="1033">
        <f>VLOOKUP(AP38,Düngemittel!$B$6:$E$64,2,FALSE)*(VLOOKUP(AP38,Düngemittel!$B$6:$E$64,3,FALSE))/100*AQ38</f>
        <v>0</v>
      </c>
      <c r="AS38" s="1033">
        <f>VLOOKUP(AP38,Düngemittel!$B$6:$E$64,2,FALSE)*AQ38</f>
        <v>0</v>
      </c>
      <c r="AT38" s="1033">
        <f>VLOOKUP(AP38,Düngemittel!$B$6:$E$64,4,FALSE)*AQ38</f>
        <v>0</v>
      </c>
      <c r="AU38" s="2324"/>
      <c r="AV38" s="1329"/>
      <c r="AW38" s="1330" t="s">
        <v>795</v>
      </c>
      <c r="AX38" s="1424">
        <v>0</v>
      </c>
      <c r="AY38" s="1033">
        <f>VLOOKUP(AW38,Düngemittel!$B$6:$E$64,2,FALSE)*(VLOOKUP(AW38,Düngemittel!$B$6:$E$64,3,FALSE))/100*AX38</f>
        <v>0</v>
      </c>
      <c r="AZ38" s="1033">
        <f>VLOOKUP(AW38,Düngemittel!$B$6:$E$64,2,FALSE)*AX38</f>
        <v>0</v>
      </c>
      <c r="BA38" s="1033">
        <f>VLOOKUP(AW38,Düngemittel!$B$6:$E$64,4,FALSE)*AX38</f>
        <v>0</v>
      </c>
      <c r="BB38" s="863"/>
      <c r="BC38" s="1812">
        <f t="shared" si="32"/>
        <v>0</v>
      </c>
      <c r="BD38" s="2326">
        <f t="shared" si="33"/>
        <v>0</v>
      </c>
      <c r="BE38" s="1819">
        <f t="shared" si="34"/>
        <v>0</v>
      </c>
      <c r="BF38" s="1151">
        <f t="shared" si="35"/>
        <v>0</v>
      </c>
      <c r="BG38" s="2326">
        <f t="shared" si="36"/>
        <v>0</v>
      </c>
      <c r="BH38" s="1152"/>
      <c r="BI38" s="1812">
        <f t="shared" si="37"/>
        <v>0</v>
      </c>
      <c r="BJ38" s="1282">
        <f t="shared" si="38"/>
        <v>0</v>
      </c>
      <c r="BK38" s="1812">
        <f t="shared" si="39"/>
        <v>0</v>
      </c>
      <c r="BL38" s="1282">
        <f t="shared" si="40"/>
        <v>0</v>
      </c>
      <c r="BM38" s="1282">
        <f t="shared" si="41"/>
        <v>0</v>
      </c>
      <c r="BN38" s="1119"/>
      <c r="BO38" s="2327"/>
      <c r="BQ38" s="2325"/>
      <c r="BR38" s="2325"/>
      <c r="BS38" s="480"/>
    </row>
    <row r="39" spans="1:71" s="1421" customFormat="1" ht="24" customHeight="1">
      <c r="A39" s="468">
        <v>32</v>
      </c>
      <c r="B39" s="1705">
        <v>0</v>
      </c>
      <c r="C39" s="796" t="s">
        <v>31</v>
      </c>
      <c r="D39" s="565">
        <f t="shared" si="21"/>
        <v>0</v>
      </c>
      <c r="E39" s="335">
        <f t="shared" si="22"/>
        <v>0</v>
      </c>
      <c r="F39" s="566">
        <f t="shared" si="23"/>
        <v>0</v>
      </c>
      <c r="G39" s="1724">
        <v>0</v>
      </c>
      <c r="H39" s="1424">
        <v>0</v>
      </c>
      <c r="I39" s="570">
        <f t="shared" si="24"/>
        <v>0</v>
      </c>
      <c r="J39" s="590">
        <v>10</v>
      </c>
      <c r="K39" s="743">
        <f t="shared" si="25"/>
        <v>30</v>
      </c>
      <c r="L39" s="1703">
        <v>0</v>
      </c>
      <c r="M39" s="742">
        <f t="shared" si="26"/>
        <v>0</v>
      </c>
      <c r="N39" s="592">
        <f t="shared" si="27"/>
        <v>0</v>
      </c>
      <c r="O39" s="657">
        <f t="shared" si="28"/>
        <v>0</v>
      </c>
      <c r="P39" s="592">
        <f t="shared" si="29"/>
        <v>0</v>
      </c>
      <c r="Q39" s="978"/>
      <c r="R39" s="1281">
        <f t="shared" si="30"/>
        <v>32</v>
      </c>
      <c r="S39" s="1281" t="str">
        <f t="shared" si="31"/>
        <v>keine</v>
      </c>
      <c r="T39" s="1329"/>
      <c r="U39" s="1330" t="s">
        <v>795</v>
      </c>
      <c r="V39" s="1424">
        <v>0</v>
      </c>
      <c r="W39" s="1033">
        <f>VLOOKUP(U39,Düngemittel!$B$6:$E$64,2,FALSE)*(VLOOKUP(U39,Düngemittel!$B$6:$E$64,3,FALSE))/100*V39</f>
        <v>0</v>
      </c>
      <c r="X39" s="1033">
        <f>VLOOKUP(U39,Düngemittel!$B$6:$E$64,2,FALSE)*V39</f>
        <v>0</v>
      </c>
      <c r="Y39" s="1033">
        <f>VLOOKUP(U39,Düngemittel!$B$6:$E$64,4,FALSE)*V39</f>
        <v>0</v>
      </c>
      <c r="Z39" s="2324"/>
      <c r="AA39" s="1329"/>
      <c r="AB39" s="1330" t="s">
        <v>795</v>
      </c>
      <c r="AC39" s="1424">
        <v>0</v>
      </c>
      <c r="AD39" s="1033">
        <f>VLOOKUP(AB39,Düngemittel!$B$6:$E$64,2,FALSE)*(VLOOKUP(AB39,Düngemittel!$B$6:$E$64,3,FALSE))/100*AC39</f>
        <v>0</v>
      </c>
      <c r="AE39" s="1033">
        <f>VLOOKUP(AB39,Düngemittel!$B$6:$E$64,2,FALSE)*AC39</f>
        <v>0</v>
      </c>
      <c r="AF39" s="1033">
        <f>VLOOKUP(AB39,Düngemittel!$B$6:$E$64,4,FALSE)*AC39</f>
        <v>0</v>
      </c>
      <c r="AG39" s="2324"/>
      <c r="AH39" s="1329"/>
      <c r="AI39" s="1330" t="s">
        <v>795</v>
      </c>
      <c r="AJ39" s="1424">
        <v>0</v>
      </c>
      <c r="AK39" s="1033">
        <f>VLOOKUP(AI39,Düngemittel!$B$6:$E$64,2,FALSE)*(VLOOKUP(AI39,Düngemittel!$B$6:$E$64,3,FALSE))/100*AJ39</f>
        <v>0</v>
      </c>
      <c r="AL39" s="1033">
        <f>VLOOKUP(AI39,Düngemittel!$B$6:$E$64,2,FALSE)*AJ39</f>
        <v>0</v>
      </c>
      <c r="AM39" s="1033">
        <f>VLOOKUP(AI39,Düngemittel!$B$6:$E$64,4,FALSE)*AJ39</f>
        <v>0</v>
      </c>
      <c r="AN39" s="2324"/>
      <c r="AO39" s="1329"/>
      <c r="AP39" s="1330" t="s">
        <v>795</v>
      </c>
      <c r="AQ39" s="1424">
        <v>0</v>
      </c>
      <c r="AR39" s="1033">
        <f>VLOOKUP(AP39,Düngemittel!$B$6:$E$64,2,FALSE)*(VLOOKUP(AP39,Düngemittel!$B$6:$E$64,3,FALSE))/100*AQ39</f>
        <v>0</v>
      </c>
      <c r="AS39" s="1033">
        <f>VLOOKUP(AP39,Düngemittel!$B$6:$E$64,2,FALSE)*AQ39</f>
        <v>0</v>
      </c>
      <c r="AT39" s="1033">
        <f>VLOOKUP(AP39,Düngemittel!$B$6:$E$64,4,FALSE)*AQ39</f>
        <v>0</v>
      </c>
      <c r="AU39" s="2324"/>
      <c r="AV39" s="1329"/>
      <c r="AW39" s="1330" t="s">
        <v>795</v>
      </c>
      <c r="AX39" s="1424">
        <v>0</v>
      </c>
      <c r="AY39" s="1033">
        <f>VLOOKUP(AW39,Düngemittel!$B$6:$E$64,2,FALSE)*(VLOOKUP(AW39,Düngemittel!$B$6:$E$64,3,FALSE))/100*AX39</f>
        <v>0</v>
      </c>
      <c r="AZ39" s="1033">
        <f>VLOOKUP(AW39,Düngemittel!$B$6:$E$64,2,FALSE)*AX39</f>
        <v>0</v>
      </c>
      <c r="BA39" s="1033">
        <f>VLOOKUP(AW39,Düngemittel!$B$6:$E$64,4,FALSE)*AX39</f>
        <v>0</v>
      </c>
      <c r="BB39" s="863"/>
      <c r="BC39" s="1812">
        <f t="shared" si="32"/>
        <v>0</v>
      </c>
      <c r="BD39" s="2326">
        <f t="shared" si="33"/>
        <v>0</v>
      </c>
      <c r="BE39" s="1819">
        <f t="shared" si="34"/>
        <v>0</v>
      </c>
      <c r="BF39" s="1151">
        <f t="shared" si="35"/>
        <v>0</v>
      </c>
      <c r="BG39" s="2326">
        <f t="shared" si="36"/>
        <v>0</v>
      </c>
      <c r="BH39" s="1152"/>
      <c r="BI39" s="1812">
        <f t="shared" si="37"/>
        <v>0</v>
      </c>
      <c r="BJ39" s="1282">
        <f t="shared" si="38"/>
        <v>0</v>
      </c>
      <c r="BK39" s="1812">
        <f t="shared" si="39"/>
        <v>0</v>
      </c>
      <c r="BL39" s="1282">
        <f t="shared" si="40"/>
        <v>0</v>
      </c>
      <c r="BM39" s="1282">
        <f t="shared" si="41"/>
        <v>0</v>
      </c>
      <c r="BN39" s="1119"/>
      <c r="BO39" s="2327"/>
      <c r="BQ39" s="2325"/>
      <c r="BR39" s="2325"/>
      <c r="BS39" s="480"/>
    </row>
    <row r="40" spans="1:71" s="1421" customFormat="1" ht="24" customHeight="1">
      <c r="A40" s="468">
        <v>33</v>
      </c>
      <c r="B40" s="1705">
        <v>0</v>
      </c>
      <c r="C40" s="796" t="s">
        <v>31</v>
      </c>
      <c r="D40" s="565">
        <f t="shared" si="21"/>
        <v>0</v>
      </c>
      <c r="E40" s="335">
        <f t="shared" si="22"/>
        <v>0</v>
      </c>
      <c r="F40" s="566">
        <f t="shared" si="23"/>
        <v>0</v>
      </c>
      <c r="G40" s="1724">
        <v>0</v>
      </c>
      <c r="H40" s="1424">
        <v>0</v>
      </c>
      <c r="I40" s="570">
        <f t="shared" si="24"/>
        <v>0</v>
      </c>
      <c r="J40" s="590">
        <v>11</v>
      </c>
      <c r="K40" s="743">
        <f t="shared" si="25"/>
        <v>33</v>
      </c>
      <c r="L40" s="1703">
        <v>0</v>
      </c>
      <c r="M40" s="742">
        <f t="shared" si="26"/>
        <v>0</v>
      </c>
      <c r="N40" s="592">
        <f t="shared" si="27"/>
        <v>0</v>
      </c>
      <c r="O40" s="657">
        <f t="shared" si="28"/>
        <v>0</v>
      </c>
      <c r="P40" s="592">
        <f t="shared" si="29"/>
        <v>0</v>
      </c>
      <c r="Q40" s="978"/>
      <c r="R40" s="1281">
        <f t="shared" si="30"/>
        <v>33</v>
      </c>
      <c r="S40" s="1281" t="str">
        <f t="shared" si="31"/>
        <v>keine</v>
      </c>
      <c r="T40" s="1329"/>
      <c r="U40" s="1330" t="s">
        <v>795</v>
      </c>
      <c r="V40" s="1424">
        <v>0</v>
      </c>
      <c r="W40" s="1033">
        <f>VLOOKUP(U40,Düngemittel!$B$6:$E$64,2,FALSE)*(VLOOKUP(U40,Düngemittel!$B$6:$E$64,3,FALSE))/100*V40</f>
        <v>0</v>
      </c>
      <c r="X40" s="1033">
        <f>VLOOKUP(U40,Düngemittel!$B$6:$E$64,2,FALSE)*V40</f>
        <v>0</v>
      </c>
      <c r="Y40" s="1033">
        <f>VLOOKUP(U40,Düngemittel!$B$6:$E$64,4,FALSE)*V40</f>
        <v>0</v>
      </c>
      <c r="Z40" s="2324"/>
      <c r="AA40" s="1329"/>
      <c r="AB40" s="1330" t="s">
        <v>795</v>
      </c>
      <c r="AC40" s="1424">
        <v>0</v>
      </c>
      <c r="AD40" s="1033">
        <f>VLOOKUP(AB40,Düngemittel!$B$6:$E$64,2,FALSE)*(VLOOKUP(AB40,Düngemittel!$B$6:$E$64,3,FALSE))/100*AC40</f>
        <v>0</v>
      </c>
      <c r="AE40" s="1033">
        <f>VLOOKUP(AB40,Düngemittel!$B$6:$E$64,2,FALSE)*AC40</f>
        <v>0</v>
      </c>
      <c r="AF40" s="1033">
        <f>VLOOKUP(AB40,Düngemittel!$B$6:$E$64,4,FALSE)*AC40</f>
        <v>0</v>
      </c>
      <c r="AG40" s="2324"/>
      <c r="AH40" s="1329"/>
      <c r="AI40" s="1330" t="s">
        <v>795</v>
      </c>
      <c r="AJ40" s="1424">
        <v>0</v>
      </c>
      <c r="AK40" s="1033">
        <f>VLOOKUP(AI40,Düngemittel!$B$6:$E$64,2,FALSE)*(VLOOKUP(AI40,Düngemittel!$B$6:$E$64,3,FALSE))/100*AJ40</f>
        <v>0</v>
      </c>
      <c r="AL40" s="1033">
        <f>VLOOKUP(AI40,Düngemittel!$B$6:$E$64,2,FALSE)*AJ40</f>
        <v>0</v>
      </c>
      <c r="AM40" s="1033">
        <f>VLOOKUP(AI40,Düngemittel!$B$6:$E$64,4,FALSE)*AJ40</f>
        <v>0</v>
      </c>
      <c r="AN40" s="2324"/>
      <c r="AO40" s="1329"/>
      <c r="AP40" s="1330" t="s">
        <v>795</v>
      </c>
      <c r="AQ40" s="1424">
        <v>0</v>
      </c>
      <c r="AR40" s="1033">
        <f>VLOOKUP(AP40,Düngemittel!$B$6:$E$64,2,FALSE)*(VLOOKUP(AP40,Düngemittel!$B$6:$E$64,3,FALSE))/100*AQ40</f>
        <v>0</v>
      </c>
      <c r="AS40" s="1033">
        <f>VLOOKUP(AP40,Düngemittel!$B$6:$E$64,2,FALSE)*AQ40</f>
        <v>0</v>
      </c>
      <c r="AT40" s="1033">
        <f>VLOOKUP(AP40,Düngemittel!$B$6:$E$64,4,FALSE)*AQ40</f>
        <v>0</v>
      </c>
      <c r="AU40" s="2324"/>
      <c r="AV40" s="1329"/>
      <c r="AW40" s="1330" t="s">
        <v>795</v>
      </c>
      <c r="AX40" s="1424">
        <v>0</v>
      </c>
      <c r="AY40" s="1033">
        <f>VLOOKUP(AW40,Düngemittel!$B$6:$E$64,2,FALSE)*(VLOOKUP(AW40,Düngemittel!$B$6:$E$64,3,FALSE))/100*AX40</f>
        <v>0</v>
      </c>
      <c r="AZ40" s="1033">
        <f>VLOOKUP(AW40,Düngemittel!$B$6:$E$64,2,FALSE)*AX40</f>
        <v>0</v>
      </c>
      <c r="BA40" s="1033">
        <f>VLOOKUP(AW40,Düngemittel!$B$6:$E$64,4,FALSE)*AX40</f>
        <v>0</v>
      </c>
      <c r="BB40" s="863"/>
      <c r="BC40" s="1812">
        <f t="shared" si="32"/>
        <v>0</v>
      </c>
      <c r="BD40" s="2326">
        <f t="shared" si="33"/>
        <v>0</v>
      </c>
      <c r="BE40" s="1819">
        <f t="shared" si="34"/>
        <v>0</v>
      </c>
      <c r="BF40" s="1151">
        <f t="shared" si="35"/>
        <v>0</v>
      </c>
      <c r="BG40" s="2326">
        <f t="shared" si="36"/>
        <v>0</v>
      </c>
      <c r="BH40" s="1152"/>
      <c r="BI40" s="1812">
        <f t="shared" si="37"/>
        <v>0</v>
      </c>
      <c r="BJ40" s="1282">
        <f t="shared" si="38"/>
        <v>0</v>
      </c>
      <c r="BK40" s="1812">
        <f t="shared" si="39"/>
        <v>0</v>
      </c>
      <c r="BL40" s="1282">
        <f t="shared" si="40"/>
        <v>0</v>
      </c>
      <c r="BM40" s="1282">
        <f t="shared" si="41"/>
        <v>0</v>
      </c>
      <c r="BN40" s="1119"/>
      <c r="BO40" s="2327"/>
      <c r="BQ40" s="2325"/>
      <c r="BR40" s="2325"/>
      <c r="BS40" s="480"/>
    </row>
    <row r="41" spans="1:71" ht="24" customHeight="1">
      <c r="A41" s="468">
        <v>34</v>
      </c>
      <c r="B41" s="1705">
        <v>0</v>
      </c>
      <c r="C41" s="796" t="s">
        <v>31</v>
      </c>
      <c r="D41" s="565">
        <f t="shared" si="0"/>
        <v>0</v>
      </c>
      <c r="E41" s="335">
        <f t="shared" si="1"/>
        <v>0</v>
      </c>
      <c r="F41" s="566">
        <f t="shared" si="7"/>
        <v>0</v>
      </c>
      <c r="G41" s="1724">
        <v>0</v>
      </c>
      <c r="H41" s="1424">
        <v>0</v>
      </c>
      <c r="I41" s="570">
        <f t="shared" si="8"/>
        <v>0</v>
      </c>
      <c r="J41" s="590">
        <v>0</v>
      </c>
      <c r="K41" s="743">
        <f t="shared" si="9"/>
        <v>0</v>
      </c>
      <c r="L41" s="1703">
        <v>0</v>
      </c>
      <c r="M41" s="742">
        <f t="shared" si="2"/>
        <v>0</v>
      </c>
      <c r="N41" s="592">
        <f t="shared" si="3"/>
        <v>0</v>
      </c>
      <c r="O41" s="657">
        <f t="shared" si="4"/>
        <v>0</v>
      </c>
      <c r="P41" s="592">
        <f t="shared" si="5"/>
        <v>0</v>
      </c>
      <c r="Q41" s="978"/>
      <c r="R41" s="1281">
        <f t="shared" si="10"/>
        <v>34</v>
      </c>
      <c r="S41" s="1281" t="str">
        <f t="shared" si="11"/>
        <v>keine</v>
      </c>
      <c r="T41" s="1329"/>
      <c r="U41" s="1330" t="s">
        <v>795</v>
      </c>
      <c r="V41" s="1424">
        <v>0</v>
      </c>
      <c r="W41" s="1033">
        <f>VLOOKUP(U41,Düngemittel!$B$6:$E$64,2,FALSE)*(VLOOKUP(U41,Düngemittel!$B$6:$E$64,3,FALSE))/100*V41</f>
        <v>0</v>
      </c>
      <c r="X41" s="1033">
        <f>VLOOKUP(U41,Düngemittel!$B$6:$E$64,2,FALSE)*V41</f>
        <v>0</v>
      </c>
      <c r="Y41" s="1033">
        <f>VLOOKUP(U41,Düngemittel!$B$6:$E$64,4,FALSE)*V41</f>
        <v>0</v>
      </c>
      <c r="Z41" s="2089"/>
      <c r="AA41" s="1329"/>
      <c r="AB41" s="1330" t="s">
        <v>795</v>
      </c>
      <c r="AC41" s="1424">
        <v>0</v>
      </c>
      <c r="AD41" s="1033">
        <f>VLOOKUP(AB41,Düngemittel!$B$6:$E$64,2,FALSE)*(VLOOKUP(AB41,Düngemittel!$B$6:$E$64,3,FALSE))/100*AC41</f>
        <v>0</v>
      </c>
      <c r="AE41" s="1033">
        <f>VLOOKUP(AB41,Düngemittel!$B$6:$E$64,2,FALSE)*AC41</f>
        <v>0</v>
      </c>
      <c r="AF41" s="1033">
        <f>VLOOKUP(AB41,Düngemittel!$B$6:$E$64,4,FALSE)*AC41</f>
        <v>0</v>
      </c>
      <c r="AG41" s="2089"/>
      <c r="AH41" s="1329"/>
      <c r="AI41" s="1330" t="s">
        <v>795</v>
      </c>
      <c r="AJ41" s="1424">
        <v>0</v>
      </c>
      <c r="AK41" s="1033">
        <f>VLOOKUP(AI41,Düngemittel!$B$6:$E$64,2,FALSE)*(VLOOKUP(AI41,Düngemittel!$B$6:$E$64,3,FALSE))/100*AJ41</f>
        <v>0</v>
      </c>
      <c r="AL41" s="1033">
        <f>VLOOKUP(AI41,Düngemittel!$B$6:$E$64,2,FALSE)*AJ41</f>
        <v>0</v>
      </c>
      <c r="AM41" s="1033">
        <f>VLOOKUP(AI41,Düngemittel!$B$6:$E$64,4,FALSE)*AJ41</f>
        <v>0</v>
      </c>
      <c r="AN41" s="2089"/>
      <c r="AO41" s="1329"/>
      <c r="AP41" s="1330" t="s">
        <v>795</v>
      </c>
      <c r="AQ41" s="1424">
        <v>0</v>
      </c>
      <c r="AR41" s="1033">
        <f>VLOOKUP(AP41,Düngemittel!$B$6:$E$64,2,FALSE)*(VLOOKUP(AP41,Düngemittel!$B$6:$E$64,3,FALSE))/100*AQ41</f>
        <v>0</v>
      </c>
      <c r="AS41" s="1033">
        <f>VLOOKUP(AP41,Düngemittel!$B$6:$E$64,2,FALSE)*AQ41</f>
        <v>0</v>
      </c>
      <c r="AT41" s="1033">
        <f>VLOOKUP(AP41,Düngemittel!$B$6:$E$64,4,FALSE)*AQ41</f>
        <v>0</v>
      </c>
      <c r="AU41" s="2089"/>
      <c r="AV41" s="1329"/>
      <c r="AW41" s="1330" t="s">
        <v>795</v>
      </c>
      <c r="AX41" s="1424">
        <v>0</v>
      </c>
      <c r="AY41" s="1033">
        <f>VLOOKUP(AW41,Düngemittel!$B$6:$E$64,2,FALSE)*(VLOOKUP(AW41,Düngemittel!$B$6:$E$64,3,FALSE))/100*AX41</f>
        <v>0</v>
      </c>
      <c r="AZ41" s="1033">
        <f>VLOOKUP(AW41,Düngemittel!$B$6:$E$64,2,FALSE)*AX41</f>
        <v>0</v>
      </c>
      <c r="BA41" s="1033">
        <f>VLOOKUP(AW41,Düngemittel!$B$6:$E$64,4,FALSE)*AX41</f>
        <v>0</v>
      </c>
      <c r="BB41" s="863"/>
      <c r="BC41" s="1812">
        <f t="shared" si="12"/>
        <v>0</v>
      </c>
      <c r="BD41" s="1273">
        <f t="shared" si="13"/>
        <v>0</v>
      </c>
      <c r="BE41" s="1819">
        <f t="shared" si="13"/>
        <v>0</v>
      </c>
      <c r="BF41" s="1151">
        <f t="shared" si="14"/>
        <v>0</v>
      </c>
      <c r="BG41" s="1273">
        <f t="shared" si="15"/>
        <v>0</v>
      </c>
      <c r="BH41" s="1152"/>
      <c r="BI41" s="1812">
        <f t="shared" si="16"/>
        <v>0</v>
      </c>
      <c r="BJ41" s="1282">
        <f t="shared" si="17"/>
        <v>0</v>
      </c>
      <c r="BK41" s="1812">
        <f t="shared" si="18"/>
        <v>0</v>
      </c>
      <c r="BL41" s="1282">
        <f t="shared" si="19"/>
        <v>0</v>
      </c>
      <c r="BM41" s="1282">
        <f t="shared" si="20"/>
        <v>0</v>
      </c>
      <c r="BN41" s="1119"/>
      <c r="BO41" s="1012"/>
      <c r="BQ41" s="1249"/>
    </row>
    <row r="42" spans="1:71" ht="24" customHeight="1" thickBot="1">
      <c r="A42" s="468">
        <v>35</v>
      </c>
      <c r="B42" s="1705">
        <v>0</v>
      </c>
      <c r="C42" s="796" t="s">
        <v>31</v>
      </c>
      <c r="D42" s="565">
        <f t="shared" si="0"/>
        <v>0</v>
      </c>
      <c r="E42" s="335">
        <f t="shared" si="1"/>
        <v>0</v>
      </c>
      <c r="F42" s="566">
        <f t="shared" si="7"/>
        <v>0</v>
      </c>
      <c r="G42" s="1724">
        <v>0</v>
      </c>
      <c r="H42" s="1424">
        <v>0</v>
      </c>
      <c r="I42" s="570">
        <f t="shared" si="8"/>
        <v>0</v>
      </c>
      <c r="J42" s="590">
        <v>0</v>
      </c>
      <c r="K42" s="743">
        <f t="shared" si="9"/>
        <v>0</v>
      </c>
      <c r="L42" s="1703">
        <v>0</v>
      </c>
      <c r="M42" s="742">
        <f t="shared" si="2"/>
        <v>0</v>
      </c>
      <c r="N42" s="592">
        <f t="shared" si="3"/>
        <v>0</v>
      </c>
      <c r="O42" s="657">
        <f t="shared" si="4"/>
        <v>0</v>
      </c>
      <c r="P42" s="592">
        <f t="shared" si="5"/>
        <v>0</v>
      </c>
      <c r="Q42" s="978"/>
      <c r="R42" s="1281">
        <f t="shared" si="10"/>
        <v>35</v>
      </c>
      <c r="S42" s="1281" t="str">
        <f t="shared" si="11"/>
        <v>keine</v>
      </c>
      <c r="T42" s="1329"/>
      <c r="U42" s="1330" t="s">
        <v>795</v>
      </c>
      <c r="V42" s="1424">
        <v>0</v>
      </c>
      <c r="W42" s="1033">
        <f>VLOOKUP(U42,Düngemittel!$B$6:$E$64,2,FALSE)*(VLOOKUP(U42,Düngemittel!$B$6:$E$64,3,FALSE))/100*V42</f>
        <v>0</v>
      </c>
      <c r="X42" s="1033">
        <f>VLOOKUP(U42,Düngemittel!$B$6:$E$64,2,FALSE)*V42</f>
        <v>0</v>
      </c>
      <c r="Y42" s="1033">
        <f>VLOOKUP(U42,Düngemittel!$B$6:$E$64,4,FALSE)*V42</f>
        <v>0</v>
      </c>
      <c r="Z42" s="2089"/>
      <c r="AA42" s="1329"/>
      <c r="AB42" s="1330" t="s">
        <v>795</v>
      </c>
      <c r="AC42" s="1424">
        <v>0</v>
      </c>
      <c r="AD42" s="1033">
        <f>VLOOKUP(AB42,Düngemittel!$B$6:$E$64,2,FALSE)*(VLOOKUP(AB42,Düngemittel!$B$6:$E$64,3,FALSE))/100*AC42</f>
        <v>0</v>
      </c>
      <c r="AE42" s="1033">
        <f>VLOOKUP(AB42,Düngemittel!$B$6:$E$64,2,FALSE)*AC42</f>
        <v>0</v>
      </c>
      <c r="AF42" s="1033">
        <f>VLOOKUP(AB42,Düngemittel!$B$6:$E$64,4,FALSE)*AC42</f>
        <v>0</v>
      </c>
      <c r="AG42" s="2089"/>
      <c r="AH42" s="1329"/>
      <c r="AI42" s="1330" t="s">
        <v>795</v>
      </c>
      <c r="AJ42" s="1424">
        <v>0</v>
      </c>
      <c r="AK42" s="1033">
        <f>VLOOKUP(AI42,Düngemittel!$B$6:$E$64,2,FALSE)*(VLOOKUP(AI42,Düngemittel!$B$6:$E$64,3,FALSE))/100*AJ42</f>
        <v>0</v>
      </c>
      <c r="AL42" s="1033">
        <f>VLOOKUP(AI42,Düngemittel!$B$6:$E$64,2,FALSE)*AJ42</f>
        <v>0</v>
      </c>
      <c r="AM42" s="1033">
        <f>VLOOKUP(AI42,Düngemittel!$B$6:$E$64,4,FALSE)*AJ42</f>
        <v>0</v>
      </c>
      <c r="AN42" s="2089"/>
      <c r="AO42" s="1329"/>
      <c r="AP42" s="1330" t="s">
        <v>795</v>
      </c>
      <c r="AQ42" s="1424">
        <v>0</v>
      </c>
      <c r="AR42" s="1033">
        <f>VLOOKUP(AP42,Düngemittel!$B$6:$E$64,2,FALSE)*(VLOOKUP(AP42,Düngemittel!$B$6:$E$64,3,FALSE))/100*AQ42</f>
        <v>0</v>
      </c>
      <c r="AS42" s="1033">
        <f>VLOOKUP(AP42,Düngemittel!$B$6:$E$64,2,FALSE)*AQ42</f>
        <v>0</v>
      </c>
      <c r="AT42" s="1033">
        <f>VLOOKUP(AP42,Düngemittel!$B$6:$E$64,4,FALSE)*AQ42</f>
        <v>0</v>
      </c>
      <c r="AU42" s="2089"/>
      <c r="AV42" s="1329"/>
      <c r="AW42" s="1330" t="s">
        <v>795</v>
      </c>
      <c r="AX42" s="1424">
        <v>0</v>
      </c>
      <c r="AY42" s="1033">
        <f>VLOOKUP(AW42,Düngemittel!$B$6:$E$64,2,FALSE)*(VLOOKUP(AW42,Düngemittel!$B$6:$E$64,3,FALSE))/100*AX42</f>
        <v>0</v>
      </c>
      <c r="AZ42" s="1033">
        <f>VLOOKUP(AW42,Düngemittel!$B$6:$E$64,2,FALSE)*AX42</f>
        <v>0</v>
      </c>
      <c r="BA42" s="1033">
        <f>VLOOKUP(AW42,Düngemittel!$B$6:$E$64,4,FALSE)*AX42</f>
        <v>0</v>
      </c>
      <c r="BB42" s="863"/>
      <c r="BC42" s="1812">
        <f t="shared" si="12"/>
        <v>0</v>
      </c>
      <c r="BD42" s="1273">
        <f t="shared" si="13"/>
        <v>0</v>
      </c>
      <c r="BE42" s="1819">
        <f t="shared" si="13"/>
        <v>0</v>
      </c>
      <c r="BF42" s="1151">
        <f t="shared" si="14"/>
        <v>0</v>
      </c>
      <c r="BG42" s="1273">
        <f t="shared" si="15"/>
        <v>0</v>
      </c>
      <c r="BH42" s="1152"/>
      <c r="BI42" s="1812">
        <f t="shared" si="16"/>
        <v>0</v>
      </c>
      <c r="BJ42" s="1282">
        <f t="shared" si="17"/>
        <v>0</v>
      </c>
      <c r="BK42" s="1812">
        <f t="shared" si="18"/>
        <v>0</v>
      </c>
      <c r="BL42" s="1282">
        <f t="shared" si="19"/>
        <v>0</v>
      </c>
      <c r="BM42" s="1282">
        <f t="shared" si="20"/>
        <v>0</v>
      </c>
      <c r="BN42" s="1119"/>
      <c r="BO42" s="1012"/>
      <c r="BQ42" s="990"/>
    </row>
    <row r="43" spans="1:71" ht="23.25" customHeight="1" thickBot="1">
      <c r="A43" s="567" t="s">
        <v>286</v>
      </c>
      <c r="B43" s="1131">
        <f>SUM(B8:B42)</f>
        <v>0</v>
      </c>
      <c r="C43" s="1206" t="s">
        <v>1114</v>
      </c>
      <c r="D43" s="1207"/>
      <c r="E43" s="1208"/>
      <c r="F43" s="1275"/>
      <c r="G43" s="509"/>
      <c r="H43" s="509"/>
      <c r="I43" s="509"/>
      <c r="J43" s="509"/>
      <c r="K43" s="1275"/>
      <c r="L43" s="1275"/>
      <c r="M43" s="519" t="s">
        <v>1022</v>
      </c>
      <c r="N43" s="514">
        <f>SUM(N8:N42)</f>
        <v>0</v>
      </c>
      <c r="O43" s="654"/>
      <c r="P43" s="514">
        <f>SUM(P8:P42)</f>
        <v>0</v>
      </c>
      <c r="Q43" s="636"/>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c r="AU43" s="978"/>
      <c r="AV43" s="978"/>
      <c r="AW43" s="978"/>
      <c r="AX43" s="978"/>
      <c r="AY43" s="978"/>
      <c r="AZ43" s="978"/>
      <c r="BA43" s="978"/>
      <c r="BB43" s="978"/>
      <c r="BC43" s="1818"/>
      <c r="BD43" s="1091"/>
      <c r="BE43" s="1820"/>
      <c r="BF43" s="492"/>
      <c r="BG43" s="1091"/>
      <c r="BH43" s="316"/>
      <c r="BI43" s="1814">
        <f>SUM(BI5:BI42)</f>
        <v>0</v>
      </c>
      <c r="BJ43" s="1277">
        <f>SUM(BJ5:BJ42)</f>
        <v>0</v>
      </c>
      <c r="BK43" s="1814">
        <f>SUM(BK5:BK42)</f>
        <v>0</v>
      </c>
      <c r="BL43" s="1277">
        <f>SUM(BL5:BL42)</f>
        <v>0</v>
      </c>
      <c r="BM43" s="1277">
        <f>SUM(BM5:BM42)</f>
        <v>0</v>
      </c>
      <c r="BN43" s="1143" t="s">
        <v>1081</v>
      </c>
      <c r="BR43" s="146"/>
    </row>
    <row r="44" spans="1:71" ht="24" customHeight="1">
      <c r="A44" s="1032"/>
      <c r="B44" s="1132"/>
      <c r="C44" s="92"/>
      <c r="D44" s="1251"/>
      <c r="E44" s="131"/>
      <c r="F44" s="1251"/>
      <c r="G44" s="92"/>
      <c r="H44" s="92"/>
      <c r="I44" s="92"/>
      <c r="J44" s="92"/>
      <c r="K44" s="1251"/>
      <c r="L44" s="1251"/>
      <c r="M44" s="49"/>
      <c r="N44" s="2493" t="s">
        <v>1100</v>
      </c>
      <c r="O44" s="1251"/>
      <c r="P44" s="2493" t="s">
        <v>1101</v>
      </c>
      <c r="Q44" s="1251"/>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c r="AY44" s="978"/>
      <c r="AZ44" s="978"/>
      <c r="BA44" s="978"/>
      <c r="BB44" s="978"/>
      <c r="BC44" s="1814" t="e">
        <f>BI44</f>
        <v>#DIV/0!</v>
      </c>
      <c r="BD44" s="622" t="e">
        <f t="shared" ref="BD44:BG44" si="42">BJ44</f>
        <v>#DIV/0!</v>
      </c>
      <c r="BE44" s="1814" t="e">
        <f t="shared" si="42"/>
        <v>#DIV/0!</v>
      </c>
      <c r="BF44" s="1138" t="e">
        <f t="shared" si="42"/>
        <v>#DIV/0!</v>
      </c>
      <c r="BG44" s="622" t="e">
        <f t="shared" si="42"/>
        <v>#DIV/0!</v>
      </c>
      <c r="BH44" s="316"/>
      <c r="BI44" s="1814" t="e">
        <f>BI43/$B43</f>
        <v>#DIV/0!</v>
      </c>
      <c r="BJ44" s="1277" t="e">
        <f>BJ43/$B43</f>
        <v>#DIV/0!</v>
      </c>
      <c r="BK44" s="1814" t="e">
        <f>BK43/$B43</f>
        <v>#DIV/0!</v>
      </c>
      <c r="BL44" s="1138" t="e">
        <f>BL43/$B43</f>
        <v>#DIV/0!</v>
      </c>
      <c r="BM44" s="1277" t="e">
        <f>BM43/$B43</f>
        <v>#DIV/0!</v>
      </c>
      <c r="BN44" s="1143" t="s">
        <v>1060</v>
      </c>
      <c r="BR44" s="146"/>
    </row>
    <row r="45" spans="1:71" ht="54" customHeight="1" thickBot="1">
      <c r="A45" s="1256"/>
      <c r="B45" s="1195"/>
      <c r="C45" s="92"/>
      <c r="D45" s="1251"/>
      <c r="E45" s="131"/>
      <c r="F45" s="1251"/>
      <c r="G45" s="92"/>
      <c r="H45" s="92"/>
      <c r="I45" s="92"/>
      <c r="J45" s="92"/>
      <c r="K45" s="1251"/>
      <c r="L45" s="1251"/>
      <c r="M45" s="316"/>
      <c r="N45" s="2494"/>
      <c r="O45" s="1251"/>
      <c r="P45" s="2494"/>
      <c r="Q45" s="1251"/>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c r="AU45" s="978"/>
      <c r="AV45" s="978"/>
      <c r="AW45" s="978"/>
      <c r="AX45" s="978"/>
      <c r="AY45" s="978"/>
      <c r="AZ45" s="978"/>
      <c r="BA45" s="978"/>
      <c r="BB45" s="978"/>
      <c r="BC45" s="1809" t="s">
        <v>1080</v>
      </c>
      <c r="BD45" s="1270" t="s">
        <v>1066</v>
      </c>
      <c r="BE45" s="1307" t="s">
        <v>1309</v>
      </c>
      <c r="BF45" s="906" t="s">
        <v>1241</v>
      </c>
      <c r="BG45" s="1270" t="s">
        <v>284</v>
      </c>
      <c r="BH45" s="1256"/>
      <c r="BI45" s="1809" t="s">
        <v>1080</v>
      </c>
      <c r="BJ45" s="1270" t="s">
        <v>1066</v>
      </c>
      <c r="BK45" s="1307" t="s">
        <v>1309</v>
      </c>
      <c r="BL45" s="906" t="s">
        <v>1241</v>
      </c>
      <c r="BM45" s="1270" t="s">
        <v>284</v>
      </c>
      <c r="BR45" s="146"/>
    </row>
    <row r="46" spans="1:71" ht="24" customHeight="1">
      <c r="B46" s="175"/>
      <c r="D46" s="1268"/>
      <c r="E46" s="175"/>
      <c r="J46" s="185"/>
      <c r="O46" s="1251"/>
      <c r="P46" s="1251"/>
      <c r="Q46" s="1251"/>
      <c r="R46" s="978"/>
      <c r="S46" s="978"/>
      <c r="T46" s="978"/>
      <c r="U46" s="978"/>
      <c r="V46" s="978"/>
      <c r="W46" s="978"/>
      <c r="X46" s="978"/>
      <c r="Y46" s="978"/>
      <c r="Z46" s="978"/>
      <c r="AA46" s="978"/>
      <c r="AB46" s="978"/>
      <c r="AC46" s="978"/>
      <c r="AD46" s="978"/>
      <c r="AE46" s="978"/>
      <c r="AF46" s="978"/>
      <c r="AG46" s="978"/>
      <c r="AH46" s="978"/>
      <c r="AI46" s="978"/>
      <c r="AJ46" s="978"/>
      <c r="AK46" s="978"/>
      <c r="AL46" s="978"/>
      <c r="AM46" s="978"/>
      <c r="AN46" s="978"/>
      <c r="AO46" s="978"/>
      <c r="AP46" s="978"/>
      <c r="AQ46" s="978"/>
      <c r="AR46" s="978"/>
      <c r="AS46" s="978"/>
      <c r="AT46" s="978"/>
      <c r="AU46" s="978"/>
      <c r="AV46" s="978"/>
      <c r="AW46" s="978"/>
      <c r="AX46" s="978"/>
      <c r="AY46" s="978"/>
      <c r="AZ46" s="978"/>
      <c r="BA46" s="978"/>
      <c r="BB46" s="978"/>
      <c r="BC46" s="978"/>
      <c r="BD46" s="978"/>
      <c r="BE46" s="978"/>
      <c r="BF46" s="978"/>
      <c r="BG46" s="978"/>
      <c r="BH46" s="979"/>
      <c r="BI46" s="979"/>
      <c r="BJ46" s="95"/>
      <c r="BK46" s="95"/>
      <c r="BL46" s="95"/>
      <c r="BM46" s="95"/>
      <c r="BR46" s="146"/>
    </row>
    <row r="47" spans="1:71" ht="24.75" customHeight="1">
      <c r="A47" s="2664" t="s">
        <v>1068</v>
      </c>
      <c r="B47" s="2665"/>
      <c r="C47" s="2667" t="s">
        <v>1072</v>
      </c>
      <c r="D47" s="2668"/>
      <c r="E47" s="2668"/>
      <c r="F47" s="2668"/>
      <c r="G47" s="2668"/>
      <c r="H47" s="2668"/>
      <c r="I47" s="2668"/>
      <c r="J47" s="2668"/>
      <c r="K47" s="2668"/>
      <c r="L47" s="2542"/>
      <c r="M47" s="2542"/>
      <c r="N47" s="2542"/>
      <c r="O47" s="2470"/>
      <c r="P47" s="2471"/>
      <c r="Q47" s="636"/>
      <c r="R47" s="978"/>
      <c r="S47" s="978"/>
      <c r="T47" s="978"/>
      <c r="U47" s="978"/>
      <c r="V47" s="978"/>
      <c r="W47" s="978"/>
      <c r="X47" s="978"/>
      <c r="Y47" s="978"/>
      <c r="Z47" s="978"/>
      <c r="AA47" s="978"/>
      <c r="AB47" s="978"/>
      <c r="AC47" s="978"/>
      <c r="AD47" s="978"/>
      <c r="AE47" s="978"/>
      <c r="AF47" s="978"/>
      <c r="AG47" s="978"/>
      <c r="AH47" s="978"/>
      <c r="AI47" s="978"/>
      <c r="AJ47" s="978"/>
      <c r="AK47" s="978"/>
      <c r="AL47" s="978"/>
      <c r="AM47" s="978"/>
      <c r="AN47" s="978"/>
      <c r="AO47" s="978"/>
      <c r="AP47" s="978"/>
      <c r="AQ47" s="978"/>
      <c r="AR47" s="978"/>
      <c r="AS47" s="978"/>
      <c r="AT47" s="978"/>
      <c r="AU47" s="978"/>
      <c r="AV47" s="978"/>
      <c r="AW47" s="978"/>
      <c r="AX47" s="978"/>
      <c r="AY47" s="978"/>
      <c r="AZ47" s="978"/>
      <c r="BA47" s="978"/>
      <c r="BB47" s="978"/>
      <c r="BC47" s="978"/>
      <c r="BD47" s="978"/>
      <c r="BE47" s="978"/>
      <c r="BF47" s="978"/>
      <c r="BG47" s="978"/>
      <c r="BH47" s="978"/>
      <c r="BI47" s="978"/>
      <c r="BJ47" s="978"/>
      <c r="BK47" s="978"/>
      <c r="BL47" s="978"/>
      <c r="BM47" s="978"/>
      <c r="BN47" s="488"/>
      <c r="BR47" s="152"/>
    </row>
    <row r="48" spans="1:71" ht="32.25" customHeight="1">
      <c r="A48" s="2665"/>
      <c r="B48" s="2665"/>
      <c r="C48" s="2669"/>
      <c r="D48" s="2670"/>
      <c r="E48" s="2670"/>
      <c r="F48" s="2670"/>
      <c r="G48" s="2670"/>
      <c r="H48" s="2670"/>
      <c r="I48" s="2670"/>
      <c r="J48" s="2670"/>
      <c r="K48" s="2670"/>
      <c r="L48" s="2526"/>
      <c r="M48" s="2526"/>
      <c r="N48" s="2526"/>
      <c r="O48" s="2452"/>
      <c r="P48" s="2475"/>
      <c r="Q48" s="636"/>
      <c r="R48" s="636"/>
      <c r="S48" s="636"/>
      <c r="T48" s="636"/>
      <c r="U48" s="636"/>
      <c r="V48" s="636"/>
      <c r="W48" s="636"/>
      <c r="X48" s="636"/>
      <c r="Y48" s="636"/>
      <c r="Z48" s="636"/>
      <c r="AA48" s="636"/>
      <c r="AB48" s="636"/>
      <c r="AC48" s="636"/>
      <c r="AD48" s="636"/>
      <c r="AE48" s="636"/>
      <c r="AF48" s="636"/>
      <c r="AG48" s="636"/>
      <c r="AH48" s="636"/>
      <c r="AI48" s="636"/>
      <c r="AJ48" s="636"/>
      <c r="AK48" s="636"/>
      <c r="AL48" s="636"/>
      <c r="AM48" s="636"/>
      <c r="AN48" s="636"/>
      <c r="AO48" s="636"/>
      <c r="AP48" s="636"/>
      <c r="AQ48" s="636"/>
      <c r="AR48" s="636"/>
      <c r="AS48" s="636"/>
      <c r="AT48" s="636"/>
      <c r="AU48" s="636"/>
      <c r="AV48" s="636"/>
      <c r="AW48" s="636"/>
      <c r="AX48" s="636"/>
      <c r="AY48" s="636"/>
      <c r="AZ48" s="636"/>
      <c r="BA48" s="636"/>
      <c r="BB48" s="636"/>
      <c r="BC48" s="636"/>
      <c r="BD48" s="636"/>
      <c r="BE48" s="636"/>
      <c r="BF48" s="636"/>
      <c r="BG48" s="636"/>
      <c r="BH48" s="636"/>
      <c r="BI48" s="636"/>
      <c r="BJ48" s="636"/>
      <c r="BK48" s="636"/>
      <c r="BL48" s="636"/>
      <c r="BM48" s="636"/>
      <c r="BN48" s="1251"/>
      <c r="BO48" s="18"/>
      <c r="BR48" s="152"/>
    </row>
    <row r="49" spans="1:70" ht="30.75" customHeight="1">
      <c r="A49" s="2666"/>
      <c r="B49" s="2666"/>
      <c r="C49" s="2671"/>
      <c r="D49" s="2479"/>
      <c r="E49" s="2479"/>
      <c r="F49" s="2479"/>
      <c r="G49" s="2479"/>
      <c r="H49" s="2479"/>
      <c r="I49" s="2479"/>
      <c r="J49" s="2479"/>
      <c r="K49" s="2479"/>
      <c r="L49" s="2479"/>
      <c r="M49" s="2479"/>
      <c r="N49" s="2479"/>
      <c r="O49" s="2479"/>
      <c r="P49" s="2480"/>
      <c r="Q49" s="636"/>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O49" s="487"/>
      <c r="BP49" s="1262"/>
    </row>
    <row r="50" spans="1:70" ht="30.75" customHeight="1">
      <c r="B50" s="175"/>
      <c r="D50" s="1268"/>
      <c r="E50" s="175"/>
      <c r="J50" s="185"/>
      <c r="O50" s="1251"/>
      <c r="P50" s="1251"/>
      <c r="Q50" s="983"/>
      <c r="R50" s="982"/>
      <c r="S50" s="982"/>
      <c r="T50" s="982"/>
      <c r="U50" s="982"/>
      <c r="V50" s="982"/>
      <c r="W50" s="982"/>
      <c r="X50" s="982"/>
      <c r="Y50" s="982"/>
      <c r="Z50" s="982"/>
      <c r="AA50" s="982"/>
      <c r="AB50" s="982"/>
      <c r="AC50" s="982"/>
      <c r="AD50" s="982"/>
      <c r="AE50" s="982"/>
      <c r="AF50" s="982"/>
      <c r="AG50" s="982"/>
      <c r="AH50" s="982"/>
      <c r="AI50" s="982"/>
      <c r="AJ50" s="982"/>
      <c r="AK50" s="982"/>
      <c r="AL50" s="982"/>
      <c r="AM50" s="982"/>
      <c r="AN50" s="982"/>
      <c r="AO50" s="982"/>
      <c r="AP50" s="982"/>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1251"/>
      <c r="BO50" s="1262"/>
      <c r="BP50" s="1262"/>
    </row>
    <row r="51" spans="1:70" ht="19.5" customHeight="1">
      <c r="A51" s="2481" t="s">
        <v>609</v>
      </c>
      <c r="B51" s="2482"/>
      <c r="C51" s="2489" t="s">
        <v>1073</v>
      </c>
      <c r="D51" s="2490"/>
      <c r="E51" s="2490"/>
      <c r="F51" s="2490"/>
      <c r="G51" s="2490"/>
      <c r="H51" s="2490"/>
      <c r="I51" s="2490"/>
      <c r="J51" s="2490"/>
      <c r="K51" s="2490"/>
      <c r="L51" s="2490"/>
      <c r="M51" s="2490"/>
      <c r="N51" s="2490"/>
      <c r="O51" s="2491"/>
      <c r="P51" s="2491"/>
      <c r="Q51" s="488"/>
      <c r="R51" s="636"/>
      <c r="S51" s="636"/>
      <c r="T51" s="636"/>
      <c r="U51" s="636"/>
      <c r="V51" s="636"/>
      <c r="W51" s="636"/>
      <c r="X51" s="636"/>
      <c r="Y51" s="636"/>
      <c r="Z51" s="636"/>
      <c r="AA51" s="636"/>
      <c r="AB51" s="636"/>
      <c r="AC51" s="636"/>
      <c r="AD51" s="636"/>
      <c r="AE51" s="636"/>
      <c r="AF51" s="636"/>
      <c r="AG51" s="636"/>
      <c r="AH51" s="636"/>
      <c r="AI51" s="636"/>
      <c r="AJ51" s="636"/>
      <c r="AK51" s="636"/>
      <c r="AL51" s="636"/>
      <c r="AM51" s="636"/>
      <c r="AN51" s="636"/>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1251"/>
      <c r="BO51" s="1262"/>
      <c r="BP51" s="1262"/>
    </row>
    <row r="52" spans="1:70" ht="15.75" customHeight="1">
      <c r="A52" s="2483"/>
      <c r="B52" s="2484"/>
      <c r="C52" s="2490"/>
      <c r="D52" s="2490"/>
      <c r="E52" s="2490"/>
      <c r="F52" s="2490"/>
      <c r="G52" s="2490"/>
      <c r="H52" s="2490"/>
      <c r="I52" s="2490"/>
      <c r="J52" s="2490"/>
      <c r="K52" s="2490"/>
      <c r="L52" s="2490"/>
      <c r="M52" s="2490"/>
      <c r="N52" s="2490"/>
      <c r="O52" s="2491"/>
      <c r="P52" s="2491"/>
      <c r="Q52" s="1251"/>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1251"/>
      <c r="BO52" s="1262"/>
      <c r="BP52" s="1262"/>
      <c r="BR52" s="146"/>
    </row>
    <row r="53" spans="1:70" ht="15.75" customHeight="1">
      <c r="A53" s="2485"/>
      <c r="B53" s="2486"/>
      <c r="C53" s="2490"/>
      <c r="D53" s="2490"/>
      <c r="E53" s="2490"/>
      <c r="F53" s="2490"/>
      <c r="G53" s="2490"/>
      <c r="H53" s="2490"/>
      <c r="I53" s="2490"/>
      <c r="J53" s="2490"/>
      <c r="K53" s="2490"/>
      <c r="L53" s="2490"/>
      <c r="M53" s="2490"/>
      <c r="N53" s="2490"/>
      <c r="O53" s="2491"/>
      <c r="P53" s="2491"/>
      <c r="Q53" s="1251"/>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36"/>
      <c r="BD53" s="636"/>
      <c r="BE53" s="636"/>
      <c r="BF53" s="636"/>
      <c r="BG53" s="636"/>
      <c r="BH53" s="636"/>
      <c r="BI53" s="636"/>
      <c r="BJ53" s="636"/>
      <c r="BK53" s="636"/>
      <c r="BL53" s="636"/>
      <c r="BM53" s="636"/>
      <c r="BN53" s="1251"/>
      <c r="BR53" s="146"/>
    </row>
    <row r="54" spans="1:70" ht="15.75" customHeight="1">
      <c r="A54" s="2487"/>
      <c r="B54" s="2488"/>
      <c r="C54" s="2489" t="s">
        <v>588</v>
      </c>
      <c r="D54" s="2490"/>
      <c r="E54" s="2490"/>
      <c r="F54" s="2490"/>
      <c r="G54" s="2490"/>
      <c r="H54" s="2490"/>
      <c r="I54" s="2490"/>
      <c r="J54" s="2490"/>
      <c r="K54" s="2490"/>
      <c r="L54" s="2490"/>
      <c r="M54" s="2491"/>
      <c r="N54" s="2491"/>
      <c r="O54" s="2491"/>
      <c r="P54" s="2491"/>
      <c r="Q54" s="1251"/>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983"/>
      <c r="AO54" s="983"/>
      <c r="AP54" s="983"/>
      <c r="AQ54" s="983"/>
      <c r="AR54" s="983"/>
      <c r="AS54" s="983"/>
      <c r="AT54" s="983"/>
      <c r="AU54" s="983"/>
      <c r="AV54" s="983"/>
      <c r="AW54" s="983"/>
      <c r="AX54" s="983"/>
      <c r="AY54" s="983"/>
      <c r="AZ54" s="983"/>
      <c r="BA54" s="983"/>
      <c r="BB54" s="983"/>
      <c r="BC54" s="983"/>
      <c r="BD54" s="983"/>
      <c r="BE54" s="983"/>
      <c r="BF54" s="983"/>
      <c r="BG54" s="983"/>
      <c r="BH54" s="983"/>
      <c r="BI54" s="983"/>
      <c r="BJ54" s="983"/>
      <c r="BK54" s="983"/>
      <c r="BL54" s="983"/>
      <c r="BM54" s="983"/>
      <c r="BN54" s="1251"/>
      <c r="BR54" s="146"/>
    </row>
    <row r="55" spans="1:70" ht="24.75" customHeight="1">
      <c r="O55" s="1251"/>
      <c r="P55" s="1251"/>
      <c r="Q55" s="1251"/>
      <c r="R55" s="488"/>
      <c r="S55" s="488"/>
      <c r="T55" s="488"/>
      <c r="U55" s="488"/>
      <c r="V55" s="488"/>
      <c r="W55" s="488"/>
      <c r="X55" s="488"/>
      <c r="Y55" s="488"/>
      <c r="Z55" s="488"/>
      <c r="AA55" s="488"/>
      <c r="AB55" s="488"/>
      <c r="AC55" s="488"/>
      <c r="AD55" s="488"/>
      <c r="AE55" s="488"/>
      <c r="AF55" s="488"/>
      <c r="AG55" s="488"/>
      <c r="AH55" s="488"/>
      <c r="AI55" s="488"/>
      <c r="AJ55" s="488"/>
      <c r="AK55" s="488"/>
      <c r="AL55" s="488"/>
      <c r="AM55" s="488"/>
      <c r="AN55" s="488"/>
      <c r="AO55" s="488"/>
      <c r="AP55" s="488"/>
      <c r="AQ55" s="488"/>
      <c r="AR55" s="488"/>
      <c r="AS55" s="488"/>
      <c r="AT55" s="488"/>
      <c r="AU55" s="488"/>
      <c r="AV55" s="488"/>
      <c r="AW55" s="488"/>
      <c r="AX55" s="488"/>
      <c r="AY55" s="488"/>
      <c r="AZ55" s="488"/>
      <c r="BA55" s="488"/>
      <c r="BB55" s="488"/>
      <c r="BC55" s="488"/>
      <c r="BD55" s="488"/>
      <c r="BE55" s="488"/>
      <c r="BF55" s="488"/>
      <c r="BG55" s="488"/>
      <c r="BH55" s="488"/>
      <c r="BI55" s="488"/>
      <c r="BJ55" s="488"/>
      <c r="BK55" s="488"/>
      <c r="BL55" s="488"/>
      <c r="BM55" s="488"/>
      <c r="BN55" s="1251"/>
      <c r="BR55" s="146"/>
    </row>
    <row r="56" spans="1:70" ht="24.75" customHeight="1">
      <c r="O56" s="1251"/>
      <c r="P56" s="1251"/>
      <c r="Q56" s="1251"/>
      <c r="R56" s="1251"/>
      <c r="S56" s="1251"/>
      <c r="T56" s="1251"/>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1251"/>
      <c r="BL56" s="1251"/>
      <c r="BM56" s="1251"/>
      <c r="BN56" s="1251"/>
      <c r="BR56" s="146"/>
    </row>
    <row r="57" spans="1:70" ht="24.75" customHeight="1">
      <c r="O57" s="1251"/>
      <c r="Q57" s="1266"/>
      <c r="R57" s="1251"/>
      <c r="S57" s="1251"/>
      <c r="T57" s="1251"/>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E57" s="1251"/>
      <c r="BF57" s="1251"/>
      <c r="BG57" s="1251"/>
      <c r="BH57" s="1251"/>
      <c r="BI57" s="1251"/>
      <c r="BJ57" s="1251"/>
      <c r="BK57" s="1251"/>
      <c r="BL57" s="1251"/>
      <c r="BM57" s="1251"/>
      <c r="BN57" s="1251"/>
      <c r="BR57" s="146"/>
    </row>
    <row r="58" spans="1:70" ht="24" customHeight="1">
      <c r="O58" s="1086"/>
      <c r="Q58" s="1266"/>
      <c r="R58" s="1251"/>
      <c r="S58" s="1251"/>
      <c r="T58" s="1251"/>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row>
    <row r="59" spans="1:70" ht="10.5" customHeight="1">
      <c r="O59" s="1086"/>
      <c r="Q59" s="1266"/>
      <c r="R59" s="1251"/>
      <c r="S59" s="1251"/>
      <c r="T59" s="861"/>
      <c r="U59" s="86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1251"/>
      <c r="BJ59" s="1251"/>
      <c r="BK59" s="1251"/>
      <c r="BL59" s="1251"/>
      <c r="BM59" s="1251"/>
      <c r="BN59" s="1251"/>
      <c r="BO59" s="1251"/>
    </row>
    <row r="60" spans="1:70" ht="32.25" customHeight="1">
      <c r="P60" s="1251"/>
      <c r="Q60" s="1266"/>
      <c r="R60" s="1251"/>
      <c r="S60" s="1251"/>
      <c r="T60" s="1171"/>
      <c r="U60" s="1171"/>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row>
    <row r="61" spans="1:70" ht="32.25" customHeight="1">
      <c r="O61" s="1251"/>
      <c r="P61" s="1251"/>
      <c r="Q61" s="1251"/>
      <c r="R61" s="1266"/>
      <c r="S61" s="1266"/>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row>
    <row r="62" spans="1:70" ht="15.75">
      <c r="P62" s="1251"/>
      <c r="Q62" s="1251"/>
      <c r="R62" s="1266"/>
      <c r="S62" s="1266"/>
      <c r="T62" s="1251"/>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D62" s="1251"/>
      <c r="BE62" s="1251"/>
      <c r="BF62" s="1251"/>
      <c r="BG62" s="1251"/>
      <c r="BH62" s="1251"/>
      <c r="BI62" s="1251"/>
      <c r="BJ62" s="1251"/>
      <c r="BK62" s="1251"/>
      <c r="BL62" s="1251"/>
      <c r="BM62" s="1251"/>
      <c r="BN62" s="1251"/>
      <c r="BO62" s="1251"/>
    </row>
    <row r="63" spans="1:70" ht="19.5" customHeight="1">
      <c r="R63" s="1266"/>
      <c r="S63" s="1266"/>
      <c r="T63" s="860"/>
      <c r="U63" s="860"/>
      <c r="V63" s="1266"/>
      <c r="W63" s="2545"/>
      <c r="X63" s="2452"/>
      <c r="Y63" s="908"/>
      <c r="Z63" s="908"/>
      <c r="AA63" s="908"/>
      <c r="AB63" s="908"/>
      <c r="AC63" s="908"/>
      <c r="AD63" s="908"/>
      <c r="AE63" s="908"/>
      <c r="AF63" s="908"/>
      <c r="AG63" s="908"/>
      <c r="AH63" s="908"/>
      <c r="AI63" s="908"/>
      <c r="AJ63" s="908"/>
      <c r="AK63" s="908"/>
      <c r="AL63" s="908"/>
      <c r="AM63" s="908"/>
      <c r="AN63" s="908"/>
      <c r="AO63" s="908"/>
      <c r="AP63" s="908"/>
      <c r="AQ63" s="908"/>
      <c r="AR63" s="908"/>
      <c r="AS63" s="908"/>
      <c r="AT63" s="908"/>
      <c r="AU63" s="908"/>
      <c r="AV63" s="908"/>
      <c r="AW63" s="908"/>
      <c r="AX63" s="908"/>
      <c r="AY63" s="908"/>
      <c r="AZ63" s="908"/>
      <c r="BA63" s="908"/>
      <c r="BB63" s="908"/>
      <c r="BC63" s="908"/>
      <c r="BD63" s="908"/>
      <c r="BE63" s="908"/>
      <c r="BF63" s="908"/>
      <c r="BG63" s="908"/>
      <c r="BH63" s="908"/>
      <c r="BI63" s="908"/>
      <c r="BJ63" s="908"/>
      <c r="BK63" s="908"/>
      <c r="BL63" s="908"/>
      <c r="BM63" s="908"/>
      <c r="BN63" s="908"/>
    </row>
    <row r="64" spans="1:70" ht="15.75">
      <c r="R64" s="1266"/>
      <c r="S64" s="1266"/>
      <c r="T64" s="860"/>
      <c r="U64" s="860"/>
      <c r="V64" s="1266"/>
      <c r="W64" s="1256"/>
      <c r="X64" s="1256"/>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row>
    <row r="65" spans="17:66" ht="15.75">
      <c r="R65" s="1251"/>
      <c r="S65" s="1251"/>
      <c r="T65" s="201"/>
      <c r="U65" s="201"/>
      <c r="V65" s="1266"/>
      <c r="W65" s="1250"/>
      <c r="X65" s="1250"/>
      <c r="Y65" s="1117"/>
      <c r="Z65" s="1117"/>
      <c r="AA65" s="1117"/>
      <c r="AB65" s="1117"/>
      <c r="AC65" s="1117"/>
      <c r="AD65" s="1117"/>
      <c r="AE65" s="1117"/>
      <c r="AF65" s="1117"/>
      <c r="AG65" s="1117"/>
      <c r="AH65" s="1117"/>
      <c r="AI65" s="1117"/>
      <c r="AJ65" s="1117"/>
      <c r="AK65" s="1117"/>
      <c r="AL65" s="1117"/>
      <c r="AM65" s="1117"/>
      <c r="AN65" s="1117"/>
      <c r="AO65" s="1117"/>
      <c r="AP65" s="1117"/>
      <c r="AQ65" s="1117"/>
      <c r="AR65" s="1117"/>
      <c r="AS65" s="1117"/>
      <c r="AT65" s="1117"/>
      <c r="AU65" s="1117"/>
      <c r="AV65" s="1117"/>
      <c r="AW65" s="1117"/>
      <c r="AX65" s="1117"/>
      <c r="AY65" s="1117"/>
      <c r="AZ65" s="1117"/>
      <c r="BA65" s="1117"/>
      <c r="BB65" s="1117"/>
      <c r="BC65" s="1117"/>
      <c r="BD65" s="1117"/>
      <c r="BE65" s="1117"/>
      <c r="BF65" s="1117"/>
      <c r="BG65" s="1117"/>
      <c r="BH65" s="1117"/>
      <c r="BI65" s="1117"/>
      <c r="BJ65" s="1117"/>
      <c r="BK65" s="1117"/>
      <c r="BL65" s="1117"/>
      <c r="BM65" s="1117"/>
      <c r="BN65" s="1117"/>
    </row>
    <row r="66" spans="17:66" ht="15.75">
      <c r="Q66" s="1251"/>
      <c r="R66" s="1251"/>
      <c r="S66" s="1251"/>
      <c r="T66" s="201"/>
      <c r="U66" s="201"/>
      <c r="V66" s="1266"/>
      <c r="W66" s="1250"/>
      <c r="X66" s="1250"/>
      <c r="Y66" s="1117"/>
      <c r="Z66" s="1117"/>
      <c r="AA66" s="1117"/>
      <c r="AB66" s="1117"/>
      <c r="AC66" s="1117"/>
      <c r="AD66" s="1117"/>
      <c r="AE66" s="1117"/>
      <c r="AF66" s="1117"/>
      <c r="AG66" s="1117"/>
      <c r="AH66" s="1117"/>
      <c r="AI66" s="1117"/>
      <c r="AJ66" s="1117"/>
      <c r="AK66" s="1117"/>
      <c r="AL66" s="1117"/>
      <c r="AM66" s="1117"/>
      <c r="AN66" s="1117"/>
      <c r="AO66" s="1117"/>
      <c r="AP66" s="1117"/>
      <c r="AQ66" s="1117"/>
      <c r="AR66" s="1117"/>
      <c r="AS66" s="1117"/>
      <c r="AT66" s="1117"/>
      <c r="AU66" s="1117"/>
      <c r="AV66" s="1117"/>
      <c r="AW66" s="1117"/>
      <c r="AX66" s="1117"/>
      <c r="AY66" s="1117"/>
      <c r="AZ66" s="1117"/>
      <c r="BA66" s="1117"/>
      <c r="BB66" s="1117"/>
      <c r="BC66" s="1117"/>
      <c r="BD66" s="1117"/>
      <c r="BE66" s="1117"/>
      <c r="BF66" s="1117"/>
      <c r="BG66" s="1117"/>
      <c r="BH66" s="1117"/>
      <c r="BI66" s="1117"/>
      <c r="BJ66" s="1117"/>
      <c r="BK66" s="1117"/>
      <c r="BL66" s="1117"/>
      <c r="BM66" s="1117"/>
      <c r="BN66" s="1117"/>
    </row>
    <row r="67" spans="17:66" ht="15.75">
      <c r="Q67" s="1251"/>
      <c r="T67" s="201"/>
      <c r="U67" s="201"/>
      <c r="V67" s="1266"/>
      <c r="W67" s="1250"/>
      <c r="X67" s="1250"/>
      <c r="Y67" s="1117"/>
      <c r="Z67" s="1117"/>
      <c r="AA67" s="1117"/>
      <c r="AB67" s="1117"/>
      <c r="AC67" s="1117"/>
      <c r="AD67" s="1117"/>
      <c r="AE67" s="1117"/>
      <c r="AF67" s="1117"/>
      <c r="AG67" s="1117"/>
      <c r="AH67" s="1117"/>
      <c r="AI67" s="1117"/>
      <c r="AJ67" s="1117"/>
      <c r="AK67" s="1117"/>
      <c r="AL67" s="1117"/>
      <c r="AM67" s="1117"/>
      <c r="AN67" s="1117"/>
      <c r="AO67" s="1117"/>
      <c r="AP67" s="1117"/>
      <c r="AQ67" s="1117"/>
      <c r="AR67" s="1117"/>
      <c r="AS67" s="1117"/>
      <c r="AT67" s="1117"/>
      <c r="AU67" s="1117"/>
      <c r="AV67" s="1117"/>
      <c r="AW67" s="1117"/>
      <c r="AX67" s="1117"/>
      <c r="AY67" s="1117"/>
      <c r="AZ67" s="1117"/>
      <c r="BA67" s="1117"/>
      <c r="BB67" s="1117"/>
      <c r="BC67" s="1117"/>
      <c r="BD67" s="1117"/>
      <c r="BE67" s="1117"/>
      <c r="BF67" s="1117"/>
      <c r="BG67" s="1117"/>
      <c r="BH67" s="1117"/>
      <c r="BI67" s="1117"/>
      <c r="BJ67" s="1117"/>
      <c r="BK67" s="1117"/>
      <c r="BL67" s="1117"/>
      <c r="BM67" s="1117"/>
      <c r="BN67" s="1117"/>
    </row>
    <row r="68" spans="17:66" ht="15.75">
      <c r="Q68" s="1251"/>
      <c r="T68" s="201"/>
      <c r="U68" s="201"/>
      <c r="V68" s="1266"/>
      <c r="W68" s="1250"/>
      <c r="X68" s="1250"/>
      <c r="Y68" s="1117"/>
      <c r="Z68" s="1117"/>
      <c r="AA68" s="1117"/>
      <c r="AB68" s="1117"/>
      <c r="AC68" s="1117"/>
      <c r="AD68" s="1117"/>
      <c r="AE68" s="1117"/>
      <c r="AF68" s="1117"/>
      <c r="AG68" s="1117"/>
      <c r="AH68" s="1117"/>
      <c r="AI68" s="1117"/>
      <c r="AJ68" s="1117"/>
      <c r="AK68" s="1117"/>
      <c r="AL68" s="1117"/>
      <c r="AM68" s="1117"/>
      <c r="AN68" s="1117"/>
      <c r="AO68" s="1117"/>
      <c r="AP68" s="1117"/>
      <c r="AQ68" s="1117"/>
      <c r="AR68" s="1117"/>
      <c r="AS68" s="1117"/>
      <c r="AT68" s="1117"/>
      <c r="AU68" s="1117"/>
      <c r="AV68" s="1117"/>
      <c r="AW68" s="1117"/>
      <c r="AX68" s="1117"/>
      <c r="AY68" s="1117"/>
      <c r="AZ68" s="1117"/>
      <c r="BA68" s="1117"/>
      <c r="BB68" s="1117"/>
      <c r="BC68" s="1117"/>
      <c r="BD68" s="1117"/>
      <c r="BE68" s="1117"/>
      <c r="BF68" s="1117"/>
      <c r="BG68" s="1117"/>
      <c r="BH68" s="1117"/>
      <c r="BI68" s="1117"/>
      <c r="BJ68" s="1117"/>
      <c r="BK68" s="1117"/>
      <c r="BL68" s="1117"/>
      <c r="BM68" s="1117"/>
      <c r="BN68" s="1117"/>
    </row>
    <row r="69" spans="17:66" ht="15.75">
      <c r="T69" s="201"/>
      <c r="U69" s="201"/>
      <c r="V69" s="1266"/>
      <c r="W69" s="1250"/>
      <c r="X69" s="1250"/>
      <c r="Y69" s="1117"/>
      <c r="Z69" s="1117"/>
      <c r="AA69" s="1117"/>
      <c r="AB69" s="1117"/>
      <c r="AC69" s="1117"/>
      <c r="AD69" s="1117"/>
      <c r="AE69" s="1117"/>
      <c r="AF69" s="1117"/>
      <c r="AG69" s="1117"/>
      <c r="AH69" s="1117"/>
      <c r="AI69" s="1117"/>
      <c r="AJ69" s="1117"/>
      <c r="AK69" s="1117"/>
      <c r="AL69" s="1117"/>
      <c r="AM69" s="1117"/>
      <c r="AN69" s="1117"/>
      <c r="AO69" s="1117"/>
      <c r="AP69" s="1117"/>
      <c r="AQ69" s="1117"/>
      <c r="AR69" s="1117"/>
      <c r="AS69" s="1117"/>
      <c r="AT69" s="1117"/>
      <c r="AU69" s="1117"/>
      <c r="AV69" s="1117"/>
      <c r="AW69" s="1117"/>
      <c r="AX69" s="1117"/>
      <c r="AY69" s="1117"/>
      <c r="AZ69" s="1117"/>
      <c r="BA69" s="1117"/>
      <c r="BB69" s="1117"/>
      <c r="BC69" s="1117"/>
      <c r="BD69" s="1117"/>
      <c r="BE69" s="1117"/>
      <c r="BF69" s="1117"/>
      <c r="BG69" s="1117"/>
      <c r="BH69" s="1117"/>
      <c r="BI69" s="1117"/>
      <c r="BJ69" s="1117"/>
      <c r="BK69" s="1117"/>
      <c r="BL69" s="1117"/>
      <c r="BM69" s="1117"/>
      <c r="BN69" s="1117"/>
    </row>
    <row r="70" spans="17:66" ht="15.75">
      <c r="R70" s="1251"/>
      <c r="S70" s="1251"/>
      <c r="T70" s="201"/>
      <c r="U70" s="201"/>
      <c r="V70" s="1266"/>
      <c r="W70" s="1250"/>
      <c r="X70" s="1250"/>
      <c r="Y70" s="1117"/>
      <c r="Z70" s="1117"/>
      <c r="AA70" s="1117"/>
      <c r="AB70" s="1117"/>
      <c r="AC70" s="1117"/>
      <c r="AD70" s="1117"/>
      <c r="AE70" s="1117"/>
      <c r="AF70" s="1117"/>
      <c r="AG70" s="1117"/>
      <c r="AH70" s="1117"/>
      <c r="AI70" s="1117"/>
      <c r="AJ70" s="1117"/>
      <c r="AK70" s="1117"/>
      <c r="AL70" s="1117"/>
      <c r="AM70" s="1117"/>
      <c r="AN70" s="1117"/>
      <c r="AO70" s="1117"/>
      <c r="AP70" s="1117"/>
      <c r="AQ70" s="1117"/>
      <c r="AR70" s="1117"/>
      <c r="AS70" s="1117"/>
      <c r="AT70" s="1117"/>
      <c r="AU70" s="1117"/>
      <c r="AV70" s="1117"/>
      <c r="AW70" s="1117"/>
      <c r="AX70" s="1117"/>
      <c r="AY70" s="1117"/>
      <c r="AZ70" s="1117"/>
      <c r="BA70" s="1117"/>
      <c r="BB70" s="1117"/>
      <c r="BC70" s="1117"/>
      <c r="BD70" s="1117"/>
      <c r="BE70" s="1117"/>
      <c r="BF70" s="1117"/>
      <c r="BG70" s="1117"/>
      <c r="BH70" s="1117"/>
      <c r="BI70" s="1117"/>
      <c r="BJ70" s="1117"/>
      <c r="BK70" s="1117"/>
      <c r="BL70" s="1117"/>
      <c r="BM70" s="1117"/>
      <c r="BN70" s="1117"/>
    </row>
    <row r="71" spans="17:66" ht="15.75">
      <c r="R71" s="1251"/>
      <c r="S71" s="1251"/>
      <c r="T71" s="201"/>
      <c r="U71" s="201"/>
      <c r="V71" s="1266"/>
      <c r="W71" s="1250"/>
      <c r="X71" s="1250"/>
      <c r="Y71" s="1117"/>
      <c r="Z71" s="1117"/>
      <c r="AA71" s="1117"/>
      <c r="AB71" s="1117"/>
      <c r="AC71" s="1117"/>
      <c r="AD71" s="1117"/>
      <c r="AE71" s="1117"/>
      <c r="AF71" s="1117"/>
      <c r="AG71" s="1117"/>
      <c r="AH71" s="1117"/>
      <c r="AI71" s="1117"/>
      <c r="AJ71" s="1117"/>
      <c r="AK71" s="1117"/>
      <c r="AL71" s="1117"/>
      <c r="AM71" s="1117"/>
      <c r="AN71" s="1117"/>
      <c r="AO71" s="1117"/>
      <c r="AP71" s="1117"/>
      <c r="AQ71" s="1117"/>
      <c r="AR71" s="1117"/>
      <c r="AS71" s="1117"/>
      <c r="AT71" s="1117"/>
      <c r="AU71" s="1117"/>
      <c r="AV71" s="1117"/>
      <c r="AW71" s="1117"/>
      <c r="AX71" s="1117"/>
      <c r="AY71" s="1117"/>
      <c r="AZ71" s="1117"/>
      <c r="BA71" s="1117"/>
      <c r="BB71" s="1117"/>
      <c r="BC71" s="1117"/>
      <c r="BD71" s="1117"/>
      <c r="BE71" s="1117"/>
      <c r="BF71" s="1117"/>
      <c r="BG71" s="1117"/>
      <c r="BH71" s="1117"/>
      <c r="BI71" s="1117"/>
      <c r="BJ71" s="1117"/>
      <c r="BK71" s="1117"/>
      <c r="BL71" s="1117"/>
      <c r="BM71" s="1117"/>
      <c r="BN71" s="1117"/>
    </row>
    <row r="72" spans="17:66" ht="15.75">
      <c r="R72" s="1251"/>
      <c r="S72" s="1251"/>
      <c r="T72" s="201"/>
      <c r="U72" s="201"/>
      <c r="V72" s="1266"/>
      <c r="W72" s="1250"/>
      <c r="X72" s="1250"/>
      <c r="Y72" s="1117"/>
      <c r="Z72" s="1117"/>
      <c r="AA72" s="1117"/>
      <c r="AB72" s="1117"/>
      <c r="AC72" s="1117"/>
      <c r="AD72" s="1117"/>
      <c r="AE72" s="1117"/>
      <c r="AF72" s="1117"/>
      <c r="AG72" s="1117"/>
      <c r="AH72" s="1117"/>
      <c r="AI72" s="1117"/>
      <c r="AJ72" s="1117"/>
      <c r="AK72" s="1117"/>
      <c r="AL72" s="1117"/>
      <c r="AM72" s="1117"/>
      <c r="AN72" s="1117"/>
      <c r="AO72" s="1117"/>
      <c r="AP72" s="1117"/>
      <c r="AQ72" s="1117"/>
      <c r="AR72" s="1117"/>
      <c r="AS72" s="1117"/>
      <c r="AT72" s="1117"/>
      <c r="AU72" s="1117"/>
      <c r="AV72" s="1117"/>
      <c r="AW72" s="1117"/>
      <c r="AX72" s="1117"/>
      <c r="AY72" s="1117"/>
      <c r="AZ72" s="1117"/>
      <c r="BA72" s="1117"/>
      <c r="BB72" s="1117"/>
      <c r="BC72" s="1117"/>
      <c r="BD72" s="1117"/>
      <c r="BE72" s="1117"/>
      <c r="BF72" s="1117"/>
      <c r="BG72" s="1117"/>
      <c r="BH72" s="1117"/>
      <c r="BI72" s="1117"/>
      <c r="BJ72" s="1117"/>
      <c r="BK72" s="1117"/>
      <c r="BL72" s="1117"/>
      <c r="BM72" s="1117"/>
      <c r="BN72" s="1117"/>
    </row>
    <row r="73" spans="17:66" ht="15.75">
      <c r="T73" s="201"/>
      <c r="U73" s="201"/>
      <c r="V73" s="1266"/>
      <c r="W73" s="143"/>
      <c r="X73" s="1250"/>
      <c r="Y73" s="1117"/>
      <c r="Z73" s="1117"/>
      <c r="AA73" s="1117"/>
      <c r="AB73" s="1117"/>
      <c r="AC73" s="1117"/>
      <c r="AD73" s="1117"/>
      <c r="AE73" s="1117"/>
      <c r="AF73" s="1117"/>
      <c r="AG73" s="1117"/>
      <c r="AH73" s="1117"/>
      <c r="AI73" s="1117"/>
      <c r="AJ73" s="1117"/>
      <c r="AK73" s="1117"/>
      <c r="AL73" s="1117"/>
      <c r="AM73" s="1117"/>
      <c r="AN73" s="1117"/>
      <c r="AO73" s="1117"/>
      <c r="AP73" s="1117"/>
      <c r="AQ73" s="1117"/>
      <c r="AR73" s="1117"/>
      <c r="AS73" s="1117"/>
      <c r="AT73" s="1117"/>
      <c r="AU73" s="1117"/>
      <c r="AV73" s="1117"/>
      <c r="AW73" s="1117"/>
      <c r="AX73" s="1117"/>
      <c r="AY73" s="1117"/>
      <c r="AZ73" s="1117"/>
      <c r="BA73" s="1117"/>
      <c r="BB73" s="1117"/>
      <c r="BC73" s="1117"/>
      <c r="BD73" s="1117"/>
      <c r="BE73" s="1117"/>
      <c r="BF73" s="1117"/>
      <c r="BG73" s="1117"/>
      <c r="BH73" s="1117"/>
      <c r="BI73" s="1117"/>
      <c r="BJ73" s="1117"/>
      <c r="BK73" s="1117"/>
      <c r="BL73" s="1117"/>
      <c r="BM73" s="1117"/>
      <c r="BN73" s="1117"/>
    </row>
    <row r="74" spans="17:66" ht="15.75">
      <c r="T74" s="201"/>
      <c r="U74" s="201"/>
      <c r="V74" s="1266"/>
      <c r="W74" s="1250"/>
      <c r="X74" s="1250"/>
      <c r="Y74" s="1117"/>
      <c r="Z74" s="1117"/>
      <c r="AA74" s="1117"/>
      <c r="AB74" s="1117"/>
      <c r="AC74" s="1117"/>
      <c r="AD74" s="1117"/>
      <c r="AE74" s="1117"/>
      <c r="AF74" s="1117"/>
      <c r="AG74" s="1117"/>
      <c r="AH74" s="1117"/>
      <c r="AI74" s="1117"/>
      <c r="AJ74" s="1117"/>
      <c r="AK74" s="1117"/>
      <c r="AL74" s="1117"/>
      <c r="AM74" s="1117"/>
      <c r="AN74" s="1117"/>
      <c r="AO74" s="1117"/>
      <c r="AP74" s="1117"/>
      <c r="AQ74" s="1117"/>
      <c r="AR74" s="1117"/>
      <c r="AS74" s="1117"/>
      <c r="AT74" s="1117"/>
      <c r="AU74" s="1117"/>
      <c r="AV74" s="1117"/>
      <c r="AW74" s="1117"/>
      <c r="AX74" s="1117"/>
      <c r="AY74" s="1117"/>
      <c r="AZ74" s="1117"/>
      <c r="BA74" s="1117"/>
      <c r="BB74" s="1117"/>
      <c r="BC74" s="1117"/>
      <c r="BD74" s="1117"/>
      <c r="BE74" s="1117"/>
      <c r="BF74" s="1117"/>
      <c r="BG74" s="1117"/>
      <c r="BH74" s="1117"/>
      <c r="BI74" s="1117"/>
      <c r="BJ74" s="1117"/>
      <c r="BK74" s="1117"/>
      <c r="BL74" s="1117"/>
      <c r="BM74" s="1117"/>
      <c r="BN74" s="1117"/>
    </row>
    <row r="75" spans="17:66" ht="15.75">
      <c r="T75" s="201"/>
      <c r="U75" s="201"/>
      <c r="V75" s="1266"/>
      <c r="W75" s="1250"/>
      <c r="X75" s="1250"/>
      <c r="Y75" s="1117"/>
      <c r="Z75" s="1117"/>
      <c r="AA75" s="1117"/>
      <c r="AB75" s="1117"/>
      <c r="AC75" s="1117"/>
      <c r="AD75" s="1117"/>
      <c r="AE75" s="1117"/>
      <c r="AF75" s="1117"/>
      <c r="AG75" s="1117"/>
      <c r="AH75" s="1117"/>
      <c r="AI75" s="1117"/>
      <c r="AJ75" s="1117"/>
      <c r="AK75" s="1117"/>
      <c r="AL75" s="1117"/>
      <c r="AM75" s="1117"/>
      <c r="AN75" s="1117"/>
      <c r="AO75" s="1117"/>
      <c r="AP75" s="1117"/>
      <c r="AQ75" s="1117"/>
      <c r="AR75" s="1117"/>
      <c r="AS75" s="1117"/>
      <c r="AT75" s="1117"/>
      <c r="AU75" s="1117"/>
      <c r="AV75" s="1117"/>
      <c r="AW75" s="1117"/>
      <c r="AX75" s="1117"/>
      <c r="AY75" s="1117"/>
      <c r="AZ75" s="1117"/>
      <c r="BA75" s="1117"/>
      <c r="BB75" s="1117"/>
      <c r="BC75" s="1117"/>
      <c r="BD75" s="1117"/>
      <c r="BE75" s="1117"/>
      <c r="BF75" s="1117"/>
      <c r="BG75" s="1117"/>
      <c r="BH75" s="1117"/>
      <c r="BI75" s="1117"/>
      <c r="BJ75" s="1117"/>
      <c r="BK75" s="1117"/>
      <c r="BL75" s="1117"/>
      <c r="BM75" s="1117"/>
      <c r="BN75" s="1117"/>
    </row>
    <row r="76" spans="17:66" ht="15.75">
      <c r="T76" s="201"/>
      <c r="U76" s="201"/>
      <c r="V76" s="1266"/>
      <c r="W76" s="143"/>
      <c r="X76" s="1250"/>
      <c r="Y76" s="1117"/>
      <c r="Z76" s="1117"/>
      <c r="AA76" s="1117"/>
      <c r="AB76" s="1117"/>
      <c r="AC76" s="1117"/>
      <c r="AD76" s="1117"/>
      <c r="AE76" s="1117"/>
      <c r="AF76" s="1117"/>
      <c r="AG76" s="1117"/>
      <c r="AH76" s="1117"/>
      <c r="AI76" s="1117"/>
      <c r="AJ76" s="1117"/>
      <c r="AK76" s="1117"/>
      <c r="AL76" s="1117"/>
      <c r="AM76" s="1117"/>
      <c r="AN76" s="1117"/>
      <c r="AO76" s="1117"/>
      <c r="AP76" s="1117"/>
      <c r="AQ76" s="1117"/>
      <c r="AR76" s="1117"/>
      <c r="AS76" s="1117"/>
      <c r="AT76" s="1117"/>
      <c r="AU76" s="1117"/>
      <c r="AV76" s="1117"/>
      <c r="AW76" s="1117"/>
      <c r="AX76" s="1117"/>
      <c r="AY76" s="1117"/>
      <c r="AZ76" s="1117"/>
      <c r="BA76" s="1117"/>
      <c r="BB76" s="1117"/>
      <c r="BC76" s="1117"/>
      <c r="BD76" s="1117"/>
      <c r="BE76" s="1117"/>
      <c r="BF76" s="1117"/>
      <c r="BG76" s="1117"/>
      <c r="BH76" s="1117"/>
      <c r="BI76" s="1117"/>
      <c r="BJ76" s="1117"/>
      <c r="BK76" s="1117"/>
      <c r="BL76" s="1117"/>
      <c r="BM76" s="1117"/>
      <c r="BN76" s="1117"/>
    </row>
    <row r="77" spans="17:66" ht="15.75">
      <c r="T77" s="201"/>
      <c r="U77" s="201"/>
      <c r="V77" s="1266"/>
      <c r="W77" s="1250"/>
      <c r="X77" s="1250"/>
      <c r="Y77" s="1117"/>
      <c r="Z77" s="1117"/>
      <c r="AA77" s="1117"/>
      <c r="AB77" s="1117"/>
      <c r="AC77" s="1117"/>
      <c r="AD77" s="1117"/>
      <c r="AE77" s="1117"/>
      <c r="AF77" s="1117"/>
      <c r="AG77" s="1117"/>
      <c r="AH77" s="1117"/>
      <c r="AI77" s="1117"/>
      <c r="AJ77" s="1117"/>
      <c r="AK77" s="1117"/>
      <c r="AL77" s="1117"/>
      <c r="AM77" s="1117"/>
      <c r="AN77" s="1117"/>
      <c r="AO77" s="1117"/>
      <c r="AP77" s="1117"/>
      <c r="AQ77" s="1117"/>
      <c r="AR77" s="1117"/>
      <c r="AS77" s="1117"/>
      <c r="AT77" s="1117"/>
      <c r="AU77" s="1117"/>
      <c r="AV77" s="1117"/>
      <c r="AW77" s="1117"/>
      <c r="AX77" s="1117"/>
      <c r="AY77" s="1117"/>
      <c r="AZ77" s="1117"/>
      <c r="BA77" s="1117"/>
      <c r="BB77" s="1117"/>
      <c r="BC77" s="1117"/>
      <c r="BD77" s="1117"/>
      <c r="BE77" s="1117"/>
      <c r="BF77" s="1117"/>
      <c r="BG77" s="1117"/>
      <c r="BH77" s="1117"/>
      <c r="BI77" s="1117"/>
      <c r="BJ77" s="1117"/>
      <c r="BK77" s="1117"/>
      <c r="BL77" s="1117"/>
      <c r="BM77" s="1117"/>
      <c r="BN77" s="1117"/>
    </row>
    <row r="78" spans="17:66" ht="15.75">
      <c r="T78" s="201"/>
      <c r="U78" s="201"/>
      <c r="V78" s="1266"/>
      <c r="W78" s="1250"/>
      <c r="X78" s="1250"/>
      <c r="Y78" s="1117"/>
      <c r="Z78" s="1117"/>
      <c r="AA78" s="1117"/>
      <c r="AB78" s="1117"/>
      <c r="AC78" s="1117"/>
      <c r="AD78" s="1117"/>
      <c r="AE78" s="1117"/>
      <c r="AF78" s="1117"/>
      <c r="AG78" s="1117"/>
      <c r="AH78" s="1117"/>
      <c r="AI78" s="1117"/>
      <c r="AJ78" s="1117"/>
      <c r="AK78" s="1117"/>
      <c r="AL78" s="1117"/>
      <c r="AM78" s="1117"/>
      <c r="AN78" s="1117"/>
      <c r="AO78" s="1117"/>
      <c r="AP78" s="1117"/>
      <c r="AQ78" s="1117"/>
      <c r="AR78" s="1117"/>
      <c r="AS78" s="1117"/>
      <c r="AT78" s="1117"/>
      <c r="AU78" s="1117"/>
      <c r="AV78" s="1117"/>
      <c r="AW78" s="1117"/>
      <c r="AX78" s="1117"/>
      <c r="AY78" s="1117"/>
      <c r="AZ78" s="1117"/>
      <c r="BA78" s="1117"/>
      <c r="BB78" s="1117"/>
      <c r="BC78" s="1117"/>
      <c r="BD78" s="1117"/>
      <c r="BE78" s="1117"/>
      <c r="BF78" s="1117"/>
      <c r="BG78" s="1117"/>
      <c r="BH78" s="1117"/>
      <c r="BI78" s="1117"/>
      <c r="BJ78" s="1117"/>
      <c r="BK78" s="1117"/>
      <c r="BL78" s="1117"/>
      <c r="BM78" s="1117"/>
      <c r="BN78" s="1117"/>
    </row>
    <row r="79" spans="17:66" ht="15.75">
      <c r="T79" s="201"/>
      <c r="U79" s="201"/>
      <c r="V79" s="1266"/>
      <c r="W79" s="1250"/>
      <c r="X79" s="1250"/>
      <c r="Y79" s="1117"/>
      <c r="Z79" s="1117"/>
      <c r="AA79" s="1117"/>
      <c r="AB79" s="1117"/>
      <c r="AC79" s="1117"/>
      <c r="AD79" s="1117"/>
      <c r="AE79" s="1117"/>
      <c r="AF79" s="1117"/>
      <c r="AG79" s="1117"/>
      <c r="AH79" s="1117"/>
      <c r="AI79" s="1117"/>
      <c r="AJ79" s="1117"/>
      <c r="AK79" s="1117"/>
      <c r="AL79" s="1117"/>
      <c r="AM79" s="1117"/>
      <c r="AN79" s="1117"/>
      <c r="AO79" s="1117"/>
      <c r="AP79" s="1117"/>
      <c r="AQ79" s="1117"/>
      <c r="AR79" s="1117"/>
      <c r="AS79" s="1117"/>
      <c r="AT79" s="1117"/>
      <c r="AU79" s="1117"/>
      <c r="AV79" s="1117"/>
      <c r="AW79" s="1117"/>
      <c r="AX79" s="1117"/>
      <c r="AY79" s="1117"/>
      <c r="AZ79" s="1117"/>
      <c r="BA79" s="1117"/>
      <c r="BB79" s="1117"/>
      <c r="BC79" s="1117"/>
      <c r="BD79" s="1117"/>
      <c r="BE79" s="1117"/>
      <c r="BF79" s="1117"/>
      <c r="BG79" s="1117"/>
      <c r="BH79" s="1117"/>
      <c r="BI79" s="1117"/>
      <c r="BJ79" s="1117"/>
      <c r="BK79" s="1117"/>
      <c r="BL79" s="1117"/>
      <c r="BM79" s="1117"/>
      <c r="BN79" s="1117"/>
    </row>
    <row r="80" spans="17:66" ht="15.75">
      <c r="T80" s="201"/>
      <c r="U80" s="201"/>
      <c r="V80" s="1266"/>
      <c r="W80" s="1250"/>
      <c r="X80" s="1250"/>
      <c r="Y80" s="1117"/>
      <c r="Z80" s="1117"/>
      <c r="AA80" s="1117"/>
      <c r="AB80" s="1117"/>
      <c r="AC80" s="1117"/>
      <c r="AD80" s="1117"/>
      <c r="AE80" s="1117"/>
      <c r="AF80" s="1117"/>
      <c r="AG80" s="1117"/>
      <c r="AH80" s="1117"/>
      <c r="AI80" s="1117"/>
      <c r="AJ80" s="1117"/>
      <c r="AK80" s="1117"/>
      <c r="AL80" s="1117"/>
      <c r="AM80" s="1117"/>
      <c r="AN80" s="1117"/>
      <c r="AO80" s="1117"/>
      <c r="AP80" s="1117"/>
      <c r="AQ80" s="1117"/>
      <c r="AR80" s="1117"/>
      <c r="AS80" s="1117"/>
      <c r="AT80" s="1117"/>
      <c r="AU80" s="1117"/>
      <c r="AV80" s="1117"/>
      <c r="AW80" s="1117"/>
      <c r="AX80" s="1117"/>
      <c r="AY80" s="1117"/>
      <c r="AZ80" s="1117"/>
      <c r="BA80" s="1117"/>
      <c r="BB80" s="1117"/>
      <c r="BC80" s="1117"/>
      <c r="BD80" s="1117"/>
      <c r="BE80" s="1117"/>
      <c r="BF80" s="1117"/>
      <c r="BG80" s="1117"/>
      <c r="BH80" s="1117"/>
      <c r="BI80" s="1117"/>
      <c r="BJ80" s="1117"/>
      <c r="BK80" s="1117"/>
      <c r="BL80" s="1117"/>
      <c r="BM80" s="1117"/>
      <c r="BN80" s="1117"/>
    </row>
    <row r="81" spans="20:66" ht="15.75">
      <c r="T81" s="201"/>
      <c r="U81" s="201"/>
      <c r="V81" s="1266"/>
      <c r="W81" s="1250"/>
      <c r="X81" s="1250"/>
      <c r="Y81" s="1117"/>
      <c r="Z81" s="1117"/>
      <c r="AA81" s="1117"/>
      <c r="AB81" s="1117"/>
      <c r="AC81" s="1117"/>
      <c r="AD81" s="1117"/>
      <c r="AE81" s="1117"/>
      <c r="AF81" s="1117"/>
      <c r="AG81" s="1117"/>
      <c r="AH81" s="1117"/>
      <c r="AI81" s="1117"/>
      <c r="AJ81" s="1117"/>
      <c r="AK81" s="1117"/>
      <c r="AL81" s="1117"/>
      <c r="AM81" s="1117"/>
      <c r="AN81" s="1117"/>
      <c r="AO81" s="1117"/>
      <c r="AP81" s="1117"/>
      <c r="AQ81" s="1117"/>
      <c r="AR81" s="1117"/>
      <c r="AS81" s="1117"/>
      <c r="AT81" s="1117"/>
      <c r="AU81" s="1117"/>
      <c r="AV81" s="1117"/>
      <c r="AW81" s="1117"/>
      <c r="AX81" s="1117"/>
      <c r="AY81" s="1117"/>
      <c r="AZ81" s="1117"/>
      <c r="BA81" s="1117"/>
      <c r="BB81" s="1117"/>
      <c r="BC81" s="1117"/>
      <c r="BD81" s="1117"/>
      <c r="BE81" s="1117"/>
      <c r="BF81" s="1117"/>
      <c r="BG81" s="1117"/>
      <c r="BH81" s="1117"/>
      <c r="BI81" s="1117"/>
      <c r="BJ81" s="1117"/>
      <c r="BK81" s="1117"/>
      <c r="BL81" s="1117"/>
      <c r="BM81" s="1117"/>
      <c r="BN81" s="1117"/>
    </row>
    <row r="82" spans="20:66" ht="15.75">
      <c r="T82" s="201"/>
      <c r="U82" s="201"/>
      <c r="V82" s="1266"/>
      <c r="W82" s="1250"/>
      <c r="X82" s="1250"/>
      <c r="Y82" s="1117"/>
      <c r="Z82" s="1117"/>
      <c r="AA82" s="1117"/>
      <c r="AB82" s="1117"/>
      <c r="AC82" s="1117"/>
      <c r="AD82" s="1117"/>
      <c r="AE82" s="1117"/>
      <c r="AF82" s="1117"/>
      <c r="AG82" s="1117"/>
      <c r="AH82" s="1117"/>
      <c r="AI82" s="1117"/>
      <c r="AJ82" s="1117"/>
      <c r="AK82" s="1117"/>
      <c r="AL82" s="1117"/>
      <c r="AM82" s="1117"/>
      <c r="AN82" s="1117"/>
      <c r="AO82" s="1117"/>
      <c r="AP82" s="1117"/>
      <c r="AQ82" s="1117"/>
      <c r="AR82" s="1117"/>
      <c r="AS82" s="1117"/>
      <c r="AT82" s="1117"/>
      <c r="AU82" s="1117"/>
      <c r="AV82" s="1117"/>
      <c r="AW82" s="1117"/>
      <c r="AX82" s="1117"/>
      <c r="AY82" s="1117"/>
      <c r="AZ82" s="1117"/>
      <c r="BA82" s="1117"/>
      <c r="BB82" s="1117"/>
      <c r="BC82" s="1117"/>
      <c r="BD82" s="1117"/>
      <c r="BE82" s="1117"/>
      <c r="BF82" s="1117"/>
      <c r="BG82" s="1117"/>
      <c r="BH82" s="1117"/>
      <c r="BI82" s="1117"/>
      <c r="BJ82" s="1117"/>
      <c r="BK82" s="1117"/>
      <c r="BL82" s="1117"/>
      <c r="BM82" s="1117"/>
      <c r="BN82" s="1117"/>
    </row>
    <row r="83" spans="20:66" ht="15.75">
      <c r="T83" s="201"/>
      <c r="U83" s="201"/>
      <c r="V83" s="1266"/>
      <c r="W83" s="1250"/>
      <c r="X83" s="1250"/>
      <c r="Y83" s="1117"/>
      <c r="Z83" s="1117"/>
      <c r="AA83" s="1117"/>
      <c r="AB83" s="1117"/>
      <c r="AC83" s="1117"/>
      <c r="AD83" s="1117"/>
      <c r="AE83" s="1117"/>
      <c r="AF83" s="1117"/>
      <c r="AG83" s="1117"/>
      <c r="AH83" s="1117"/>
      <c r="AI83" s="1117"/>
      <c r="AJ83" s="1117"/>
      <c r="AK83" s="1117"/>
      <c r="AL83" s="1117"/>
      <c r="AM83" s="1117"/>
      <c r="AN83" s="1117"/>
      <c r="AO83" s="1117"/>
      <c r="AP83" s="1117"/>
      <c r="AQ83" s="1117"/>
      <c r="AR83" s="1117"/>
      <c r="AS83" s="1117"/>
      <c r="AT83" s="1117"/>
      <c r="AU83" s="1117"/>
      <c r="AV83" s="1117"/>
      <c r="AW83" s="1117"/>
      <c r="AX83" s="1117"/>
      <c r="AY83" s="1117"/>
      <c r="AZ83" s="1117"/>
      <c r="BA83" s="1117"/>
      <c r="BB83" s="1117"/>
      <c r="BC83" s="1117"/>
      <c r="BD83" s="1117"/>
      <c r="BE83" s="1117"/>
      <c r="BF83" s="1117"/>
      <c r="BG83" s="1117"/>
      <c r="BH83" s="1117"/>
      <c r="BI83" s="1117"/>
      <c r="BJ83" s="1117"/>
      <c r="BK83" s="1117"/>
      <c r="BL83" s="1117"/>
      <c r="BM83" s="1117"/>
      <c r="BN83" s="1117"/>
    </row>
    <row r="84" spans="20:66" ht="15.75">
      <c r="T84" s="201"/>
      <c r="U84" s="201"/>
      <c r="V84" s="1266"/>
      <c r="W84" s="143"/>
      <c r="X84" s="143"/>
      <c r="Y84" s="1117"/>
      <c r="Z84" s="1117"/>
      <c r="AA84" s="1117"/>
      <c r="AB84" s="1117"/>
      <c r="AC84" s="1117"/>
      <c r="AD84" s="1117"/>
      <c r="AE84" s="1117"/>
      <c r="AF84" s="1117"/>
      <c r="AG84" s="1117"/>
      <c r="AH84" s="1117"/>
      <c r="AI84" s="1117"/>
      <c r="AJ84" s="1117"/>
      <c r="AK84" s="1117"/>
      <c r="AL84" s="1117"/>
      <c r="AM84" s="1117"/>
      <c r="AN84" s="1117"/>
      <c r="AO84" s="1117"/>
      <c r="AP84" s="1117"/>
      <c r="AQ84" s="1117"/>
      <c r="AR84" s="1117"/>
      <c r="AS84" s="1117"/>
      <c r="AT84" s="1117"/>
      <c r="AU84" s="1117"/>
      <c r="AV84" s="1117"/>
      <c r="AW84" s="1117"/>
      <c r="AX84" s="1117"/>
      <c r="AY84" s="1117"/>
      <c r="AZ84" s="1117"/>
      <c r="BA84" s="1117"/>
      <c r="BB84" s="1117"/>
      <c r="BC84" s="1117"/>
      <c r="BD84" s="1117"/>
      <c r="BE84" s="1117"/>
      <c r="BF84" s="1117"/>
      <c r="BG84" s="1117"/>
      <c r="BH84" s="1117"/>
      <c r="BI84" s="1117"/>
      <c r="BJ84" s="1117"/>
      <c r="BK84" s="1117"/>
      <c r="BL84" s="1117"/>
      <c r="BM84" s="1117"/>
      <c r="BN84" s="1117"/>
    </row>
    <row r="85" spans="20:66" ht="15.75">
      <c r="T85" s="201"/>
      <c r="U85" s="201"/>
      <c r="V85" s="1266"/>
      <c r="W85" s="1250"/>
      <c r="X85" s="1250"/>
      <c r="Y85" s="1117"/>
      <c r="Z85" s="1117"/>
      <c r="AA85" s="1117"/>
      <c r="AB85" s="1117"/>
      <c r="AC85" s="1117"/>
      <c r="AD85" s="1117"/>
      <c r="AE85" s="1117"/>
      <c r="AF85" s="1117"/>
      <c r="AG85" s="1117"/>
      <c r="AH85" s="1117"/>
      <c r="AI85" s="1117"/>
      <c r="AJ85" s="1117"/>
      <c r="AK85" s="1117"/>
      <c r="AL85" s="1117"/>
      <c r="AM85" s="1117"/>
      <c r="AN85" s="1117"/>
      <c r="AO85" s="1117"/>
      <c r="AP85" s="1117"/>
      <c r="AQ85" s="1117"/>
      <c r="AR85" s="1117"/>
      <c r="AS85" s="1117"/>
      <c r="AT85" s="1117"/>
      <c r="AU85" s="1117"/>
      <c r="AV85" s="1117"/>
      <c r="AW85" s="1117"/>
      <c r="AX85" s="1117"/>
      <c r="AY85" s="1117"/>
      <c r="AZ85" s="1117"/>
      <c r="BA85" s="1117"/>
      <c r="BB85" s="1117"/>
      <c r="BC85" s="1117"/>
      <c r="BD85" s="1117"/>
      <c r="BE85" s="1117"/>
      <c r="BF85" s="1117"/>
      <c r="BG85" s="1117"/>
      <c r="BH85" s="1117"/>
      <c r="BI85" s="1117"/>
      <c r="BJ85" s="1117"/>
      <c r="BK85" s="1117"/>
      <c r="BL85" s="1117"/>
      <c r="BM85" s="1117"/>
      <c r="BN85" s="1117"/>
    </row>
    <row r="86" spans="20:66" ht="15.75">
      <c r="T86" s="201"/>
      <c r="U86" s="201"/>
      <c r="V86" s="1266"/>
      <c r="W86" s="1266"/>
      <c r="X86" s="1250"/>
      <c r="Y86" s="1117"/>
      <c r="Z86" s="1117"/>
      <c r="AA86" s="1117"/>
      <c r="AB86" s="1117"/>
      <c r="AC86" s="1117"/>
      <c r="AD86" s="1117"/>
      <c r="AE86" s="1117"/>
      <c r="AF86" s="1117"/>
      <c r="AG86" s="1117"/>
      <c r="AH86" s="1117"/>
      <c r="AI86" s="1117"/>
      <c r="AJ86" s="1117"/>
      <c r="AK86" s="1117"/>
      <c r="AL86" s="1117"/>
      <c r="AM86" s="1117"/>
      <c r="AN86" s="1117"/>
      <c r="AO86" s="1117"/>
      <c r="AP86" s="1117"/>
      <c r="AQ86" s="1117"/>
      <c r="AR86" s="1117"/>
      <c r="AS86" s="1117"/>
      <c r="AT86" s="1117"/>
      <c r="AU86" s="1117"/>
      <c r="AV86" s="1117"/>
      <c r="AW86" s="1117"/>
      <c r="AX86" s="1117"/>
      <c r="AY86" s="1117"/>
      <c r="AZ86" s="1117"/>
      <c r="BA86" s="1117"/>
      <c r="BB86" s="1117"/>
      <c r="BC86" s="1117"/>
      <c r="BD86" s="1117"/>
      <c r="BE86" s="1117"/>
      <c r="BF86" s="1117"/>
      <c r="BG86" s="1117"/>
      <c r="BH86" s="1117"/>
      <c r="BI86" s="1117"/>
      <c r="BJ86" s="1117"/>
      <c r="BK86" s="1117"/>
      <c r="BL86" s="1117"/>
      <c r="BM86" s="1117"/>
      <c r="BN86" s="1117"/>
    </row>
    <row r="87" spans="20:66" ht="15.75">
      <c r="T87" s="201"/>
      <c r="U87" s="201"/>
      <c r="V87" s="1266"/>
      <c r="W87" s="1266"/>
      <c r="X87" s="1250"/>
      <c r="Y87" s="1117"/>
      <c r="Z87" s="1117"/>
      <c r="AA87" s="1117"/>
      <c r="AB87" s="1117"/>
      <c r="AC87" s="1117"/>
      <c r="AD87" s="1117"/>
      <c r="AE87" s="1117"/>
      <c r="AF87" s="1117"/>
      <c r="AG87" s="1117"/>
      <c r="AH87" s="1117"/>
      <c r="AI87" s="1117"/>
      <c r="AJ87" s="1117"/>
      <c r="AK87" s="1117"/>
      <c r="AL87" s="1117"/>
      <c r="AM87" s="1117"/>
      <c r="AN87" s="1117"/>
      <c r="AO87" s="1117"/>
      <c r="AP87" s="1117"/>
      <c r="AQ87" s="1117"/>
      <c r="AR87" s="1117"/>
      <c r="AS87" s="1117"/>
      <c r="AT87" s="1117"/>
      <c r="AU87" s="1117"/>
      <c r="AV87" s="1117"/>
      <c r="AW87" s="1117"/>
      <c r="AX87" s="1117"/>
      <c r="AY87" s="1117"/>
      <c r="AZ87" s="1117"/>
      <c r="BA87" s="1117"/>
      <c r="BB87" s="1117"/>
      <c r="BC87" s="1117"/>
      <c r="BD87" s="1117"/>
      <c r="BE87" s="1117"/>
      <c r="BF87" s="1117"/>
      <c r="BG87" s="1117"/>
      <c r="BH87" s="1117"/>
      <c r="BI87" s="1117"/>
      <c r="BJ87" s="1117"/>
      <c r="BK87" s="1117"/>
      <c r="BL87" s="1117"/>
      <c r="BM87" s="1117"/>
      <c r="BN87" s="1117"/>
    </row>
    <row r="88" spans="20:66" ht="15.75">
      <c r="T88" s="201"/>
      <c r="U88" s="201"/>
      <c r="V88" s="1266"/>
      <c r="W88" s="1266"/>
      <c r="X88" s="1266"/>
      <c r="Y88" s="1117"/>
      <c r="Z88" s="1117"/>
      <c r="AA88" s="1117"/>
      <c r="AB88" s="1117"/>
      <c r="AC88" s="1117"/>
      <c r="AD88" s="1117"/>
      <c r="AE88" s="1117"/>
      <c r="AF88" s="1117"/>
      <c r="AG88" s="1117"/>
      <c r="AH88" s="1117"/>
      <c r="AI88" s="1117"/>
      <c r="AJ88" s="1117"/>
      <c r="AK88" s="1117"/>
      <c r="AL88" s="1117"/>
      <c r="AM88" s="1117"/>
      <c r="AN88" s="1117"/>
      <c r="AO88" s="1117"/>
      <c r="AP88" s="1117"/>
      <c r="AQ88" s="1117"/>
      <c r="AR88" s="1117"/>
      <c r="AS88" s="1117"/>
      <c r="AT88" s="1117"/>
      <c r="AU88" s="1117"/>
      <c r="AV88" s="1117"/>
      <c r="AW88" s="1117"/>
      <c r="AX88" s="1117"/>
      <c r="AY88" s="1117"/>
      <c r="AZ88" s="1117"/>
      <c r="BA88" s="1117"/>
      <c r="BB88" s="1117"/>
      <c r="BC88" s="1117"/>
      <c r="BD88" s="1117"/>
      <c r="BE88" s="1117"/>
      <c r="BF88" s="1117"/>
      <c r="BG88" s="1117"/>
      <c r="BH88" s="1117"/>
      <c r="BI88" s="1117"/>
      <c r="BJ88" s="1117"/>
      <c r="BK88" s="1117"/>
      <c r="BL88" s="1117"/>
      <c r="BM88" s="1117"/>
      <c r="BN88" s="1117"/>
    </row>
    <row r="89" spans="20:66" ht="15.75">
      <c r="T89" s="201"/>
      <c r="U89" s="201"/>
      <c r="V89" s="1266"/>
      <c r="W89" s="1266"/>
      <c r="X89" s="1266"/>
      <c r="Y89" s="1117"/>
      <c r="Z89" s="1117"/>
      <c r="AA89" s="1117"/>
      <c r="AB89" s="1117"/>
      <c r="AC89" s="1117"/>
      <c r="AD89" s="1117"/>
      <c r="AE89" s="1117"/>
      <c r="AF89" s="1117"/>
      <c r="AG89" s="1117"/>
      <c r="AH89" s="1117"/>
      <c r="AI89" s="1117"/>
      <c r="AJ89" s="1117"/>
      <c r="AK89" s="1117"/>
      <c r="AL89" s="1117"/>
      <c r="AM89" s="1117"/>
      <c r="AN89" s="1117"/>
      <c r="AO89" s="1117"/>
      <c r="AP89" s="1117"/>
      <c r="AQ89" s="1117"/>
      <c r="AR89" s="1117"/>
      <c r="AS89" s="1117"/>
      <c r="AT89" s="1117"/>
      <c r="AU89" s="1117"/>
      <c r="AV89" s="1117"/>
      <c r="AW89" s="1117"/>
      <c r="AX89" s="1117"/>
      <c r="AY89" s="1117"/>
      <c r="AZ89" s="1117"/>
      <c r="BA89" s="1117"/>
      <c r="BB89" s="1117"/>
      <c r="BC89" s="1117"/>
      <c r="BD89" s="1117"/>
      <c r="BE89" s="1117"/>
      <c r="BF89" s="1117"/>
      <c r="BG89" s="1117"/>
      <c r="BH89" s="1117"/>
      <c r="BI89" s="1117"/>
      <c r="BJ89" s="1117"/>
      <c r="BK89" s="1117"/>
      <c r="BL89" s="1117"/>
      <c r="BM89" s="1117"/>
      <c r="BN89" s="1117"/>
    </row>
    <row r="90" spans="20:66" ht="15.75">
      <c r="T90" s="201"/>
      <c r="U90" s="201"/>
      <c r="V90" s="1266"/>
      <c r="W90" s="1266"/>
      <c r="X90" s="1266"/>
      <c r="Y90" s="1117"/>
      <c r="Z90" s="1117"/>
      <c r="AA90" s="1117"/>
      <c r="AB90" s="1117"/>
      <c r="AC90" s="1117"/>
      <c r="AD90" s="1117"/>
      <c r="AE90" s="1117"/>
      <c r="AF90" s="1117"/>
      <c r="AG90" s="1117"/>
      <c r="AH90" s="1117"/>
      <c r="AI90" s="1117"/>
      <c r="AJ90" s="1117"/>
      <c r="AK90" s="1117"/>
      <c r="AL90" s="1117"/>
      <c r="AM90" s="1117"/>
      <c r="AN90" s="1117"/>
      <c r="AO90" s="1117"/>
      <c r="AP90" s="1117"/>
      <c r="AQ90" s="1117"/>
      <c r="AR90" s="1117"/>
      <c r="AS90" s="1117"/>
      <c r="AT90" s="1117"/>
      <c r="AU90" s="1117"/>
      <c r="AV90" s="1117"/>
      <c r="AW90" s="1117"/>
      <c r="AX90" s="1117"/>
      <c r="AY90" s="1117"/>
      <c r="AZ90" s="1117"/>
      <c r="BA90" s="1117"/>
      <c r="BB90" s="1117"/>
      <c r="BC90" s="1117"/>
      <c r="BD90" s="1117"/>
      <c r="BE90" s="1117"/>
      <c r="BF90" s="1117"/>
      <c r="BG90" s="1117"/>
      <c r="BH90" s="1117"/>
      <c r="BI90" s="1117"/>
      <c r="BJ90" s="1117"/>
      <c r="BK90" s="1117"/>
      <c r="BL90" s="1117"/>
      <c r="BM90" s="1117"/>
      <c r="BN90" s="1117"/>
    </row>
    <row r="91" spans="20:66" ht="15.75">
      <c r="T91" s="201"/>
      <c r="U91" s="201"/>
      <c r="V91" s="1266"/>
      <c r="W91" s="1266"/>
      <c r="X91" s="1266"/>
      <c r="Y91" s="1117"/>
      <c r="Z91" s="1117"/>
      <c r="AA91" s="1117"/>
      <c r="AB91" s="1117"/>
      <c r="AC91" s="1117"/>
      <c r="AD91" s="1117"/>
      <c r="AE91" s="1117"/>
      <c r="AF91" s="1117"/>
      <c r="AG91" s="1117"/>
      <c r="AH91" s="1117"/>
      <c r="AI91" s="1117"/>
      <c r="AJ91" s="1117"/>
      <c r="AK91" s="1117"/>
      <c r="AL91" s="1117"/>
      <c r="AM91" s="1117"/>
      <c r="AN91" s="1117"/>
      <c r="AO91" s="1117"/>
      <c r="AP91" s="1117"/>
      <c r="AQ91" s="1117"/>
      <c r="AR91" s="1117"/>
      <c r="AS91" s="1117"/>
      <c r="AT91" s="1117"/>
      <c r="AU91" s="1117"/>
      <c r="AV91" s="1117"/>
      <c r="AW91" s="1117"/>
      <c r="AX91" s="1117"/>
      <c r="AY91" s="1117"/>
      <c r="AZ91" s="1117"/>
      <c r="BA91" s="1117"/>
      <c r="BB91" s="1117"/>
      <c r="BC91" s="1117"/>
      <c r="BD91" s="1117"/>
      <c r="BE91" s="1117"/>
      <c r="BF91" s="1117"/>
      <c r="BG91" s="1117"/>
      <c r="BH91" s="1117"/>
      <c r="BI91" s="1117"/>
      <c r="BJ91" s="1117"/>
      <c r="BK91" s="1117"/>
      <c r="BL91" s="1117"/>
      <c r="BM91" s="1117"/>
      <c r="BN91" s="1117"/>
    </row>
    <row r="92" spans="20:66" ht="15.75">
      <c r="T92" s="862"/>
      <c r="U92" s="862"/>
      <c r="V92" s="1266"/>
      <c r="W92" s="1266"/>
      <c r="X92" s="1266"/>
      <c r="Y92" s="1117"/>
      <c r="Z92" s="1117"/>
      <c r="AA92" s="1117"/>
      <c r="AB92" s="1117"/>
      <c r="AC92" s="1117"/>
      <c r="AD92" s="1117"/>
      <c r="AE92" s="1117"/>
      <c r="AF92" s="1117"/>
      <c r="AG92" s="1117"/>
      <c r="AH92" s="1117"/>
      <c r="AI92" s="1117"/>
      <c r="AJ92" s="1117"/>
      <c r="AK92" s="1117"/>
      <c r="AL92" s="1117"/>
      <c r="AM92" s="1117"/>
      <c r="AN92" s="1117"/>
      <c r="AO92" s="1117"/>
      <c r="AP92" s="1117"/>
      <c r="AQ92" s="1117"/>
      <c r="AR92" s="1117"/>
      <c r="AS92" s="1117"/>
      <c r="AT92" s="1117"/>
      <c r="AU92" s="1117"/>
      <c r="AV92" s="1117"/>
      <c r="AW92" s="1117"/>
      <c r="AX92" s="1117"/>
      <c r="AY92" s="1117"/>
      <c r="AZ92" s="1117"/>
      <c r="BA92" s="1117"/>
      <c r="BB92" s="1117"/>
      <c r="BC92" s="1117"/>
      <c r="BD92" s="1117"/>
      <c r="BE92" s="1117"/>
      <c r="BF92" s="1117"/>
      <c r="BG92" s="1117"/>
      <c r="BH92" s="1117"/>
      <c r="BI92" s="1117"/>
      <c r="BJ92" s="1117"/>
      <c r="BK92" s="1117"/>
      <c r="BL92" s="1117"/>
      <c r="BM92" s="1117"/>
      <c r="BN92" s="1117"/>
    </row>
    <row r="93" spans="20:66" ht="15.75">
      <c r="T93" s="862"/>
      <c r="U93" s="862"/>
      <c r="V93" s="1266"/>
      <c r="W93" s="1266"/>
      <c r="X93" s="1266"/>
      <c r="Y93" s="1117"/>
      <c r="Z93" s="1117"/>
      <c r="AA93" s="1117"/>
      <c r="AB93" s="1117"/>
      <c r="AC93" s="1117"/>
      <c r="AD93" s="1117"/>
      <c r="AE93" s="1117"/>
      <c r="AF93" s="1117"/>
      <c r="AG93" s="1117"/>
      <c r="AH93" s="1117"/>
      <c r="AI93" s="1117"/>
      <c r="AJ93" s="1117"/>
      <c r="AK93" s="1117"/>
      <c r="AL93" s="1117"/>
      <c r="AM93" s="1117"/>
      <c r="AN93" s="1117"/>
      <c r="AO93" s="1117"/>
      <c r="AP93" s="1117"/>
      <c r="AQ93" s="1117"/>
      <c r="AR93" s="1117"/>
      <c r="AS93" s="1117"/>
      <c r="AT93" s="1117"/>
      <c r="AU93" s="1117"/>
      <c r="AV93" s="1117"/>
      <c r="AW93" s="1117"/>
      <c r="AX93" s="1117"/>
      <c r="AY93" s="1117"/>
      <c r="AZ93" s="1117"/>
      <c r="BA93" s="1117"/>
      <c r="BB93" s="1117"/>
      <c r="BC93" s="1117"/>
      <c r="BD93" s="1117"/>
      <c r="BE93" s="1117"/>
      <c r="BF93" s="1117"/>
      <c r="BG93" s="1117"/>
      <c r="BH93" s="1117"/>
      <c r="BI93" s="1117"/>
      <c r="BJ93" s="1117"/>
      <c r="BK93" s="1117"/>
      <c r="BL93" s="1117"/>
      <c r="BM93" s="1117"/>
      <c r="BN93" s="1117"/>
    </row>
    <row r="94" spans="20:66" ht="15.75">
      <c r="T94" s="862"/>
      <c r="U94" s="862"/>
      <c r="V94" s="1266"/>
      <c r="W94" s="1266"/>
      <c r="X94" s="1250"/>
      <c r="Y94" s="1117"/>
      <c r="Z94" s="1117"/>
      <c r="AA94" s="1117"/>
      <c r="AB94" s="1117"/>
      <c r="AC94" s="1117"/>
      <c r="AD94" s="1117"/>
      <c r="AE94" s="1117"/>
      <c r="AF94" s="1117"/>
      <c r="AG94" s="1117"/>
      <c r="AH94" s="1117"/>
      <c r="AI94" s="1117"/>
      <c r="AJ94" s="1117"/>
      <c r="AK94" s="1117"/>
      <c r="AL94" s="1117"/>
      <c r="AM94" s="1117"/>
      <c r="AN94" s="1117"/>
      <c r="AO94" s="1117"/>
      <c r="AP94" s="1117"/>
      <c r="AQ94" s="1117"/>
      <c r="AR94" s="1117"/>
      <c r="AS94" s="1117"/>
      <c r="AT94" s="1117"/>
      <c r="AU94" s="1117"/>
      <c r="AV94" s="1117"/>
      <c r="AW94" s="1117"/>
      <c r="AX94" s="1117"/>
      <c r="AY94" s="1117"/>
      <c r="AZ94" s="1117"/>
      <c r="BA94" s="1117"/>
      <c r="BB94" s="1117"/>
      <c r="BC94" s="1117"/>
      <c r="BD94" s="1117"/>
      <c r="BE94" s="1117"/>
      <c r="BF94" s="1117"/>
      <c r="BG94" s="1117"/>
      <c r="BH94" s="1117"/>
      <c r="BI94" s="1117"/>
      <c r="BJ94" s="1117"/>
      <c r="BK94" s="1117"/>
      <c r="BL94" s="1117"/>
      <c r="BM94" s="1117"/>
      <c r="BN94" s="1117"/>
    </row>
    <row r="95" spans="20:66" ht="15.75">
      <c r="T95" s="862"/>
      <c r="U95" s="862"/>
      <c r="V95" s="1266"/>
      <c r="W95" s="1266"/>
      <c r="X95" s="1250"/>
      <c r="Y95" s="1117"/>
      <c r="Z95" s="1117"/>
      <c r="AA95" s="1117"/>
      <c r="AB95" s="1117"/>
      <c r="AC95" s="1117"/>
      <c r="AD95" s="1117"/>
      <c r="AE95" s="1117"/>
      <c r="AF95" s="1117"/>
      <c r="AG95" s="1117"/>
      <c r="AH95" s="1117"/>
      <c r="AI95" s="1117"/>
      <c r="AJ95" s="1117"/>
      <c r="AK95" s="1117"/>
      <c r="AL95" s="1117"/>
      <c r="AM95" s="1117"/>
      <c r="AN95" s="1117"/>
      <c r="AO95" s="1117"/>
      <c r="AP95" s="1117"/>
      <c r="AQ95" s="1117"/>
      <c r="AR95" s="1117"/>
      <c r="AS95" s="1117"/>
      <c r="AT95" s="1117"/>
      <c r="AU95" s="1117"/>
      <c r="AV95" s="1117"/>
      <c r="AW95" s="1117"/>
      <c r="AX95" s="1117"/>
      <c r="AY95" s="1117"/>
      <c r="AZ95" s="1117"/>
      <c r="BA95" s="1117"/>
      <c r="BB95" s="1117"/>
      <c r="BC95" s="1117"/>
      <c r="BD95" s="1117"/>
      <c r="BE95" s="1117"/>
      <c r="BF95" s="1117"/>
      <c r="BG95" s="1117"/>
      <c r="BH95" s="1117"/>
      <c r="BI95" s="1117"/>
      <c r="BJ95" s="1117"/>
      <c r="BK95" s="1117"/>
      <c r="BL95" s="1117"/>
      <c r="BM95" s="1117"/>
      <c r="BN95" s="1117"/>
    </row>
    <row r="96" spans="20:66" ht="15.75">
      <c r="T96" s="862"/>
      <c r="U96" s="862"/>
      <c r="V96" s="1266"/>
      <c r="W96" s="1266"/>
      <c r="X96" s="1250"/>
      <c r="Y96" s="1117"/>
      <c r="Z96" s="1117"/>
      <c r="AA96" s="1117"/>
      <c r="AB96" s="1117"/>
      <c r="AC96" s="1117"/>
      <c r="AD96" s="1117"/>
      <c r="AE96" s="1117"/>
      <c r="AF96" s="1117"/>
      <c r="AG96" s="1117"/>
      <c r="AH96" s="1117"/>
      <c r="AI96" s="1117"/>
      <c r="AJ96" s="1117"/>
      <c r="AK96" s="1117"/>
      <c r="AL96" s="1117"/>
      <c r="AM96" s="1117"/>
      <c r="AN96" s="1117"/>
      <c r="AO96" s="1117"/>
      <c r="AP96" s="1117"/>
      <c r="AQ96" s="1117"/>
      <c r="AR96" s="1117"/>
      <c r="AS96" s="1117"/>
      <c r="AT96" s="1117"/>
      <c r="AU96" s="1117"/>
      <c r="AV96" s="1117"/>
      <c r="AW96" s="1117"/>
      <c r="AX96" s="1117"/>
      <c r="AY96" s="1117"/>
      <c r="AZ96" s="1117"/>
      <c r="BA96" s="1117"/>
      <c r="BB96" s="1117"/>
      <c r="BC96" s="1117"/>
      <c r="BD96" s="1117"/>
      <c r="BE96" s="1117"/>
      <c r="BF96" s="1117"/>
      <c r="BG96" s="1117"/>
      <c r="BH96" s="1117"/>
      <c r="BI96" s="1117"/>
      <c r="BJ96" s="1117"/>
      <c r="BK96" s="1117"/>
      <c r="BL96" s="1117"/>
      <c r="BM96" s="1117"/>
      <c r="BN96" s="1117"/>
    </row>
    <row r="97" spans="20:66" ht="15.75">
      <c r="T97" s="201"/>
      <c r="U97" s="201"/>
      <c r="V97" s="1266"/>
      <c r="W97" s="1266"/>
      <c r="X97" s="1250"/>
      <c r="Y97" s="1117"/>
      <c r="Z97" s="1117"/>
      <c r="AA97" s="1117"/>
      <c r="AB97" s="1117"/>
      <c r="AC97" s="1117"/>
      <c r="AD97" s="1117"/>
      <c r="AE97" s="1117"/>
      <c r="AF97" s="1117"/>
      <c r="AG97" s="1117"/>
      <c r="AH97" s="1117"/>
      <c r="AI97" s="1117"/>
      <c r="AJ97" s="1117"/>
      <c r="AK97" s="1117"/>
      <c r="AL97" s="1117"/>
      <c r="AM97" s="1117"/>
      <c r="AN97" s="1117"/>
      <c r="AO97" s="1117"/>
      <c r="AP97" s="1117"/>
      <c r="AQ97" s="1117"/>
      <c r="AR97" s="1117"/>
      <c r="AS97" s="1117"/>
      <c r="AT97" s="1117"/>
      <c r="AU97" s="1117"/>
      <c r="AV97" s="1117"/>
      <c r="AW97" s="1117"/>
      <c r="AX97" s="1117"/>
      <c r="AY97" s="1117"/>
      <c r="AZ97" s="1117"/>
      <c r="BA97" s="1117"/>
      <c r="BB97" s="1117"/>
      <c r="BC97" s="1117"/>
      <c r="BD97" s="1117"/>
      <c r="BE97" s="1117"/>
      <c r="BF97" s="1117"/>
      <c r="BG97" s="1117"/>
      <c r="BH97" s="1117"/>
      <c r="BI97" s="1117"/>
      <c r="BJ97" s="1117"/>
      <c r="BK97" s="1117"/>
      <c r="BL97" s="1117"/>
      <c r="BM97" s="1117"/>
      <c r="BN97" s="1117"/>
    </row>
    <row r="98" spans="20:66" ht="15.75">
      <c r="T98" s="114"/>
      <c r="U98" s="114"/>
      <c r="V98" s="1266"/>
      <c r="W98" s="1266"/>
      <c r="X98" s="1250"/>
      <c r="Y98" s="1117"/>
      <c r="Z98" s="1117"/>
      <c r="AA98" s="1117"/>
      <c r="AB98" s="1117"/>
      <c r="AC98" s="1117"/>
      <c r="AD98" s="1117"/>
      <c r="AE98" s="1117"/>
      <c r="AF98" s="1117"/>
      <c r="AG98" s="1117"/>
      <c r="AH98" s="1117"/>
      <c r="AI98" s="1117"/>
      <c r="AJ98" s="1117"/>
      <c r="AK98" s="1117"/>
      <c r="AL98" s="1117"/>
      <c r="AM98" s="1117"/>
      <c r="AN98" s="1117"/>
      <c r="AO98" s="1117"/>
      <c r="AP98" s="1117"/>
      <c r="AQ98" s="1117"/>
      <c r="AR98" s="1117"/>
      <c r="AS98" s="1117"/>
      <c r="AT98" s="1117"/>
      <c r="AU98" s="1117"/>
      <c r="AV98" s="1117"/>
      <c r="AW98" s="1117"/>
      <c r="AX98" s="1117"/>
      <c r="AY98" s="1117"/>
      <c r="AZ98" s="1117"/>
      <c r="BA98" s="1117"/>
      <c r="BB98" s="1117"/>
      <c r="BC98" s="1117"/>
      <c r="BD98" s="1117"/>
      <c r="BE98" s="1117"/>
      <c r="BF98" s="1117"/>
      <c r="BG98" s="1117"/>
      <c r="BH98" s="1117"/>
      <c r="BI98" s="1117"/>
      <c r="BJ98" s="1117"/>
      <c r="BK98" s="1117"/>
      <c r="BL98" s="1117"/>
      <c r="BM98" s="1117"/>
      <c r="BN98" s="1117"/>
    </row>
    <row r="99" spans="20:66" ht="15.75">
      <c r="T99" s="114"/>
      <c r="U99" s="114"/>
      <c r="V99" s="1266"/>
      <c r="W99" s="1266"/>
      <c r="X99" s="1266"/>
      <c r="Y99" s="908"/>
      <c r="Z99" s="908"/>
      <c r="AA99" s="908"/>
      <c r="AB99" s="908"/>
      <c r="AC99" s="908"/>
      <c r="AD99" s="908"/>
      <c r="AE99" s="908"/>
      <c r="AF99" s="908"/>
      <c r="AG99" s="908"/>
      <c r="AH99" s="908"/>
      <c r="AI99" s="908"/>
      <c r="AJ99" s="908"/>
      <c r="AK99" s="908"/>
      <c r="AL99" s="908"/>
      <c r="AM99" s="908"/>
      <c r="AN99" s="908"/>
      <c r="AO99" s="908"/>
      <c r="AP99" s="908"/>
      <c r="AQ99" s="908"/>
      <c r="AR99" s="908"/>
      <c r="AS99" s="908"/>
      <c r="AT99" s="908"/>
      <c r="AU99" s="908"/>
      <c r="AV99" s="908"/>
      <c r="AW99" s="908"/>
      <c r="AX99" s="908"/>
      <c r="AY99" s="908"/>
      <c r="AZ99" s="908"/>
      <c r="BA99" s="908"/>
      <c r="BB99" s="908"/>
      <c r="BC99" s="908"/>
      <c r="BD99" s="908"/>
      <c r="BE99" s="908"/>
      <c r="BF99" s="908"/>
      <c r="BG99" s="908"/>
      <c r="BH99" s="908"/>
      <c r="BI99" s="908"/>
      <c r="BJ99" s="908"/>
      <c r="BK99" s="908"/>
      <c r="BL99" s="908"/>
      <c r="BM99" s="908"/>
      <c r="BN99" s="908"/>
    </row>
    <row r="100" spans="20:66" ht="15.75">
      <c r="T100" s="114"/>
      <c r="U100" s="114"/>
      <c r="V100" s="1266"/>
      <c r="W100" s="1266"/>
      <c r="X100" s="1250"/>
      <c r="Y100" s="1117"/>
      <c r="Z100" s="1117"/>
      <c r="AA100" s="1117"/>
      <c r="AB100" s="1117"/>
      <c r="AC100" s="1117"/>
      <c r="AD100" s="1117"/>
      <c r="AE100" s="1117"/>
      <c r="AF100" s="1117"/>
      <c r="AG100" s="1117"/>
      <c r="AH100" s="1117"/>
      <c r="AI100" s="1117"/>
      <c r="AJ100" s="1117"/>
      <c r="AK100" s="1117"/>
      <c r="AL100" s="1117"/>
      <c r="AM100" s="1117"/>
      <c r="AN100" s="1117"/>
      <c r="AO100" s="1117"/>
      <c r="AP100" s="1117"/>
      <c r="AQ100" s="1117"/>
      <c r="AR100" s="1117"/>
      <c r="AS100" s="1117"/>
      <c r="AT100" s="1117"/>
      <c r="AU100" s="1117"/>
      <c r="AV100" s="1117"/>
      <c r="AW100" s="1117"/>
      <c r="AX100" s="1117"/>
      <c r="AY100" s="1117"/>
      <c r="AZ100" s="1117"/>
      <c r="BA100" s="1117"/>
      <c r="BB100" s="1117"/>
      <c r="BC100" s="1117"/>
      <c r="BD100" s="1117"/>
      <c r="BE100" s="1117"/>
      <c r="BF100" s="1117"/>
      <c r="BG100" s="1117"/>
      <c r="BH100" s="1117"/>
      <c r="BI100" s="1117"/>
      <c r="BJ100" s="1117"/>
      <c r="BK100" s="1117"/>
      <c r="BL100" s="1117"/>
      <c r="BM100" s="1117"/>
      <c r="BN100" s="1117"/>
    </row>
    <row r="101" spans="20:66" ht="15.75">
      <c r="T101" s="201"/>
      <c r="U101" s="201"/>
      <c r="V101" s="1251"/>
      <c r="W101" s="1251"/>
      <c r="X101" s="1251"/>
      <c r="Y101" s="1194"/>
      <c r="Z101" s="1194"/>
      <c r="AA101" s="1194"/>
      <c r="AB101" s="1194"/>
      <c r="AC101" s="682"/>
      <c r="AD101" s="682"/>
      <c r="AE101" s="682"/>
      <c r="AF101" s="682"/>
      <c r="AG101" s="682"/>
      <c r="AH101" s="682"/>
      <c r="AI101" s="682"/>
      <c r="AJ101" s="682"/>
      <c r="AK101" s="682"/>
      <c r="AL101" s="682"/>
      <c r="AM101" s="682"/>
      <c r="AN101" s="682"/>
      <c r="AO101" s="682"/>
      <c r="AP101" s="682"/>
      <c r="AQ101" s="682"/>
      <c r="AR101" s="682"/>
      <c r="AS101" s="682"/>
      <c r="AT101" s="682"/>
      <c r="AU101" s="682"/>
      <c r="AV101" s="682"/>
      <c r="AW101" s="682"/>
      <c r="AX101" s="682"/>
      <c r="AY101" s="682"/>
      <c r="AZ101" s="682"/>
      <c r="BA101" s="682"/>
      <c r="BB101" s="682"/>
      <c r="BC101" s="682"/>
      <c r="BD101" s="682"/>
      <c r="BE101" s="682"/>
      <c r="BF101" s="682"/>
      <c r="BG101" s="682"/>
      <c r="BH101" s="682"/>
      <c r="BI101" s="682"/>
      <c r="BJ101" s="682"/>
      <c r="BK101" s="682"/>
      <c r="BL101" s="682"/>
      <c r="BM101" s="682"/>
      <c r="BN101" s="682"/>
    </row>
    <row r="102" spans="20:66" ht="15.75">
      <c r="T102" s="201"/>
      <c r="U102" s="201"/>
      <c r="V102" s="1251"/>
      <c r="W102" s="1251"/>
      <c r="X102" s="1251"/>
      <c r="Y102" s="1194"/>
      <c r="Z102" s="1194"/>
      <c r="AA102" s="1194"/>
      <c r="AB102" s="1194"/>
      <c r="AC102" s="682"/>
      <c r="AD102" s="682"/>
      <c r="AE102" s="682"/>
      <c r="AF102" s="682"/>
      <c r="AG102" s="682"/>
      <c r="AH102" s="682"/>
      <c r="AI102" s="682"/>
      <c r="AJ102" s="682"/>
      <c r="AK102" s="682"/>
      <c r="AL102" s="682"/>
      <c r="AM102" s="682"/>
      <c r="AN102" s="682"/>
      <c r="AO102" s="682"/>
      <c r="AP102" s="682"/>
      <c r="AQ102" s="682"/>
      <c r="AR102" s="682"/>
      <c r="AS102" s="682"/>
      <c r="AT102" s="682"/>
      <c r="AU102" s="682"/>
      <c r="AV102" s="682"/>
      <c r="AW102" s="682"/>
      <c r="AX102" s="682"/>
      <c r="AY102" s="682"/>
      <c r="AZ102" s="682"/>
      <c r="BA102" s="682"/>
      <c r="BB102" s="682"/>
      <c r="BC102" s="682"/>
      <c r="BD102" s="682"/>
      <c r="BE102" s="682"/>
      <c r="BF102" s="682"/>
      <c r="BG102" s="682"/>
      <c r="BH102" s="682"/>
      <c r="BI102" s="682"/>
      <c r="BJ102" s="682"/>
      <c r="BK102" s="682"/>
      <c r="BL102" s="682"/>
      <c r="BM102" s="682"/>
      <c r="BN102" s="682"/>
    </row>
    <row r="103" spans="20:66">
      <c r="T103" s="1251"/>
      <c r="U103" s="1251"/>
      <c r="V103" s="1251"/>
      <c r="W103" s="1251"/>
      <c r="X103" s="1251"/>
      <c r="Y103" s="1251"/>
      <c r="Z103" s="1251"/>
      <c r="AA103" s="1251"/>
      <c r="AB103" s="1251"/>
    </row>
    <row r="104" spans="20:66" ht="15.75">
      <c r="T104" s="1251"/>
      <c r="U104" s="1251"/>
      <c r="V104" s="1251"/>
      <c r="W104" s="1251"/>
      <c r="X104" s="168"/>
      <c r="Y104" s="207"/>
      <c r="Z104" s="207"/>
      <c r="AA104" s="207"/>
      <c r="AB104" s="207"/>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row>
    <row r="105" spans="20:66" ht="15.75">
      <c r="T105" s="1251"/>
      <c r="U105" s="1251"/>
      <c r="V105" s="1251"/>
      <c r="W105" s="1251"/>
      <c r="X105" s="168"/>
      <c r="Y105" s="935"/>
      <c r="Z105" s="935"/>
      <c r="AA105" s="935"/>
      <c r="AB105" s="935"/>
      <c r="AC105" s="1091"/>
      <c r="AD105" s="1091"/>
      <c r="AE105" s="1091"/>
      <c r="AF105" s="1091"/>
      <c r="AG105" s="1091"/>
      <c r="AH105" s="1091"/>
      <c r="AI105" s="1091"/>
      <c r="AJ105" s="1091"/>
      <c r="AK105" s="1091"/>
      <c r="AL105" s="1091"/>
      <c r="AM105" s="1091"/>
      <c r="AN105" s="1091"/>
      <c r="AO105" s="1091"/>
      <c r="AP105" s="1091"/>
      <c r="AQ105" s="1091"/>
      <c r="AR105" s="1091"/>
      <c r="AS105" s="1091"/>
      <c r="AT105" s="1091"/>
      <c r="AU105" s="1091"/>
      <c r="AV105" s="1091"/>
      <c r="AW105" s="1091"/>
      <c r="AX105" s="1091"/>
      <c r="AY105" s="1091"/>
      <c r="AZ105" s="1091"/>
      <c r="BA105" s="1091"/>
      <c r="BB105" s="1091"/>
      <c r="BC105" s="1091"/>
      <c r="BD105" s="1091"/>
      <c r="BE105" s="1091"/>
      <c r="BF105" s="1091"/>
      <c r="BG105" s="1091"/>
      <c r="BH105" s="1091"/>
      <c r="BI105" s="1091"/>
      <c r="BJ105" s="1091"/>
      <c r="BK105" s="1091"/>
      <c r="BL105" s="1091"/>
      <c r="BM105" s="1091"/>
      <c r="BN105" s="1091"/>
    </row>
    <row r="106" spans="20:66" ht="15.75">
      <c r="T106" s="1251"/>
      <c r="U106" s="1251"/>
      <c r="V106" s="1251"/>
      <c r="W106" s="1251"/>
      <c r="X106" s="168"/>
      <c r="Y106" s="935"/>
      <c r="Z106" s="935"/>
      <c r="AA106" s="935"/>
      <c r="AB106" s="935"/>
      <c r="AC106" s="1091"/>
      <c r="AD106" s="1091"/>
      <c r="AE106" s="1091"/>
      <c r="AF106" s="1091"/>
      <c r="AG106" s="1091"/>
      <c r="AH106" s="1091"/>
      <c r="AI106" s="1091"/>
      <c r="AJ106" s="1091"/>
      <c r="AK106" s="1091"/>
      <c r="AL106" s="1091"/>
      <c r="AM106" s="1091"/>
      <c r="AN106" s="1091"/>
      <c r="AO106" s="1091"/>
      <c r="AP106" s="1091"/>
      <c r="AQ106" s="1091"/>
      <c r="AR106" s="1091"/>
      <c r="AS106" s="1091"/>
      <c r="AT106" s="1091"/>
      <c r="AU106" s="1091"/>
      <c r="AV106" s="1091"/>
      <c r="AW106" s="1091"/>
      <c r="AX106" s="1091"/>
      <c r="AY106" s="1091"/>
      <c r="AZ106" s="1091"/>
      <c r="BA106" s="1091"/>
      <c r="BB106" s="1091"/>
      <c r="BC106" s="1091"/>
      <c r="BD106" s="1091"/>
      <c r="BE106" s="1091"/>
      <c r="BF106" s="1091"/>
      <c r="BG106" s="1091"/>
      <c r="BH106" s="1091"/>
      <c r="BI106" s="1091"/>
      <c r="BJ106" s="1091"/>
      <c r="BK106" s="1091"/>
      <c r="BL106" s="1091"/>
      <c r="BM106" s="1091"/>
      <c r="BN106" s="1091"/>
    </row>
    <row r="107" spans="20:66" ht="15.75">
      <c r="T107" s="1251"/>
      <c r="U107" s="1251"/>
      <c r="V107" s="1251"/>
      <c r="W107" s="1251"/>
      <c r="X107" s="168"/>
      <c r="Y107" s="935"/>
      <c r="Z107" s="935"/>
      <c r="AA107" s="935"/>
      <c r="AB107" s="935"/>
      <c r="AC107" s="1091"/>
      <c r="AD107" s="1091"/>
      <c r="AE107" s="1091"/>
      <c r="AF107" s="1091"/>
      <c r="AG107" s="1091"/>
      <c r="AH107" s="1091"/>
      <c r="AI107" s="1091"/>
      <c r="AJ107" s="1091"/>
      <c r="AK107" s="1091"/>
      <c r="AL107" s="1091"/>
      <c r="AM107" s="1091"/>
      <c r="AN107" s="1091"/>
      <c r="AO107" s="1091"/>
      <c r="AP107" s="1091"/>
      <c r="AQ107" s="1091"/>
      <c r="AR107" s="1091"/>
      <c r="AS107" s="1091"/>
      <c r="AT107" s="1091"/>
      <c r="AU107" s="1091"/>
      <c r="AV107" s="1091"/>
      <c r="AW107" s="1091"/>
      <c r="AX107" s="1091"/>
      <c r="AY107" s="1091"/>
      <c r="AZ107" s="1091"/>
      <c r="BA107" s="1091"/>
      <c r="BB107" s="1091"/>
      <c r="BC107" s="1091"/>
      <c r="BD107" s="1091"/>
      <c r="BE107" s="1091"/>
      <c r="BF107" s="1091"/>
      <c r="BG107" s="1091"/>
      <c r="BH107" s="1091"/>
      <c r="BI107" s="1091"/>
      <c r="BJ107" s="1091"/>
      <c r="BK107" s="1091"/>
      <c r="BL107" s="1091"/>
      <c r="BM107" s="1091"/>
      <c r="BN107" s="1091"/>
    </row>
    <row r="108" spans="20:66" ht="15.75">
      <c r="T108" s="1251"/>
      <c r="U108" s="1251"/>
      <c r="V108" s="1251"/>
      <c r="W108" s="1251"/>
      <c r="X108" s="168"/>
      <c r="Y108" s="1256"/>
      <c r="Z108" s="1256"/>
      <c r="AA108" s="1256"/>
      <c r="AB108" s="1256"/>
      <c r="AC108" s="1279"/>
      <c r="AD108" s="1279"/>
      <c r="AE108" s="1279"/>
      <c r="AF108" s="1279"/>
      <c r="AG108" s="1279"/>
      <c r="AH108" s="1279"/>
      <c r="AI108" s="1279"/>
      <c r="AJ108" s="1279"/>
      <c r="AK108" s="1279"/>
      <c r="AL108" s="1279"/>
      <c r="AM108" s="1279"/>
      <c r="AN108" s="1279"/>
      <c r="AO108" s="1279"/>
      <c r="AP108" s="1279"/>
      <c r="AQ108" s="1279"/>
      <c r="AR108" s="1279"/>
      <c r="AS108" s="1279"/>
      <c r="AT108" s="1279"/>
      <c r="AU108" s="1279"/>
      <c r="AV108" s="1279"/>
      <c r="AW108" s="1279"/>
      <c r="AX108" s="1279"/>
      <c r="AY108" s="1279"/>
      <c r="AZ108" s="1279"/>
      <c r="BA108" s="1279"/>
      <c r="BB108" s="1279"/>
      <c r="BC108" s="1279"/>
      <c r="BD108" s="1279"/>
      <c r="BE108" s="1279"/>
      <c r="BF108" s="1279"/>
      <c r="BG108" s="1279"/>
      <c r="BH108" s="1279"/>
      <c r="BI108" s="1279"/>
      <c r="BJ108" s="1279"/>
      <c r="BK108" s="1279"/>
      <c r="BL108" s="1279"/>
      <c r="BM108" s="1279"/>
      <c r="BN108" s="1279"/>
    </row>
    <row r="109" spans="20:66" ht="15.75">
      <c r="T109" s="201"/>
      <c r="U109" s="201"/>
      <c r="V109" s="1251"/>
      <c r="W109" s="1266"/>
      <c r="X109" s="168"/>
      <c r="Y109" s="1256"/>
      <c r="Z109" s="1256"/>
      <c r="AA109" s="1256"/>
      <c r="AB109" s="1256"/>
      <c r="AC109" s="1279"/>
      <c r="AD109" s="1279"/>
      <c r="AE109" s="1279"/>
      <c r="AF109" s="1279"/>
      <c r="AG109" s="1279"/>
      <c r="AH109" s="1279"/>
      <c r="AI109" s="1279"/>
      <c r="AJ109" s="1279"/>
      <c r="AK109" s="1279"/>
      <c r="AL109" s="1279"/>
      <c r="AM109" s="1279"/>
      <c r="AN109" s="1279"/>
      <c r="AO109" s="1279"/>
      <c r="AP109" s="1279"/>
      <c r="AQ109" s="1279"/>
      <c r="AR109" s="1279"/>
      <c r="AS109" s="1279"/>
      <c r="AT109" s="1279"/>
      <c r="AU109" s="1279"/>
      <c r="AV109" s="1279"/>
      <c r="AW109" s="1279"/>
      <c r="AX109" s="1279"/>
      <c r="AY109" s="1279"/>
      <c r="AZ109" s="1279"/>
      <c r="BA109" s="1279"/>
      <c r="BB109" s="1279"/>
      <c r="BC109" s="1279"/>
      <c r="BD109" s="1279"/>
      <c r="BE109" s="1279"/>
      <c r="BF109" s="1279"/>
      <c r="BG109" s="1279"/>
      <c r="BH109" s="1279"/>
      <c r="BI109" s="1279"/>
      <c r="BJ109" s="1279"/>
      <c r="BK109" s="1279"/>
      <c r="BL109" s="1279"/>
      <c r="BM109" s="1279"/>
      <c r="BN109" s="1279"/>
    </row>
    <row r="110" spans="20:66" ht="15.75">
      <c r="T110" s="201"/>
      <c r="U110" s="201"/>
      <c r="V110" s="1251"/>
      <c r="W110" s="1266"/>
      <c r="X110" s="168"/>
      <c r="Y110" s="1256"/>
      <c r="Z110" s="1256"/>
      <c r="AA110" s="1256"/>
      <c r="AB110" s="1256"/>
      <c r="AC110" s="1279"/>
      <c r="AD110" s="1279"/>
      <c r="AE110" s="1279"/>
      <c r="AF110" s="1279"/>
      <c r="AG110" s="1279"/>
      <c r="AH110" s="1279"/>
      <c r="AI110" s="1279"/>
      <c r="AJ110" s="1279"/>
      <c r="AK110" s="1279"/>
      <c r="AL110" s="1279"/>
      <c r="AM110" s="1279"/>
      <c r="AN110" s="1279"/>
      <c r="AO110" s="1279"/>
      <c r="AP110" s="1279"/>
      <c r="AQ110" s="1279"/>
      <c r="AR110" s="1279"/>
      <c r="AS110" s="1279"/>
      <c r="AT110" s="1279"/>
      <c r="AU110" s="1279"/>
      <c r="AV110" s="1279"/>
      <c r="AW110" s="1279"/>
      <c r="AX110" s="1279"/>
      <c r="AY110" s="1279"/>
      <c r="AZ110" s="1279"/>
      <c r="BA110" s="1279"/>
      <c r="BB110" s="1279"/>
      <c r="BC110" s="1279"/>
      <c r="BD110" s="1279"/>
      <c r="BE110" s="1279"/>
      <c r="BF110" s="1279"/>
      <c r="BG110" s="1279"/>
      <c r="BH110" s="1279"/>
      <c r="BI110" s="1279"/>
      <c r="BJ110" s="1279"/>
      <c r="BK110" s="1279"/>
      <c r="BL110" s="1279"/>
      <c r="BM110" s="1279"/>
      <c r="BN110" s="1279"/>
    </row>
    <row r="111" spans="20:66" ht="15.75">
      <c r="T111" s="1251"/>
      <c r="U111" s="1251"/>
      <c r="V111" s="1251"/>
      <c r="W111" s="1251"/>
      <c r="X111" s="168"/>
      <c r="Y111" s="935"/>
      <c r="Z111" s="935"/>
      <c r="AA111" s="935"/>
      <c r="AB111" s="935"/>
      <c r="AC111" s="1091"/>
      <c r="AD111" s="1091"/>
      <c r="AE111" s="1091"/>
      <c r="AF111" s="1091"/>
      <c r="AG111" s="1091"/>
      <c r="AH111" s="1091"/>
      <c r="AI111" s="1091"/>
      <c r="AJ111" s="1091"/>
      <c r="AK111" s="1091"/>
      <c r="AL111" s="1091"/>
      <c r="AM111" s="1091"/>
      <c r="AN111" s="1091"/>
      <c r="AO111" s="1091"/>
      <c r="AP111" s="1091"/>
      <c r="AQ111" s="1091"/>
      <c r="AR111" s="1091"/>
      <c r="AS111" s="1091"/>
      <c r="AT111" s="1091"/>
      <c r="AU111" s="1091"/>
      <c r="AV111" s="1091"/>
      <c r="AW111" s="1091"/>
      <c r="AX111" s="1091"/>
      <c r="AY111" s="1091"/>
      <c r="AZ111" s="1091"/>
      <c r="BA111" s="1091"/>
      <c r="BB111" s="1091"/>
      <c r="BC111" s="1091"/>
      <c r="BD111" s="1091"/>
      <c r="BE111" s="1091"/>
      <c r="BF111" s="1091"/>
      <c r="BG111" s="1091"/>
      <c r="BH111" s="1091"/>
      <c r="BI111" s="1091"/>
      <c r="BJ111" s="1091"/>
      <c r="BK111" s="1091"/>
      <c r="BL111" s="1091"/>
      <c r="BM111" s="1091"/>
      <c r="BN111" s="1091"/>
    </row>
    <row r="112" spans="20:66" ht="15.75">
      <c r="T112" s="1251"/>
      <c r="U112" s="1251"/>
      <c r="V112" s="1251"/>
      <c r="W112" s="1251"/>
      <c r="X112" s="168"/>
      <c r="Y112" s="1256"/>
      <c r="Z112" s="1256"/>
      <c r="AA112" s="1256"/>
      <c r="AB112" s="1256"/>
      <c r="AC112" s="1279"/>
      <c r="AD112" s="1279"/>
      <c r="AE112" s="1279"/>
      <c r="AF112" s="1279"/>
      <c r="AG112" s="1279"/>
      <c r="AH112" s="1279"/>
      <c r="AI112" s="1279"/>
      <c r="AJ112" s="1279"/>
      <c r="AK112" s="1279"/>
      <c r="AL112" s="1279"/>
      <c r="AM112" s="1279"/>
      <c r="AN112" s="1279"/>
      <c r="AO112" s="1279"/>
      <c r="AP112" s="1279"/>
      <c r="AQ112" s="1279"/>
      <c r="AR112" s="1279"/>
      <c r="AS112" s="1279"/>
      <c r="AT112" s="1279"/>
      <c r="AU112" s="1279"/>
      <c r="AV112" s="1279"/>
      <c r="AW112" s="1279"/>
      <c r="AX112" s="1279"/>
      <c r="AY112" s="1279"/>
      <c r="AZ112" s="1279"/>
      <c r="BA112" s="1279"/>
      <c r="BB112" s="1279"/>
      <c r="BC112" s="1279"/>
      <c r="BD112" s="1279"/>
      <c r="BE112" s="1279"/>
      <c r="BF112" s="1279"/>
      <c r="BG112" s="1279"/>
      <c r="BH112" s="1279"/>
      <c r="BI112" s="1279"/>
      <c r="BJ112" s="1279"/>
      <c r="BK112" s="1279"/>
      <c r="BL112" s="1279"/>
      <c r="BM112" s="1279"/>
      <c r="BN112" s="1279"/>
    </row>
    <row r="113" spans="20:66" ht="15.75">
      <c r="T113" s="1251"/>
      <c r="U113" s="1251"/>
      <c r="V113" s="1251"/>
      <c r="W113" s="1251"/>
      <c r="X113" s="168"/>
      <c r="Y113" s="1256"/>
      <c r="Z113" s="1256"/>
      <c r="AA113" s="1256"/>
      <c r="AB113" s="1256"/>
      <c r="AC113" s="1279"/>
      <c r="AD113" s="1279"/>
      <c r="AE113" s="1279"/>
      <c r="AF113" s="1279"/>
      <c r="AG113" s="1279"/>
      <c r="AH113" s="1279"/>
      <c r="AI113" s="1279"/>
      <c r="AJ113" s="1279"/>
      <c r="AK113" s="1279"/>
      <c r="AL113" s="1279"/>
      <c r="AM113" s="1279"/>
      <c r="AN113" s="1279"/>
      <c r="AO113" s="1279"/>
      <c r="AP113" s="1279"/>
      <c r="AQ113" s="1279"/>
      <c r="AR113" s="1279"/>
      <c r="AS113" s="1279"/>
      <c r="AT113" s="1279"/>
      <c r="AU113" s="1279"/>
      <c r="AV113" s="1279"/>
      <c r="AW113" s="1279"/>
      <c r="AX113" s="1279"/>
      <c r="AY113" s="1279"/>
      <c r="AZ113" s="1279"/>
      <c r="BA113" s="1279"/>
      <c r="BB113" s="1279"/>
      <c r="BC113" s="1279"/>
      <c r="BD113" s="1279"/>
      <c r="BE113" s="1279"/>
      <c r="BF113" s="1279"/>
      <c r="BG113" s="1279"/>
      <c r="BH113" s="1279"/>
      <c r="BI113" s="1279"/>
      <c r="BJ113" s="1279"/>
      <c r="BK113" s="1279"/>
      <c r="BL113" s="1279"/>
      <c r="BM113" s="1279"/>
      <c r="BN113" s="1279"/>
    </row>
    <row r="114" spans="20:66" ht="15.75">
      <c r="T114" s="1251"/>
      <c r="U114" s="1251"/>
      <c r="V114" s="1251"/>
      <c r="W114" s="1251"/>
      <c r="X114" s="168"/>
      <c r="Y114" s="1256"/>
      <c r="Z114" s="1256"/>
      <c r="AA114" s="1256"/>
      <c r="AB114" s="1256"/>
      <c r="AC114" s="1279"/>
      <c r="AD114" s="1279"/>
      <c r="AE114" s="1279"/>
      <c r="AF114" s="1279"/>
      <c r="AG114" s="1279"/>
      <c r="AH114" s="1279"/>
      <c r="AI114" s="1279"/>
      <c r="AJ114" s="1279"/>
      <c r="AK114" s="1279"/>
      <c r="AL114" s="1279"/>
      <c r="AM114" s="1279"/>
      <c r="AN114" s="1279"/>
      <c r="AO114" s="1279"/>
      <c r="AP114" s="1279"/>
      <c r="AQ114" s="1279"/>
      <c r="AR114" s="1279"/>
      <c r="AS114" s="1279"/>
      <c r="AT114" s="1279"/>
      <c r="AU114" s="1279"/>
      <c r="AV114" s="1279"/>
      <c r="AW114" s="1279"/>
      <c r="AX114" s="1279"/>
      <c r="AY114" s="1279"/>
      <c r="AZ114" s="1279"/>
      <c r="BA114" s="1279"/>
      <c r="BB114" s="1279"/>
      <c r="BC114" s="1279"/>
      <c r="BD114" s="1279"/>
      <c r="BE114" s="1279"/>
      <c r="BF114" s="1279"/>
      <c r="BG114" s="1279"/>
      <c r="BH114" s="1279"/>
      <c r="BI114" s="1279"/>
      <c r="BJ114" s="1279"/>
      <c r="BK114" s="1279"/>
      <c r="BL114" s="1279"/>
      <c r="BM114" s="1279"/>
      <c r="BN114" s="1279"/>
    </row>
    <row r="115" spans="20:66" ht="15.75">
      <c r="T115" s="1251"/>
      <c r="U115" s="1251"/>
      <c r="V115" s="1251"/>
      <c r="W115" s="1251"/>
      <c r="X115" s="168"/>
      <c r="Y115" s="1256"/>
      <c r="Z115" s="1256"/>
      <c r="AA115" s="1256"/>
      <c r="AB115" s="1256"/>
      <c r="AC115" s="1279"/>
      <c r="AD115" s="1279"/>
      <c r="AE115" s="1279"/>
      <c r="AF115" s="1279"/>
      <c r="AG115" s="1279"/>
      <c r="AH115" s="1279"/>
      <c r="AI115" s="1279"/>
      <c r="AJ115" s="1279"/>
      <c r="AK115" s="1279"/>
      <c r="AL115" s="1279"/>
      <c r="AM115" s="1279"/>
      <c r="AN115" s="1279"/>
      <c r="AO115" s="1279"/>
      <c r="AP115" s="1279"/>
      <c r="AQ115" s="1279"/>
      <c r="AR115" s="1279"/>
      <c r="AS115" s="1279"/>
      <c r="AT115" s="1279"/>
      <c r="AU115" s="1279"/>
      <c r="AV115" s="1279"/>
      <c r="AW115" s="1279"/>
      <c r="AX115" s="1279"/>
      <c r="AY115" s="1279"/>
      <c r="AZ115" s="1279"/>
      <c r="BA115" s="1279"/>
      <c r="BB115" s="1279"/>
      <c r="BC115" s="1279"/>
      <c r="BD115" s="1279"/>
      <c r="BE115" s="1279"/>
      <c r="BF115" s="1279"/>
      <c r="BG115" s="1279"/>
      <c r="BH115" s="1279"/>
      <c r="BI115" s="1279"/>
      <c r="BJ115" s="1279"/>
      <c r="BK115" s="1279"/>
      <c r="BL115" s="1279"/>
      <c r="BM115" s="1279"/>
      <c r="BN115" s="1279"/>
    </row>
    <row r="116" spans="20:66" ht="15.75">
      <c r="T116" s="1251"/>
      <c r="U116" s="1251"/>
      <c r="V116" s="1251"/>
      <c r="W116" s="1251"/>
      <c r="X116" s="168"/>
      <c r="Y116" s="1256"/>
      <c r="Z116" s="1256"/>
      <c r="AA116" s="1256"/>
      <c r="AB116" s="1256"/>
      <c r="AC116" s="1279"/>
      <c r="AD116" s="1279"/>
      <c r="AE116" s="1279"/>
      <c r="AF116" s="1279"/>
      <c r="AG116" s="1279"/>
      <c r="AH116" s="1279"/>
      <c r="AI116" s="1279"/>
      <c r="AJ116" s="1279"/>
      <c r="AK116" s="1279"/>
      <c r="AL116" s="1279"/>
      <c r="AM116" s="1279"/>
      <c r="AN116" s="1279"/>
      <c r="AO116" s="1279"/>
      <c r="AP116" s="1279"/>
      <c r="AQ116" s="1279"/>
      <c r="AR116" s="1279"/>
      <c r="AS116" s="1279"/>
      <c r="AT116" s="1279"/>
      <c r="AU116" s="1279"/>
      <c r="AV116" s="1279"/>
      <c r="AW116" s="1279"/>
      <c r="AX116" s="1279"/>
      <c r="AY116" s="1279"/>
      <c r="AZ116" s="1279"/>
      <c r="BA116" s="1279"/>
      <c r="BB116" s="1279"/>
      <c r="BC116" s="1279"/>
      <c r="BD116" s="1279"/>
      <c r="BE116" s="1279"/>
      <c r="BF116" s="1279"/>
      <c r="BG116" s="1279"/>
      <c r="BH116" s="1279"/>
      <c r="BI116" s="1279"/>
      <c r="BJ116" s="1279"/>
      <c r="BK116" s="1279"/>
      <c r="BL116" s="1279"/>
      <c r="BM116" s="1279"/>
      <c r="BN116" s="1279"/>
    </row>
    <row r="117" spans="20:66" ht="15.75">
      <c r="T117" s="1251"/>
      <c r="U117" s="1251"/>
      <c r="V117" s="1251"/>
      <c r="W117" s="1251"/>
      <c r="X117" s="168"/>
      <c r="Y117" s="1256"/>
      <c r="Z117" s="1256"/>
      <c r="AA117" s="1256"/>
      <c r="AB117" s="1256"/>
      <c r="AC117" s="1279"/>
      <c r="AD117" s="1279"/>
      <c r="AE117" s="1279"/>
      <c r="AF117" s="1279"/>
      <c r="AG117" s="1279"/>
      <c r="AH117" s="1279"/>
      <c r="AI117" s="1279"/>
      <c r="AJ117" s="1279"/>
      <c r="AK117" s="1279"/>
      <c r="AL117" s="1279"/>
      <c r="AM117" s="1279"/>
      <c r="AN117" s="1279"/>
      <c r="AO117" s="1279"/>
      <c r="AP117" s="1279"/>
      <c r="AQ117" s="1279"/>
      <c r="AR117" s="1279"/>
      <c r="AS117" s="1279"/>
      <c r="AT117" s="1279"/>
      <c r="AU117" s="1279"/>
      <c r="AV117" s="1279"/>
      <c r="AW117" s="1279"/>
      <c r="AX117" s="1279"/>
      <c r="AY117" s="1279"/>
      <c r="AZ117" s="1279"/>
      <c r="BA117" s="1279"/>
      <c r="BB117" s="1279"/>
      <c r="BC117" s="1279"/>
      <c r="BD117" s="1279"/>
      <c r="BE117" s="1279"/>
      <c r="BF117" s="1279"/>
      <c r="BG117" s="1279"/>
      <c r="BH117" s="1279"/>
      <c r="BI117" s="1279"/>
      <c r="BJ117" s="1279"/>
      <c r="BK117" s="1279"/>
      <c r="BL117" s="1279"/>
      <c r="BM117" s="1279"/>
      <c r="BN117" s="1279"/>
    </row>
    <row r="118" spans="20:66" ht="15.75">
      <c r="T118" s="1251"/>
      <c r="U118" s="1251"/>
      <c r="V118" s="1251"/>
      <c r="W118" s="1251"/>
      <c r="X118" s="168"/>
      <c r="Y118" s="1256"/>
      <c r="Z118" s="1256"/>
      <c r="AA118" s="1256"/>
      <c r="AB118" s="1256"/>
      <c r="AC118" s="1279"/>
      <c r="AD118" s="1279"/>
      <c r="AE118" s="1279"/>
      <c r="AF118" s="1279"/>
      <c r="AG118" s="1279"/>
      <c r="AH118" s="1279"/>
      <c r="AI118" s="1279"/>
      <c r="AJ118" s="1279"/>
      <c r="AK118" s="1279"/>
      <c r="AL118" s="1279"/>
      <c r="AM118" s="1279"/>
      <c r="AN118" s="1279"/>
      <c r="AO118" s="1279"/>
      <c r="AP118" s="1279"/>
      <c r="AQ118" s="1279"/>
      <c r="AR118" s="1279"/>
      <c r="AS118" s="1279"/>
      <c r="AT118" s="1279"/>
      <c r="AU118" s="1279"/>
      <c r="AV118" s="1279"/>
      <c r="AW118" s="1279"/>
      <c r="AX118" s="1279"/>
      <c r="AY118" s="1279"/>
      <c r="AZ118" s="1279"/>
      <c r="BA118" s="1279"/>
      <c r="BB118" s="1279"/>
      <c r="BC118" s="1279"/>
      <c r="BD118" s="1279"/>
      <c r="BE118" s="1279"/>
      <c r="BF118" s="1279"/>
      <c r="BG118" s="1279"/>
      <c r="BH118" s="1279"/>
      <c r="BI118" s="1279"/>
      <c r="BJ118" s="1279"/>
      <c r="BK118" s="1279"/>
      <c r="BL118" s="1279"/>
      <c r="BM118" s="1279"/>
      <c r="BN118" s="1279"/>
    </row>
    <row r="119" spans="20:66" ht="15.75">
      <c r="T119" s="1251"/>
      <c r="U119" s="1251"/>
      <c r="V119" s="1251"/>
      <c r="W119" s="1251"/>
      <c r="X119" s="168"/>
      <c r="Y119" s="1256"/>
      <c r="Z119" s="1256"/>
      <c r="AA119" s="1256"/>
      <c r="AB119" s="1256"/>
      <c r="AC119" s="1279"/>
      <c r="AD119" s="1279"/>
      <c r="AE119" s="1279"/>
      <c r="AF119" s="1279"/>
      <c r="AG119" s="1279"/>
      <c r="AH119" s="1279"/>
      <c r="AI119" s="1279"/>
      <c r="AJ119" s="1279"/>
      <c r="AK119" s="1279"/>
      <c r="AL119" s="1279"/>
      <c r="AM119" s="1279"/>
      <c r="AN119" s="1279"/>
      <c r="AO119" s="1279"/>
      <c r="AP119" s="1279"/>
      <c r="AQ119" s="1279"/>
      <c r="AR119" s="1279"/>
      <c r="AS119" s="1279"/>
      <c r="AT119" s="1279"/>
      <c r="AU119" s="1279"/>
      <c r="AV119" s="1279"/>
      <c r="AW119" s="1279"/>
      <c r="AX119" s="1279"/>
      <c r="AY119" s="1279"/>
      <c r="AZ119" s="1279"/>
      <c r="BA119" s="1279"/>
      <c r="BB119" s="1279"/>
      <c r="BC119" s="1279"/>
      <c r="BD119" s="1279"/>
      <c r="BE119" s="1279"/>
      <c r="BF119" s="1279"/>
      <c r="BG119" s="1279"/>
      <c r="BH119" s="1279"/>
      <c r="BI119" s="1279"/>
      <c r="BJ119" s="1279"/>
      <c r="BK119" s="1279"/>
      <c r="BL119" s="1279"/>
      <c r="BM119" s="1279"/>
      <c r="BN119" s="1279"/>
    </row>
    <row r="120" spans="20:66" ht="15.75">
      <c r="T120" s="1251"/>
      <c r="U120" s="1251"/>
      <c r="V120" s="1251"/>
      <c r="W120" s="1251"/>
      <c r="X120" s="168"/>
      <c r="Y120" s="1256"/>
      <c r="Z120" s="1256"/>
      <c r="AA120" s="1256"/>
      <c r="AB120" s="1256"/>
      <c r="AC120" s="1279"/>
      <c r="AD120" s="1279"/>
      <c r="AE120" s="1279"/>
      <c r="AF120" s="1279"/>
      <c r="AG120" s="1279"/>
      <c r="AH120" s="1279"/>
      <c r="AI120" s="1279"/>
      <c r="AJ120" s="1279"/>
      <c r="AK120" s="1279"/>
      <c r="AL120" s="1279"/>
      <c r="AM120" s="1279"/>
      <c r="AN120" s="1279"/>
      <c r="AO120" s="1279"/>
      <c r="AP120" s="1279"/>
      <c r="AQ120" s="1279"/>
      <c r="AR120" s="1279"/>
      <c r="AS120" s="1279"/>
      <c r="AT120" s="1279"/>
      <c r="AU120" s="1279"/>
      <c r="AV120" s="1279"/>
      <c r="AW120" s="1279"/>
      <c r="AX120" s="1279"/>
      <c r="AY120" s="1279"/>
      <c r="AZ120" s="1279"/>
      <c r="BA120" s="1279"/>
      <c r="BB120" s="1279"/>
      <c r="BC120" s="1279"/>
      <c r="BD120" s="1279"/>
      <c r="BE120" s="1279"/>
      <c r="BF120" s="1279"/>
      <c r="BG120" s="1279"/>
      <c r="BH120" s="1279"/>
      <c r="BI120" s="1279"/>
      <c r="BJ120" s="1279"/>
      <c r="BK120" s="1279"/>
      <c r="BL120" s="1279"/>
      <c r="BM120" s="1279"/>
      <c r="BN120" s="1279"/>
    </row>
    <row r="121" spans="20:66" ht="15.75">
      <c r="T121" s="1251"/>
      <c r="U121" s="1251"/>
      <c r="V121" s="1251"/>
      <c r="W121" s="1251"/>
      <c r="X121" s="168"/>
      <c r="Y121" s="1256"/>
      <c r="Z121" s="1256"/>
      <c r="AA121" s="1256"/>
      <c r="AB121" s="1256"/>
      <c r="AC121" s="1279"/>
      <c r="AD121" s="1279"/>
      <c r="AE121" s="1279"/>
      <c r="AF121" s="1279"/>
      <c r="AG121" s="1279"/>
      <c r="AH121" s="1279"/>
      <c r="AI121" s="1279"/>
      <c r="AJ121" s="1279"/>
      <c r="AK121" s="1279"/>
      <c r="AL121" s="1279"/>
      <c r="AM121" s="1279"/>
      <c r="AN121" s="1279"/>
      <c r="AO121" s="1279"/>
      <c r="AP121" s="1279"/>
      <c r="AQ121" s="1279"/>
      <c r="AR121" s="1279"/>
      <c r="AS121" s="1279"/>
      <c r="AT121" s="1279"/>
      <c r="AU121" s="1279"/>
      <c r="AV121" s="1279"/>
      <c r="AW121" s="1279"/>
      <c r="AX121" s="1279"/>
      <c r="AY121" s="1279"/>
      <c r="AZ121" s="1279"/>
      <c r="BA121" s="1279"/>
      <c r="BB121" s="1279"/>
      <c r="BC121" s="1279"/>
      <c r="BD121" s="1279"/>
      <c r="BE121" s="1279"/>
      <c r="BF121" s="1279"/>
      <c r="BG121" s="1279"/>
      <c r="BH121" s="1279"/>
      <c r="BI121" s="1279"/>
      <c r="BJ121" s="1279"/>
      <c r="BK121" s="1279"/>
      <c r="BL121" s="1279"/>
      <c r="BM121" s="1279"/>
      <c r="BN121" s="1279"/>
    </row>
    <row r="122" spans="20:66" ht="15.75">
      <c r="T122" s="1251"/>
      <c r="U122" s="1251"/>
      <c r="V122" s="1251"/>
      <c r="W122" s="1251"/>
      <c r="X122" s="168"/>
      <c r="Y122" s="1256"/>
      <c r="Z122" s="1256"/>
      <c r="AA122" s="1256"/>
      <c r="AB122" s="1256"/>
      <c r="AC122" s="1279"/>
      <c r="AD122" s="1279"/>
      <c r="AE122" s="1279"/>
      <c r="AF122" s="1279"/>
      <c r="AG122" s="1279"/>
      <c r="AH122" s="1279"/>
      <c r="AI122" s="1279"/>
      <c r="AJ122" s="1279"/>
      <c r="AK122" s="1279"/>
      <c r="AL122" s="1279"/>
      <c r="AM122" s="1279"/>
      <c r="AN122" s="1279"/>
      <c r="AO122" s="1279"/>
      <c r="AP122" s="1279"/>
      <c r="AQ122" s="1279"/>
      <c r="AR122" s="1279"/>
      <c r="AS122" s="1279"/>
      <c r="AT122" s="1279"/>
      <c r="AU122" s="1279"/>
      <c r="AV122" s="1279"/>
      <c r="AW122" s="1279"/>
      <c r="AX122" s="1279"/>
      <c r="AY122" s="1279"/>
      <c r="AZ122" s="1279"/>
      <c r="BA122" s="1279"/>
      <c r="BB122" s="1279"/>
      <c r="BC122" s="1279"/>
      <c r="BD122" s="1279"/>
      <c r="BE122" s="1279"/>
      <c r="BF122" s="1279"/>
      <c r="BG122" s="1279"/>
      <c r="BH122" s="1279"/>
      <c r="BI122" s="1279"/>
      <c r="BJ122" s="1279"/>
      <c r="BK122" s="1279"/>
      <c r="BL122" s="1279"/>
      <c r="BM122" s="1279"/>
      <c r="BN122" s="1279"/>
    </row>
    <row r="123" spans="20:66" ht="15.75">
      <c r="T123" s="1251"/>
      <c r="U123" s="1251"/>
      <c r="V123" s="1251"/>
      <c r="W123" s="1251"/>
      <c r="X123" s="168"/>
      <c r="Y123" s="1256"/>
      <c r="Z123" s="1256"/>
      <c r="AA123" s="1256"/>
      <c r="AB123" s="1256"/>
      <c r="AC123" s="1279"/>
      <c r="AD123" s="1279"/>
      <c r="AE123" s="1279"/>
      <c r="AF123" s="1279"/>
      <c r="AG123" s="1279"/>
      <c r="AH123" s="1279"/>
      <c r="AI123" s="1279"/>
      <c r="AJ123" s="1279"/>
      <c r="AK123" s="1279"/>
      <c r="AL123" s="1279"/>
      <c r="AM123" s="1279"/>
      <c r="AN123" s="1279"/>
      <c r="AO123" s="1279"/>
      <c r="AP123" s="1279"/>
      <c r="AQ123" s="1279"/>
      <c r="AR123" s="1279"/>
      <c r="AS123" s="1279"/>
      <c r="AT123" s="1279"/>
      <c r="AU123" s="1279"/>
      <c r="AV123" s="1279"/>
      <c r="AW123" s="1279"/>
      <c r="AX123" s="1279"/>
      <c r="AY123" s="1279"/>
      <c r="AZ123" s="1279"/>
      <c r="BA123" s="1279"/>
      <c r="BB123" s="1279"/>
      <c r="BC123" s="1279"/>
      <c r="BD123" s="1279"/>
      <c r="BE123" s="1279"/>
      <c r="BF123" s="1279"/>
      <c r="BG123" s="1279"/>
      <c r="BH123" s="1279"/>
      <c r="BI123" s="1279"/>
      <c r="BJ123" s="1279"/>
      <c r="BK123" s="1279"/>
      <c r="BL123" s="1279"/>
      <c r="BM123" s="1279"/>
      <c r="BN123" s="1279"/>
    </row>
    <row r="124" spans="20:66" ht="15.75">
      <c r="T124" s="1251"/>
      <c r="U124" s="1251"/>
      <c r="V124" s="1251"/>
      <c r="W124" s="1251"/>
      <c r="X124" s="168"/>
      <c r="Y124" s="1256"/>
      <c r="Z124" s="1256"/>
      <c r="AA124" s="1256"/>
      <c r="AB124" s="1256"/>
      <c r="AC124" s="1279"/>
      <c r="AD124" s="1279"/>
      <c r="AE124" s="1279"/>
      <c r="AF124" s="1279"/>
      <c r="AG124" s="1279"/>
      <c r="AH124" s="1279"/>
      <c r="AI124" s="1279"/>
      <c r="AJ124" s="1279"/>
      <c r="AK124" s="1279"/>
      <c r="AL124" s="1279"/>
      <c r="AM124" s="1279"/>
      <c r="AN124" s="1279"/>
      <c r="AO124" s="1279"/>
      <c r="AP124" s="1279"/>
      <c r="AQ124" s="1279"/>
      <c r="AR124" s="1279"/>
      <c r="AS124" s="1279"/>
      <c r="AT124" s="1279"/>
      <c r="AU124" s="1279"/>
      <c r="AV124" s="1279"/>
      <c r="AW124" s="1279"/>
      <c r="AX124" s="1279"/>
      <c r="AY124" s="1279"/>
      <c r="AZ124" s="1279"/>
      <c r="BA124" s="1279"/>
      <c r="BB124" s="1279"/>
      <c r="BC124" s="1279"/>
      <c r="BD124" s="1279"/>
      <c r="BE124" s="1279"/>
      <c r="BF124" s="1279"/>
      <c r="BG124" s="1279"/>
      <c r="BH124" s="1279"/>
      <c r="BI124" s="1279"/>
      <c r="BJ124" s="1279"/>
      <c r="BK124" s="1279"/>
      <c r="BL124" s="1279"/>
      <c r="BM124" s="1279"/>
      <c r="BN124" s="1279"/>
    </row>
    <row r="125" spans="20:66">
      <c r="T125" s="1251"/>
      <c r="U125" s="1251"/>
      <c r="V125" s="1251"/>
      <c r="W125" s="1251"/>
      <c r="X125" s="1251"/>
      <c r="Y125" s="1251"/>
      <c r="Z125" s="1251"/>
      <c r="AA125" s="1251"/>
      <c r="AB125" s="1251"/>
    </row>
    <row r="126" spans="20:66">
      <c r="T126" s="1251"/>
      <c r="U126" s="1251"/>
      <c r="V126" s="1251"/>
      <c r="W126" s="1251"/>
      <c r="X126" s="1251"/>
      <c r="Y126" s="1251"/>
      <c r="Z126" s="1251"/>
      <c r="AA126" s="1251"/>
      <c r="AB126" s="1251"/>
    </row>
    <row r="127" spans="20:66">
      <c r="T127" s="1251"/>
      <c r="U127" s="1251"/>
      <c r="V127" s="1251"/>
      <c r="W127" s="1251"/>
      <c r="X127" s="1251"/>
      <c r="Y127" s="1251"/>
      <c r="Z127" s="1251"/>
      <c r="AA127" s="1251"/>
      <c r="AB127" s="1251"/>
    </row>
  </sheetData>
  <sheetProtection sheet="1" formatCells="0" formatColumns="0" formatRows="0" selectLockedCells="1"/>
  <mergeCells count="38">
    <mergeCell ref="R1:S3"/>
    <mergeCell ref="A1:B3"/>
    <mergeCell ref="M1:N3"/>
    <mergeCell ref="BC1:BM4"/>
    <mergeCell ref="H1:I1"/>
    <mergeCell ref="H2:I2"/>
    <mergeCell ref="A4:P4"/>
    <mergeCell ref="R4:BA4"/>
    <mergeCell ref="T1:BA3"/>
    <mergeCell ref="A47:B49"/>
    <mergeCell ref="C47:P49"/>
    <mergeCell ref="A51:B54"/>
    <mergeCell ref="C51:P53"/>
    <mergeCell ref="C54:P54"/>
    <mergeCell ref="W63:X63"/>
    <mergeCell ref="AA6:AF6"/>
    <mergeCell ref="AH6:AM6"/>
    <mergeCell ref="AO6:AT6"/>
    <mergeCell ref="AV6:BA6"/>
    <mergeCell ref="N44:N45"/>
    <mergeCell ref="P44:P45"/>
    <mergeCell ref="L6:L7"/>
    <mergeCell ref="M6:N6"/>
    <mergeCell ref="O6:P6"/>
    <mergeCell ref="A5:P5"/>
    <mergeCell ref="R5:BA5"/>
    <mergeCell ref="BC5:BG6"/>
    <mergeCell ref="BI5:BM6"/>
    <mergeCell ref="A6:A7"/>
    <mergeCell ref="R6:R7"/>
    <mergeCell ref="S6:S7"/>
    <mergeCell ref="T6:Y6"/>
    <mergeCell ref="B6:B7"/>
    <mergeCell ref="C6:C7"/>
    <mergeCell ref="D6:F6"/>
    <mergeCell ref="G6:I6"/>
    <mergeCell ref="J6:J7"/>
    <mergeCell ref="K6:K7"/>
  </mergeCells>
  <dataValidations count="2">
    <dataValidation type="list" allowBlank="1" sqref="C8:C42">
      <formula1>BO$7:BO$21</formula1>
    </dataValidation>
    <dataValidation type="list" allowBlank="1" sqref="J8:J42">
      <formula1>"0,10,20,30,40,50,60,70,80,90,Reinbestand"</formula1>
    </dataValidation>
  </dataValidations>
  <pageMargins left="0.31496062992125984" right="0.31496062992125984" top="0.31496062992125984" bottom="0.15748031496062992" header="0.31496062992125984" footer="0.31496062992125984"/>
  <pageSetup paperSize="9" scale="61" fitToHeight="0" orientation="landscape" r:id="rId1"/>
  <rowBreaks count="1" manualBreakCount="1">
    <brk id="43" max="52" man="1"/>
  </rowBreaks>
  <colBreaks count="1" manualBreakCount="1">
    <brk id="16" max="31"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Düngemittel!$B$6:$B$64</xm:f>
          </x14:formula1>
          <xm:sqref>AB8:AB42 U8:U42 AI8:AI42 AP8:AP42 AW8:AW42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155</vt:i4>
      </vt:variant>
    </vt:vector>
  </HeadingPairs>
  <TitlesOfParts>
    <vt:vector size="199" baseType="lpstr">
      <vt:lpstr>Einführung</vt:lpstr>
      <vt:lpstr>DüV-N-Ackerbau</vt:lpstr>
      <vt:lpstr>DüV-N-Ackerbau NbG</vt:lpstr>
      <vt:lpstr>DüV-N-Zweit-Zwischenfrucht</vt:lpstr>
      <vt:lpstr>DüV-N-Zweit-Zwischenfrucht NbG</vt:lpstr>
      <vt:lpstr>DüV-N-Grünland</vt:lpstr>
      <vt:lpstr>DüV-N-Grünland NbG</vt:lpstr>
      <vt:lpstr>DüV-N-Feldfutter</vt:lpstr>
      <vt:lpstr>DüV-N-Feldfutter NbG</vt:lpstr>
      <vt:lpstr>N-Weinbau</vt:lpstr>
      <vt:lpstr>N-Weinbau NbG</vt:lpstr>
      <vt:lpstr>DüV-N-Gemüse</vt:lpstr>
      <vt:lpstr>DüV-N-Gemüse NbG</vt:lpstr>
      <vt:lpstr>DüV-N-Folgekultur-Gem.-H&amp;G</vt:lpstr>
      <vt:lpstr>DüV-N-Folgekultur-Gemüse NbG</vt:lpstr>
      <vt:lpstr>DüV-N-Heil- &amp; Gewürz</vt:lpstr>
      <vt:lpstr>DüV-N-Heil- &amp; Gewürz NbG</vt:lpstr>
      <vt:lpstr>Organ. Dünger</vt:lpstr>
      <vt:lpstr>Tierhaltung</vt:lpstr>
      <vt:lpstr>Auswertung</vt:lpstr>
      <vt:lpstr>Düngemittel</vt:lpstr>
      <vt:lpstr>Daten Tierhaltung</vt:lpstr>
      <vt:lpstr>Nährstoffplaner Ackerland</vt:lpstr>
      <vt:lpstr>Nährstoffplaner Grünland</vt:lpstr>
      <vt:lpstr>Nährstoffplaner Gemüse</vt:lpstr>
      <vt:lpstr>Wz</vt:lpstr>
      <vt:lpstr>Trit</vt:lpstr>
      <vt:lpstr>Ro</vt:lpstr>
      <vt:lpstr>Wi-FuGe</vt:lpstr>
      <vt:lpstr>Wi-BrGe</vt:lpstr>
      <vt:lpstr>So-Ge</vt:lpstr>
      <vt:lpstr>Hafer</vt:lpstr>
      <vt:lpstr>ZRübe</vt:lpstr>
      <vt:lpstr>Raps</vt:lpstr>
      <vt:lpstr>K-Mais</vt:lpstr>
      <vt:lpstr>S-Mais</vt:lpstr>
      <vt:lpstr>Kart</vt:lpstr>
      <vt:lpstr>FrühKart</vt:lpstr>
      <vt:lpstr>Wiese</vt:lpstr>
      <vt:lpstr>Weide</vt:lpstr>
      <vt:lpstr>Mähweide</vt:lpstr>
      <vt:lpstr>GrasKleeLuz</vt:lpstr>
      <vt:lpstr>Faktoren</vt:lpstr>
      <vt:lpstr>Funktionen</vt:lpstr>
      <vt:lpstr>'DüV-N-Grünland'!_23.02.21</vt:lpstr>
      <vt:lpstr>'DüV-N-Grünland NbG'!_23.02.21</vt:lpstr>
      <vt:lpstr>FrühKart!Abreife</vt:lpstr>
      <vt:lpstr>Hafer!Abreife</vt:lpstr>
      <vt:lpstr>'K-Mais'!Abreife</vt:lpstr>
      <vt:lpstr>'S-Mais'!Abreife</vt:lpstr>
      <vt:lpstr>'So-Ge'!Abreife</vt:lpstr>
      <vt:lpstr>'DüV-N-Feldfutter'!Ackerfutter</vt:lpstr>
      <vt:lpstr>'DüV-N-Feldfutter NbG'!Ackerfutter</vt:lpstr>
      <vt:lpstr>'DüV-N-Grünland'!Ackerfutter</vt:lpstr>
      <vt:lpstr>'DüV-N-Grünland NbG'!Ackerfutter</vt:lpstr>
      <vt:lpstr>'DüV-N-Zweit-Zwischenfrucht'!Ackerfutter</vt:lpstr>
      <vt:lpstr>'DüV-N-Zweit-Zwischenfrucht NbG'!Ackerfutter</vt:lpstr>
      <vt:lpstr>Aufnahme_organischer_Dünger__Wirtschaftsdünger_und_Gärreste__von_anderen_Betrieben__ohne_Kompost</vt:lpstr>
      <vt:lpstr>Auswertung!Druckbereich</vt:lpstr>
      <vt:lpstr>Düngemittel!Druckbereich</vt:lpstr>
      <vt:lpstr>'DüV-N-Ackerbau'!Druckbereich</vt:lpstr>
      <vt:lpstr>'DüV-N-Ackerbau NbG'!Druckbereich</vt:lpstr>
      <vt:lpstr>'DüV-N-Feldfutter'!Druckbereich</vt:lpstr>
      <vt:lpstr>'DüV-N-Feldfutter NbG'!Druckbereich</vt:lpstr>
      <vt:lpstr>'DüV-N-Folgekultur-Gem.-H&amp;G'!Druckbereich</vt:lpstr>
      <vt:lpstr>'DüV-N-Gemüse'!Druckbereich</vt:lpstr>
      <vt:lpstr>'DüV-N-Gemüse NbG'!Druckbereich</vt:lpstr>
      <vt:lpstr>'DüV-N-Grünland'!Druckbereich</vt:lpstr>
      <vt:lpstr>'DüV-N-Grünland NbG'!Druckbereich</vt:lpstr>
      <vt:lpstr>'DüV-N-Heil- &amp; Gewürz'!Druckbereich</vt:lpstr>
      <vt:lpstr>'DüV-N-Heil- &amp; Gewürz NbG'!Druckbereich</vt:lpstr>
      <vt:lpstr>'DüV-N-Zweit-Zwischenfrucht'!Druckbereich</vt:lpstr>
      <vt:lpstr>'DüV-N-Zweit-Zwischenfrucht NbG'!Druckbereich</vt:lpstr>
      <vt:lpstr>FrühKart!Druckbereich</vt:lpstr>
      <vt:lpstr>GrasKleeLuz!Druckbereich</vt:lpstr>
      <vt:lpstr>Hafer!Druckbereich</vt:lpstr>
      <vt:lpstr>Kart!Druckbereich</vt:lpstr>
      <vt:lpstr>'K-Mais'!Druckbereich</vt:lpstr>
      <vt:lpstr>Mähweide!Druckbereich</vt:lpstr>
      <vt:lpstr>'Nährstoffplaner Ackerland'!Druckbereich</vt:lpstr>
      <vt:lpstr>'Nährstoffplaner Grünland'!Druckbereich</vt:lpstr>
      <vt:lpstr>'N-Weinbau'!Druckbereich</vt:lpstr>
      <vt:lpstr>'N-Weinbau NbG'!Druckbereich</vt:lpstr>
      <vt:lpstr>Raps!Druckbereich</vt:lpstr>
      <vt:lpstr>Ro!Druckbereich</vt:lpstr>
      <vt:lpstr>'S-Mais'!Druckbereich</vt:lpstr>
      <vt:lpstr>'So-Ge'!Druckbereich</vt:lpstr>
      <vt:lpstr>Tierhaltung!Druckbereich</vt:lpstr>
      <vt:lpstr>Trit!Druckbereich</vt:lpstr>
      <vt:lpstr>Weide!Druckbereich</vt:lpstr>
      <vt:lpstr>'Wi-BrGe'!Druckbereich</vt:lpstr>
      <vt:lpstr>Wiese!Druckbereich</vt:lpstr>
      <vt:lpstr>'Wi-FuGe'!Druckbereich</vt:lpstr>
      <vt:lpstr>Wz!Druckbereich</vt:lpstr>
      <vt:lpstr>ZRübe!Druckbereich</vt:lpstr>
      <vt:lpstr>'DüV-N-Grünland NbG'!Düngemittel</vt:lpstr>
      <vt:lpstr>Düngemittel</vt:lpstr>
      <vt:lpstr>Raps!FM</vt:lpstr>
      <vt:lpstr>'DüV-N-Ackerbau'!Grünlandhumus</vt:lpstr>
      <vt:lpstr>'DüV-N-Ackerbau NbG'!Grünlandhumus</vt:lpstr>
      <vt:lpstr>'DüV-N-Feldfutter'!Grünlandhumus</vt:lpstr>
      <vt:lpstr>'DüV-N-Feldfutter NbG'!Grünlandhumus</vt:lpstr>
      <vt:lpstr>'DüV-N-Grünland'!Grünlandhumus</vt:lpstr>
      <vt:lpstr>'DüV-N-Grünland NbG'!Grünlandhumus</vt:lpstr>
      <vt:lpstr>'DüV-N-Zweit-Zwischenfrucht NbG'!Grünlandhumus</vt:lpstr>
      <vt:lpstr>'N-Weinbau'!Grünlandhumus</vt:lpstr>
      <vt:lpstr>'N-Weinbau NbG'!Grünlandhumus</vt:lpstr>
      <vt:lpstr>'DüV-N-Ackerbau'!Grünlandleguminosen</vt:lpstr>
      <vt:lpstr>'DüV-N-Ackerbau NbG'!Grünlandleguminosen</vt:lpstr>
      <vt:lpstr>'DüV-N-Feldfutter'!Grünlandleguminosen</vt:lpstr>
      <vt:lpstr>'DüV-N-Feldfutter NbG'!Grünlandleguminosen</vt:lpstr>
      <vt:lpstr>'DüV-N-Grünland'!Grünlandleguminosen</vt:lpstr>
      <vt:lpstr>'DüV-N-Grünland NbG'!Grünlandleguminosen</vt:lpstr>
      <vt:lpstr>'DüV-N-Zweit-Zwischenfrucht'!Grünlandleguminosen</vt:lpstr>
      <vt:lpstr>'DüV-N-Zweit-Zwischenfrucht NbG'!Grünlandleguminosen</vt:lpstr>
      <vt:lpstr>'N-Weinbau'!Grünlandleguminosen</vt:lpstr>
      <vt:lpstr>'N-Weinbau NbG'!Grünlandleguminosen</vt:lpstr>
      <vt:lpstr>'DüV-N-Ackerbau'!Humus</vt:lpstr>
      <vt:lpstr>'DüV-N-Ackerbau NbG'!Humus</vt:lpstr>
      <vt:lpstr>'DüV-N-Feldfutter'!Humus</vt:lpstr>
      <vt:lpstr>'DüV-N-Feldfutter NbG'!Humus</vt:lpstr>
      <vt:lpstr>'DüV-N-Grünland'!Humus</vt:lpstr>
      <vt:lpstr>'DüV-N-Grünland NbG'!Humus</vt:lpstr>
      <vt:lpstr>'DüV-N-Zweit-Zwischenfrucht'!Humus</vt:lpstr>
      <vt:lpstr>'DüV-N-Zweit-Zwischenfrucht NbG'!Humus</vt:lpstr>
      <vt:lpstr>'DüV-N-Ackerbau'!Kulturen</vt:lpstr>
      <vt:lpstr>'DüV-N-Ackerbau NbG'!Kulturen</vt:lpstr>
      <vt:lpstr>FrühKart!loD</vt:lpstr>
      <vt:lpstr>GrasKleeLuz!loD</vt:lpstr>
      <vt:lpstr>Hafer!loD</vt:lpstr>
      <vt:lpstr>Kart!loD</vt:lpstr>
      <vt:lpstr>'K-Mais'!loD</vt:lpstr>
      <vt:lpstr>'S-Mais'!loD</vt:lpstr>
      <vt:lpstr>'So-Ge'!loD</vt:lpstr>
      <vt:lpstr>Wiese!loD</vt:lpstr>
      <vt:lpstr>ZRübe!loD</vt:lpstr>
      <vt:lpstr>GrasKleeLuz!N_Bindung_der_Leguminosen</vt:lpstr>
      <vt:lpstr>'DüV-N-Feldfutter NbG'!NP_Lösung_10_34</vt:lpstr>
      <vt:lpstr>'DüV-N-Zweit-Zwischenfrucht'!NP_Lösung_10_34</vt:lpstr>
      <vt:lpstr>'DüV-N-Zweit-Zwischenfrucht NbG'!NP_Lösung_10_34</vt:lpstr>
      <vt:lpstr>NP_Lösung_10_34</vt:lpstr>
      <vt:lpstr>Raps!oD</vt:lpstr>
      <vt:lpstr>Ro!oD</vt:lpstr>
      <vt:lpstr>Trit!oD</vt:lpstr>
      <vt:lpstr>'Wi-BrGe'!oD</vt:lpstr>
      <vt:lpstr>'Wi-FuGe'!oD</vt:lpstr>
      <vt:lpstr>Wz!oD</vt:lpstr>
      <vt:lpstr>Wz!Qualitätsgruppe</vt:lpstr>
      <vt:lpstr>Raps!Reife</vt:lpstr>
      <vt:lpstr>Ro!Reife</vt:lpstr>
      <vt:lpstr>Trit!Reife</vt:lpstr>
      <vt:lpstr>'Wi-BrGe'!Reife</vt:lpstr>
      <vt:lpstr>'Wi-FuGe'!Reife</vt:lpstr>
      <vt:lpstr>Wz!Reife</vt:lpstr>
      <vt:lpstr>'DüV-N-Ackerbau NbG'!Rindergülle</vt:lpstr>
      <vt:lpstr>Rindergülle</vt:lpstr>
      <vt:lpstr>Standard_Rindergülle_7_5___TM</vt:lpstr>
      <vt:lpstr>Tierkategorien</vt:lpstr>
      <vt:lpstr>FrühKart!Vorfrucht</vt:lpstr>
      <vt:lpstr>Hafer!Vorfrucht</vt:lpstr>
      <vt:lpstr>Kart!Vorfrucht</vt:lpstr>
      <vt:lpstr>'K-Mais'!Vorfrucht</vt:lpstr>
      <vt:lpstr>Mähweide!Vorfrucht</vt:lpstr>
      <vt:lpstr>Raps!Vorfrucht</vt:lpstr>
      <vt:lpstr>Ro!Vorfrucht</vt:lpstr>
      <vt:lpstr>'S-Mais'!Vorfrucht</vt:lpstr>
      <vt:lpstr>'So-Ge'!Vorfrucht</vt:lpstr>
      <vt:lpstr>Trit!Vorfrucht</vt:lpstr>
      <vt:lpstr>Weide!Vorfrucht</vt:lpstr>
      <vt:lpstr>'Wi-BrGe'!Vorfrucht</vt:lpstr>
      <vt:lpstr>Wiese!Vorfrucht</vt:lpstr>
      <vt:lpstr>'Wi-FuGe'!Vorfrucht</vt:lpstr>
      <vt:lpstr>Wz!Vorfrucht</vt:lpstr>
      <vt:lpstr>ZRübe!Vorfrucht</vt:lpstr>
      <vt:lpstr>Raps!Witterung</vt:lpstr>
      <vt:lpstr>Ro!Witterung</vt:lpstr>
      <vt:lpstr>Trit!Witterung</vt:lpstr>
      <vt:lpstr>'Wi-BrGe'!Witterung</vt:lpstr>
      <vt:lpstr>'Wi-FuGe'!Witterung</vt:lpstr>
      <vt:lpstr>Wz!Witterung</vt:lpstr>
      <vt:lpstr>'DüV-N-Grünland NbG'!xy</vt:lpstr>
      <vt:lpstr>xy</vt:lpstr>
      <vt:lpstr>FrühKart!Zwischenfrucht</vt:lpstr>
      <vt:lpstr>GrasKleeLuz!Zwischenfrucht</vt:lpstr>
      <vt:lpstr>Hafer!Zwischenfrucht</vt:lpstr>
      <vt:lpstr>Kart!Zwischenfrucht</vt:lpstr>
      <vt:lpstr>'K-Mais'!Zwischenfrucht</vt:lpstr>
      <vt:lpstr>Mähweide!Zwischenfrucht</vt:lpstr>
      <vt:lpstr>Raps!Zwischenfrucht</vt:lpstr>
      <vt:lpstr>Ro!Zwischenfrucht</vt:lpstr>
      <vt:lpstr>'S-Mais'!Zwischenfrucht</vt:lpstr>
      <vt:lpstr>'So-Ge'!Zwischenfrucht</vt:lpstr>
      <vt:lpstr>Trit!Zwischenfrucht</vt:lpstr>
      <vt:lpstr>Weide!Zwischenfrucht</vt:lpstr>
      <vt:lpstr>'Wi-BrGe'!Zwischenfrucht</vt:lpstr>
      <vt:lpstr>Wiese!Zwischenfrucht</vt:lpstr>
      <vt:lpstr>'Wi-FuGe'!Zwischenfrucht</vt:lpstr>
      <vt:lpstr>Wz!Zwischenfrucht</vt:lpstr>
      <vt:lpstr>ZRübe!Zwischenfrucht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Fritsch</dc:creator>
  <cp:lastModifiedBy>Fritsch, Dr. Friedhelm (Ref. 8502)</cp:lastModifiedBy>
  <cp:lastPrinted>2021-01-12T08:03:12Z</cp:lastPrinted>
  <dcterms:created xsi:type="dcterms:W3CDTF">2017-02-23T19:00:48Z</dcterms:created>
  <dcterms:modified xsi:type="dcterms:W3CDTF">2024-02-08T11:59:07Z</dcterms:modified>
</cp:coreProperties>
</file>